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4.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5.xml" ContentType="application/vnd.openxmlformats-officedocument.drawing+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12" yWindow="828" windowWidth="9576" windowHeight="7776" tabRatio="789" activeTab="1"/>
  </bookViews>
  <sheets>
    <sheet name="TitlePage" sheetId="78" r:id="rId1"/>
    <sheet name="Instructions" sheetId="79" r:id="rId2"/>
    <sheet name="Acknowledgements" sheetId="80" r:id="rId3"/>
    <sheet name="Version Notes" sheetId="26" r:id="rId4"/>
    <sheet name="Input" sheetId="27" r:id="rId5"/>
    <sheet name="Unitflowchart" sheetId="14" r:id="rId6"/>
    <sheet name="SummaryEtEnergy" sheetId="55" r:id="rId7"/>
    <sheet name="SummaryEtPrice" sheetId="67" r:id="rId8"/>
    <sheet name="SummaryEtMass" sheetId="68" r:id="rId9"/>
    <sheet name="SummaryEtSubstitution" sheetId="69" r:id="rId10"/>
    <sheet name="AllocationEnergy" sheetId="48" r:id="rId11"/>
    <sheet name="AllocationPrice" sheetId="34" r:id="rId12"/>
    <sheet name="AllocationMass" sheetId="47" r:id="rId13"/>
    <sheet name="SubstitutionCredit" sheetId="49" r:id="rId14"/>
    <sheet name="GlobalWarmingPotentials" sheetId="12" r:id="rId15"/>
    <sheet name="Cultivation" sheetId="2" r:id="rId16"/>
    <sheet name="Harvesting" sheetId="81" r:id="rId17"/>
    <sheet name="NFertiliser" sheetId="39" r:id="rId18"/>
    <sheet name="PFertiliser" sheetId="56" r:id="rId19"/>
    <sheet name="KFertiliser" sheetId="82" r:id="rId20"/>
    <sheet name="Lime" sheetId="83" r:id="rId21"/>
    <sheet name="RoadTransportStage1" sheetId="35" r:id="rId22"/>
    <sheet name="RoadTransportStage2" sheetId="57" r:id="rId23"/>
    <sheet name="RailTransport" sheetId="19" r:id="rId24"/>
    <sheet name="BargeTransport" sheetId="18" r:id="rId25"/>
    <sheet name="ShipTransport" sheetId="17" r:id="rId26"/>
    <sheet name="BoilerGrid" sheetId="23" r:id="rId27"/>
    <sheet name="CHP" sheetId="22" r:id="rId28"/>
    <sheet name="EnergySupply" sheetId="21" r:id="rId29"/>
    <sheet name="Milling" sheetId="84" r:id="rId30"/>
    <sheet name="Pre-TreatHydrolysis" sheetId="45" r:id="rId31"/>
    <sheet name="Ferment" sheetId="42" r:id="rId32"/>
    <sheet name="EthanolRecovery" sheetId="43" r:id="rId33"/>
    <sheet name="Utilities" sheetId="85" r:id="rId34"/>
    <sheet name="WasteSolidFilter" sheetId="46" r:id="rId35"/>
    <sheet name="AnaerobicDigestion" sheetId="44" r:id="rId36"/>
    <sheet name="ElectricitySales" sheetId="24" r:id="rId37"/>
    <sheet name="Biorefinery" sheetId="13" r:id="rId38"/>
    <sheet name="RoadTransportEthanolStage1" sheetId="58" r:id="rId39"/>
    <sheet name="RoadTransportEthanolStage2" sheetId="59" r:id="rId40"/>
    <sheet name="RoadTransportEthanolStage3" sheetId="60" r:id="rId41"/>
    <sheet name="References" sheetId="11" r:id="rId42"/>
  </sheets>
  <definedNames>
    <definedName name="an_source">Input!$F$25</definedName>
    <definedName name="as_source">Input!$F$26</definedName>
    <definedName name="biogas_ch4">Input!$F$172</definedName>
    <definedName name="biogas_gen">Input!$F$171</definedName>
    <definedName name="boiler_eff_sc">Input!$F$107</definedName>
    <definedName name="broth_conc">Input!$F$147</definedName>
    <definedName name="can_source">Input!$F$27</definedName>
    <definedName name="carbondioxide_emit">Input!$F$150</definedName>
    <definedName name="chp_eff_sc">Input!$F$108</definedName>
    <definedName name="chp_h_to_p_sc">Input!$F$109</definedName>
    <definedName name="chp_weight_sc">Input!$F$103</definedName>
    <definedName name="Credit">Input!$F$12</definedName>
    <definedName name="crop_residue_yield">Input!$E$49</definedName>
    <definedName name="cult_cycle">Input!$E$19</definedName>
    <definedName name="CV_be">Input!$F$186</definedName>
    <definedName name="CV_biogas">Input!$F$185</definedName>
    <definedName name="CV_hx">Input!$F$188</definedName>
    <definedName name="CV_ln">Input!$F$189</definedName>
    <definedName name="CV_methane">Input!$F$173</definedName>
    <definedName name="CV_misc">Input!$F$187</definedName>
    <definedName name="CV_pen">Input!$F$190</definedName>
    <definedName name="CV_wax">Input!$F$192</definedName>
    <definedName name="CV_ws">Input!$F$191</definedName>
    <definedName name="diesel_baler">Input!$F$48</definedName>
    <definedName name="diesel_fert">Input!$F$43</definedName>
    <definedName name="diesel_harrow">Input!$F$40</definedName>
    <definedName name="diesel_mower">Input!$F$47</definedName>
    <definedName name="diesel_planter">Input!$F$41</definedName>
    <definedName name="diesel_plough">Input!$F$39</definedName>
    <definedName name="diesel_resid_removal">Input!$F$46</definedName>
    <definedName name="diesel_rolling">Input!$F$42</definedName>
    <definedName name="diesel_spray">Input!$F$44</definedName>
    <definedName name="diesel_subsoil">Input!$F$38</definedName>
    <definedName name="diesel_weed_cult">Input!$F$45</definedName>
    <definedName name="distil_elec">Input!$F$155</definedName>
    <definedName name="distil_heat">Input!$F$154</definedName>
    <definedName name="distil_loss">Input!$F$156</definedName>
    <definedName name="e_req_ws">Input!$F$159</definedName>
    <definedName name="ferm_loss">Input!$F$151</definedName>
    <definedName name="ferment_elec">Input!$F$146</definedName>
    <definedName name="ferment_heat">Input!$F$145</definedName>
    <definedName name="func_unit">Input!$F$13</definedName>
    <definedName name="gas_capt">Input!$F$149</definedName>
    <definedName name="gas_credit">Input!$F$11</definedName>
    <definedName name="h_req_ws">Input!$F$158</definedName>
    <definedName name="harvest_chip_loss">Input!$F$36</definedName>
    <definedName name="hexoses">Input!$F$132</definedName>
    <definedName name="hexoses_conc">Input!$F$136</definedName>
    <definedName name="hexoses_mischd">Input!$F$135</definedName>
    <definedName name="hexoses_miscld">Input!$F$134</definedName>
    <definedName name="hexoses_sce">Input!$F$133</definedName>
    <definedName name="include_machinery">Input!$F$10</definedName>
    <definedName name="include_subsoil">Input!$F$9</definedName>
    <definedName name="k_fert_app_rate">Input!$F$32</definedName>
    <definedName name="k_fert_source">Input!$F$31</definedName>
    <definedName name="lignin">Input!$F$138</definedName>
    <definedName name="lignin_energy_source">Input!$F$143</definedName>
    <definedName name="lignin_mischd">Input!$F$141</definedName>
    <definedName name="lignin_miscld">Input!$F$140</definedName>
    <definedName name="lignin_mois">Input!$F$142</definedName>
    <definedName name="lignin_sce">Input!$F$139</definedName>
    <definedName name="lime_app_rate">Input!$F$35</definedName>
    <definedName name="lime_fert_source">Input!$F$33</definedName>
    <definedName name="lime_type">Input!$F$34</definedName>
    <definedName name="method">Input!$F$8</definedName>
    <definedName name="misc_mill_elec">Input!$F$113</definedName>
    <definedName name="misc_mill_loss">Input!$F$114</definedName>
    <definedName name="misc_type">Input!$F$17</definedName>
    <definedName name="miscanthus_pretreat_loss">Input!$F$131</definedName>
    <definedName name="miscanthus_process_elect">Input!$F$120</definedName>
    <definedName name="miscanthus_process_steam">Input!$F$119</definedName>
    <definedName name="moist_dry_feed">Input!$F$160</definedName>
    <definedName name="moist_feedstock">Input!$F$21</definedName>
    <definedName name="moist_fuel">Input!$F$22</definedName>
    <definedName name="moist_harv">Input!$F$21</definedName>
    <definedName name="moist_ws">Input!$F$153</definedName>
    <definedName name="Monoammonium_Phosphate">Input!$F$33</definedName>
    <definedName name="n_fert">Input!$F$23</definedName>
    <definedName name="n_fert_sc_type">Input!$F$24</definedName>
    <definedName name="ncv_diesel">Input!$F$37</definedName>
    <definedName name="p_fert_app_rate">Input!$F$30</definedName>
    <definedName name="p_fert_type">Input!$F$29</definedName>
    <definedName name="p_setts">Input!$E$20</definedName>
    <definedName name="pentose">Input!$F$137</definedName>
    <definedName name="plant_dens">Input!$F$18</definedName>
    <definedName name="price_be_sc">Input!$F$184</definedName>
    <definedName name="price_carbondioxide">Input!$F$183</definedName>
    <definedName name="price_hx">Input!$F$179</definedName>
    <definedName name="price_ln">Input!$F$180</definedName>
    <definedName name="price_miscanthus">Input!$F$178</definedName>
    <definedName name="price_pen">Input!$F$181</definedName>
    <definedName name="price_wax">Input!$F$182</definedName>
    <definedName name="process_CSL">Input!$F$125</definedName>
    <definedName name="process_DIAPHOS">Input!$F$126</definedName>
    <definedName name="process_GLUCOSE">Input!$F$128</definedName>
    <definedName name="process_H2O">Input!$F$123</definedName>
    <definedName name="process_H2SO4">Input!$F$121</definedName>
    <definedName name="process_NaOH">Input!$F$122</definedName>
    <definedName name="process_NH3">Input!$F$124</definedName>
    <definedName name="process_NUTRIENT">Input!$F$129</definedName>
    <definedName name="process_SO2">Input!$F$130</definedName>
    <definedName name="process_SORBITOL">Input!$F$127</definedName>
    <definedName name="prod_cyc_length">Input!$F$19</definedName>
    <definedName name="prod_pl_input_sc">Input!$F$104</definedName>
    <definedName name="prod_pl_life_sc">Input!$F$105</definedName>
    <definedName name="prod_pl_op_time_sc">Input!$F$106</definedName>
    <definedName name="pur_loss_sc">Input!$F$151</definedName>
    <definedName name="ref_sys">Input!$F$49</definedName>
    <definedName name="sce_elect">Input!$F$117</definedName>
    <definedName name="sce_heat">Input!$F$116</definedName>
    <definedName name="sce_option">Input!$F$115</definedName>
    <definedName name="sce_wax">Input!$F$118</definedName>
    <definedName name="steam_heat">Input!$F$161</definedName>
    <definedName name="sub_cred_ln">Input!$F$193</definedName>
    <definedName name="sub_cred_pen">Input!$F$194</definedName>
    <definedName name="sub_credit_wax">Input!$F$195</definedName>
    <definedName name="subs_cred_carb_diox">Input!$F$196</definedName>
    <definedName name="sugarcane_moist">Input!$E$23</definedName>
    <definedName name="total_solids">Input!$F$167</definedName>
    <definedName name="tr_f_pl_1_km">Input!$F$56</definedName>
    <definedName name="tr_f_pl_1_loss">Input!$F$57</definedName>
    <definedName name="tr_f_pl_1_mode">Input!$F$55</definedName>
    <definedName name="tr_f_pl_1_truck">Input!$F$54</definedName>
    <definedName name="tr_f_pl_2_km">Input!$F$60</definedName>
    <definedName name="tr_f_pl_2_loss">Input!$F$61</definedName>
    <definedName name="tr_f_pl_2_mode">Input!$F$59</definedName>
    <definedName name="tr_f_pl_2_truck">Input!$F$58</definedName>
    <definedName name="tr_pl_dtb_1_km">Input!$F$65</definedName>
    <definedName name="tr_pl_dtb_1_km_ace">Input!$F$77</definedName>
    <definedName name="tr_pl_dtb_1_km_but">Input!$F$89</definedName>
    <definedName name="tr_pl_dtb_1_loss">Input!$F$66</definedName>
    <definedName name="tr_pl_dtb_1_loss_ace">Input!$F$78</definedName>
    <definedName name="tr_pl_dtb_1_loss_but">Input!$F$90</definedName>
    <definedName name="tr_pl_dtb_1_mode">Input!$F$64</definedName>
    <definedName name="tr_pl_dtb_1_mode_ace">Input!$F$76</definedName>
    <definedName name="tr_pl_dtb_1_mode_but">Input!$F$88</definedName>
    <definedName name="tr_pl_dtb_1_truck">Input!$F$63</definedName>
    <definedName name="tr_pl_dtb_1_truck_ace">Input!$F$75</definedName>
    <definedName name="tr_pl_dtb_1_truck_but">Input!$F$87</definedName>
    <definedName name="tr_pl_dtb_2_km">Input!$F$69</definedName>
    <definedName name="tr_pl_dtb_2_km_ace">Input!$F$81</definedName>
    <definedName name="tr_pl_dtb_2_km_but">Input!$F$93</definedName>
    <definedName name="tr_pl_dtb_2_loss">Input!$F$70</definedName>
    <definedName name="tr_pl_dtb_2_loss_ace">Input!$F$82</definedName>
    <definedName name="tr_pl_dtb_2_loss_but">Input!$F$94</definedName>
    <definedName name="tr_pl_dtb_2_mode">Input!$F$68</definedName>
    <definedName name="tr_pl_dtb_2_mode_ace">Input!$F$80</definedName>
    <definedName name="tr_pl_dtb_2_mode_but">Input!$F$92</definedName>
    <definedName name="tr_pl_dtb_2_truck">Input!$F$67</definedName>
    <definedName name="tr_pl_dtb_2_truck_ace">Input!$F$79</definedName>
    <definedName name="tr_pl_dtb_2_truck_but">Input!$F$91</definedName>
    <definedName name="tr_pl_dtb_3_km">Input!$F$73</definedName>
    <definedName name="tr_pl_dtb_3_km_ace">Input!$F$85</definedName>
    <definedName name="tr_pl_dtb_3_km_but">Input!$F$97</definedName>
    <definedName name="tr_pl_dtb_3_loss">Input!$F$74</definedName>
    <definedName name="tr_pl_dtb_3_loss_ace">Input!$F$86</definedName>
    <definedName name="tr_pl_dtb_3_loss_but">Input!$F$98</definedName>
    <definedName name="tr_pl_dtb_3_mode">Input!$F$72</definedName>
    <definedName name="tr_pl_dtb_3_mode_ace">Input!$F$84</definedName>
    <definedName name="tr_pl_dtb_3_mode_but">Input!$F$96</definedName>
    <definedName name="tr_pl_dtb_3_truck">Input!$F$71</definedName>
    <definedName name="tr_pl_dtb_3_truck_ace">Input!$F$83</definedName>
    <definedName name="tr_pl_dtb_3_truck_but">Input!$F$95</definedName>
    <definedName name="ur_source">Input!$F$28</definedName>
    <definedName name="use_chp_sc">Input!$F$102</definedName>
    <definedName name="util_elec">Input!$F$157</definedName>
    <definedName name="vinasse">Input!$F$165</definedName>
    <definedName name="vinasse_COD">Input!$F$166</definedName>
    <definedName name="vinasse_loss">Input!$F$170</definedName>
    <definedName name="vol_ws">Input!$F$152</definedName>
    <definedName name="waste_solid_miscanthus_mois">Input!$F$144</definedName>
    <definedName name="wwt_elec">Input!$F$168</definedName>
    <definedName name="wwt_NaOH">Input!$F$169</definedName>
    <definedName name="yield">Input!$F$20</definedName>
    <definedName name="yield_et">Input!$F$148</definedName>
  </definedNames>
  <calcPr calcId="145621"/>
</workbook>
</file>

<file path=xl/calcChain.xml><?xml version="1.0" encoding="utf-8"?>
<calcChain xmlns="http://schemas.openxmlformats.org/spreadsheetml/2006/main">
  <c r="M144" i="69" l="1"/>
  <c r="K144" i="69"/>
  <c r="L144" i="69" s="1"/>
  <c r="J144" i="69"/>
  <c r="I144" i="69"/>
  <c r="H144" i="69"/>
  <c r="G144" i="69"/>
  <c r="F144" i="69"/>
  <c r="E144" i="69"/>
  <c r="D144" i="69"/>
  <c r="B144" i="69"/>
  <c r="C144" i="69" s="1"/>
  <c r="M142" i="69"/>
  <c r="L142" i="69"/>
  <c r="K142" i="69"/>
  <c r="J142" i="69"/>
  <c r="H142" i="69"/>
  <c r="I142" i="69" s="1"/>
  <c r="G142" i="69"/>
  <c r="E142" i="69"/>
  <c r="F142" i="69" s="1"/>
  <c r="D142" i="69"/>
  <c r="B142" i="69"/>
  <c r="C142" i="69" s="1"/>
  <c r="M141" i="69"/>
  <c r="L141" i="69"/>
  <c r="K141" i="69"/>
  <c r="J141" i="69"/>
  <c r="H141" i="69"/>
  <c r="I141" i="69" s="1"/>
  <c r="G141" i="69"/>
  <c r="E141" i="69"/>
  <c r="F141" i="69" s="1"/>
  <c r="D141" i="69"/>
  <c r="B141" i="69"/>
  <c r="C141" i="69" s="1"/>
  <c r="M140" i="69"/>
  <c r="L140" i="69"/>
  <c r="K140" i="69"/>
  <c r="J140" i="69"/>
  <c r="H140" i="69"/>
  <c r="I140" i="69" s="1"/>
  <c r="G140" i="69"/>
  <c r="E140" i="69"/>
  <c r="F140" i="69" s="1"/>
  <c r="D140" i="69"/>
  <c r="B140" i="69"/>
  <c r="C140" i="69" s="1"/>
  <c r="M139" i="69"/>
  <c r="L139" i="69"/>
  <c r="K139" i="69"/>
  <c r="J139" i="69"/>
  <c r="H139" i="69"/>
  <c r="I139" i="69" s="1"/>
  <c r="G139" i="69"/>
  <c r="E139" i="69"/>
  <c r="F139" i="69" s="1"/>
  <c r="D139" i="69"/>
  <c r="B139" i="69"/>
  <c r="C139" i="69" s="1"/>
  <c r="M138" i="69"/>
  <c r="L138" i="69"/>
  <c r="K138" i="69"/>
  <c r="J138" i="69"/>
  <c r="H138" i="69"/>
  <c r="I138" i="69" s="1"/>
  <c r="G138" i="69"/>
  <c r="E138" i="69"/>
  <c r="F138" i="69" s="1"/>
  <c r="D138" i="69"/>
  <c r="B138" i="69"/>
  <c r="C138" i="69" s="1"/>
  <c r="M136" i="69"/>
  <c r="L136" i="69"/>
  <c r="K136" i="69"/>
  <c r="J136" i="69"/>
  <c r="H136" i="69"/>
  <c r="I136" i="69" s="1"/>
  <c r="G136" i="69"/>
  <c r="E136" i="69"/>
  <c r="F136" i="69" s="1"/>
  <c r="D136" i="69"/>
  <c r="B136" i="69"/>
  <c r="C136" i="69" s="1"/>
  <c r="M134" i="69"/>
  <c r="L134" i="69"/>
  <c r="K134" i="69"/>
  <c r="J134" i="69"/>
  <c r="H134" i="69"/>
  <c r="I134" i="69" s="1"/>
  <c r="G134" i="69"/>
  <c r="F134" i="69"/>
  <c r="E134" i="69"/>
  <c r="D134" i="69"/>
  <c r="B134" i="69"/>
  <c r="C134" i="69" s="1"/>
  <c r="M133" i="69"/>
  <c r="L133" i="69"/>
  <c r="K133" i="69"/>
  <c r="J133" i="69"/>
  <c r="H133" i="69"/>
  <c r="I133" i="69" s="1"/>
  <c r="G133" i="69"/>
  <c r="F133" i="69"/>
  <c r="E133" i="69"/>
  <c r="D133" i="69"/>
  <c r="B133" i="69"/>
  <c r="C133" i="69" s="1"/>
  <c r="M132" i="69"/>
  <c r="L132" i="69"/>
  <c r="K132" i="69"/>
  <c r="J132" i="69"/>
  <c r="H132" i="69"/>
  <c r="I132" i="69" s="1"/>
  <c r="G132" i="69"/>
  <c r="F132" i="69"/>
  <c r="E132" i="69"/>
  <c r="D132" i="69"/>
  <c r="B132" i="69"/>
  <c r="C132" i="69" s="1"/>
  <c r="M131" i="69"/>
  <c r="L131" i="69"/>
  <c r="K131" i="69"/>
  <c r="J131" i="69"/>
  <c r="H131" i="69"/>
  <c r="I131" i="69" s="1"/>
  <c r="G131" i="69"/>
  <c r="F131" i="69"/>
  <c r="E131" i="69"/>
  <c r="D131" i="69"/>
  <c r="B131" i="69"/>
  <c r="C131" i="69" s="1"/>
  <c r="M130" i="69"/>
  <c r="L130" i="69"/>
  <c r="K130" i="69"/>
  <c r="J130" i="69"/>
  <c r="H130" i="69"/>
  <c r="I130" i="69" s="1"/>
  <c r="G130" i="69"/>
  <c r="F130" i="69"/>
  <c r="E130" i="69"/>
  <c r="D130" i="69"/>
  <c r="B130" i="69"/>
  <c r="C130" i="69" s="1"/>
  <c r="M128" i="69"/>
  <c r="K128" i="69"/>
  <c r="L128" i="69" s="1"/>
  <c r="J128" i="69"/>
  <c r="I128" i="69"/>
  <c r="H128" i="69"/>
  <c r="G128" i="69"/>
  <c r="E128" i="69"/>
  <c r="F128" i="69" s="1"/>
  <c r="D128" i="69"/>
  <c r="B128" i="69"/>
  <c r="C128" i="69" s="1"/>
  <c r="M126" i="69"/>
  <c r="L126" i="69"/>
  <c r="K126" i="69"/>
  <c r="J126" i="69"/>
  <c r="H126" i="69"/>
  <c r="I126" i="69" s="1"/>
  <c r="G126" i="69"/>
  <c r="E126" i="69"/>
  <c r="F126" i="69" s="1"/>
  <c r="D126" i="69"/>
  <c r="B126" i="69"/>
  <c r="C126" i="69" s="1"/>
  <c r="M125" i="69"/>
  <c r="L125" i="69"/>
  <c r="K125" i="69"/>
  <c r="J125" i="69"/>
  <c r="H125" i="69"/>
  <c r="I125" i="69" s="1"/>
  <c r="G125" i="69"/>
  <c r="E125" i="69"/>
  <c r="F125" i="69" s="1"/>
  <c r="D125" i="69"/>
  <c r="B125" i="69"/>
  <c r="C125" i="69" s="1"/>
  <c r="M146" i="69"/>
  <c r="K146" i="69"/>
  <c r="J146" i="69"/>
  <c r="H146" i="69"/>
  <c r="G146" i="69"/>
  <c r="E146" i="69"/>
  <c r="D146" i="69"/>
  <c r="B146" i="69"/>
  <c r="M124" i="69"/>
  <c r="K124" i="69"/>
  <c r="J124" i="69"/>
  <c r="H124" i="69"/>
  <c r="G124" i="69"/>
  <c r="E124" i="69"/>
  <c r="C8" i="13" l="1"/>
  <c r="AA205" i="14" l="1"/>
  <c r="C11" i="49" s="1"/>
  <c r="C19" i="49" s="1"/>
  <c r="AA203" i="14"/>
  <c r="C13" i="34" s="1"/>
  <c r="C26" i="34" s="1"/>
  <c r="AA201" i="14"/>
  <c r="C13" i="48" s="1"/>
  <c r="C23" i="48" s="1"/>
  <c r="S194" i="14" l="1"/>
  <c r="S188" i="14"/>
  <c r="S5" i="14"/>
  <c r="A269" i="69" l="1"/>
  <c r="A266" i="68"/>
  <c r="A263" i="67"/>
  <c r="A265" i="55"/>
  <c r="A263" i="69" l="1"/>
  <c r="A260" i="68"/>
  <c r="A257" i="67"/>
  <c r="A259" i="55"/>
  <c r="A235" i="69"/>
  <c r="A234" i="69"/>
  <c r="A233" i="69"/>
  <c r="A232" i="69"/>
  <c r="A231" i="69"/>
  <c r="A230" i="69"/>
  <c r="A229" i="69"/>
  <c r="A228" i="69"/>
  <c r="A227" i="69"/>
  <c r="A226" i="69"/>
  <c r="A232" i="68"/>
  <c r="A231" i="68"/>
  <c r="A230" i="68"/>
  <c r="A229" i="68"/>
  <c r="A228" i="68"/>
  <c r="A227" i="68"/>
  <c r="A226" i="68"/>
  <c r="A225" i="68"/>
  <c r="A224" i="68"/>
  <c r="A223" i="68"/>
  <c r="A229" i="67"/>
  <c r="A228" i="67"/>
  <c r="A227" i="67"/>
  <c r="A226" i="67"/>
  <c r="A225" i="67"/>
  <c r="A224" i="67"/>
  <c r="A223" i="67"/>
  <c r="A222" i="67"/>
  <c r="A221" i="67"/>
  <c r="A220" i="67"/>
  <c r="A231" i="55"/>
  <c r="A230" i="55"/>
  <c r="A229" i="55"/>
  <c r="A228" i="55"/>
  <c r="A227" i="55"/>
  <c r="A226" i="55"/>
  <c r="A225" i="55"/>
  <c r="A224" i="55"/>
  <c r="A223" i="55"/>
  <c r="A222" i="55"/>
  <c r="S287" i="14" l="1"/>
  <c r="N201" i="14" l="1"/>
  <c r="N205" i="14" s="1"/>
  <c r="S201" i="14"/>
  <c r="S205" i="14" s="1"/>
  <c r="N207" i="14" l="1"/>
  <c r="N203" i="14"/>
  <c r="S203" i="14"/>
  <c r="A3" i="69"/>
  <c r="A3" i="68"/>
  <c r="A3" i="67"/>
  <c r="S260" i="14"/>
  <c r="S262" i="14"/>
  <c r="S243" i="14"/>
  <c r="A225" i="69" l="1"/>
  <c r="A222" i="68"/>
  <c r="A219" i="67"/>
  <c r="A221" i="55"/>
  <c r="S176" i="14" l="1"/>
  <c r="A144" i="69" l="1"/>
  <c r="A141" i="69"/>
  <c r="A142" i="69"/>
  <c r="A136" i="69"/>
  <c r="A138" i="69"/>
  <c r="A139" i="69"/>
  <c r="A140" i="69"/>
  <c r="A325" i="69"/>
  <c r="A326" i="69"/>
  <c r="A324" i="69"/>
  <c r="A185" i="69"/>
  <c r="A186" i="69"/>
  <c r="A184" i="69"/>
  <c r="A151" i="69"/>
  <c r="A152" i="69"/>
  <c r="A150" i="69"/>
  <c r="A218" i="69"/>
  <c r="A132" i="69"/>
  <c r="A133" i="69"/>
  <c r="A134" i="69"/>
  <c r="A123" i="69"/>
  <c r="A124" i="69"/>
  <c r="A125" i="69"/>
  <c r="A126" i="69"/>
  <c r="A128" i="69"/>
  <c r="A130" i="69"/>
  <c r="A131" i="69"/>
  <c r="A122" i="69"/>
  <c r="A63" i="69"/>
  <c r="A64" i="69"/>
  <c r="A65" i="69"/>
  <c r="A66" i="69"/>
  <c r="A67" i="69"/>
  <c r="A68" i="69"/>
  <c r="A69" i="69"/>
  <c r="A70" i="69"/>
  <c r="A71" i="69"/>
  <c r="A72" i="69"/>
  <c r="A74" i="69"/>
  <c r="A76" i="69"/>
  <c r="A77" i="69"/>
  <c r="A78" i="69"/>
  <c r="A79" i="69"/>
  <c r="A80" i="69"/>
  <c r="A81" i="69"/>
  <c r="A82" i="69"/>
  <c r="A83" i="69"/>
  <c r="A84" i="69"/>
  <c r="A85" i="69"/>
  <c r="A87" i="69"/>
  <c r="A89" i="69"/>
  <c r="A90" i="69"/>
  <c r="A91" i="69"/>
  <c r="A92" i="69"/>
  <c r="A93" i="69"/>
  <c r="A94" i="69"/>
  <c r="A95" i="69"/>
  <c r="A96" i="69"/>
  <c r="A97" i="69"/>
  <c r="A98" i="69"/>
  <c r="A100" i="69"/>
  <c r="A102" i="69"/>
  <c r="A103" i="69"/>
  <c r="A104" i="69"/>
  <c r="A105" i="69"/>
  <c r="A106" i="69"/>
  <c r="A107" i="69"/>
  <c r="A108" i="69"/>
  <c r="A109" i="69"/>
  <c r="A111" i="69"/>
  <c r="A113" i="69"/>
  <c r="A115" i="69"/>
  <c r="A116" i="69"/>
  <c r="A62" i="69"/>
  <c r="S30" i="14" l="1"/>
  <c r="G37" i="27" l="1"/>
  <c r="G35" i="27"/>
  <c r="A215" i="68"/>
  <c r="A212" i="67"/>
  <c r="A214" i="55" l="1"/>
  <c r="S174" i="14"/>
  <c r="S164" i="14"/>
  <c r="A313" i="68"/>
  <c r="A314" i="68"/>
  <c r="A312" i="68"/>
  <c r="A182" i="68"/>
  <c r="A183" i="68"/>
  <c r="A181" i="68"/>
  <c r="A148" i="68"/>
  <c r="A149" i="68"/>
  <c r="A147" i="68"/>
  <c r="S85" i="14" l="1"/>
  <c r="S181" i="14"/>
  <c r="S199" i="14" s="1"/>
  <c r="A121" i="68"/>
  <c r="A122" i="68"/>
  <c r="A123" i="68"/>
  <c r="A125" i="68"/>
  <c r="A127" i="68"/>
  <c r="A128" i="68"/>
  <c r="A129" i="68"/>
  <c r="A130" i="68"/>
  <c r="A131" i="68"/>
  <c r="A133" i="68"/>
  <c r="A135" i="68"/>
  <c r="A136" i="68"/>
  <c r="A137" i="68"/>
  <c r="A138" i="68"/>
  <c r="A139" i="68"/>
  <c r="A141" i="68"/>
  <c r="A120" i="68"/>
  <c r="A119" i="68"/>
  <c r="A63" i="68"/>
  <c r="A64" i="68"/>
  <c r="A65" i="68"/>
  <c r="A66" i="68"/>
  <c r="A67" i="68"/>
  <c r="A68" i="68"/>
  <c r="A69" i="68"/>
  <c r="A70" i="68"/>
  <c r="A72" i="68"/>
  <c r="A74" i="68"/>
  <c r="A75" i="68"/>
  <c r="A76" i="68"/>
  <c r="A77" i="68"/>
  <c r="A78" i="68"/>
  <c r="A79" i="68"/>
  <c r="A80" i="68"/>
  <c r="A81" i="68"/>
  <c r="A82" i="68"/>
  <c r="A83" i="68"/>
  <c r="A85" i="68"/>
  <c r="A87" i="68"/>
  <c r="A88" i="68"/>
  <c r="A89" i="68"/>
  <c r="A90" i="68"/>
  <c r="A91" i="68"/>
  <c r="A92" i="68"/>
  <c r="A93" i="68"/>
  <c r="A94" i="68"/>
  <c r="A95" i="68"/>
  <c r="A96" i="68"/>
  <c r="A98" i="68"/>
  <c r="A100" i="68"/>
  <c r="A101" i="68"/>
  <c r="A102" i="68"/>
  <c r="A103" i="68"/>
  <c r="A104" i="68"/>
  <c r="A105" i="68"/>
  <c r="A106" i="68"/>
  <c r="A107" i="68"/>
  <c r="A109" i="68"/>
  <c r="A111" i="68"/>
  <c r="A113" i="68"/>
  <c r="A114" i="68"/>
  <c r="A61" i="68"/>
  <c r="A62" i="68"/>
  <c r="A60" i="68"/>
  <c r="N199" i="14" l="1"/>
  <c r="S237" i="14"/>
  <c r="W199" i="14"/>
  <c r="A310" i="67"/>
  <c r="A311" i="67"/>
  <c r="A309" i="67"/>
  <c r="A179" i="67"/>
  <c r="A180" i="67"/>
  <c r="A178" i="67"/>
  <c r="A145" i="67"/>
  <c r="A146" i="67"/>
  <c r="A144" i="67"/>
  <c r="A138" i="67"/>
  <c r="A117" i="67"/>
  <c r="A118" i="67"/>
  <c r="A119" i="67"/>
  <c r="A120" i="67"/>
  <c r="A122" i="67"/>
  <c r="A124" i="67"/>
  <c r="A125" i="67"/>
  <c r="A126" i="67"/>
  <c r="A127" i="67"/>
  <c r="A128" i="67"/>
  <c r="A130" i="67"/>
  <c r="A132" i="67"/>
  <c r="A133" i="67"/>
  <c r="A134" i="67"/>
  <c r="A135" i="67"/>
  <c r="A136" i="67"/>
  <c r="A116" i="67"/>
  <c r="A58" i="67"/>
  <c r="A59" i="67"/>
  <c r="A60" i="67"/>
  <c r="A61" i="67"/>
  <c r="A62" i="67"/>
  <c r="A63" i="67"/>
  <c r="A64" i="67"/>
  <c r="A65" i="67"/>
  <c r="A66" i="67"/>
  <c r="A67" i="67"/>
  <c r="A69" i="67"/>
  <c r="A71" i="67"/>
  <c r="A72" i="67"/>
  <c r="A73" i="67"/>
  <c r="A74" i="67"/>
  <c r="A75" i="67"/>
  <c r="A76" i="67"/>
  <c r="A77" i="67"/>
  <c r="A78" i="67"/>
  <c r="A79" i="67"/>
  <c r="A80" i="67"/>
  <c r="A82" i="67"/>
  <c r="A84" i="67"/>
  <c r="A85" i="67"/>
  <c r="A86" i="67"/>
  <c r="A87" i="67"/>
  <c r="A88" i="67"/>
  <c r="A89" i="67"/>
  <c r="A90" i="67"/>
  <c r="A91" i="67"/>
  <c r="A92" i="67"/>
  <c r="A93" i="67"/>
  <c r="A95" i="67"/>
  <c r="A97" i="67"/>
  <c r="A98" i="67"/>
  <c r="A99" i="67"/>
  <c r="A100" i="67"/>
  <c r="A101" i="67"/>
  <c r="A102" i="67"/>
  <c r="A103" i="67"/>
  <c r="A104" i="67"/>
  <c r="A106" i="67"/>
  <c r="A108" i="67"/>
  <c r="A110" i="67"/>
  <c r="A111" i="67"/>
  <c r="A57" i="67"/>
  <c r="F35" i="27" l="1"/>
  <c r="C12" i="2" s="1"/>
  <c r="C64" i="2" s="1"/>
  <c r="C13" i="2"/>
  <c r="P75" i="2" s="1"/>
  <c r="A318" i="55"/>
  <c r="A319" i="55"/>
  <c r="A317" i="55"/>
  <c r="A181" i="55"/>
  <c r="A182" i="55"/>
  <c r="A180" i="55"/>
  <c r="Q75" i="2" l="1"/>
  <c r="P17" i="83" l="1"/>
  <c r="L17" i="83"/>
  <c r="H17" i="83"/>
  <c r="D17" i="83"/>
  <c r="A140" i="55"/>
  <c r="A147" i="55" l="1"/>
  <c r="A148" i="55"/>
  <c r="A146" i="55"/>
  <c r="A119" i="55"/>
  <c r="A120" i="55"/>
  <c r="A121" i="55"/>
  <c r="A122" i="55"/>
  <c r="A124" i="55"/>
  <c r="A126" i="55"/>
  <c r="A127" i="55"/>
  <c r="A128" i="55"/>
  <c r="A129" i="55"/>
  <c r="A130" i="55"/>
  <c r="A132" i="55"/>
  <c r="A134" i="55"/>
  <c r="A135" i="55"/>
  <c r="A136" i="55"/>
  <c r="A137" i="55"/>
  <c r="A138" i="55"/>
  <c r="A118" i="55"/>
  <c r="A60" i="55"/>
  <c r="A61" i="55"/>
  <c r="A62" i="55"/>
  <c r="A63" i="55"/>
  <c r="A64" i="55"/>
  <c r="A65" i="55"/>
  <c r="A66" i="55"/>
  <c r="A67" i="55"/>
  <c r="A68" i="55"/>
  <c r="A69" i="55"/>
  <c r="A71" i="55"/>
  <c r="A73" i="55"/>
  <c r="A74" i="55"/>
  <c r="A75" i="55"/>
  <c r="A76" i="55"/>
  <c r="A77" i="55"/>
  <c r="A78" i="55"/>
  <c r="A79" i="55"/>
  <c r="A80" i="55"/>
  <c r="A81" i="55"/>
  <c r="A82" i="55"/>
  <c r="A84" i="55"/>
  <c r="A86" i="55"/>
  <c r="A87" i="55"/>
  <c r="A88" i="55"/>
  <c r="A89" i="55"/>
  <c r="A90" i="55"/>
  <c r="A91" i="55"/>
  <c r="A92" i="55"/>
  <c r="A93" i="55"/>
  <c r="A94" i="55"/>
  <c r="A95" i="55"/>
  <c r="A97" i="55"/>
  <c r="A99" i="55"/>
  <c r="A100" i="55"/>
  <c r="A101" i="55"/>
  <c r="A102" i="55"/>
  <c r="A103" i="55"/>
  <c r="A104" i="55"/>
  <c r="A105" i="55"/>
  <c r="A106" i="55"/>
  <c r="A108" i="55"/>
  <c r="A110" i="55"/>
  <c r="A112" i="55"/>
  <c r="A113" i="55"/>
  <c r="A59" i="55"/>
  <c r="B8" i="83"/>
  <c r="B7" i="83" l="1"/>
  <c r="C19" i="83" l="1"/>
  <c r="G64" i="2" s="1"/>
  <c r="O19" i="83"/>
  <c r="Y64" i="2" s="1"/>
  <c r="K19" i="83"/>
  <c r="S64" i="2" s="1"/>
  <c r="G19" i="83"/>
  <c r="M64" i="2" s="1"/>
  <c r="P19" i="83"/>
  <c r="Z64" i="2" s="1"/>
  <c r="L19" i="83"/>
  <c r="T64" i="2" s="1"/>
  <c r="H19" i="83"/>
  <c r="N64" i="2" s="1"/>
  <c r="D19" i="83"/>
  <c r="H64" i="2" s="1"/>
  <c r="C7" i="34"/>
  <c r="C23" i="34" s="1"/>
  <c r="C7" i="48"/>
  <c r="C20" i="48" l="1"/>
  <c r="AE126" i="14" l="1"/>
  <c r="AE69" i="2" l="1"/>
  <c r="C11" i="2" l="1"/>
  <c r="C10" i="2"/>
  <c r="V65" i="2" l="1"/>
  <c r="W65" i="2"/>
  <c r="V68" i="2"/>
  <c r="W68" i="2"/>
  <c r="Q68" i="2"/>
  <c r="P68" i="2"/>
  <c r="Q65" i="2"/>
  <c r="P65" i="2"/>
  <c r="J65" i="2"/>
  <c r="K65" i="2"/>
  <c r="J68" i="2"/>
  <c r="K68" i="2"/>
  <c r="G20" i="23" l="1"/>
  <c r="D23" i="57" l="1"/>
  <c r="AC21" i="57"/>
  <c r="AB21" i="57"/>
  <c r="W21" i="57"/>
  <c r="V21" i="57"/>
  <c r="Q21" i="57"/>
  <c r="P21" i="57"/>
  <c r="K21" i="57"/>
  <c r="J21" i="57"/>
  <c r="D16" i="57"/>
  <c r="AC14" i="57"/>
  <c r="AB14" i="57"/>
  <c r="W14" i="57"/>
  <c r="V14" i="57"/>
  <c r="Q14" i="57"/>
  <c r="P14" i="57"/>
  <c r="K14" i="57"/>
  <c r="J14" i="57"/>
  <c r="C8" i="57"/>
  <c r="AB22" i="57" s="1"/>
  <c r="AB23" i="57" s="1"/>
  <c r="AB25" i="57" l="1"/>
  <c r="J15" i="57"/>
  <c r="P15" i="57"/>
  <c r="V15" i="57"/>
  <c r="AB15" i="57"/>
  <c r="K22" i="57"/>
  <c r="Q22" i="57"/>
  <c r="W22" i="57"/>
  <c r="AC22" i="57"/>
  <c r="AC23" i="57" s="1"/>
  <c r="K15" i="57"/>
  <c r="Q15" i="57"/>
  <c r="W15" i="57"/>
  <c r="AC15" i="57"/>
  <c r="J22" i="57"/>
  <c r="P22" i="57"/>
  <c r="P23" i="57" s="1"/>
  <c r="V22" i="57"/>
  <c r="V23" i="57" s="1"/>
  <c r="Q23" i="57" l="1"/>
  <c r="Q25" i="57" s="1"/>
  <c r="AB16" i="57"/>
  <c r="AB18" i="57" s="1"/>
  <c r="P16" i="57"/>
  <c r="P18" i="57" s="1"/>
  <c r="V16" i="57"/>
  <c r="V18" i="57" s="1"/>
  <c r="W23" i="57"/>
  <c r="W25" i="57" s="1"/>
  <c r="K23" i="57"/>
  <c r="K25" i="57" s="1"/>
  <c r="AC16" i="57"/>
  <c r="Q16" i="57"/>
  <c r="P25" i="57"/>
  <c r="AC25" i="57"/>
  <c r="W16" i="57"/>
  <c r="K16" i="57"/>
  <c r="J16" i="57"/>
  <c r="J23" i="57"/>
  <c r="J25" i="57" s="1"/>
  <c r="V25" i="57"/>
  <c r="K18" i="57" l="1"/>
  <c r="J18" i="57"/>
  <c r="W18" i="57"/>
  <c r="AC18" i="57"/>
  <c r="Q18" i="57"/>
  <c r="K14" i="35" l="1"/>
  <c r="D23" i="35"/>
  <c r="AC21" i="35"/>
  <c r="AB21" i="35"/>
  <c r="W21" i="35"/>
  <c r="V21" i="35"/>
  <c r="Q21" i="35"/>
  <c r="P21" i="35"/>
  <c r="K21" i="35"/>
  <c r="J21" i="35"/>
  <c r="D16" i="35"/>
  <c r="AC14" i="35"/>
  <c r="AB14" i="35"/>
  <c r="W14" i="35"/>
  <c r="V14" i="35"/>
  <c r="Q14" i="35"/>
  <c r="P14" i="35"/>
  <c r="J14" i="35"/>
  <c r="C8" i="35"/>
  <c r="J15" i="35" l="1"/>
  <c r="P15" i="35"/>
  <c r="V15" i="35"/>
  <c r="AB15" i="35"/>
  <c r="K22" i="35"/>
  <c r="Q22" i="35"/>
  <c r="W22" i="35"/>
  <c r="AC22" i="35"/>
  <c r="K15" i="35"/>
  <c r="Q15" i="35"/>
  <c r="W15" i="35"/>
  <c r="AC15" i="35"/>
  <c r="J22" i="35"/>
  <c r="P22" i="35"/>
  <c r="P23" i="35" s="1"/>
  <c r="V22" i="35"/>
  <c r="AB22" i="35"/>
  <c r="K23" i="35" l="1"/>
  <c r="K25" i="35" s="1"/>
  <c r="V23" i="35"/>
  <c r="V25" i="35" s="1"/>
  <c r="V16" i="35"/>
  <c r="V18" i="35" s="1"/>
  <c r="AB23" i="35"/>
  <c r="AB25" i="35" s="1"/>
  <c r="AB16" i="35"/>
  <c r="AB18" i="35" s="1"/>
  <c r="P16" i="35"/>
  <c r="P18" i="35" s="1"/>
  <c r="W23" i="35"/>
  <c r="W25" i="35" s="1"/>
  <c r="AC23" i="35"/>
  <c r="AC25" i="35" s="1"/>
  <c r="Q23" i="35"/>
  <c r="Q25" i="35" s="1"/>
  <c r="AC16" i="35"/>
  <c r="Q16" i="35"/>
  <c r="P25" i="35"/>
  <c r="W16" i="35"/>
  <c r="K16" i="35"/>
  <c r="J16" i="35"/>
  <c r="J23" i="35"/>
  <c r="J25" i="35" s="1"/>
  <c r="K18" i="35" l="1"/>
  <c r="AC18" i="35"/>
  <c r="W18" i="35"/>
  <c r="J18" i="35"/>
  <c r="Q18" i="35"/>
  <c r="Y44" i="2" l="1"/>
  <c r="S44" i="2"/>
  <c r="M44" i="2"/>
  <c r="Q57" i="2" s="1"/>
  <c r="G44" i="2"/>
  <c r="K57" i="2" s="1"/>
  <c r="Y43" i="2"/>
  <c r="S43" i="2"/>
  <c r="W56" i="2" s="1"/>
  <c r="M43" i="2"/>
  <c r="Q56" i="2" s="1"/>
  <c r="G43" i="2"/>
  <c r="K56" i="2" s="1"/>
  <c r="AC56" i="2"/>
  <c r="W57" i="2"/>
  <c r="AC57" i="2"/>
  <c r="B7" i="82" l="1"/>
  <c r="P15" i="83"/>
  <c r="L15" i="83"/>
  <c r="H15" i="83"/>
  <c r="D15" i="83"/>
  <c r="P15" i="82"/>
  <c r="L15" i="82"/>
  <c r="H15" i="82"/>
  <c r="D15" i="82"/>
  <c r="P14" i="82"/>
  <c r="L14" i="82"/>
  <c r="H14" i="82"/>
  <c r="D14" i="82"/>
  <c r="P17" i="82" l="1"/>
  <c r="Z63" i="2" s="1"/>
  <c r="C17" i="82"/>
  <c r="G63" i="2" s="1"/>
  <c r="G17" i="82"/>
  <c r="M63" i="2" s="1"/>
  <c r="K17" i="82"/>
  <c r="S63" i="2" s="1"/>
  <c r="O17" i="82"/>
  <c r="Y63" i="2" s="1"/>
  <c r="D17" i="82"/>
  <c r="H63" i="2" s="1"/>
  <c r="H17" i="82"/>
  <c r="N63" i="2" s="1"/>
  <c r="L17" i="82"/>
  <c r="T63" i="2" s="1"/>
  <c r="C26" i="81"/>
  <c r="C21" i="81" l="1"/>
  <c r="C29" i="81"/>
  <c r="C28" i="81"/>
  <c r="C27" i="81"/>
  <c r="Y29" i="81"/>
  <c r="S29" i="81"/>
  <c r="M29" i="81"/>
  <c r="G29" i="81"/>
  <c r="Y28" i="81"/>
  <c r="S28" i="81"/>
  <c r="M28" i="81"/>
  <c r="G28" i="81"/>
  <c r="Y27" i="81"/>
  <c r="S27" i="81"/>
  <c r="M27" i="81"/>
  <c r="G27" i="81"/>
  <c r="Y26" i="81"/>
  <c r="S26" i="81"/>
  <c r="M26" i="81"/>
  <c r="G26" i="81"/>
  <c r="AE21" i="81"/>
  <c r="AJ21" i="81" s="1"/>
  <c r="AE20" i="81"/>
  <c r="AJ20" i="81" s="1"/>
  <c r="AE19" i="81"/>
  <c r="AJ19" i="81" s="1"/>
  <c r="AJ23" i="81" s="1"/>
  <c r="C12" i="81"/>
  <c r="C11" i="81"/>
  <c r="AC21" i="81" l="1"/>
  <c r="W21" i="81"/>
  <c r="Q21" i="81"/>
  <c r="J21" i="81"/>
  <c r="AB21" i="81"/>
  <c r="V21" i="81"/>
  <c r="P21" i="81"/>
  <c r="K21" i="81"/>
  <c r="AC37" i="81"/>
  <c r="AC36" i="81"/>
  <c r="AC35" i="81"/>
  <c r="AC34" i="81"/>
  <c r="W37" i="81"/>
  <c r="W36" i="81"/>
  <c r="W35" i="81"/>
  <c r="W34" i="81"/>
  <c r="Q37" i="81"/>
  <c r="Q36" i="81"/>
  <c r="Q35" i="81"/>
  <c r="Q34" i="81"/>
  <c r="K35" i="81"/>
  <c r="K37" i="81"/>
  <c r="K34" i="81"/>
  <c r="K36" i="81"/>
  <c r="J26" i="81"/>
  <c r="AC29" i="81"/>
  <c r="AC28" i="81"/>
  <c r="AC27" i="81"/>
  <c r="AC26" i="81"/>
  <c r="W29" i="81"/>
  <c r="W28" i="81"/>
  <c r="W27" i="81"/>
  <c r="W26" i="81"/>
  <c r="Q29" i="81"/>
  <c r="Q28" i="81"/>
  <c r="Q27" i="81"/>
  <c r="Q26" i="81"/>
  <c r="J27" i="81"/>
  <c r="J28" i="81"/>
  <c r="J29" i="81"/>
  <c r="K26" i="81"/>
  <c r="AB29" i="81"/>
  <c r="AB28" i="81"/>
  <c r="AB27" i="81"/>
  <c r="AB26" i="81"/>
  <c r="V29" i="81"/>
  <c r="V28" i="81"/>
  <c r="V27" i="81"/>
  <c r="V26" i="81"/>
  <c r="P29" i="81"/>
  <c r="P28" i="81"/>
  <c r="P27" i="81"/>
  <c r="P26" i="81"/>
  <c r="K27" i="81"/>
  <c r="K28" i="81"/>
  <c r="K29" i="81"/>
  <c r="AE27" i="81"/>
  <c r="AJ27" i="81" s="1"/>
  <c r="AE29" i="81"/>
  <c r="AJ29" i="81" s="1"/>
  <c r="AJ37" i="81" s="1"/>
  <c r="AE26" i="81"/>
  <c r="AJ26" i="81" s="1"/>
  <c r="AJ34" i="81" s="1"/>
  <c r="AE28" i="81"/>
  <c r="AJ28" i="81" s="1"/>
  <c r="AJ36" i="81" s="1"/>
  <c r="AI21" i="81"/>
  <c r="AI27" i="81"/>
  <c r="AI29" i="81"/>
  <c r="AI37" i="81" s="1"/>
  <c r="AC39" i="81" l="1"/>
  <c r="AI28" i="81"/>
  <c r="AI36" i="81" s="1"/>
  <c r="K39" i="81"/>
  <c r="Q39" i="81"/>
  <c r="W39" i="81"/>
  <c r="AI35" i="81"/>
  <c r="AJ35" i="81"/>
  <c r="AJ39" i="81" s="1"/>
  <c r="AJ31" i="81"/>
  <c r="P35" i="81"/>
  <c r="P37" i="81"/>
  <c r="V35" i="81"/>
  <c r="V37" i="81"/>
  <c r="AB35" i="81"/>
  <c r="AB37" i="81"/>
  <c r="J37" i="81"/>
  <c r="J35" i="81"/>
  <c r="P34" i="81"/>
  <c r="P36" i="81"/>
  <c r="V34" i="81"/>
  <c r="V36" i="81"/>
  <c r="AB34" i="81"/>
  <c r="AB36" i="81"/>
  <c r="J36" i="81"/>
  <c r="J34" i="81"/>
  <c r="K31" i="81"/>
  <c r="P31" i="81"/>
  <c r="V31" i="81"/>
  <c r="AB31" i="81"/>
  <c r="J31" i="81"/>
  <c r="Q31" i="81"/>
  <c r="W31" i="81"/>
  <c r="AC31" i="81"/>
  <c r="AI26" i="81"/>
  <c r="AI34" i="81" s="1"/>
  <c r="AI39" i="81" s="1"/>
  <c r="Y42" i="2"/>
  <c r="S42" i="2"/>
  <c r="M42" i="2"/>
  <c r="G42" i="2"/>
  <c r="Y41" i="2"/>
  <c r="S41" i="2"/>
  <c r="M41" i="2"/>
  <c r="G41" i="2"/>
  <c r="Y40" i="2"/>
  <c r="S40" i="2"/>
  <c r="M40" i="2"/>
  <c r="G40" i="2"/>
  <c r="Y39" i="2"/>
  <c r="S39" i="2"/>
  <c r="M39" i="2"/>
  <c r="G39" i="2"/>
  <c r="Y38" i="2"/>
  <c r="S38" i="2"/>
  <c r="M38" i="2"/>
  <c r="G38" i="2"/>
  <c r="Y37" i="2"/>
  <c r="S37" i="2"/>
  <c r="M37" i="2"/>
  <c r="G37" i="2"/>
  <c r="Y36" i="2"/>
  <c r="S36" i="2"/>
  <c r="M36" i="2"/>
  <c r="G36" i="2"/>
  <c r="AI31" i="81" l="1"/>
  <c r="AJ41" i="81"/>
  <c r="J39" i="81"/>
  <c r="AB39" i="81"/>
  <c r="V39" i="81"/>
  <c r="P39" i="81"/>
  <c r="F37" i="27"/>
  <c r="C10" i="81" s="1"/>
  <c r="C20" i="81" l="1"/>
  <c r="C19" i="81"/>
  <c r="C14" i="2"/>
  <c r="AC19" i="81" l="1"/>
  <c r="W19" i="81"/>
  <c r="Q19" i="81"/>
  <c r="K19" i="81"/>
  <c r="AB19" i="81"/>
  <c r="V19" i="81"/>
  <c r="P19" i="81"/>
  <c r="J19" i="81"/>
  <c r="AB20" i="81"/>
  <c r="V20" i="81"/>
  <c r="P20" i="81"/>
  <c r="K20" i="81"/>
  <c r="AC20" i="81"/>
  <c r="W20" i="81"/>
  <c r="W23" i="81" s="1"/>
  <c r="W41" i="81" s="1"/>
  <c r="Q20" i="81"/>
  <c r="J20" i="81"/>
  <c r="J23" i="81" s="1"/>
  <c r="J41" i="81" s="1"/>
  <c r="AB23" i="81"/>
  <c r="AB41" i="81" s="1"/>
  <c r="V23" i="81"/>
  <c r="V41" i="81" s="1"/>
  <c r="P23" i="81"/>
  <c r="P41" i="81" s="1"/>
  <c r="AI20" i="81"/>
  <c r="C16" i="2"/>
  <c r="C15" i="2"/>
  <c r="AC74" i="2"/>
  <c r="Y74" i="2"/>
  <c r="AC55" i="2"/>
  <c r="W55" i="2"/>
  <c r="Q55" i="2"/>
  <c r="K55" i="2"/>
  <c r="AC54" i="2"/>
  <c r="W54" i="2"/>
  <c r="Q54" i="2"/>
  <c r="K54" i="2"/>
  <c r="AC53" i="2"/>
  <c r="W53" i="2"/>
  <c r="Q53" i="2"/>
  <c r="K53" i="2"/>
  <c r="AC52" i="2"/>
  <c r="W52" i="2"/>
  <c r="Q52" i="2"/>
  <c r="K52" i="2"/>
  <c r="AC51" i="2"/>
  <c r="W51" i="2"/>
  <c r="Q51" i="2"/>
  <c r="K51" i="2"/>
  <c r="AC50" i="2"/>
  <c r="W50" i="2"/>
  <c r="Q50" i="2"/>
  <c r="AC49" i="2"/>
  <c r="W49" i="2"/>
  <c r="Q49" i="2"/>
  <c r="K49" i="2"/>
  <c r="Q59" i="2" l="1"/>
  <c r="K23" i="81"/>
  <c r="K41" i="81" s="1"/>
  <c r="Q23" i="81"/>
  <c r="Q41" i="81" s="1"/>
  <c r="AC23" i="81"/>
  <c r="AC41" i="81" s="1"/>
  <c r="W59" i="2"/>
  <c r="AC59" i="2"/>
  <c r="J201" i="14"/>
  <c r="S37" i="14"/>
  <c r="AG328" i="14"/>
  <c r="AG330" i="14"/>
  <c r="S43" i="14" l="1"/>
  <c r="S166" i="14" l="1"/>
  <c r="N209" i="14"/>
  <c r="W205" i="14"/>
  <c r="C7" i="49"/>
  <c r="W203" i="14"/>
  <c r="C11" i="34" s="1"/>
  <c r="C9" i="34"/>
  <c r="W201" i="14"/>
  <c r="C11" i="48" s="1"/>
  <c r="AC288" i="14"/>
  <c r="S190" i="14" l="1"/>
  <c r="S192" i="14"/>
  <c r="AA199" i="14"/>
  <c r="J199" i="14" s="1"/>
  <c r="C9" i="48"/>
  <c r="C21" i="48" s="1"/>
  <c r="C7" i="47"/>
  <c r="C6" i="49"/>
  <c r="C8" i="34"/>
  <c r="C8" i="48"/>
  <c r="B21" i="48" s="1"/>
  <c r="S23" i="14"/>
  <c r="S19" i="14"/>
  <c r="S9" i="14"/>
  <c r="S7" i="14"/>
  <c r="E21" i="48" l="1"/>
  <c r="S21" i="14"/>
  <c r="C8" i="2"/>
  <c r="C8" i="81"/>
  <c r="C7" i="2"/>
  <c r="C42" i="2" s="1"/>
  <c r="C29" i="2" s="1"/>
  <c r="C7" i="81"/>
  <c r="C9" i="2"/>
  <c r="C9" i="81"/>
  <c r="K50" i="2"/>
  <c r="K59" i="2" s="1"/>
  <c r="S11" i="14"/>
  <c r="C72" i="2" l="1"/>
  <c r="Q72" i="2" s="1"/>
  <c r="C61" i="2"/>
  <c r="AC68" i="2" s="1"/>
  <c r="C67" i="2"/>
  <c r="P67" i="2" s="1"/>
  <c r="C41" i="2"/>
  <c r="C28" i="2" s="1"/>
  <c r="J28" i="2" s="1"/>
  <c r="C62" i="2"/>
  <c r="C63" i="2"/>
  <c r="AE75" i="2"/>
  <c r="C37" i="2"/>
  <c r="C24" i="2" s="1"/>
  <c r="J24" i="2" s="1"/>
  <c r="W64" i="2"/>
  <c r="P64" i="2"/>
  <c r="K64" i="2"/>
  <c r="V64" i="2"/>
  <c r="Q64" i="2"/>
  <c r="J64" i="2"/>
  <c r="C36" i="2"/>
  <c r="D36" i="2" s="1"/>
  <c r="C43" i="2"/>
  <c r="C66" i="2"/>
  <c r="C39" i="2"/>
  <c r="C26" i="2" s="1"/>
  <c r="J26" i="2" s="1"/>
  <c r="C38" i="2"/>
  <c r="C25" i="2" s="1"/>
  <c r="J25" i="2" s="1"/>
  <c r="C40" i="2"/>
  <c r="C27" i="2" s="1"/>
  <c r="J27" i="2" s="1"/>
  <c r="AI19" i="81"/>
  <c r="AI23" i="81" s="1"/>
  <c r="AI41" i="81" s="1"/>
  <c r="J29" i="2"/>
  <c r="P29" i="2"/>
  <c r="V29" i="2"/>
  <c r="AB29" i="2"/>
  <c r="K29" i="2"/>
  <c r="Q29" i="2"/>
  <c r="W29" i="2"/>
  <c r="AC29" i="2"/>
  <c r="C44" i="2"/>
  <c r="J72" i="2" l="1"/>
  <c r="AB72" i="2" s="1"/>
  <c r="P28" i="2"/>
  <c r="K72" i="2"/>
  <c r="AC67" i="2"/>
  <c r="AB64" i="2"/>
  <c r="AE64" i="2" s="1"/>
  <c r="AB68" i="2"/>
  <c r="AE68" i="2" s="1"/>
  <c r="AB66" i="2"/>
  <c r="AC63" i="2"/>
  <c r="AC65" i="2"/>
  <c r="P72" i="2"/>
  <c r="AB74" i="2"/>
  <c r="AE74" i="2" s="1"/>
  <c r="AB63" i="2"/>
  <c r="AB67" i="2"/>
  <c r="AC66" i="2"/>
  <c r="AB65" i="2"/>
  <c r="AE65" i="2" s="1"/>
  <c r="AC64" i="2"/>
  <c r="W67" i="2"/>
  <c r="Q28" i="2"/>
  <c r="P26" i="2"/>
  <c r="AB24" i="2"/>
  <c r="Q67" i="2"/>
  <c r="Q25" i="2"/>
  <c r="P25" i="2"/>
  <c r="AC25" i="2"/>
  <c r="AB25" i="2"/>
  <c r="AC28" i="2"/>
  <c r="AB28" i="2"/>
  <c r="AC24" i="2"/>
  <c r="K67" i="2"/>
  <c r="Q26" i="2"/>
  <c r="AC26" i="2"/>
  <c r="AB26" i="2"/>
  <c r="W28" i="2"/>
  <c r="K28" i="2"/>
  <c r="V28" i="2"/>
  <c r="Q24" i="2"/>
  <c r="P24" i="2"/>
  <c r="J67" i="2"/>
  <c r="V67" i="2"/>
  <c r="W25" i="2"/>
  <c r="K25" i="2"/>
  <c r="V25" i="2"/>
  <c r="W27" i="2"/>
  <c r="K27" i="2"/>
  <c r="V27" i="2"/>
  <c r="W26" i="2"/>
  <c r="K26" i="2"/>
  <c r="V26" i="2"/>
  <c r="AC27" i="2"/>
  <c r="Q27" i="2"/>
  <c r="AB27" i="2"/>
  <c r="P27" i="2"/>
  <c r="W24" i="2"/>
  <c r="K24" i="2"/>
  <c r="V24" i="2"/>
  <c r="AE29" i="2"/>
  <c r="W66" i="2"/>
  <c r="P66" i="2"/>
  <c r="K66" i="2"/>
  <c r="V66" i="2"/>
  <c r="Q66" i="2"/>
  <c r="J66" i="2"/>
  <c r="P63" i="2"/>
  <c r="V63" i="2"/>
  <c r="J63" i="2"/>
  <c r="W63" i="2"/>
  <c r="Q63" i="2"/>
  <c r="K63" i="2"/>
  <c r="AC36" i="2"/>
  <c r="W36" i="2"/>
  <c r="Q36" i="2"/>
  <c r="K36" i="2"/>
  <c r="K37" i="2"/>
  <c r="K38" i="2"/>
  <c r="K39" i="2"/>
  <c r="K40" i="2"/>
  <c r="K41" i="2"/>
  <c r="K42" i="2"/>
  <c r="K43" i="2"/>
  <c r="K44" i="2"/>
  <c r="Q37" i="2"/>
  <c r="Q38" i="2"/>
  <c r="Q39" i="2"/>
  <c r="Q40" i="2"/>
  <c r="Q41" i="2"/>
  <c r="Q42" i="2"/>
  <c r="Q43" i="2"/>
  <c r="Q44" i="2"/>
  <c r="W37" i="2"/>
  <c r="W38" i="2"/>
  <c r="W39" i="2"/>
  <c r="W40" i="2"/>
  <c r="W41" i="2"/>
  <c r="W42" i="2"/>
  <c r="W43" i="2"/>
  <c r="W44" i="2"/>
  <c r="AC37" i="2"/>
  <c r="AC38" i="2"/>
  <c r="AC39" i="2"/>
  <c r="AC40" i="2"/>
  <c r="AC41" i="2"/>
  <c r="AC42" i="2"/>
  <c r="AC43" i="2"/>
  <c r="AC44" i="2"/>
  <c r="C23" i="2"/>
  <c r="AC23" i="2" s="1"/>
  <c r="J37" i="2"/>
  <c r="J38" i="2"/>
  <c r="J39" i="2"/>
  <c r="J40" i="2"/>
  <c r="J41" i="2"/>
  <c r="J42" i="2"/>
  <c r="J43" i="2"/>
  <c r="J56" i="2" s="1"/>
  <c r="J44" i="2"/>
  <c r="P37" i="2"/>
  <c r="P38" i="2"/>
  <c r="P39" i="2"/>
  <c r="P40" i="2"/>
  <c r="P41" i="2"/>
  <c r="P42" i="2"/>
  <c r="P43" i="2"/>
  <c r="P56" i="2" s="1"/>
  <c r="P44" i="2"/>
  <c r="V37" i="2"/>
  <c r="V38" i="2"/>
  <c r="V39" i="2"/>
  <c r="V40" i="2"/>
  <c r="V41" i="2"/>
  <c r="V42" i="2"/>
  <c r="V43" i="2"/>
  <c r="V56" i="2" s="1"/>
  <c r="V44" i="2"/>
  <c r="AB37" i="2"/>
  <c r="AB38" i="2"/>
  <c r="AB39" i="2"/>
  <c r="AB40" i="2"/>
  <c r="AB41" i="2"/>
  <c r="AB42" i="2"/>
  <c r="AB43" i="2"/>
  <c r="AB56" i="2" s="1"/>
  <c r="AB44" i="2"/>
  <c r="AB36" i="2"/>
  <c r="AB49" i="2" s="1"/>
  <c r="V36" i="2"/>
  <c r="P36" i="2"/>
  <c r="P49" i="2" s="1"/>
  <c r="J36" i="2"/>
  <c r="C31" i="2"/>
  <c r="AB31" i="2" s="1"/>
  <c r="C30" i="2"/>
  <c r="AC30" i="2" s="1"/>
  <c r="AE67" i="2" l="1"/>
  <c r="V72" i="2"/>
  <c r="AE72" i="2" s="1"/>
  <c r="W72" i="2"/>
  <c r="AC72" i="2"/>
  <c r="AE25" i="2"/>
  <c r="AE28" i="2"/>
  <c r="AE24" i="2"/>
  <c r="J23" i="2"/>
  <c r="AC31" i="2"/>
  <c r="W31" i="2"/>
  <c r="AE26" i="2"/>
  <c r="K23" i="2"/>
  <c r="P23" i="2"/>
  <c r="Q23" i="2"/>
  <c r="J49" i="2"/>
  <c r="V49" i="2"/>
  <c r="V57" i="2"/>
  <c r="J57" i="2"/>
  <c r="V23" i="2"/>
  <c r="AB23" i="2"/>
  <c r="W23" i="2"/>
  <c r="P31" i="2"/>
  <c r="J31" i="2"/>
  <c r="AE27" i="2"/>
  <c r="AC33" i="2"/>
  <c r="AE66" i="2"/>
  <c r="AB57" i="2"/>
  <c r="Q31" i="2"/>
  <c r="K31" i="2"/>
  <c r="V31" i="2"/>
  <c r="AE44" i="2"/>
  <c r="AE42" i="2"/>
  <c r="AE40" i="2"/>
  <c r="AE38" i="2"/>
  <c r="P57" i="2"/>
  <c r="AE43" i="2"/>
  <c r="AE41" i="2"/>
  <c r="AE39" i="2"/>
  <c r="AE37" i="2"/>
  <c r="AE49" i="2"/>
  <c r="AE56" i="2"/>
  <c r="AE63" i="2"/>
  <c r="AE36" i="2"/>
  <c r="Q30" i="2"/>
  <c r="V30" i="2"/>
  <c r="P46" i="2"/>
  <c r="AB46" i="2"/>
  <c r="K46" i="2"/>
  <c r="W46" i="2"/>
  <c r="J46" i="2"/>
  <c r="V46" i="2"/>
  <c r="Q46" i="2"/>
  <c r="AC46" i="2"/>
  <c r="AB55" i="2"/>
  <c r="AB53" i="2"/>
  <c r="AB51" i="2"/>
  <c r="V55" i="2"/>
  <c r="V53" i="2"/>
  <c r="V51" i="2"/>
  <c r="P55" i="2"/>
  <c r="P53" i="2"/>
  <c r="P51" i="2"/>
  <c r="J55" i="2"/>
  <c r="J53" i="2"/>
  <c r="J51" i="2"/>
  <c r="K30" i="2"/>
  <c r="AB30" i="2"/>
  <c r="AB54" i="2"/>
  <c r="AB52" i="2"/>
  <c r="AB50" i="2"/>
  <c r="V54" i="2"/>
  <c r="V52" i="2"/>
  <c r="V50" i="2"/>
  <c r="P54" i="2"/>
  <c r="P52" i="2"/>
  <c r="P50" i="2"/>
  <c r="J54" i="2"/>
  <c r="J52" i="2"/>
  <c r="J50" i="2"/>
  <c r="C33" i="2"/>
  <c r="W30" i="2"/>
  <c r="P30" i="2"/>
  <c r="J30" i="2"/>
  <c r="AE57" i="2" l="1"/>
  <c r="Q33" i="2"/>
  <c r="J33" i="2"/>
  <c r="V33" i="2"/>
  <c r="AE31" i="2"/>
  <c r="W33" i="2"/>
  <c r="AE52" i="2"/>
  <c r="AE30" i="2"/>
  <c r="AE53" i="2"/>
  <c r="AE46" i="2"/>
  <c r="AE50" i="2"/>
  <c r="AE54" i="2"/>
  <c r="AE51" i="2"/>
  <c r="AE55" i="2"/>
  <c r="K33" i="2"/>
  <c r="AB33" i="2"/>
  <c r="P33" i="2"/>
  <c r="P59" i="2"/>
  <c r="AB59" i="2"/>
  <c r="J59" i="2"/>
  <c r="V59" i="2"/>
  <c r="J25" i="69"/>
  <c r="I25" i="69"/>
  <c r="C25" i="69"/>
  <c r="B25" i="69"/>
  <c r="P286" i="69"/>
  <c r="M25" i="69" s="1"/>
  <c r="A394" i="69"/>
  <c r="A393" i="69"/>
  <c r="A392" i="69"/>
  <c r="A384" i="69"/>
  <c r="A383" i="69"/>
  <c r="A382" i="69"/>
  <c r="A376" i="69"/>
  <c r="A375" i="69"/>
  <c r="A374" i="69"/>
  <c r="A368" i="69"/>
  <c r="A367" i="69"/>
  <c r="A366" i="69"/>
  <c r="A360" i="69"/>
  <c r="A359" i="69"/>
  <c r="A358" i="69"/>
  <c r="A350" i="69"/>
  <c r="A349" i="69"/>
  <c r="A348" i="69"/>
  <c r="A342" i="69"/>
  <c r="A341" i="69"/>
  <c r="A340" i="69"/>
  <c r="A334" i="69"/>
  <c r="A333" i="69"/>
  <c r="A332" i="69"/>
  <c r="A316" i="69"/>
  <c r="A315" i="69"/>
  <c r="A314" i="69"/>
  <c r="A308" i="69"/>
  <c r="A307" i="69"/>
  <c r="A306" i="69"/>
  <c r="A300" i="69"/>
  <c r="A299" i="69"/>
  <c r="A298" i="69"/>
  <c r="A292" i="69"/>
  <c r="A291" i="69"/>
  <c r="A290" i="69"/>
  <c r="A275" i="69"/>
  <c r="A262" i="69"/>
  <c r="A224" i="69"/>
  <c r="A256" i="69"/>
  <c r="A255" i="69"/>
  <c r="A249" i="69"/>
  <c r="A248" i="69"/>
  <c r="A242" i="69"/>
  <c r="A241" i="69"/>
  <c r="A210" i="69"/>
  <c r="A209" i="69"/>
  <c r="A208" i="69"/>
  <c r="A202" i="69"/>
  <c r="A201" i="69"/>
  <c r="A200" i="69"/>
  <c r="A194" i="69"/>
  <c r="A193" i="69"/>
  <c r="A192" i="69"/>
  <c r="A176" i="69"/>
  <c r="A175" i="69"/>
  <c r="A174" i="69"/>
  <c r="A168" i="69"/>
  <c r="A167" i="69"/>
  <c r="A166" i="69"/>
  <c r="A160" i="69"/>
  <c r="A159" i="69"/>
  <c r="A158" i="69"/>
  <c r="C9" i="49"/>
  <c r="C18" i="49" s="1"/>
  <c r="C17" i="49"/>
  <c r="AE33" i="2" l="1"/>
  <c r="AE59" i="2"/>
  <c r="A382" i="68"/>
  <c r="A381" i="68"/>
  <c r="A380" i="68"/>
  <c r="A372" i="68"/>
  <c r="A371" i="68"/>
  <c r="A370" i="68"/>
  <c r="A364" i="68"/>
  <c r="A363" i="68"/>
  <c r="A362" i="68"/>
  <c r="A356" i="68"/>
  <c r="A355" i="68"/>
  <c r="A354" i="68"/>
  <c r="A348" i="68"/>
  <c r="A347" i="68"/>
  <c r="A346" i="68"/>
  <c r="A338" i="68"/>
  <c r="A337" i="68"/>
  <c r="A336" i="68"/>
  <c r="A330" i="68"/>
  <c r="A329" i="68"/>
  <c r="A328" i="68"/>
  <c r="A322" i="68"/>
  <c r="A321" i="68"/>
  <c r="A320" i="68"/>
  <c r="A304" i="68"/>
  <c r="A303" i="68"/>
  <c r="A302" i="68"/>
  <c r="A296" i="68"/>
  <c r="A295" i="68"/>
  <c r="A294" i="68"/>
  <c r="A288" i="68"/>
  <c r="A287" i="68"/>
  <c r="A286" i="68"/>
  <c r="A280" i="68"/>
  <c r="A279" i="68"/>
  <c r="A278" i="68"/>
  <c r="A272" i="68"/>
  <c r="A259" i="68"/>
  <c r="A221" i="68"/>
  <c r="A253" i="68"/>
  <c r="A252" i="68"/>
  <c r="A246" i="68"/>
  <c r="A245" i="68"/>
  <c r="A239" i="68"/>
  <c r="A238" i="68"/>
  <c r="A207" i="68"/>
  <c r="A206" i="68"/>
  <c r="A205" i="68"/>
  <c r="A199" i="68"/>
  <c r="A198" i="68"/>
  <c r="A197" i="68"/>
  <c r="A191" i="68"/>
  <c r="A190" i="68"/>
  <c r="A189" i="68"/>
  <c r="A173" i="68"/>
  <c r="A172" i="68"/>
  <c r="A171" i="68"/>
  <c r="A165" i="68"/>
  <c r="A164" i="68"/>
  <c r="A163" i="68"/>
  <c r="A157" i="68"/>
  <c r="A156" i="68"/>
  <c r="A155" i="68"/>
  <c r="A379" i="67" l="1"/>
  <c r="A378" i="67"/>
  <c r="A377" i="67"/>
  <c r="A369" i="67"/>
  <c r="A368" i="67"/>
  <c r="A367" i="67"/>
  <c r="A361" i="67"/>
  <c r="A360" i="67"/>
  <c r="A359" i="67"/>
  <c r="A353" i="67"/>
  <c r="A352" i="67"/>
  <c r="A351" i="67"/>
  <c r="A345" i="67"/>
  <c r="A344" i="67"/>
  <c r="A343" i="67"/>
  <c r="A335" i="67"/>
  <c r="A334" i="67"/>
  <c r="A333" i="67"/>
  <c r="A327" i="67"/>
  <c r="A326" i="67"/>
  <c r="A325" i="67"/>
  <c r="A319" i="67"/>
  <c r="A318" i="67"/>
  <c r="A317" i="67"/>
  <c r="A301" i="67"/>
  <c r="A300" i="67"/>
  <c r="A299" i="67"/>
  <c r="A293" i="67"/>
  <c r="A292" i="67"/>
  <c r="A291" i="67"/>
  <c r="A285" i="67"/>
  <c r="A284" i="67"/>
  <c r="A283" i="67"/>
  <c r="A277" i="67"/>
  <c r="A276" i="67"/>
  <c r="A275" i="67"/>
  <c r="A269" i="67"/>
  <c r="A256" i="67"/>
  <c r="A218" i="67"/>
  <c r="A250" i="67"/>
  <c r="A249" i="67"/>
  <c r="A243" i="67"/>
  <c r="A242" i="67"/>
  <c r="A236" i="67"/>
  <c r="A235" i="67"/>
  <c r="A204" i="67"/>
  <c r="A203" i="67"/>
  <c r="A202" i="67"/>
  <c r="A196" i="67"/>
  <c r="A195" i="67"/>
  <c r="A194" i="67"/>
  <c r="A188" i="67"/>
  <c r="A187" i="67"/>
  <c r="A186" i="67"/>
  <c r="A170" i="67"/>
  <c r="A169" i="67"/>
  <c r="A168" i="67"/>
  <c r="A162" i="67"/>
  <c r="A161" i="67"/>
  <c r="A160" i="67"/>
  <c r="A154" i="67"/>
  <c r="A153" i="67"/>
  <c r="A152" i="67"/>
  <c r="C25" i="34" l="1"/>
  <c r="C24" i="34"/>
  <c r="A377" i="55" l="1"/>
  <c r="A376" i="55"/>
  <c r="A375" i="55"/>
  <c r="A369" i="55"/>
  <c r="A368" i="55"/>
  <c r="A367" i="55"/>
  <c r="A361" i="55"/>
  <c r="A360" i="55"/>
  <c r="A359" i="55"/>
  <c r="A353" i="55"/>
  <c r="A352" i="55"/>
  <c r="A351" i="55"/>
  <c r="A343" i="55"/>
  <c r="A342" i="55"/>
  <c r="A341" i="55"/>
  <c r="A335" i="55" l="1"/>
  <c r="A334" i="55"/>
  <c r="A333" i="55"/>
  <c r="A327" i="55"/>
  <c r="A326" i="55"/>
  <c r="A325" i="55"/>
  <c r="A309" i="55" l="1"/>
  <c r="A308" i="55"/>
  <c r="A307" i="55"/>
  <c r="A301" i="55"/>
  <c r="A300" i="55"/>
  <c r="A299" i="55"/>
  <c r="A293" i="55"/>
  <c r="A292" i="55"/>
  <c r="A291" i="55"/>
  <c r="A285" i="55"/>
  <c r="A284" i="55"/>
  <c r="A283" i="55"/>
  <c r="J24" i="55"/>
  <c r="I24" i="55"/>
  <c r="B24" i="55"/>
  <c r="A206" i="55" l="1"/>
  <c r="A205" i="55"/>
  <c r="A204" i="55"/>
  <c r="A198" i="55"/>
  <c r="A197" i="55"/>
  <c r="A196" i="55"/>
  <c r="A190" i="55"/>
  <c r="A189" i="55"/>
  <c r="A188" i="55"/>
  <c r="AC12" i="18"/>
  <c r="AB12" i="18"/>
  <c r="W12" i="18"/>
  <c r="V12" i="18"/>
  <c r="Q12" i="18"/>
  <c r="P12" i="18"/>
  <c r="K12" i="18"/>
  <c r="J12" i="18"/>
  <c r="B7" i="18"/>
  <c r="AC12" i="19"/>
  <c r="AB12" i="19"/>
  <c r="W12" i="19"/>
  <c r="V12" i="19"/>
  <c r="Q12" i="19"/>
  <c r="P12" i="19"/>
  <c r="K12" i="19"/>
  <c r="J12" i="19"/>
  <c r="B7" i="19"/>
  <c r="A172" i="55"/>
  <c r="A171" i="55"/>
  <c r="A170" i="55"/>
  <c r="A164" i="55"/>
  <c r="A163" i="55"/>
  <c r="A162" i="55"/>
  <c r="A156" i="55"/>
  <c r="A155" i="55"/>
  <c r="A154" i="55"/>
  <c r="C22" i="48" l="1"/>
  <c r="I33" i="21" l="1"/>
  <c r="H33" i="21"/>
  <c r="G33" i="21"/>
  <c r="F33" i="21"/>
  <c r="E33" i="21"/>
  <c r="D33" i="21"/>
  <c r="C33" i="21"/>
  <c r="B33" i="21"/>
  <c r="H27" i="21" l="1"/>
  <c r="D37" i="60" l="1"/>
  <c r="AC35" i="60"/>
  <c r="AB35" i="60"/>
  <c r="W35" i="60"/>
  <c r="V35" i="60"/>
  <c r="Q35" i="60"/>
  <c r="P35" i="60"/>
  <c r="K35" i="60"/>
  <c r="J35" i="60"/>
  <c r="AC28" i="60"/>
  <c r="AB28" i="60"/>
  <c r="W28" i="60"/>
  <c r="V28" i="60"/>
  <c r="Q28" i="60"/>
  <c r="P28" i="60"/>
  <c r="K28" i="60"/>
  <c r="J28" i="60"/>
  <c r="AC21" i="60"/>
  <c r="AB21" i="60"/>
  <c r="W21" i="60"/>
  <c r="V21" i="60"/>
  <c r="Q21" i="60"/>
  <c r="P21" i="60"/>
  <c r="K21" i="60"/>
  <c r="J21" i="60"/>
  <c r="AC14" i="60"/>
  <c r="AB14" i="60"/>
  <c r="W14" i="60"/>
  <c r="V14" i="60"/>
  <c r="Q14" i="60"/>
  <c r="P14" i="60"/>
  <c r="K14" i="60"/>
  <c r="J14" i="60"/>
  <c r="C8" i="60"/>
  <c r="V36" i="60" s="1"/>
  <c r="D37" i="59"/>
  <c r="AC35" i="59"/>
  <c r="AB35" i="59"/>
  <c r="W35" i="59"/>
  <c r="V35" i="59"/>
  <c r="Q35" i="59"/>
  <c r="P35" i="59"/>
  <c r="K35" i="59"/>
  <c r="J35" i="59"/>
  <c r="AC28" i="59"/>
  <c r="AB28" i="59"/>
  <c r="W28" i="59"/>
  <c r="V28" i="59"/>
  <c r="Q28" i="59"/>
  <c r="P28" i="59"/>
  <c r="K28" i="59"/>
  <c r="J28" i="59"/>
  <c r="AC21" i="59"/>
  <c r="AB21" i="59"/>
  <c r="W21" i="59"/>
  <c r="V21" i="59"/>
  <c r="Q21" i="59"/>
  <c r="P21" i="59"/>
  <c r="K21" i="59"/>
  <c r="J21" i="59"/>
  <c r="AC14" i="59"/>
  <c r="AB14" i="59"/>
  <c r="W14" i="59"/>
  <c r="V14" i="59"/>
  <c r="Q14" i="59"/>
  <c r="P14" i="59"/>
  <c r="K14" i="59"/>
  <c r="J14" i="59"/>
  <c r="C8" i="59"/>
  <c r="V36" i="59" s="1"/>
  <c r="S369" i="14"/>
  <c r="C7" i="60" s="1"/>
  <c r="S348" i="14"/>
  <c r="C7" i="59" s="1"/>
  <c r="S379" i="14"/>
  <c r="S377" i="14"/>
  <c r="S375" i="14"/>
  <c r="S373" i="14"/>
  <c r="S371" i="14"/>
  <c r="V22" i="59" l="1"/>
  <c r="V23" i="59" s="1"/>
  <c r="V25" i="59" s="1"/>
  <c r="K36" i="59"/>
  <c r="P15" i="59"/>
  <c r="P16" i="59" s="1"/>
  <c r="V29" i="59"/>
  <c r="V30" i="59" s="1"/>
  <c r="W15" i="60"/>
  <c r="W43" i="60" s="1"/>
  <c r="Q29" i="60"/>
  <c r="J15" i="60"/>
  <c r="J30" i="60" s="1"/>
  <c r="AC22" i="60"/>
  <c r="AB29" i="60"/>
  <c r="AB30" i="60" s="1"/>
  <c r="K15" i="60"/>
  <c r="J22" i="60"/>
  <c r="AC29" i="60"/>
  <c r="W36" i="60"/>
  <c r="W37" i="60" s="1"/>
  <c r="W39" i="60" s="1"/>
  <c r="V22" i="60"/>
  <c r="V23" i="60" s="1"/>
  <c r="K36" i="60"/>
  <c r="P36" i="60"/>
  <c r="P37" i="60" s="1"/>
  <c r="V15" i="60"/>
  <c r="V16" i="60" s="1"/>
  <c r="V44" i="60" s="1"/>
  <c r="Q22" i="60"/>
  <c r="P29" i="60"/>
  <c r="P30" i="60" s="1"/>
  <c r="AB36" i="60"/>
  <c r="AB37" i="60" s="1"/>
  <c r="AC42" i="60"/>
  <c r="Q42" i="60"/>
  <c r="K42" i="60"/>
  <c r="V42" i="60"/>
  <c r="J42" i="60"/>
  <c r="AB42" i="60"/>
  <c r="P42" i="60"/>
  <c r="W42" i="60"/>
  <c r="V37" i="60"/>
  <c r="V39" i="60" s="1"/>
  <c r="V15" i="59"/>
  <c r="V16" i="59" s="1"/>
  <c r="W22" i="59"/>
  <c r="J29" i="59"/>
  <c r="J15" i="59"/>
  <c r="J30" i="59" s="1"/>
  <c r="W15" i="59"/>
  <c r="K22" i="59"/>
  <c r="AC22" i="59"/>
  <c r="P29" i="59"/>
  <c r="P30" i="59" s="1"/>
  <c r="AC29" i="59"/>
  <c r="W36" i="59"/>
  <c r="W37" i="59" s="1"/>
  <c r="W39" i="59" s="1"/>
  <c r="P15" i="60"/>
  <c r="P16" i="60" s="1"/>
  <c r="P44" i="60" s="1"/>
  <c r="AB15" i="60"/>
  <c r="AB16" i="60" s="1"/>
  <c r="AB44" i="60" s="1"/>
  <c r="K22" i="60"/>
  <c r="W22" i="60"/>
  <c r="J29" i="60"/>
  <c r="V29" i="60"/>
  <c r="V30" i="60" s="1"/>
  <c r="Q36" i="60"/>
  <c r="AC36" i="60"/>
  <c r="J22" i="59"/>
  <c r="AB29" i="59"/>
  <c r="AB30" i="59" s="1"/>
  <c r="Q36" i="59"/>
  <c r="K15" i="59"/>
  <c r="AB15" i="59"/>
  <c r="AB16" i="59" s="1"/>
  <c r="Q22" i="59"/>
  <c r="Q29" i="59"/>
  <c r="AC36" i="59"/>
  <c r="Q15" i="60"/>
  <c r="Q43" i="60" s="1"/>
  <c r="AC15" i="60"/>
  <c r="P22" i="60"/>
  <c r="AB22" i="60"/>
  <c r="K29" i="60"/>
  <c r="W29" i="60"/>
  <c r="J36" i="60"/>
  <c r="V37" i="59"/>
  <c r="V39" i="59" s="1"/>
  <c r="P36" i="59"/>
  <c r="AB36" i="59"/>
  <c r="Q15" i="59"/>
  <c r="AC15" i="59"/>
  <c r="P22" i="59"/>
  <c r="AB22" i="59"/>
  <c r="K29" i="59"/>
  <c r="W29" i="59"/>
  <c r="J36" i="59"/>
  <c r="C8" i="58"/>
  <c r="AC36" i="58" s="1"/>
  <c r="AC35" i="58"/>
  <c r="AB35" i="58"/>
  <c r="W35" i="58"/>
  <c r="V35" i="58"/>
  <c r="Q35" i="58"/>
  <c r="P35" i="58"/>
  <c r="K35" i="58"/>
  <c r="J35" i="58"/>
  <c r="AC28" i="58"/>
  <c r="AB28" i="58"/>
  <c r="W28" i="58"/>
  <c r="V28" i="58"/>
  <c r="Q28" i="58"/>
  <c r="P28" i="58"/>
  <c r="K28" i="58"/>
  <c r="J28" i="58"/>
  <c r="AC21" i="58"/>
  <c r="AB21" i="58"/>
  <c r="W21" i="58"/>
  <c r="V21" i="58"/>
  <c r="Q21" i="58"/>
  <c r="P21" i="58"/>
  <c r="K21" i="58"/>
  <c r="J21" i="58"/>
  <c r="AC14" i="58"/>
  <c r="AB14" i="58"/>
  <c r="W14" i="58"/>
  <c r="V14" i="58"/>
  <c r="Q14" i="58"/>
  <c r="P14" i="58"/>
  <c r="K14" i="58"/>
  <c r="J14" i="58"/>
  <c r="J23" i="60" l="1"/>
  <c r="J25" i="60" s="1"/>
  <c r="Q16" i="59"/>
  <c r="Q18" i="59" s="1"/>
  <c r="V32" i="59"/>
  <c r="Q37" i="59"/>
  <c r="Q39" i="59" s="1"/>
  <c r="AC16" i="60"/>
  <c r="AC44" i="60" s="1"/>
  <c r="Q37" i="60"/>
  <c r="Q39" i="60" s="1"/>
  <c r="W23" i="60"/>
  <c r="W25" i="60" s="1"/>
  <c r="W23" i="59"/>
  <c r="W25" i="59" s="1"/>
  <c r="W16" i="59"/>
  <c r="W18" i="59" s="1"/>
  <c r="V18" i="59"/>
  <c r="P18" i="59"/>
  <c r="J32" i="60"/>
  <c r="J43" i="60"/>
  <c r="AB32" i="59"/>
  <c r="K23" i="59"/>
  <c r="K25" i="59" s="1"/>
  <c r="AB39" i="60"/>
  <c r="Q23" i="59"/>
  <c r="Q25" i="59" s="1"/>
  <c r="J37" i="59"/>
  <c r="J39" i="59" s="1"/>
  <c r="K16" i="59"/>
  <c r="K18" i="59" s="1"/>
  <c r="AB32" i="60"/>
  <c r="Q30" i="59"/>
  <c r="Q32" i="59" s="1"/>
  <c r="J37" i="60"/>
  <c r="J39" i="60" s="1"/>
  <c r="K23" i="60"/>
  <c r="K25" i="60" s="1"/>
  <c r="P39" i="60"/>
  <c r="J23" i="59"/>
  <c r="J25" i="59" s="1"/>
  <c r="J16" i="59"/>
  <c r="J18" i="59" s="1"/>
  <c r="P32" i="59"/>
  <c r="AC37" i="60"/>
  <c r="AC39" i="60" s="1"/>
  <c r="J32" i="59"/>
  <c r="K37" i="60"/>
  <c r="K39" i="60" s="1"/>
  <c r="P32" i="60"/>
  <c r="W16" i="60"/>
  <c r="W18" i="60" s="1"/>
  <c r="W46" i="60" s="1"/>
  <c r="Q30" i="60"/>
  <c r="Q32" i="60" s="1"/>
  <c r="V25" i="60"/>
  <c r="AC30" i="59"/>
  <c r="AC32" i="59" s="1"/>
  <c r="K30" i="60"/>
  <c r="K32" i="60" s="1"/>
  <c r="AC30" i="60"/>
  <c r="AC32" i="60" s="1"/>
  <c r="K16" i="60"/>
  <c r="K44" i="60" s="1"/>
  <c r="J16" i="60"/>
  <c r="J44" i="60" s="1"/>
  <c r="V43" i="60"/>
  <c r="K43" i="60"/>
  <c r="V18" i="60"/>
  <c r="V46" i="60" s="1"/>
  <c r="P18" i="60"/>
  <c r="P46" i="60" s="1"/>
  <c r="K37" i="59"/>
  <c r="K39" i="59" s="1"/>
  <c r="P23" i="60"/>
  <c r="P25" i="60" s="1"/>
  <c r="Q16" i="60"/>
  <c r="Q44" i="60" s="1"/>
  <c r="P43" i="60"/>
  <c r="AB23" i="60"/>
  <c r="AB25" i="60" s="1"/>
  <c r="AC23" i="60"/>
  <c r="AC25" i="60" s="1"/>
  <c r="AB18" i="59"/>
  <c r="AB43" i="60"/>
  <c r="AC43" i="60"/>
  <c r="Q23" i="60"/>
  <c r="Q25" i="60" s="1"/>
  <c r="W30" i="60"/>
  <c r="W32" i="60" s="1"/>
  <c r="V32" i="60"/>
  <c r="AB18" i="60"/>
  <c r="AB46" i="60" s="1"/>
  <c r="AB23" i="59"/>
  <c r="AB25" i="59" s="1"/>
  <c r="P23" i="59"/>
  <c r="P25" i="59" s="1"/>
  <c r="K30" i="59"/>
  <c r="K32" i="59" s="1"/>
  <c r="AC16" i="59"/>
  <c r="AC18" i="59" s="1"/>
  <c r="P37" i="59"/>
  <c r="P39" i="59" s="1"/>
  <c r="AB37" i="59"/>
  <c r="AB39" i="59" s="1"/>
  <c r="AC23" i="59"/>
  <c r="AC25" i="59" s="1"/>
  <c r="W30" i="59"/>
  <c r="W32" i="59" s="1"/>
  <c r="AC37" i="59"/>
  <c r="AC39" i="59" s="1"/>
  <c r="J36" i="58"/>
  <c r="J15" i="58"/>
  <c r="V15" i="58"/>
  <c r="V16" i="58" s="1"/>
  <c r="Q22" i="58"/>
  <c r="AC22" i="58"/>
  <c r="P29" i="58"/>
  <c r="P30" i="58" s="1"/>
  <c r="AB29" i="58"/>
  <c r="AB30" i="58" s="1"/>
  <c r="K36" i="58"/>
  <c r="W36" i="58"/>
  <c r="Q15" i="58"/>
  <c r="P22" i="58"/>
  <c r="P23" i="58" s="1"/>
  <c r="K29" i="58"/>
  <c r="K15" i="58"/>
  <c r="W15" i="58"/>
  <c r="J22" i="58"/>
  <c r="V22" i="58"/>
  <c r="Q29" i="58"/>
  <c r="AC29" i="58"/>
  <c r="P36" i="58"/>
  <c r="AB36" i="58"/>
  <c r="AC15" i="58"/>
  <c r="AB22" i="58"/>
  <c r="AB23" i="58" s="1"/>
  <c r="W29" i="58"/>
  <c r="V36" i="58"/>
  <c r="V37" i="58" s="1"/>
  <c r="P15" i="58"/>
  <c r="AB15" i="58"/>
  <c r="K22" i="58"/>
  <c r="W22" i="58"/>
  <c r="J29" i="58"/>
  <c r="V29" i="58"/>
  <c r="Q36" i="58"/>
  <c r="AC18" i="60" l="1"/>
  <c r="AC46" i="60" s="1"/>
  <c r="Q18" i="60"/>
  <c r="Q46" i="60" s="1"/>
  <c r="W44" i="60"/>
  <c r="K18" i="60"/>
  <c r="K46" i="60" s="1"/>
  <c r="J18" i="60"/>
  <c r="J46" i="60" s="1"/>
  <c r="K37" i="58"/>
  <c r="K39" i="58" s="1"/>
  <c r="K16" i="58"/>
  <c r="K18" i="58" s="1"/>
  <c r="W30" i="58"/>
  <c r="W32" i="58" s="1"/>
  <c r="K30" i="58"/>
  <c r="K32" i="58" s="1"/>
  <c r="K23" i="58"/>
  <c r="K25" i="58" s="1"/>
  <c r="AB16" i="58"/>
  <c r="AB18" i="58" s="1"/>
  <c r="AB37" i="58"/>
  <c r="AB39" i="58" s="1"/>
  <c r="AC37" i="58"/>
  <c r="AC39" i="58" s="1"/>
  <c r="AC23" i="58"/>
  <c r="AC25" i="58" s="1"/>
  <c r="J23" i="58"/>
  <c r="J25" i="58" s="1"/>
  <c r="J30" i="58"/>
  <c r="J32" i="58" s="1"/>
  <c r="J16" i="58"/>
  <c r="J18" i="58" s="1"/>
  <c r="J37" i="58"/>
  <c r="J39" i="58" s="1"/>
  <c r="Q30" i="58"/>
  <c r="Q32" i="58" s="1"/>
  <c r="P16" i="58"/>
  <c r="P18" i="58" s="1"/>
  <c r="P37" i="58"/>
  <c r="P39" i="58" s="1"/>
  <c r="Q37" i="58"/>
  <c r="Q39" i="58" s="1"/>
  <c r="Q23" i="58"/>
  <c r="Q25" i="58" s="1"/>
  <c r="AC16" i="58"/>
  <c r="AC18" i="58" s="1"/>
  <c r="AB32" i="58"/>
  <c r="AC30" i="58"/>
  <c r="AC32" i="58" s="1"/>
  <c r="P25" i="58"/>
  <c r="V30" i="58"/>
  <c r="V32" i="58" s="1"/>
  <c r="W16" i="58"/>
  <c r="W18" i="58" s="1"/>
  <c r="W37" i="58"/>
  <c r="W39" i="58" s="1"/>
  <c r="V23" i="58"/>
  <c r="V25" i="58" s="1"/>
  <c r="W23" i="58"/>
  <c r="W25" i="58" s="1"/>
  <c r="Q16" i="58"/>
  <c r="Q18" i="58" s="1"/>
  <c r="V39" i="58"/>
  <c r="AB25" i="58"/>
  <c r="P32" i="58"/>
  <c r="V18" i="58"/>
  <c r="S327" i="14" l="1"/>
  <c r="C7" i="57" l="1"/>
  <c r="C7" i="35"/>
  <c r="C7" i="58"/>
  <c r="AC46" i="58" s="1"/>
  <c r="S114" i="14"/>
  <c r="C9" i="13" s="1"/>
  <c r="AB28" i="57" l="1"/>
  <c r="V28" i="57"/>
  <c r="P28" i="57"/>
  <c r="J28" i="57"/>
  <c r="AC28" i="57"/>
  <c r="W28" i="57"/>
  <c r="Q28" i="57"/>
  <c r="K28" i="57"/>
  <c r="Q29" i="57"/>
  <c r="K29" i="57"/>
  <c r="AC29" i="57"/>
  <c r="W29" i="57"/>
  <c r="J29" i="57"/>
  <c r="AB29" i="57"/>
  <c r="P29" i="57"/>
  <c r="V29" i="57"/>
  <c r="P32" i="57"/>
  <c r="AC30" i="57"/>
  <c r="W30" i="57"/>
  <c r="Q30" i="57"/>
  <c r="P30" i="57"/>
  <c r="V32" i="57"/>
  <c r="K30" i="57"/>
  <c r="J30" i="57"/>
  <c r="AB32" i="57"/>
  <c r="V30" i="57"/>
  <c r="AB30" i="57"/>
  <c r="AC32" i="57"/>
  <c r="Q32" i="57"/>
  <c r="W32" i="57"/>
  <c r="J32" i="57"/>
  <c r="K32" i="57"/>
  <c r="AB28" i="35"/>
  <c r="V28" i="35"/>
  <c r="P28" i="35"/>
  <c r="J28" i="35"/>
  <c r="AC28" i="35"/>
  <c r="W28" i="35"/>
  <c r="Q28" i="35"/>
  <c r="K28" i="35"/>
  <c r="K29" i="35"/>
  <c r="AC29" i="35"/>
  <c r="V29" i="35"/>
  <c r="W29" i="35"/>
  <c r="J29" i="35"/>
  <c r="Q29" i="35"/>
  <c r="AB29" i="35"/>
  <c r="P29" i="35"/>
  <c r="K30" i="35"/>
  <c r="AC30" i="35"/>
  <c r="P32" i="35"/>
  <c r="W30" i="35"/>
  <c r="P30" i="35"/>
  <c r="AB32" i="35"/>
  <c r="V32" i="35"/>
  <c r="V30" i="35"/>
  <c r="J30" i="35"/>
  <c r="Q30" i="35"/>
  <c r="AB30" i="35"/>
  <c r="J32" i="35"/>
  <c r="W32" i="35"/>
  <c r="Q32" i="35"/>
  <c r="AC32" i="35"/>
  <c r="K32" i="35"/>
  <c r="AB44" i="58"/>
  <c r="K44" i="58"/>
  <c r="J43" i="58"/>
  <c r="P46" i="58"/>
  <c r="AB43" i="58"/>
  <c r="K43" i="58"/>
  <c r="V42" i="58"/>
  <c r="W46" i="58"/>
  <c r="W42" i="58"/>
  <c r="J42" i="58"/>
  <c r="K42" i="58"/>
  <c r="K46" i="58"/>
  <c r="AC44" i="58"/>
  <c r="P44" i="58"/>
  <c r="J46" i="58"/>
  <c r="W43" i="58"/>
  <c r="W44" i="58"/>
  <c r="P43" i="58"/>
  <c r="J44" i="58"/>
  <c r="V44" i="58"/>
  <c r="Q42" i="58"/>
  <c r="V46" i="58"/>
  <c r="Q43" i="58"/>
  <c r="AC43" i="58"/>
  <c r="AC42" i="58"/>
  <c r="V43" i="58"/>
  <c r="P42" i="58"/>
  <c r="AB42" i="58"/>
  <c r="Q44" i="58"/>
  <c r="AB46" i="58"/>
  <c r="Q46" i="58"/>
  <c r="AC46" i="59"/>
  <c r="Q46" i="59"/>
  <c r="AC44" i="59"/>
  <c r="Q44" i="59"/>
  <c r="AC43" i="59"/>
  <c r="Q43" i="59"/>
  <c r="AC42" i="59"/>
  <c r="Q42" i="59"/>
  <c r="AB46" i="59"/>
  <c r="P46" i="59"/>
  <c r="AB44" i="59"/>
  <c r="P44" i="59"/>
  <c r="AB43" i="59"/>
  <c r="P43" i="59"/>
  <c r="AB42" i="59"/>
  <c r="P42" i="59"/>
  <c r="W46" i="59"/>
  <c r="K46" i="59"/>
  <c r="W44" i="59"/>
  <c r="K44" i="59"/>
  <c r="W43" i="59"/>
  <c r="K43" i="59"/>
  <c r="W42" i="59"/>
  <c r="K42" i="59"/>
  <c r="V46" i="59"/>
  <c r="J46" i="59"/>
  <c r="V44" i="59"/>
  <c r="J44" i="59"/>
  <c r="V43" i="59"/>
  <c r="J43" i="59"/>
  <c r="V42" i="59"/>
  <c r="J42" i="59"/>
  <c r="AG345" i="14" l="1"/>
  <c r="S245" i="14" l="1"/>
  <c r="S247" i="14"/>
  <c r="S269" i="14" l="1"/>
  <c r="S229" i="14" s="1"/>
  <c r="B11" i="39" l="1"/>
  <c r="B10" i="39"/>
  <c r="B7" i="56"/>
  <c r="K26" i="56" s="1"/>
  <c r="S62" i="2" s="1"/>
  <c r="O24" i="56"/>
  <c r="P24" i="56" s="1"/>
  <c r="K24" i="56"/>
  <c r="L24" i="56" s="1"/>
  <c r="G24" i="56"/>
  <c r="H24" i="56" s="1"/>
  <c r="D24" i="56"/>
  <c r="P21" i="56"/>
  <c r="L21" i="56"/>
  <c r="H21" i="56"/>
  <c r="D21" i="56"/>
  <c r="P18" i="56"/>
  <c r="L18" i="56"/>
  <c r="H18" i="56"/>
  <c r="D18" i="56"/>
  <c r="W62" i="2" l="1"/>
  <c r="V62" i="2"/>
  <c r="G26" i="56"/>
  <c r="M62" i="2" s="1"/>
  <c r="O26" i="56"/>
  <c r="Y62" i="2" s="1"/>
  <c r="C26" i="56"/>
  <c r="G62" i="2" s="1"/>
  <c r="P15" i="56"/>
  <c r="L15" i="56"/>
  <c r="H15" i="56"/>
  <c r="D15" i="56"/>
  <c r="P12" i="56"/>
  <c r="P26" i="56" s="1"/>
  <c r="Z62" i="2" s="1"/>
  <c r="L12" i="56"/>
  <c r="L26" i="56" s="1"/>
  <c r="H12" i="56"/>
  <c r="H26" i="56" s="1"/>
  <c r="N62" i="2" s="1"/>
  <c r="D12" i="56"/>
  <c r="D26" i="56" s="1"/>
  <c r="H62" i="2" s="1"/>
  <c r="K62" i="2" l="1"/>
  <c r="J62" i="2"/>
  <c r="Q62" i="2"/>
  <c r="P62" i="2"/>
  <c r="AC62" i="2"/>
  <c r="AB62" i="2"/>
  <c r="P29" i="39"/>
  <c r="L29" i="39"/>
  <c r="H29" i="39"/>
  <c r="D29" i="39"/>
  <c r="P28" i="39"/>
  <c r="L28" i="39"/>
  <c r="H28" i="39"/>
  <c r="D28" i="39"/>
  <c r="P25" i="39"/>
  <c r="L25" i="39"/>
  <c r="H25" i="39"/>
  <c r="D25" i="39"/>
  <c r="P24" i="39"/>
  <c r="L24" i="39"/>
  <c r="H24" i="39"/>
  <c r="D24" i="39"/>
  <c r="AE62" i="2" l="1"/>
  <c r="B7" i="39"/>
  <c r="A387" i="55"/>
  <c r="A386" i="55"/>
  <c r="A385" i="55"/>
  <c r="A277" i="55"/>
  <c r="A258" i="55"/>
  <c r="A220" i="55"/>
  <c r="A252" i="55"/>
  <c r="A251" i="55"/>
  <c r="A245" i="55"/>
  <c r="A244" i="55"/>
  <c r="A238" i="55"/>
  <c r="A237" i="55"/>
  <c r="B7" i="23"/>
  <c r="C7" i="13"/>
  <c r="C7" i="17"/>
  <c r="AB12" i="17" s="1"/>
  <c r="Y12" i="21"/>
  <c r="S12" i="21"/>
  <c r="B7" i="21"/>
  <c r="B7" i="22"/>
  <c r="AE132" i="14"/>
  <c r="AE124" i="14"/>
  <c r="AE92" i="14"/>
  <c r="AC252" i="14"/>
  <c r="AG305" i="14"/>
  <c r="AG303" i="14"/>
  <c r="AG282" i="14"/>
  <c r="AG278" i="14"/>
  <c r="S256" i="14"/>
  <c r="S258" i="14" s="1"/>
  <c r="P21" i="39"/>
  <c r="L21" i="39"/>
  <c r="H21" i="39"/>
  <c r="D21" i="39"/>
  <c r="P20" i="39"/>
  <c r="L20" i="39"/>
  <c r="H20" i="39"/>
  <c r="D20" i="39"/>
  <c r="P17" i="39"/>
  <c r="L17" i="39"/>
  <c r="H17" i="39"/>
  <c r="D17" i="39"/>
  <c r="P16" i="39"/>
  <c r="L16" i="39"/>
  <c r="H16" i="39"/>
  <c r="D16" i="39"/>
  <c r="B9" i="39"/>
  <c r="B8" i="39"/>
  <c r="AG256" i="14"/>
  <c r="C17" i="34" s="1"/>
  <c r="C32" i="34" s="1"/>
  <c r="B4" i="12"/>
  <c r="C11" i="12" s="1"/>
  <c r="S71" i="14"/>
  <c r="S50" i="14"/>
  <c r="S316" i="14"/>
  <c r="C17" i="48" s="1"/>
  <c r="C31" i="48" s="1"/>
  <c r="S314" i="14"/>
  <c r="C19" i="34" s="1"/>
  <c r="C36" i="34" s="1"/>
  <c r="S273" i="14"/>
  <c r="S249" i="14"/>
  <c r="S141" i="14"/>
  <c r="S116" i="14"/>
  <c r="AE98" i="14" s="1"/>
  <c r="B12" i="23" s="1"/>
  <c r="S118" i="14"/>
  <c r="AG334" i="14"/>
  <c r="AG343" i="14"/>
  <c r="AG347" i="14" s="1"/>
  <c r="AG258" i="14"/>
  <c r="C13" i="49" s="1"/>
  <c r="C22" i="49" s="1"/>
  <c r="S271" i="14"/>
  <c r="B12" i="43"/>
  <c r="C19" i="43" s="1"/>
  <c r="S358" i="14"/>
  <c r="S337" i="14"/>
  <c r="S81" i="14"/>
  <c r="S60" i="14"/>
  <c r="S73" i="14"/>
  <c r="S75" i="14"/>
  <c r="Q11" i="19"/>
  <c r="W11" i="19"/>
  <c r="AC11" i="19"/>
  <c r="S77" i="14"/>
  <c r="Q11" i="18"/>
  <c r="W11" i="18"/>
  <c r="AC11" i="18"/>
  <c r="AC13" i="18"/>
  <c r="S79" i="14"/>
  <c r="Q11" i="17"/>
  <c r="W11" i="17"/>
  <c r="AC11" i="17"/>
  <c r="K11" i="19"/>
  <c r="K13" i="19"/>
  <c r="K11" i="18"/>
  <c r="J13" i="18"/>
  <c r="K11" i="17"/>
  <c r="AB11" i="19"/>
  <c r="AB11" i="18"/>
  <c r="AB13" i="18"/>
  <c r="AB11" i="17"/>
  <c r="V11" i="19"/>
  <c r="V11" i="18"/>
  <c r="V13" i="18"/>
  <c r="V11" i="17"/>
  <c r="P11" i="19"/>
  <c r="P11" i="18"/>
  <c r="P13" i="18"/>
  <c r="P11" i="17"/>
  <c r="J11" i="19"/>
  <c r="J11" i="18"/>
  <c r="J11" i="17"/>
  <c r="I27" i="21"/>
  <c r="F27" i="21"/>
  <c r="G27" i="21"/>
  <c r="D27" i="21"/>
  <c r="E27" i="21"/>
  <c r="B27" i="21"/>
  <c r="C27" i="21"/>
  <c r="S52" i="14"/>
  <c r="S54" i="14"/>
  <c r="S56" i="14"/>
  <c r="S58" i="14"/>
  <c r="S350" i="14"/>
  <c r="S356" i="14"/>
  <c r="S354" i="14"/>
  <c r="S352" i="14"/>
  <c r="S329" i="14"/>
  <c r="S335" i="14"/>
  <c r="S333" i="14"/>
  <c r="S331" i="14"/>
  <c r="J13" i="19"/>
  <c r="W13" i="18"/>
  <c r="Q13" i="19"/>
  <c r="P13" i="19"/>
  <c r="K13" i="18"/>
  <c r="W13" i="19"/>
  <c r="V13" i="19"/>
  <c r="V15" i="19" s="1"/>
  <c r="AC13" i="19"/>
  <c r="AB13" i="19"/>
  <c r="Q13" i="18"/>
  <c r="AB15" i="19" l="1"/>
  <c r="B13" i="43"/>
  <c r="S231" i="14"/>
  <c r="P15" i="18"/>
  <c r="AB13" i="17"/>
  <c r="E25" i="69"/>
  <c r="L25" i="69"/>
  <c r="L24" i="55"/>
  <c r="E24" i="55"/>
  <c r="AC15" i="18"/>
  <c r="AB15" i="18"/>
  <c r="W15" i="18"/>
  <c r="V15" i="18"/>
  <c r="Q15" i="18"/>
  <c r="J15" i="18"/>
  <c r="K15" i="18"/>
  <c r="AC15" i="19"/>
  <c r="W15" i="19"/>
  <c r="P15" i="19"/>
  <c r="Q15" i="19"/>
  <c r="K15" i="19"/>
  <c r="J15" i="19"/>
  <c r="S139" i="14"/>
  <c r="AE134" i="14"/>
  <c r="O31" i="39"/>
  <c r="Y61" i="2" s="1"/>
  <c r="G31" i="39"/>
  <c r="M61" i="2" s="1"/>
  <c r="L31" i="39"/>
  <c r="T61" i="2" s="1"/>
  <c r="D31" i="39"/>
  <c r="H61" i="2" s="1"/>
  <c r="K31" i="39"/>
  <c r="S61" i="2" s="1"/>
  <c r="P31" i="39"/>
  <c r="H31" i="39"/>
  <c r="N61" i="2" s="1"/>
  <c r="C31" i="39"/>
  <c r="G61" i="2" s="1"/>
  <c r="W12" i="17"/>
  <c r="AC12" i="17"/>
  <c r="B11" i="12"/>
  <c r="AE96" i="14"/>
  <c r="Q12" i="17"/>
  <c r="P12" i="17"/>
  <c r="AE136" i="14"/>
  <c r="B11" i="22" s="1"/>
  <c r="C11" i="13"/>
  <c r="AB15" i="17"/>
  <c r="K12" i="17"/>
  <c r="V12" i="17"/>
  <c r="J12" i="17"/>
  <c r="S280" i="14"/>
  <c r="G9" i="85" l="1"/>
  <c r="C9" i="85"/>
  <c r="B9" i="85"/>
  <c r="E9" i="85"/>
  <c r="H9" i="85"/>
  <c r="F9" i="85"/>
  <c r="I9" i="85"/>
  <c r="D9" i="85"/>
  <c r="H9" i="84"/>
  <c r="F9" i="84"/>
  <c r="D9" i="84"/>
  <c r="B9" i="84"/>
  <c r="G9" i="84"/>
  <c r="E9" i="84"/>
  <c r="C9" i="84"/>
  <c r="I9" i="84"/>
  <c r="AE23" i="2"/>
  <c r="W61" i="2"/>
  <c r="V61" i="2"/>
  <c r="K61" i="2"/>
  <c r="J61" i="2"/>
  <c r="Q61" i="2"/>
  <c r="P61" i="2"/>
  <c r="I9" i="45"/>
  <c r="I9" i="44"/>
  <c r="I9" i="46"/>
  <c r="I9" i="42"/>
  <c r="I9" i="43"/>
  <c r="V13" i="17"/>
  <c r="J13" i="17"/>
  <c r="J15" i="17" s="1"/>
  <c r="P13" i="17"/>
  <c r="AC13" i="17"/>
  <c r="AC61" i="2"/>
  <c r="AB61" i="2"/>
  <c r="D25" i="69"/>
  <c r="K25" i="69"/>
  <c r="C9" i="42"/>
  <c r="K24" i="55"/>
  <c r="M24" i="55" s="1"/>
  <c r="D24" i="55"/>
  <c r="P273" i="55"/>
  <c r="P271" i="55"/>
  <c r="D9" i="45"/>
  <c r="H9" i="46"/>
  <c r="H9" i="42"/>
  <c r="D9" i="42"/>
  <c r="B9" i="46"/>
  <c r="E9" i="44"/>
  <c r="B9" i="45"/>
  <c r="C9" i="44"/>
  <c r="G9" i="45"/>
  <c r="F9" i="43"/>
  <c r="F9" i="44"/>
  <c r="D9" i="44"/>
  <c r="F9" i="45"/>
  <c r="E9" i="42"/>
  <c r="G9" i="44"/>
  <c r="E9" i="43"/>
  <c r="H9" i="45"/>
  <c r="G9" i="43"/>
  <c r="H9" i="44"/>
  <c r="E9" i="45"/>
  <c r="B9" i="44"/>
  <c r="H9" i="43"/>
  <c r="F9" i="42"/>
  <c r="C9" i="45"/>
  <c r="F9" i="46"/>
  <c r="C9" i="43"/>
  <c r="D9" i="43"/>
  <c r="G9" i="42"/>
  <c r="B9" i="43"/>
  <c r="D9" i="46"/>
  <c r="B9" i="42"/>
  <c r="C9" i="46"/>
  <c r="G9" i="46"/>
  <c r="E9" i="46"/>
  <c r="Q13" i="17"/>
  <c r="B12" i="42"/>
  <c r="C19" i="42" s="1"/>
  <c r="W13" i="17"/>
  <c r="K13" i="17"/>
  <c r="Q70" i="2" l="1"/>
  <c r="Q77" i="2" s="1"/>
  <c r="K70" i="2"/>
  <c r="K77" i="2" s="1"/>
  <c r="W70" i="2"/>
  <c r="W77" i="2" s="1"/>
  <c r="P70" i="2"/>
  <c r="J70" i="2"/>
  <c r="V70" i="2"/>
  <c r="V77" i="2" s="1"/>
  <c r="V15" i="17"/>
  <c r="AE61" i="2"/>
  <c r="W15" i="17"/>
  <c r="AC15" i="17"/>
  <c r="K15" i="17"/>
  <c r="Q15" i="17"/>
  <c r="P15" i="17"/>
  <c r="AB70" i="2"/>
  <c r="AC70" i="2"/>
  <c r="B13" i="42"/>
  <c r="C20" i="42" s="1"/>
  <c r="J77" i="2" l="1"/>
  <c r="AB77" i="2"/>
  <c r="P77" i="2"/>
  <c r="AC77" i="2"/>
  <c r="AE70" i="2"/>
  <c r="AC286" i="14"/>
  <c r="AE77" i="2" l="1"/>
  <c r="S254" i="14" l="1"/>
  <c r="AG280" i="14" l="1"/>
  <c r="AG286" i="14" s="1"/>
  <c r="AG288" i="14" s="1"/>
  <c r="S278" i="14"/>
  <c r="S312" i="14" s="1"/>
  <c r="AG254" i="14"/>
  <c r="S320" i="14" l="1"/>
  <c r="AG301" i="14"/>
  <c r="C10" i="49" l="1"/>
  <c r="B19" i="49" s="1"/>
  <c r="D19" i="49" s="1"/>
  <c r="N283" i="69" s="1"/>
  <c r="C9" i="47"/>
  <c r="B19" i="47" s="1"/>
  <c r="C12" i="34"/>
  <c r="B26" i="34" s="1"/>
  <c r="E26" i="34" s="1"/>
  <c r="B12" i="45"/>
  <c r="C12" i="48"/>
  <c r="B23" i="48" s="1"/>
  <c r="E23" i="48" s="1"/>
  <c r="B17" i="45"/>
  <c r="C34" i="45" s="1"/>
  <c r="B20" i="45"/>
  <c r="C37" i="45" s="1"/>
  <c r="B21" i="45"/>
  <c r="C38" i="45" s="1"/>
  <c r="B19" i="45"/>
  <c r="C36" i="45" s="1"/>
  <c r="B15" i="45"/>
  <c r="C32" i="45" s="1"/>
  <c r="B23" i="45"/>
  <c r="C40" i="45" s="1"/>
  <c r="B14" i="45"/>
  <c r="C31" i="45" s="1"/>
  <c r="B22" i="45"/>
  <c r="C39" i="45" s="1"/>
  <c r="B18" i="45"/>
  <c r="C35" i="45" s="1"/>
  <c r="B16" i="45"/>
  <c r="C33" i="45" s="1"/>
  <c r="B12" i="84"/>
  <c r="AG312" i="14"/>
  <c r="AG326" i="14" s="1"/>
  <c r="B17" i="47"/>
  <c r="B17" i="49"/>
  <c r="D17" i="49" s="1"/>
  <c r="B24" i="34"/>
  <c r="E24" i="34" s="1"/>
  <c r="AC36" i="45" l="1"/>
  <c r="W36" i="45"/>
  <c r="Q36" i="45"/>
  <c r="K36" i="45"/>
  <c r="AB36" i="45"/>
  <c r="V36" i="45"/>
  <c r="P36" i="45"/>
  <c r="J36" i="45"/>
  <c r="AC38" i="45"/>
  <c r="W38" i="45"/>
  <c r="Q38" i="45"/>
  <c r="K38" i="45"/>
  <c r="AB38" i="45"/>
  <c r="V38" i="45"/>
  <c r="P38" i="45"/>
  <c r="J38" i="45"/>
  <c r="Q33" i="45"/>
  <c r="K33" i="45"/>
  <c r="V33" i="45"/>
  <c r="P33" i="45"/>
  <c r="AC33" i="45"/>
  <c r="W33" i="45"/>
  <c r="AB33" i="45"/>
  <c r="J33" i="45"/>
  <c r="AC40" i="45"/>
  <c r="W40" i="45"/>
  <c r="Q40" i="45"/>
  <c r="K40" i="45"/>
  <c r="AB40" i="45"/>
  <c r="V40" i="45"/>
  <c r="P40" i="45"/>
  <c r="J40" i="45"/>
  <c r="W37" i="45"/>
  <c r="Q37" i="45"/>
  <c r="V37" i="45"/>
  <c r="AC37" i="45"/>
  <c r="K37" i="45"/>
  <c r="AB37" i="45"/>
  <c r="P37" i="45"/>
  <c r="J37" i="45"/>
  <c r="K39" i="45"/>
  <c r="AB39" i="45"/>
  <c r="P39" i="45"/>
  <c r="J39" i="45"/>
  <c r="AC39" i="45"/>
  <c r="W39" i="45"/>
  <c r="Q39" i="45"/>
  <c r="V39" i="45"/>
  <c r="AC31" i="45"/>
  <c r="W31" i="45"/>
  <c r="AB31" i="45"/>
  <c r="J31" i="45"/>
  <c r="Q31" i="45"/>
  <c r="K31" i="45"/>
  <c r="V31" i="45"/>
  <c r="P31" i="45"/>
  <c r="AB35" i="45"/>
  <c r="J35" i="45"/>
  <c r="AC35" i="45"/>
  <c r="W35" i="45"/>
  <c r="Q35" i="45"/>
  <c r="K35" i="45"/>
  <c r="V35" i="45"/>
  <c r="P35" i="45"/>
  <c r="AC32" i="45"/>
  <c r="W32" i="45"/>
  <c r="Q32" i="45"/>
  <c r="K32" i="45"/>
  <c r="AB32" i="45"/>
  <c r="V32" i="45"/>
  <c r="P32" i="45"/>
  <c r="J32" i="45"/>
  <c r="AC34" i="45"/>
  <c r="W34" i="45"/>
  <c r="Q34" i="45"/>
  <c r="K34" i="45"/>
  <c r="AB34" i="45"/>
  <c r="V34" i="45"/>
  <c r="P34" i="45"/>
  <c r="J34" i="45"/>
  <c r="AG339" i="14"/>
  <c r="AG341" i="14" s="1"/>
  <c r="B13" i="44"/>
  <c r="C20" i="44" s="1"/>
  <c r="AG332" i="14"/>
  <c r="C29" i="45"/>
  <c r="B13" i="45"/>
  <c r="C30" i="45" s="1"/>
  <c r="C18" i="34"/>
  <c r="B36" i="34" s="1"/>
  <c r="E36" i="34" s="1"/>
  <c r="C16" i="48"/>
  <c r="B31" i="48" s="1"/>
  <c r="E31" i="48" s="1"/>
  <c r="C6" i="48"/>
  <c r="B20" i="48" s="1"/>
  <c r="E20" i="48" s="1"/>
  <c r="C12" i="49"/>
  <c r="C14" i="34"/>
  <c r="B31" i="34" s="1"/>
  <c r="C12" i="47"/>
  <c r="C10" i="48"/>
  <c r="B22" i="48" s="1"/>
  <c r="E22" i="48" s="1"/>
  <c r="AG307" i="14"/>
  <c r="C6" i="47"/>
  <c r="B16" i="47" s="1"/>
  <c r="S341" i="14"/>
  <c r="S362" i="14" s="1"/>
  <c r="C8" i="49"/>
  <c r="B18" i="49" s="1"/>
  <c r="D18" i="49" s="1"/>
  <c r="AG296" i="14"/>
  <c r="C14" i="48"/>
  <c r="B27" i="48" s="1"/>
  <c r="C16" i="34"/>
  <c r="B32" i="34" s="1"/>
  <c r="E32" i="34" s="1"/>
  <c r="C10" i="47"/>
  <c r="C10" i="34"/>
  <c r="B25" i="34" s="1"/>
  <c r="E25" i="34" s="1"/>
  <c r="C8" i="47"/>
  <c r="B18" i="47" s="1"/>
  <c r="AG294" i="14"/>
  <c r="S150" i="14" s="1"/>
  <c r="C11" i="47"/>
  <c r="AG349" i="14"/>
  <c r="AO107" i="14" s="1"/>
  <c r="C6" i="34"/>
  <c r="B23" i="34" s="1"/>
  <c r="E23" i="34" s="1"/>
  <c r="N211" i="14"/>
  <c r="N281" i="69"/>
  <c r="E27" i="34" l="1"/>
  <c r="F26" i="34" s="1"/>
  <c r="H39" i="34"/>
  <c r="B20" i="47"/>
  <c r="D19" i="47" s="1"/>
  <c r="E24" i="48"/>
  <c r="H35" i="48"/>
  <c r="W20" i="44"/>
  <c r="V20" i="44"/>
  <c r="Q20" i="44"/>
  <c r="K20" i="44"/>
  <c r="P20" i="44"/>
  <c r="J20" i="44"/>
  <c r="AC20" i="44"/>
  <c r="AB20" i="44"/>
  <c r="C15" i="48"/>
  <c r="C27" i="48" s="1"/>
  <c r="E27" i="48" s="1"/>
  <c r="E28" i="48" s="1"/>
  <c r="F27" i="48" s="1"/>
  <c r="C15" i="34"/>
  <c r="C31" i="34" s="1"/>
  <c r="E31" i="34" s="1"/>
  <c r="E33" i="34" s="1"/>
  <c r="AE94" i="14"/>
  <c r="N282" i="69"/>
  <c r="AE128" i="14"/>
  <c r="E32" i="48"/>
  <c r="F23" i="34"/>
  <c r="S383" i="14"/>
  <c r="B12" i="85" s="1"/>
  <c r="C18" i="85" s="1"/>
  <c r="E37" i="34"/>
  <c r="F36" i="34" s="1"/>
  <c r="D16" i="47" l="1"/>
  <c r="F20" i="48"/>
  <c r="F23" i="48"/>
  <c r="F22" i="48"/>
  <c r="K265" i="67"/>
  <c r="E23" i="67" s="1"/>
  <c r="E265" i="67"/>
  <c r="C23" i="67" s="1"/>
  <c r="M265" i="67"/>
  <c r="L23" i="67" s="1"/>
  <c r="G265" i="67"/>
  <c r="K235" i="69"/>
  <c r="K233" i="69"/>
  <c r="K231" i="69"/>
  <c r="M229" i="69"/>
  <c r="M227" i="69"/>
  <c r="J235" i="69"/>
  <c r="J233" i="69"/>
  <c r="J231" i="69"/>
  <c r="K229" i="69"/>
  <c r="K227" i="69"/>
  <c r="H235" i="69"/>
  <c r="H231" i="69"/>
  <c r="J227" i="69"/>
  <c r="G233" i="69"/>
  <c r="H229" i="69"/>
  <c r="B235" i="69"/>
  <c r="B231" i="69"/>
  <c r="D227" i="69"/>
  <c r="M233" i="69"/>
  <c r="B229" i="69"/>
  <c r="E235" i="69"/>
  <c r="E233" i="69"/>
  <c r="E231" i="69"/>
  <c r="G229" i="69"/>
  <c r="G227" i="69"/>
  <c r="D235" i="69"/>
  <c r="D233" i="69"/>
  <c r="D231" i="69"/>
  <c r="E229" i="69"/>
  <c r="E227" i="69"/>
  <c r="H234" i="69"/>
  <c r="J230" i="69"/>
  <c r="J226" i="69"/>
  <c r="G232" i="69"/>
  <c r="H228" i="69"/>
  <c r="B234" i="69"/>
  <c r="D230" i="69"/>
  <c r="D226" i="69"/>
  <c r="M232" i="69"/>
  <c r="B228" i="69"/>
  <c r="H230" i="69"/>
  <c r="D228" i="69"/>
  <c r="B230" i="69"/>
  <c r="K234" i="69"/>
  <c r="K232" i="69"/>
  <c r="M230" i="69"/>
  <c r="M228" i="69"/>
  <c r="M226" i="69"/>
  <c r="J234" i="69"/>
  <c r="J232" i="69"/>
  <c r="K230" i="69"/>
  <c r="K228" i="69"/>
  <c r="K226" i="69"/>
  <c r="H233" i="69"/>
  <c r="J229" i="69"/>
  <c r="G235" i="69"/>
  <c r="G231" i="69"/>
  <c r="H227" i="69"/>
  <c r="B233" i="69"/>
  <c r="D229" i="69"/>
  <c r="M235" i="69"/>
  <c r="M231" i="69"/>
  <c r="B226" i="69"/>
  <c r="E234" i="69"/>
  <c r="E232" i="69"/>
  <c r="G230" i="69"/>
  <c r="G228" i="69"/>
  <c r="G226" i="69"/>
  <c r="D234" i="69"/>
  <c r="D232" i="69"/>
  <c r="E230" i="69"/>
  <c r="E228" i="69"/>
  <c r="E226" i="69"/>
  <c r="H232" i="69"/>
  <c r="J228" i="69"/>
  <c r="G234" i="69"/>
  <c r="H226" i="69"/>
  <c r="B232" i="69"/>
  <c r="M234" i="69"/>
  <c r="B227" i="69"/>
  <c r="D263" i="69"/>
  <c r="M263" i="69"/>
  <c r="G263" i="69"/>
  <c r="B263" i="69"/>
  <c r="H263" i="69"/>
  <c r="D257" i="67"/>
  <c r="M257" i="67"/>
  <c r="H257" i="67"/>
  <c r="B257" i="67"/>
  <c r="J257" i="67"/>
  <c r="G257" i="67"/>
  <c r="E257" i="67"/>
  <c r="K257" i="67"/>
  <c r="K263" i="69"/>
  <c r="H259" i="55"/>
  <c r="B259" i="55"/>
  <c r="K259" i="55"/>
  <c r="G259" i="55"/>
  <c r="M259" i="55"/>
  <c r="D259" i="55"/>
  <c r="J259" i="55"/>
  <c r="E259" i="55"/>
  <c r="E263" i="69"/>
  <c r="J263" i="69"/>
  <c r="F21" i="48"/>
  <c r="F31" i="48"/>
  <c r="H31" i="48" s="1"/>
  <c r="F24" i="34"/>
  <c r="F25" i="34"/>
  <c r="M362" i="69"/>
  <c r="M352" i="69"/>
  <c r="M333" i="67"/>
  <c r="M343" i="55"/>
  <c r="M334" i="67"/>
  <c r="M335" i="67"/>
  <c r="M340" i="68"/>
  <c r="M350" i="69"/>
  <c r="M336" i="68"/>
  <c r="M342" i="55"/>
  <c r="M345" i="55"/>
  <c r="M337" i="68"/>
  <c r="M337" i="67"/>
  <c r="M338" i="68"/>
  <c r="M349" i="69"/>
  <c r="M348" i="69"/>
  <c r="M341" i="55"/>
  <c r="H358" i="69"/>
  <c r="B358" i="69"/>
  <c r="G291" i="69"/>
  <c r="M291" i="69"/>
  <c r="G292" i="69"/>
  <c r="M292" i="69"/>
  <c r="G294" i="69"/>
  <c r="M294" i="69"/>
  <c r="H290" i="69"/>
  <c r="B290" i="69"/>
  <c r="E291" i="69"/>
  <c r="K291" i="69"/>
  <c r="E292" i="69"/>
  <c r="K292" i="69"/>
  <c r="E294" i="69"/>
  <c r="K294" i="69"/>
  <c r="J290" i="69"/>
  <c r="D290" i="69"/>
  <c r="D291" i="69"/>
  <c r="J291" i="69"/>
  <c r="D292" i="69"/>
  <c r="J292" i="69"/>
  <c r="D294" i="69"/>
  <c r="J294" i="69"/>
  <c r="K290" i="69"/>
  <c r="E290" i="69"/>
  <c r="B291" i="69"/>
  <c r="H291" i="69"/>
  <c r="B292" i="69"/>
  <c r="H292" i="69"/>
  <c r="B294" i="69"/>
  <c r="H294" i="69"/>
  <c r="M290" i="69"/>
  <c r="G290" i="69"/>
  <c r="E325" i="69"/>
  <c r="K325" i="69"/>
  <c r="E326" i="69"/>
  <c r="K326" i="69"/>
  <c r="E328" i="69"/>
  <c r="K328" i="69"/>
  <c r="J324" i="69"/>
  <c r="D324" i="69"/>
  <c r="G325" i="69"/>
  <c r="M325" i="69"/>
  <c r="G326" i="69"/>
  <c r="M326" i="69"/>
  <c r="G328" i="69"/>
  <c r="M328" i="69"/>
  <c r="H324" i="69"/>
  <c r="B324" i="69"/>
  <c r="B325" i="69"/>
  <c r="H325" i="69"/>
  <c r="B326" i="69"/>
  <c r="H326" i="69"/>
  <c r="B328" i="69"/>
  <c r="H328" i="69"/>
  <c r="M324" i="69"/>
  <c r="G324" i="69"/>
  <c r="D325" i="69"/>
  <c r="J325" i="69"/>
  <c r="D326" i="69"/>
  <c r="J326" i="69"/>
  <c r="D328" i="69"/>
  <c r="J328" i="69"/>
  <c r="K324" i="69"/>
  <c r="E324" i="69"/>
  <c r="E358" i="69"/>
  <c r="K358" i="69"/>
  <c r="J362" i="69"/>
  <c r="D362" i="69"/>
  <c r="J361" i="69"/>
  <c r="D361" i="69"/>
  <c r="J360" i="69"/>
  <c r="D360" i="69"/>
  <c r="J359" i="69"/>
  <c r="D359" i="69"/>
  <c r="G358" i="69"/>
  <c r="M358" i="69"/>
  <c r="H362" i="69"/>
  <c r="B362" i="69"/>
  <c r="H361" i="69"/>
  <c r="B361" i="69"/>
  <c r="H360" i="69"/>
  <c r="B360" i="69"/>
  <c r="H359" i="69"/>
  <c r="B359" i="69"/>
  <c r="G362" i="69"/>
  <c r="M361" i="69"/>
  <c r="G361" i="69"/>
  <c r="M360" i="69"/>
  <c r="G360" i="69"/>
  <c r="M359" i="69"/>
  <c r="G359" i="69"/>
  <c r="D358" i="69"/>
  <c r="J358" i="69"/>
  <c r="K362" i="69"/>
  <c r="E362" i="69"/>
  <c r="K361" i="69"/>
  <c r="E361" i="69"/>
  <c r="K360" i="69"/>
  <c r="E360" i="69"/>
  <c r="K359" i="69"/>
  <c r="E359" i="69"/>
  <c r="B12" i="46"/>
  <c r="C19" i="46" s="1"/>
  <c r="B13" i="46"/>
  <c r="C20" i="46" s="1"/>
  <c r="K346" i="68"/>
  <c r="H346" i="68"/>
  <c r="E346" i="68"/>
  <c r="B346" i="68"/>
  <c r="K312" i="68"/>
  <c r="H312" i="68"/>
  <c r="E312" i="68"/>
  <c r="B312" i="68"/>
  <c r="M278" i="68"/>
  <c r="J278" i="68"/>
  <c r="G278" i="68"/>
  <c r="D278" i="68"/>
  <c r="M346" i="68"/>
  <c r="J346" i="68"/>
  <c r="G346" i="68"/>
  <c r="D346" i="68"/>
  <c r="M312" i="68"/>
  <c r="J312" i="68"/>
  <c r="G312" i="68"/>
  <c r="D312" i="68"/>
  <c r="K278" i="68"/>
  <c r="H278" i="68"/>
  <c r="E278" i="68"/>
  <c r="B278" i="68"/>
  <c r="K343" i="67"/>
  <c r="H343" i="67"/>
  <c r="E343" i="67"/>
  <c r="B343" i="67"/>
  <c r="K309" i="67"/>
  <c r="H309" i="67"/>
  <c r="E309" i="67"/>
  <c r="B309" i="67"/>
  <c r="M275" i="67"/>
  <c r="J275" i="67"/>
  <c r="G275" i="67"/>
  <c r="D275" i="67"/>
  <c r="M343" i="67"/>
  <c r="J343" i="67"/>
  <c r="G343" i="67"/>
  <c r="D343" i="67"/>
  <c r="M309" i="67"/>
  <c r="J309" i="67"/>
  <c r="G309" i="67"/>
  <c r="D309" i="67"/>
  <c r="K275" i="67"/>
  <c r="H275" i="67"/>
  <c r="E275" i="67"/>
  <c r="B275" i="67"/>
  <c r="G344" i="67"/>
  <c r="K345" i="67"/>
  <c r="E345" i="67"/>
  <c r="H345" i="67"/>
  <c r="J344" i="67"/>
  <c r="G347" i="68"/>
  <c r="K348" i="68"/>
  <c r="E348" i="68"/>
  <c r="H348" i="68"/>
  <c r="J347" i="68"/>
  <c r="K347" i="67"/>
  <c r="M344" i="67"/>
  <c r="G345" i="67"/>
  <c r="K344" i="67"/>
  <c r="E344" i="67"/>
  <c r="E347" i="67"/>
  <c r="H347" i="67"/>
  <c r="H344" i="67"/>
  <c r="B344" i="67"/>
  <c r="M345" i="67"/>
  <c r="D344" i="67"/>
  <c r="B345" i="67"/>
  <c r="D345" i="67"/>
  <c r="J347" i="67"/>
  <c r="K350" i="68"/>
  <c r="M347" i="68"/>
  <c r="G348" i="68"/>
  <c r="K347" i="68"/>
  <c r="E347" i="68"/>
  <c r="E350" i="68"/>
  <c r="H350" i="68"/>
  <c r="H347" i="68"/>
  <c r="B347" i="68"/>
  <c r="M348" i="68"/>
  <c r="D347" i="68"/>
  <c r="B348" i="68"/>
  <c r="D348" i="68"/>
  <c r="J350" i="68"/>
  <c r="D347" i="67"/>
  <c r="M347" i="67"/>
  <c r="B347" i="67"/>
  <c r="J345" i="67"/>
  <c r="G347" i="67"/>
  <c r="D350" i="68"/>
  <c r="M350" i="68"/>
  <c r="B350" i="68"/>
  <c r="J348" i="68"/>
  <c r="G350" i="68"/>
  <c r="M279" i="67"/>
  <c r="M282" i="68"/>
  <c r="H311" i="67"/>
  <c r="B310" i="67"/>
  <c r="B311" i="67"/>
  <c r="B313" i="67"/>
  <c r="D310" i="67"/>
  <c r="D311" i="67"/>
  <c r="D313" i="67"/>
  <c r="E310" i="67"/>
  <c r="E311" i="67"/>
  <c r="E313" i="67"/>
  <c r="G310" i="67"/>
  <c r="G311" i="67"/>
  <c r="G313" i="67"/>
  <c r="G279" i="67"/>
  <c r="G277" i="67"/>
  <c r="G276" i="67"/>
  <c r="B277" i="67"/>
  <c r="J277" i="67"/>
  <c r="B279" i="67"/>
  <c r="M277" i="67"/>
  <c r="K276" i="67"/>
  <c r="B276" i="67"/>
  <c r="K277" i="67"/>
  <c r="H310" i="67"/>
  <c r="H313" i="67"/>
  <c r="J310" i="67"/>
  <c r="J311" i="67"/>
  <c r="J313" i="67"/>
  <c r="K310" i="67"/>
  <c r="K311" i="67"/>
  <c r="K313" i="67"/>
  <c r="M310" i="67"/>
  <c r="M311" i="67"/>
  <c r="M313" i="67"/>
  <c r="K279" i="67"/>
  <c r="H276" i="67"/>
  <c r="M276" i="67"/>
  <c r="H279" i="67"/>
  <c r="H277" i="67"/>
  <c r="E276" i="67"/>
  <c r="J276" i="67"/>
  <c r="E277" i="67"/>
  <c r="D279" i="67"/>
  <c r="J279" i="67"/>
  <c r="D276" i="67"/>
  <c r="E279" i="67"/>
  <c r="D277" i="67"/>
  <c r="H314" i="68"/>
  <c r="B313" i="68"/>
  <c r="B314" i="68"/>
  <c r="B316" i="68"/>
  <c r="D313" i="68"/>
  <c r="D314" i="68"/>
  <c r="D316" i="68"/>
  <c r="E313" i="68"/>
  <c r="E314" i="68"/>
  <c r="E316" i="68"/>
  <c r="G313" i="68"/>
  <c r="G314" i="68"/>
  <c r="G316" i="68"/>
  <c r="G282" i="68"/>
  <c r="G280" i="68"/>
  <c r="G279" i="68"/>
  <c r="B280" i="68"/>
  <c r="J280" i="68"/>
  <c r="B282" i="68"/>
  <c r="M280" i="68"/>
  <c r="K279" i="68"/>
  <c r="B279" i="68"/>
  <c r="K280" i="68"/>
  <c r="H313" i="68"/>
  <c r="H316" i="68"/>
  <c r="J313" i="68"/>
  <c r="J314" i="68"/>
  <c r="J316" i="68"/>
  <c r="K313" i="68"/>
  <c r="K314" i="68"/>
  <c r="K316" i="68"/>
  <c r="M313" i="68"/>
  <c r="M314" i="68"/>
  <c r="M316" i="68"/>
  <c r="K282" i="68"/>
  <c r="H279" i="68"/>
  <c r="M279" i="68"/>
  <c r="H282" i="68"/>
  <c r="H280" i="68"/>
  <c r="E279" i="68"/>
  <c r="J279" i="68"/>
  <c r="E280" i="68"/>
  <c r="D282" i="68"/>
  <c r="J282" i="68"/>
  <c r="D279" i="68"/>
  <c r="E282" i="68"/>
  <c r="D280" i="68"/>
  <c r="E284" i="55"/>
  <c r="K284" i="55"/>
  <c r="E285" i="55"/>
  <c r="K285" i="55"/>
  <c r="E287" i="55"/>
  <c r="K287" i="55"/>
  <c r="J283" i="55"/>
  <c r="D283" i="55"/>
  <c r="G284" i="55"/>
  <c r="M284" i="55"/>
  <c r="G285" i="55"/>
  <c r="M285" i="55"/>
  <c r="G287" i="55"/>
  <c r="M287" i="55"/>
  <c r="H283" i="55"/>
  <c r="B283" i="55"/>
  <c r="B284" i="55"/>
  <c r="H284" i="55"/>
  <c r="B285" i="55"/>
  <c r="H285" i="55"/>
  <c r="B287" i="55"/>
  <c r="H287" i="55"/>
  <c r="M283" i="55"/>
  <c r="G283" i="55"/>
  <c r="D284" i="55"/>
  <c r="J284" i="55"/>
  <c r="D285" i="55"/>
  <c r="J285" i="55"/>
  <c r="D287" i="55"/>
  <c r="J287" i="55"/>
  <c r="K283" i="55"/>
  <c r="E283" i="55"/>
  <c r="B318" i="55"/>
  <c r="H318" i="55"/>
  <c r="B319" i="55"/>
  <c r="H319" i="55"/>
  <c r="B321" i="55"/>
  <c r="H321" i="55"/>
  <c r="M317" i="55"/>
  <c r="G317" i="55"/>
  <c r="D318" i="55"/>
  <c r="J318" i="55"/>
  <c r="D319" i="55"/>
  <c r="J319" i="55"/>
  <c r="D321" i="55"/>
  <c r="J321" i="55"/>
  <c r="K317" i="55"/>
  <c r="E317" i="55"/>
  <c r="E318" i="55"/>
  <c r="K318" i="55"/>
  <c r="E319" i="55"/>
  <c r="K319" i="55"/>
  <c r="E321" i="55"/>
  <c r="K321" i="55"/>
  <c r="J317" i="55"/>
  <c r="D317" i="55"/>
  <c r="G318" i="55"/>
  <c r="M318" i="55"/>
  <c r="G319" i="55"/>
  <c r="M319" i="55"/>
  <c r="G321" i="55"/>
  <c r="M321" i="55"/>
  <c r="H317" i="55"/>
  <c r="B317" i="55"/>
  <c r="E351" i="55"/>
  <c r="K351" i="55"/>
  <c r="J355" i="55"/>
  <c r="D355" i="55"/>
  <c r="J353" i="55"/>
  <c r="D353" i="55"/>
  <c r="J352" i="55"/>
  <c r="D352" i="55"/>
  <c r="G351" i="55"/>
  <c r="M351" i="55"/>
  <c r="H355" i="55"/>
  <c r="B355" i="55"/>
  <c r="H353" i="55"/>
  <c r="B353" i="55"/>
  <c r="H352" i="55"/>
  <c r="B352" i="55"/>
  <c r="B351" i="55"/>
  <c r="H351" i="55"/>
  <c r="M355" i="55"/>
  <c r="G355" i="55"/>
  <c r="M353" i="55"/>
  <c r="G353" i="55"/>
  <c r="M352" i="55"/>
  <c r="G352" i="55"/>
  <c r="D351" i="55"/>
  <c r="J351" i="55"/>
  <c r="K355" i="55"/>
  <c r="E355" i="55"/>
  <c r="K353" i="55"/>
  <c r="E353" i="55"/>
  <c r="K352" i="55"/>
  <c r="E352" i="55"/>
  <c r="B383" i="69"/>
  <c r="M366" i="69"/>
  <c r="G375" i="69"/>
  <c r="M382" i="69"/>
  <c r="H376" i="69"/>
  <c r="D367" i="69"/>
  <c r="H386" i="69"/>
  <c r="H370" i="69"/>
  <c r="J367" i="69"/>
  <c r="E370" i="69"/>
  <c r="K366" i="69"/>
  <c r="M367" i="69"/>
  <c r="G368" i="69"/>
  <c r="G382" i="69"/>
  <c r="D382" i="69"/>
  <c r="D374" i="69"/>
  <c r="E375" i="69"/>
  <c r="H210" i="69"/>
  <c r="H212" i="69"/>
  <c r="H208" i="69"/>
  <c r="H202" i="69"/>
  <c r="H204" i="69"/>
  <c r="H200" i="69"/>
  <c r="H194" i="69"/>
  <c r="H193" i="69"/>
  <c r="H196" i="69"/>
  <c r="H201" i="69"/>
  <c r="H209" i="69"/>
  <c r="E386" i="69"/>
  <c r="D370" i="69"/>
  <c r="M384" i="69"/>
  <c r="G386" i="69"/>
  <c r="J370" i="69"/>
  <c r="D383" i="69"/>
  <c r="B386" i="69"/>
  <c r="G376" i="69"/>
  <c r="B378" i="69"/>
  <c r="H370" i="68"/>
  <c r="G316" i="69"/>
  <c r="G314" i="69"/>
  <c r="B308" i="69"/>
  <c r="B306" i="69"/>
  <c r="E300" i="69"/>
  <c r="E298" i="69"/>
  <c r="M315" i="69"/>
  <c r="H314" i="69"/>
  <c r="B310" i="69"/>
  <c r="G302" i="69"/>
  <c r="H298" i="69"/>
  <c r="J316" i="69"/>
  <c r="J314" i="69"/>
  <c r="D308" i="69"/>
  <c r="H300" i="69"/>
  <c r="M307" i="69"/>
  <c r="K299" i="69"/>
  <c r="E306" i="69"/>
  <c r="J300" i="69"/>
  <c r="E302" i="69"/>
  <c r="D316" i="69"/>
  <c r="H306" i="69"/>
  <c r="K302" i="69"/>
  <c r="D310" i="69"/>
  <c r="D318" i="69"/>
  <c r="G310" i="69"/>
  <c r="B307" i="69"/>
  <c r="B302" i="69"/>
  <c r="E299" i="69"/>
  <c r="B315" i="69"/>
  <c r="G307" i="69"/>
  <c r="J310" i="69"/>
  <c r="D299" i="69"/>
  <c r="B318" i="69"/>
  <c r="G300" i="69"/>
  <c r="M308" i="69"/>
  <c r="D314" i="69"/>
  <c r="M298" i="69"/>
  <c r="M314" i="69"/>
  <c r="B299" i="69"/>
  <c r="E315" i="69"/>
  <c r="D302" i="69"/>
  <c r="B300" i="69"/>
  <c r="H307" i="69"/>
  <c r="J318" i="69"/>
  <c r="K307" i="69"/>
  <c r="H318" i="69"/>
  <c r="K315" i="69"/>
  <c r="K310" i="69"/>
  <c r="J307" i="69"/>
  <c r="J302" i="69"/>
  <c r="M299" i="69"/>
  <c r="M316" i="69"/>
  <c r="H315" i="69"/>
  <c r="B314" i="69"/>
  <c r="G308" i="69"/>
  <c r="K300" i="69"/>
  <c r="E316" i="69"/>
  <c r="E314" i="69"/>
  <c r="D307" i="69"/>
  <c r="J299" i="69"/>
  <c r="M318" i="69"/>
  <c r="K306" i="69"/>
  <c r="G298" i="69"/>
  <c r="G318" i="69"/>
  <c r="M302" i="69"/>
  <c r="E318" i="69"/>
  <c r="H299" i="69"/>
  <c r="D315" i="69"/>
  <c r="D300" i="69"/>
  <c r="D298" i="69"/>
  <c r="G315" i="69"/>
  <c r="H316" i="69"/>
  <c r="M310" i="69"/>
  <c r="G299" i="69"/>
  <c r="J315" i="69"/>
  <c r="D306" i="69"/>
  <c r="H302" i="69"/>
  <c r="K308" i="69"/>
  <c r="J298" i="69"/>
  <c r="K316" i="69"/>
  <c r="K314" i="69"/>
  <c r="J308" i="69"/>
  <c r="J306" i="69"/>
  <c r="M300" i="69"/>
  <c r="B316" i="69"/>
  <c r="H310" i="69"/>
  <c r="G306" i="69"/>
  <c r="K318" i="69"/>
  <c r="E310" i="69"/>
  <c r="K298" i="69"/>
  <c r="E308" i="69"/>
  <c r="B298" i="69"/>
  <c r="M306" i="69"/>
  <c r="E307" i="69"/>
  <c r="H308" i="69"/>
  <c r="H352" i="69"/>
  <c r="K349" i="69"/>
  <c r="K344" i="69"/>
  <c r="H350" i="69"/>
  <c r="B349" i="69"/>
  <c r="M344" i="69"/>
  <c r="K341" i="69"/>
  <c r="K336" i="69"/>
  <c r="J333" i="69"/>
  <c r="G352" i="69"/>
  <c r="H342" i="69"/>
  <c r="B341" i="69"/>
  <c r="M336" i="69"/>
  <c r="G333" i="69"/>
  <c r="E352" i="69"/>
  <c r="K342" i="69"/>
  <c r="J340" i="69"/>
  <c r="D334" i="69"/>
  <c r="J352" i="69"/>
  <c r="D336" i="69"/>
  <c r="D350" i="69"/>
  <c r="M334" i="69"/>
  <c r="E344" i="69"/>
  <c r="E332" i="69"/>
  <c r="K334" i="69"/>
  <c r="K350" i="69"/>
  <c r="J342" i="69"/>
  <c r="B344" i="69"/>
  <c r="J334" i="69"/>
  <c r="D349" i="69"/>
  <c r="H340" i="69"/>
  <c r="J344" i="69"/>
  <c r="J336" i="69"/>
  <c r="D348" i="69"/>
  <c r="D342" i="69"/>
  <c r="E349" i="69"/>
  <c r="G350" i="69"/>
  <c r="H349" i="69"/>
  <c r="G342" i="69"/>
  <c r="B334" i="69"/>
  <c r="E348" i="69"/>
  <c r="B340" i="69"/>
  <c r="D344" i="69"/>
  <c r="E336" i="69"/>
  <c r="M332" i="69"/>
  <c r="D340" i="69"/>
  <c r="E334" i="69"/>
  <c r="D352" i="69"/>
  <c r="G349" i="69"/>
  <c r="G344" i="69"/>
  <c r="B350" i="69"/>
  <c r="H344" i="69"/>
  <c r="G341" i="69"/>
  <c r="G336" i="69"/>
  <c r="B333" i="69"/>
  <c r="J349" i="69"/>
  <c r="B342" i="69"/>
  <c r="M340" i="69"/>
  <c r="H336" i="69"/>
  <c r="G332" i="69"/>
  <c r="E350" i="69"/>
  <c r="E342" i="69"/>
  <c r="E340" i="69"/>
  <c r="D333" i="69"/>
  <c r="J350" i="69"/>
  <c r="H334" i="69"/>
  <c r="J348" i="69"/>
  <c r="K333" i="69"/>
  <c r="M333" i="69"/>
  <c r="M342" i="69"/>
  <c r="K332" i="69"/>
  <c r="K348" i="69"/>
  <c r="H348" i="69"/>
  <c r="K340" i="69"/>
  <c r="J332" i="69"/>
  <c r="M341" i="69"/>
  <c r="B336" i="69"/>
  <c r="J341" i="69"/>
  <c r="D332" i="69"/>
  <c r="E333" i="69"/>
  <c r="H332" i="69"/>
  <c r="H333" i="69"/>
  <c r="G348" i="69"/>
  <c r="B348" i="69"/>
  <c r="G340" i="69"/>
  <c r="B332" i="69"/>
  <c r="H341" i="69"/>
  <c r="G334" i="69"/>
  <c r="K352" i="69"/>
  <c r="E341" i="69"/>
  <c r="D341" i="69"/>
  <c r="B352" i="69"/>
  <c r="K368" i="69"/>
  <c r="K375" i="69"/>
  <c r="E384" i="69"/>
  <c r="G366" i="69"/>
  <c r="D376" i="69"/>
  <c r="G370" i="69"/>
  <c r="B366" i="69"/>
  <c r="B374" i="69"/>
  <c r="E383" i="69"/>
  <c r="J386" i="69"/>
  <c r="K367" i="69"/>
  <c r="B375" i="69"/>
  <c r="K382" i="69"/>
  <c r="E366" i="69"/>
  <c r="E368" i="69"/>
  <c r="J374" i="69"/>
  <c r="H378" i="69"/>
  <c r="H383" i="69"/>
  <c r="D386" i="69"/>
  <c r="H367" i="69"/>
  <c r="M370" i="69"/>
  <c r="M375" i="69"/>
  <c r="J378" i="69"/>
  <c r="J383" i="69"/>
  <c r="K386" i="69"/>
  <c r="G378" i="69"/>
  <c r="D375" i="69"/>
  <c r="B367" i="69"/>
  <c r="D378" i="69"/>
  <c r="K376" i="69"/>
  <c r="G367" i="69"/>
  <c r="H374" i="69"/>
  <c r="D384" i="69"/>
  <c r="B368" i="69"/>
  <c r="J375" i="69"/>
  <c r="G384" i="69"/>
  <c r="J366" i="69"/>
  <c r="J368" i="69"/>
  <c r="H375" i="69"/>
  <c r="M378" i="69"/>
  <c r="M383" i="69"/>
  <c r="D366" i="69"/>
  <c r="D368" i="69"/>
  <c r="E374" i="69"/>
  <c r="E376" i="69"/>
  <c r="B382" i="69"/>
  <c r="B384" i="69"/>
  <c r="G383" i="69"/>
  <c r="G374" i="69"/>
  <c r="E382" i="69"/>
  <c r="K374" i="69"/>
  <c r="K383" i="69"/>
  <c r="K378" i="69"/>
  <c r="M368" i="69"/>
  <c r="J376" i="69"/>
  <c r="K384" i="69"/>
  <c r="B370" i="69"/>
  <c r="E378" i="69"/>
  <c r="M386" i="69"/>
  <c r="E367" i="69"/>
  <c r="K370" i="69"/>
  <c r="B376" i="69"/>
  <c r="H382" i="69"/>
  <c r="H384" i="69"/>
  <c r="H366" i="69"/>
  <c r="H368" i="69"/>
  <c r="M374" i="69"/>
  <c r="M376" i="69"/>
  <c r="J382" i="69"/>
  <c r="J384" i="69"/>
  <c r="B358" i="68"/>
  <c r="H363" i="68"/>
  <c r="H364" i="68"/>
  <c r="K355" i="68"/>
  <c r="D363" i="68"/>
  <c r="B366" i="68"/>
  <c r="H362" i="68"/>
  <c r="H374" i="68"/>
  <c r="D374" i="68"/>
  <c r="J356" i="68"/>
  <c r="E371" i="68"/>
  <c r="K364" i="68"/>
  <c r="M358" i="68"/>
  <c r="M355" i="68"/>
  <c r="J358" i="68"/>
  <c r="H372" i="68"/>
  <c r="M363" i="68"/>
  <c r="M362" i="68"/>
  <c r="D362" i="68"/>
  <c r="E363" i="68"/>
  <c r="M370" i="68"/>
  <c r="K362" i="68"/>
  <c r="G356" i="68"/>
  <c r="B371" i="68"/>
  <c r="J370" i="68"/>
  <c r="G372" i="68"/>
  <c r="H354" i="68"/>
  <c r="K371" i="68"/>
  <c r="E358" i="68"/>
  <c r="J366" i="68"/>
  <c r="M372" i="68"/>
  <c r="J354" i="68"/>
  <c r="B355" i="68"/>
  <c r="G363" i="68"/>
  <c r="D371" i="68"/>
  <c r="D372" i="68"/>
  <c r="B370" i="68"/>
  <c r="G354" i="68"/>
  <c r="G355" i="68"/>
  <c r="G371" i="68"/>
  <c r="E356" i="68"/>
  <c r="H356" i="68"/>
  <c r="B372" i="68"/>
  <c r="D354" i="68"/>
  <c r="J363" i="68"/>
  <c r="E366" i="68"/>
  <c r="B374" i="68"/>
  <c r="G358" i="68"/>
  <c r="D366" i="68"/>
  <c r="E374" i="68"/>
  <c r="K354" i="68"/>
  <c r="E355" i="68"/>
  <c r="B363" i="68"/>
  <c r="B362" i="68"/>
  <c r="M364" i="68"/>
  <c r="E354" i="68"/>
  <c r="J371" i="68"/>
  <c r="H355" i="68"/>
  <c r="D358" i="68"/>
  <c r="G366" i="68"/>
  <c r="K374" i="68"/>
  <c r="D356" i="68"/>
  <c r="J362" i="68"/>
  <c r="J364" i="68"/>
  <c r="K372" i="68"/>
  <c r="E370" i="68"/>
  <c r="E372" i="68"/>
  <c r="B354" i="68"/>
  <c r="B356" i="68"/>
  <c r="G362" i="68"/>
  <c r="G364" i="68"/>
  <c r="D370" i="68"/>
  <c r="K369" i="67"/>
  <c r="H306" i="68"/>
  <c r="K303" i="68"/>
  <c r="K298" i="68"/>
  <c r="J295" i="68"/>
  <c r="J290" i="68"/>
  <c r="M287" i="68"/>
  <c r="K306" i="68"/>
  <c r="J303" i="68"/>
  <c r="J298" i="68"/>
  <c r="M295" i="68"/>
  <c r="M290" i="68"/>
  <c r="H287" i="68"/>
  <c r="J306" i="68"/>
  <c r="D294" i="68"/>
  <c r="B286" i="68"/>
  <c r="H304" i="68"/>
  <c r="G296" i="68"/>
  <c r="K288" i="68"/>
  <c r="M306" i="68"/>
  <c r="D296" i="68"/>
  <c r="E304" i="68"/>
  <c r="B287" i="68"/>
  <c r="J288" i="68"/>
  <c r="E303" i="68"/>
  <c r="D303" i="68"/>
  <c r="M298" i="68"/>
  <c r="B295" i="68"/>
  <c r="B298" i="68"/>
  <c r="D287" i="68"/>
  <c r="G290" i="68"/>
  <c r="H295" i="68"/>
  <c r="M303" i="68"/>
  <c r="M302" i="68"/>
  <c r="J287" i="68"/>
  <c r="M304" i="68"/>
  <c r="K287" i="68"/>
  <c r="K304" i="68"/>
  <c r="K302" i="68"/>
  <c r="J296" i="68"/>
  <c r="J294" i="68"/>
  <c r="M288" i="68"/>
  <c r="J304" i="68"/>
  <c r="M296" i="68"/>
  <c r="H288" i="68"/>
  <c r="H296" i="68"/>
  <c r="H302" i="68"/>
  <c r="K286" i="68"/>
  <c r="K290" i="68"/>
  <c r="H294" i="68"/>
  <c r="G304" i="68"/>
  <c r="G302" i="68"/>
  <c r="B296" i="68"/>
  <c r="B294" i="68"/>
  <c r="E288" i="68"/>
  <c r="E286" i="68"/>
  <c r="B304" i="68"/>
  <c r="B302" i="68"/>
  <c r="E296" i="68"/>
  <c r="E294" i="68"/>
  <c r="D288" i="68"/>
  <c r="D286" i="68"/>
  <c r="K295" i="68"/>
  <c r="J286" i="68"/>
  <c r="H298" i="68"/>
  <c r="D290" i="68"/>
  <c r="E298" i="68"/>
  <c r="G295" i="68"/>
  <c r="G294" i="68"/>
  <c r="E306" i="68"/>
  <c r="G288" i="68"/>
  <c r="H290" i="68"/>
  <c r="D304" i="68"/>
  <c r="D306" i="68"/>
  <c r="G303" i="68"/>
  <c r="G298" i="68"/>
  <c r="B290" i="68"/>
  <c r="E287" i="68"/>
  <c r="G306" i="68"/>
  <c r="B303" i="68"/>
  <c r="E295" i="68"/>
  <c r="E290" i="68"/>
  <c r="B306" i="68"/>
  <c r="H303" i="68"/>
  <c r="G286" i="68"/>
  <c r="B288" i="68"/>
  <c r="E302" i="68"/>
  <c r="K296" i="68"/>
  <c r="M286" i="68"/>
  <c r="J302" i="68"/>
  <c r="M294" i="68"/>
  <c r="H286" i="68"/>
  <c r="G287" i="68"/>
  <c r="K294" i="68"/>
  <c r="D302" i="68"/>
  <c r="D298" i="68"/>
  <c r="D295" i="68"/>
  <c r="H330" i="68"/>
  <c r="D340" i="68"/>
  <c r="K336" i="68"/>
  <c r="K329" i="68"/>
  <c r="G324" i="68"/>
  <c r="B321" i="68"/>
  <c r="H340" i="68"/>
  <c r="J336" i="68"/>
  <c r="E330" i="68"/>
  <c r="B328" i="68"/>
  <c r="E322" i="68"/>
  <c r="E320" i="68"/>
  <c r="J332" i="68"/>
  <c r="K321" i="68"/>
  <c r="H332" i="68"/>
  <c r="H324" i="68"/>
  <c r="D338" i="68"/>
  <c r="G340" i="68"/>
  <c r="D321" i="68"/>
  <c r="E324" i="68"/>
  <c r="G337" i="68"/>
  <c r="E338" i="68"/>
  <c r="G332" i="68"/>
  <c r="J322" i="68"/>
  <c r="G338" i="68"/>
  <c r="J329" i="68"/>
  <c r="M321" i="68"/>
  <c r="M329" i="68"/>
  <c r="G322" i="68"/>
  <c r="D324" i="68"/>
  <c r="H320" i="68"/>
  <c r="K337" i="68"/>
  <c r="K338" i="68"/>
  <c r="J337" i="68"/>
  <c r="K332" i="68"/>
  <c r="B324" i="68"/>
  <c r="J338" i="68"/>
  <c r="B330" i="68"/>
  <c r="M328" i="68"/>
  <c r="D332" i="68"/>
  <c r="B340" i="68"/>
  <c r="E337" i="68"/>
  <c r="E332" i="68"/>
  <c r="D329" i="68"/>
  <c r="D337" i="68"/>
  <c r="K330" i="68"/>
  <c r="K324" i="68"/>
  <c r="J321" i="68"/>
  <c r="H337" i="68"/>
  <c r="J330" i="68"/>
  <c r="J328" i="68"/>
  <c r="M322" i="68"/>
  <c r="M320" i="68"/>
  <c r="B336" i="68"/>
  <c r="H322" i="68"/>
  <c r="H336" i="68"/>
  <c r="H328" i="68"/>
  <c r="K320" i="68"/>
  <c r="K340" i="68"/>
  <c r="M324" i="68"/>
  <c r="E328" i="68"/>
  <c r="D328" i="68"/>
  <c r="K322" i="68"/>
  <c r="E336" i="68"/>
  <c r="D330" i="68"/>
  <c r="H338" i="68"/>
  <c r="K328" i="68"/>
  <c r="J320" i="68"/>
  <c r="D336" i="68"/>
  <c r="J324" i="68"/>
  <c r="E340" i="68"/>
  <c r="D320" i="68"/>
  <c r="M330" i="68"/>
  <c r="G329" i="68"/>
  <c r="G336" i="68"/>
  <c r="G320" i="68"/>
  <c r="D322" i="68"/>
  <c r="J340" i="68"/>
  <c r="M332" i="68"/>
  <c r="H329" i="68"/>
  <c r="B332" i="68"/>
  <c r="G328" i="68"/>
  <c r="B322" i="68"/>
  <c r="B320" i="68"/>
  <c r="B338" i="68"/>
  <c r="E329" i="68"/>
  <c r="E321" i="68"/>
  <c r="B329" i="68"/>
  <c r="B337" i="68"/>
  <c r="H321" i="68"/>
  <c r="G321" i="68"/>
  <c r="G330" i="68"/>
  <c r="K366" i="68"/>
  <c r="K356" i="68"/>
  <c r="H358" i="68"/>
  <c r="B364" i="68"/>
  <c r="G374" i="68"/>
  <c r="K370" i="68"/>
  <c r="M354" i="68"/>
  <c r="M356" i="68"/>
  <c r="D364" i="68"/>
  <c r="J372" i="68"/>
  <c r="D355" i="68"/>
  <c r="E362" i="68"/>
  <c r="E364" i="68"/>
  <c r="G370" i="68"/>
  <c r="M366" i="68"/>
  <c r="M371" i="68"/>
  <c r="J374" i="68"/>
  <c r="J355" i="68"/>
  <c r="K358" i="68"/>
  <c r="K363" i="68"/>
  <c r="H366" i="68"/>
  <c r="H371" i="68"/>
  <c r="M374" i="68"/>
  <c r="E271" i="55"/>
  <c r="N271" i="55" s="1"/>
  <c r="G367" i="55"/>
  <c r="J377" i="55"/>
  <c r="H363" i="55"/>
  <c r="H363" i="67"/>
  <c r="D359" i="67"/>
  <c r="E368" i="55"/>
  <c r="B359" i="67"/>
  <c r="B363" i="55"/>
  <c r="M360" i="55"/>
  <c r="G359" i="67"/>
  <c r="H359" i="67"/>
  <c r="J359" i="67"/>
  <c r="G359" i="55"/>
  <c r="J368" i="55"/>
  <c r="D377" i="55"/>
  <c r="D359" i="55"/>
  <c r="B352" i="67"/>
  <c r="H367" i="67"/>
  <c r="K359" i="67"/>
  <c r="E360" i="67"/>
  <c r="G351" i="67"/>
  <c r="E367" i="67"/>
  <c r="E351" i="67"/>
  <c r="G367" i="67"/>
  <c r="D369" i="67"/>
  <c r="M371" i="55"/>
  <c r="M367" i="55"/>
  <c r="B367" i="55"/>
  <c r="E377" i="55"/>
  <c r="E367" i="55"/>
  <c r="B363" i="67"/>
  <c r="D368" i="67"/>
  <c r="K360" i="67"/>
  <c r="M360" i="67"/>
  <c r="K351" i="67"/>
  <c r="M367" i="67"/>
  <c r="M351" i="67"/>
  <c r="K367" i="67"/>
  <c r="G375" i="55"/>
  <c r="J351" i="67"/>
  <c r="D351" i="67"/>
  <c r="D352" i="67"/>
  <c r="B367" i="67"/>
  <c r="E355" i="67"/>
  <c r="D367" i="67"/>
  <c r="G353" i="67"/>
  <c r="D361" i="67"/>
  <c r="E369" i="67"/>
  <c r="E353" i="67"/>
  <c r="B361" i="67"/>
  <c r="G369" i="67"/>
  <c r="G361" i="67"/>
  <c r="H352" i="67"/>
  <c r="J352" i="67"/>
  <c r="B353" i="67"/>
  <c r="J367" i="67"/>
  <c r="M355" i="67"/>
  <c r="B368" i="67"/>
  <c r="K353" i="67"/>
  <c r="H361" i="67"/>
  <c r="M369" i="67"/>
  <c r="M353" i="67"/>
  <c r="J361" i="67"/>
  <c r="G377" i="55"/>
  <c r="G303" i="67"/>
  <c r="B300" i="67"/>
  <c r="M301" i="67"/>
  <c r="K301" i="67"/>
  <c r="G295" i="67"/>
  <c r="B292" i="67"/>
  <c r="B287" i="67"/>
  <c r="E284" i="67"/>
  <c r="K300" i="67"/>
  <c r="J295" i="67"/>
  <c r="M292" i="67"/>
  <c r="M287" i="67"/>
  <c r="H284" i="67"/>
  <c r="M303" i="67"/>
  <c r="D295" i="67"/>
  <c r="H287" i="67"/>
  <c r="K283" i="67"/>
  <c r="G301" i="67"/>
  <c r="G287" i="67"/>
  <c r="E299" i="67"/>
  <c r="D301" i="67"/>
  <c r="K291" i="67"/>
  <c r="K287" i="67"/>
  <c r="M295" i="67"/>
  <c r="H299" i="67"/>
  <c r="B301" i="67"/>
  <c r="M300" i="67"/>
  <c r="G299" i="67"/>
  <c r="B293" i="67"/>
  <c r="B291" i="67"/>
  <c r="E283" i="67"/>
  <c r="K299" i="67"/>
  <c r="M291" i="67"/>
  <c r="H283" i="67"/>
  <c r="D292" i="67"/>
  <c r="K292" i="67"/>
  <c r="G293" i="67"/>
  <c r="H291" i="67"/>
  <c r="K284" i="67"/>
  <c r="K303" i="67"/>
  <c r="B303" i="67"/>
  <c r="D303" i="67"/>
  <c r="J292" i="67"/>
  <c r="M284" i="67"/>
  <c r="B299" i="67"/>
  <c r="E291" i="67"/>
  <c r="D283" i="67"/>
  <c r="G291" i="67"/>
  <c r="H303" i="67"/>
  <c r="B283" i="67"/>
  <c r="H300" i="67"/>
  <c r="H292" i="67"/>
  <c r="D287" i="67"/>
  <c r="J301" i="67"/>
  <c r="J299" i="67"/>
  <c r="E301" i="67"/>
  <c r="G300" i="67"/>
  <c r="J293" i="67"/>
  <c r="J291" i="67"/>
  <c r="M285" i="67"/>
  <c r="M283" i="67"/>
  <c r="E300" i="67"/>
  <c r="B295" i="67"/>
  <c r="E292" i="67"/>
  <c r="E287" i="67"/>
  <c r="D284" i="67"/>
  <c r="D300" i="67"/>
  <c r="K293" i="67"/>
  <c r="G285" i="67"/>
  <c r="H293" i="67"/>
  <c r="G284" i="67"/>
  <c r="H295" i="67"/>
  <c r="E295" i="67"/>
  <c r="K285" i="67"/>
  <c r="G292" i="67"/>
  <c r="J303" i="67"/>
  <c r="E285" i="67"/>
  <c r="M293" i="67"/>
  <c r="H285" i="67"/>
  <c r="M299" i="67"/>
  <c r="J284" i="67"/>
  <c r="J283" i="67"/>
  <c r="D293" i="67"/>
  <c r="G283" i="67"/>
  <c r="J285" i="67"/>
  <c r="J300" i="67"/>
  <c r="K295" i="67"/>
  <c r="J287" i="67"/>
  <c r="H301" i="67"/>
  <c r="E293" i="67"/>
  <c r="D285" i="67"/>
  <c r="D299" i="67"/>
  <c r="B284" i="67"/>
  <c r="D291" i="67"/>
  <c r="B285" i="67"/>
  <c r="E303" i="67"/>
  <c r="E337" i="67"/>
  <c r="D334" i="67"/>
  <c r="D329" i="67"/>
  <c r="H337" i="67"/>
  <c r="K334" i="67"/>
  <c r="K329" i="67"/>
  <c r="J326" i="67"/>
  <c r="J321" i="67"/>
  <c r="E335" i="67"/>
  <c r="E333" i="67"/>
  <c r="E326" i="67"/>
  <c r="E321" i="67"/>
  <c r="E318" i="67"/>
  <c r="J335" i="67"/>
  <c r="J333" i="67"/>
  <c r="D326" i="67"/>
  <c r="D319" i="67"/>
  <c r="D317" i="67"/>
  <c r="G319" i="67"/>
  <c r="M326" i="67"/>
  <c r="B317" i="67"/>
  <c r="G337" i="67"/>
  <c r="B337" i="67"/>
  <c r="K319" i="67"/>
  <c r="E327" i="67"/>
  <c r="D335" i="67"/>
  <c r="G327" i="67"/>
  <c r="K335" i="67"/>
  <c r="K333" i="67"/>
  <c r="J327" i="67"/>
  <c r="J325" i="67"/>
  <c r="E334" i="67"/>
  <c r="E325" i="67"/>
  <c r="E317" i="67"/>
  <c r="J334" i="67"/>
  <c r="D321" i="67"/>
  <c r="H325" i="67"/>
  <c r="G318" i="67"/>
  <c r="G317" i="67"/>
  <c r="H334" i="67"/>
  <c r="G335" i="67"/>
  <c r="B327" i="67"/>
  <c r="D327" i="67"/>
  <c r="M318" i="67"/>
  <c r="B334" i="67"/>
  <c r="H319" i="67"/>
  <c r="M321" i="67"/>
  <c r="J317" i="67"/>
  <c r="H335" i="67"/>
  <c r="H333" i="67"/>
  <c r="K327" i="67"/>
  <c r="D337" i="67"/>
  <c r="G334" i="67"/>
  <c r="G329" i="67"/>
  <c r="B326" i="67"/>
  <c r="B321" i="67"/>
  <c r="M329" i="67"/>
  <c r="K325" i="67"/>
  <c r="J319" i="67"/>
  <c r="M317" i="67"/>
  <c r="B335" i="67"/>
  <c r="B333" i="67"/>
  <c r="D325" i="67"/>
  <c r="H318" i="67"/>
  <c r="M327" i="67"/>
  <c r="J318" i="67"/>
  <c r="G325" i="67"/>
  <c r="H326" i="67"/>
  <c r="G326" i="67"/>
  <c r="K318" i="67"/>
  <c r="H321" i="67"/>
  <c r="D333" i="67"/>
  <c r="M319" i="67"/>
  <c r="E329" i="67"/>
  <c r="E319" i="67"/>
  <c r="J329" i="67"/>
  <c r="D318" i="67"/>
  <c r="B318" i="67"/>
  <c r="J337" i="67"/>
  <c r="G321" i="67"/>
  <c r="M325" i="67"/>
  <c r="H329" i="67"/>
  <c r="K326" i="67"/>
  <c r="G333" i="67"/>
  <c r="B325" i="67"/>
  <c r="K321" i="67"/>
  <c r="K337" i="67"/>
  <c r="B329" i="67"/>
  <c r="H317" i="67"/>
  <c r="K317" i="67"/>
  <c r="H327" i="67"/>
  <c r="B319" i="67"/>
  <c r="E371" i="67"/>
  <c r="K371" i="67"/>
  <c r="G355" i="67"/>
  <c r="H353" i="67"/>
  <c r="M371" i="67"/>
  <c r="B351" i="67"/>
  <c r="J353" i="67"/>
  <c r="K361" i="67"/>
  <c r="H368" i="67"/>
  <c r="H351" i="67"/>
  <c r="E359" i="67"/>
  <c r="E361" i="67"/>
  <c r="J368" i="67"/>
  <c r="G352" i="67"/>
  <c r="D355" i="67"/>
  <c r="D360" i="67"/>
  <c r="E363" i="67"/>
  <c r="E368" i="67"/>
  <c r="B371" i="67"/>
  <c r="E352" i="67"/>
  <c r="B355" i="67"/>
  <c r="B360" i="67"/>
  <c r="G363" i="67"/>
  <c r="G368" i="67"/>
  <c r="D371" i="67"/>
  <c r="J369" i="67"/>
  <c r="G360" i="67"/>
  <c r="J363" i="67"/>
  <c r="B369" i="67"/>
  <c r="K355" i="67"/>
  <c r="D363" i="67"/>
  <c r="G371" i="67"/>
  <c r="D353" i="67"/>
  <c r="M359" i="67"/>
  <c r="M361" i="67"/>
  <c r="H369" i="67"/>
  <c r="K352" i="67"/>
  <c r="H355" i="67"/>
  <c r="H360" i="67"/>
  <c r="M363" i="67"/>
  <c r="M368" i="67"/>
  <c r="J371" i="67"/>
  <c r="M352" i="67"/>
  <c r="J355" i="67"/>
  <c r="J360" i="67"/>
  <c r="K363" i="67"/>
  <c r="K368" i="67"/>
  <c r="H371" i="67"/>
  <c r="G371" i="55"/>
  <c r="D375" i="55"/>
  <c r="E379" i="55"/>
  <c r="H368" i="55"/>
  <c r="J367" i="55"/>
  <c r="D360" i="55"/>
  <c r="G376" i="55"/>
  <c r="B371" i="55"/>
  <c r="D369" i="55"/>
  <c r="K377" i="55"/>
  <c r="M361" i="55"/>
  <c r="B360" i="55"/>
  <c r="J359" i="55"/>
  <c r="K367" i="55"/>
  <c r="K368" i="55"/>
  <c r="M376" i="55"/>
  <c r="E363" i="55"/>
  <c r="B375" i="55"/>
  <c r="K363" i="55"/>
  <c r="H375" i="55"/>
  <c r="E359" i="55"/>
  <c r="B379" i="55"/>
  <c r="K359" i="55"/>
  <c r="H379" i="55"/>
  <c r="G360" i="55"/>
  <c r="B368" i="55"/>
  <c r="J379" i="55"/>
  <c r="D367" i="55"/>
  <c r="E375" i="55"/>
  <c r="E376" i="55"/>
  <c r="M359" i="55"/>
  <c r="H367" i="55"/>
  <c r="D379" i="55"/>
  <c r="B359" i="55"/>
  <c r="B361" i="55"/>
  <c r="D368" i="55"/>
  <c r="D363" i="55"/>
  <c r="D361" i="55"/>
  <c r="E371" i="55"/>
  <c r="E369" i="55"/>
  <c r="G379" i="55"/>
  <c r="H309" i="55"/>
  <c r="H311" i="55"/>
  <c r="M301" i="55"/>
  <c r="M303" i="55"/>
  <c r="K293" i="55"/>
  <c r="K295" i="55"/>
  <c r="J311" i="55"/>
  <c r="M309" i="55"/>
  <c r="M311" i="55"/>
  <c r="K301" i="55"/>
  <c r="K303" i="55"/>
  <c r="J293" i="55"/>
  <c r="J295" i="55"/>
  <c r="K309" i="55"/>
  <c r="K311" i="55"/>
  <c r="J301" i="55"/>
  <c r="J303" i="55"/>
  <c r="H293" i="55"/>
  <c r="H295" i="55"/>
  <c r="J309" i="55"/>
  <c r="D311" i="55"/>
  <c r="H300" i="55"/>
  <c r="M293" i="55"/>
  <c r="M295" i="55"/>
  <c r="H308" i="55"/>
  <c r="M300" i="55"/>
  <c r="M299" i="55"/>
  <c r="K291" i="55"/>
  <c r="M308" i="55"/>
  <c r="K300" i="55"/>
  <c r="J292" i="55"/>
  <c r="K308" i="55"/>
  <c r="J300" i="55"/>
  <c r="H292" i="55"/>
  <c r="J308" i="55"/>
  <c r="H299" i="55"/>
  <c r="M291" i="55"/>
  <c r="B25" i="47"/>
  <c r="B308" i="55"/>
  <c r="B307" i="55"/>
  <c r="G300" i="55"/>
  <c r="G299" i="55"/>
  <c r="E291" i="55"/>
  <c r="B303" i="55"/>
  <c r="G307" i="55"/>
  <c r="E299" i="55"/>
  <c r="D291" i="55"/>
  <c r="E307" i="55"/>
  <c r="D299" i="55"/>
  <c r="B291" i="55"/>
  <c r="D308" i="55"/>
  <c r="B299" i="55"/>
  <c r="G291" i="55"/>
  <c r="B309" i="55"/>
  <c r="B311" i="55"/>
  <c r="G301" i="55"/>
  <c r="G303" i="55"/>
  <c r="E293" i="55"/>
  <c r="E295" i="55"/>
  <c r="B301" i="55"/>
  <c r="G309" i="55"/>
  <c r="G311" i="55"/>
  <c r="E301" i="55"/>
  <c r="E303" i="55"/>
  <c r="D293" i="55"/>
  <c r="D295" i="55"/>
  <c r="E309" i="55"/>
  <c r="E311" i="55"/>
  <c r="D301" i="55"/>
  <c r="D303" i="55"/>
  <c r="B293" i="55"/>
  <c r="B295" i="55"/>
  <c r="D309" i="55"/>
  <c r="J307" i="55"/>
  <c r="H303" i="55"/>
  <c r="G293" i="55"/>
  <c r="G295" i="55"/>
  <c r="H307" i="55"/>
  <c r="K292" i="55"/>
  <c r="B300" i="55"/>
  <c r="M307" i="55"/>
  <c r="K299" i="55"/>
  <c r="J291" i="55"/>
  <c r="K307" i="55"/>
  <c r="J299" i="55"/>
  <c r="H291" i="55"/>
  <c r="D307" i="55"/>
  <c r="M292" i="55"/>
  <c r="E292" i="55"/>
  <c r="G308" i="55"/>
  <c r="E300" i="55"/>
  <c r="D292" i="55"/>
  <c r="E308" i="55"/>
  <c r="D300" i="55"/>
  <c r="B292" i="55"/>
  <c r="H301" i="55"/>
  <c r="G292" i="55"/>
  <c r="K343" i="55"/>
  <c r="J341" i="55"/>
  <c r="K345" i="55"/>
  <c r="B342" i="55"/>
  <c r="J345" i="55"/>
  <c r="H341" i="55"/>
  <c r="J335" i="55"/>
  <c r="J337" i="55"/>
  <c r="H334" i="55"/>
  <c r="H333" i="55"/>
  <c r="M326" i="55"/>
  <c r="M325" i="55"/>
  <c r="M334" i="55"/>
  <c r="M333" i="55"/>
  <c r="K326" i="55"/>
  <c r="K325" i="55"/>
  <c r="K334" i="55"/>
  <c r="K333" i="55"/>
  <c r="J326" i="55"/>
  <c r="B327" i="55"/>
  <c r="J325" i="55"/>
  <c r="D333" i="55"/>
  <c r="B22" i="49"/>
  <c r="D22" i="49" s="1"/>
  <c r="K341" i="55"/>
  <c r="E342" i="55"/>
  <c r="J342" i="55"/>
  <c r="D345" i="55"/>
  <c r="H335" i="55"/>
  <c r="M327" i="55"/>
  <c r="M335" i="55"/>
  <c r="K327" i="55"/>
  <c r="K335" i="55"/>
  <c r="J327" i="55"/>
  <c r="B325" i="55"/>
  <c r="B29" i="47"/>
  <c r="G342" i="55"/>
  <c r="E341" i="55"/>
  <c r="E345" i="55"/>
  <c r="H343" i="55"/>
  <c r="B343" i="55"/>
  <c r="B341" i="55"/>
  <c r="B335" i="55"/>
  <c r="G327" i="55"/>
  <c r="G335" i="55"/>
  <c r="E327" i="55"/>
  <c r="E335" i="55"/>
  <c r="D327" i="55"/>
  <c r="G343" i="55"/>
  <c r="G345" i="55"/>
  <c r="K342" i="55"/>
  <c r="J343" i="55"/>
  <c r="D341" i="55"/>
  <c r="B345" i="55"/>
  <c r="G341" i="55"/>
  <c r="D342" i="55"/>
  <c r="D335" i="55"/>
  <c r="D337" i="55"/>
  <c r="B334" i="55"/>
  <c r="B333" i="55"/>
  <c r="G326" i="55"/>
  <c r="G325" i="55"/>
  <c r="G334" i="55"/>
  <c r="G333" i="55"/>
  <c r="E326" i="55"/>
  <c r="E325" i="55"/>
  <c r="E334" i="55"/>
  <c r="E333" i="55"/>
  <c r="D326" i="55"/>
  <c r="B329" i="55"/>
  <c r="J333" i="55"/>
  <c r="H327" i="55"/>
  <c r="B24" i="47"/>
  <c r="S152" i="14"/>
  <c r="D343" i="55"/>
  <c r="H342" i="55"/>
  <c r="J334" i="55"/>
  <c r="H337" i="55"/>
  <c r="M329" i="55"/>
  <c r="M337" i="55"/>
  <c r="K329" i="55"/>
  <c r="K337" i="55"/>
  <c r="J329" i="55"/>
  <c r="B326" i="55"/>
  <c r="H329" i="55"/>
  <c r="E343" i="55"/>
  <c r="H345" i="55"/>
  <c r="D334" i="55"/>
  <c r="B337" i="55"/>
  <c r="G329" i="55"/>
  <c r="G337" i="55"/>
  <c r="E329" i="55"/>
  <c r="E337" i="55"/>
  <c r="D329" i="55"/>
  <c r="H326" i="55"/>
  <c r="H325" i="55"/>
  <c r="D325" i="55"/>
  <c r="M369" i="55"/>
  <c r="G368" i="55"/>
  <c r="M368" i="55"/>
  <c r="G369" i="55"/>
  <c r="G363" i="55"/>
  <c r="J375" i="55"/>
  <c r="H360" i="55"/>
  <c r="K379" i="55"/>
  <c r="H369" i="55"/>
  <c r="D371" i="55"/>
  <c r="J360" i="55"/>
  <c r="M375" i="55"/>
  <c r="E361" i="55"/>
  <c r="B376" i="55"/>
  <c r="K361" i="55"/>
  <c r="H376" i="55"/>
  <c r="E360" i="55"/>
  <c r="B377" i="55"/>
  <c r="K360" i="55"/>
  <c r="H377" i="55"/>
  <c r="G361" i="55"/>
  <c r="B369" i="55"/>
  <c r="J376" i="55"/>
  <c r="J371" i="55"/>
  <c r="K375" i="55"/>
  <c r="K376" i="55"/>
  <c r="M363" i="55"/>
  <c r="H371" i="55"/>
  <c r="D376" i="55"/>
  <c r="H359" i="55"/>
  <c r="H361" i="55"/>
  <c r="J369" i="55"/>
  <c r="J363" i="55"/>
  <c r="J361" i="55"/>
  <c r="K371" i="55"/>
  <c r="K369" i="55"/>
  <c r="M379" i="55"/>
  <c r="M377" i="55"/>
  <c r="F31" i="34"/>
  <c r="F32" i="34"/>
  <c r="H36" i="34"/>
  <c r="F33" i="47" l="1"/>
  <c r="N230" i="69"/>
  <c r="N232" i="69"/>
  <c r="P226" i="69"/>
  <c r="N228" i="69"/>
  <c r="N234" i="69"/>
  <c r="P234" i="69"/>
  <c r="P235" i="69"/>
  <c r="J23" i="67"/>
  <c r="P229" i="69"/>
  <c r="P230" i="69"/>
  <c r="P233" i="69"/>
  <c r="N235" i="69"/>
  <c r="N257" i="67"/>
  <c r="N259" i="55"/>
  <c r="P259" i="55"/>
  <c r="P257" i="67"/>
  <c r="P263" i="69"/>
  <c r="P228" i="69"/>
  <c r="N231" i="69"/>
  <c r="N229" i="69"/>
  <c r="P232" i="69"/>
  <c r="N227" i="69"/>
  <c r="N233" i="69"/>
  <c r="N263" i="69"/>
  <c r="N226" i="69"/>
  <c r="P231" i="69"/>
  <c r="P227" i="69"/>
  <c r="F24" i="48"/>
  <c r="F32" i="48"/>
  <c r="F27" i="34"/>
  <c r="B12" i="44"/>
  <c r="C19" i="44" s="1"/>
  <c r="P290" i="68"/>
  <c r="D388" i="69"/>
  <c r="I29" i="69" s="1"/>
  <c r="J388" i="69"/>
  <c r="K29" i="69" s="1"/>
  <c r="N284" i="69"/>
  <c r="N370" i="69"/>
  <c r="P375" i="69"/>
  <c r="P367" i="69"/>
  <c r="P382" i="69"/>
  <c r="P368" i="69"/>
  <c r="P336" i="69"/>
  <c r="P325" i="69"/>
  <c r="P359" i="69"/>
  <c r="P334" i="69"/>
  <c r="P340" i="69"/>
  <c r="P352" i="69"/>
  <c r="P290" i="69"/>
  <c r="P376" i="69"/>
  <c r="P383" i="69"/>
  <c r="P360" i="69"/>
  <c r="P384" i="69"/>
  <c r="P378" i="69"/>
  <c r="P386" i="69"/>
  <c r="P366" i="69"/>
  <c r="P348" i="69"/>
  <c r="P306" i="69"/>
  <c r="P308" i="69"/>
  <c r="P292" i="69"/>
  <c r="P300" i="69"/>
  <c r="P314" i="69"/>
  <c r="N359" i="69"/>
  <c r="H388" i="69"/>
  <c r="E354" i="69"/>
  <c r="N328" i="69"/>
  <c r="N341" i="69"/>
  <c r="N324" i="69"/>
  <c r="N326" i="69"/>
  <c r="N308" i="69"/>
  <c r="N367" i="69"/>
  <c r="N382" i="69"/>
  <c r="N368" i="69"/>
  <c r="N342" i="69"/>
  <c r="N325" i="69"/>
  <c r="P341" i="69"/>
  <c r="P344" i="69"/>
  <c r="N334" i="69"/>
  <c r="P342" i="69"/>
  <c r="N349" i="69"/>
  <c r="P333" i="69"/>
  <c r="N310" i="69"/>
  <c r="E320" i="69"/>
  <c r="N294" i="69"/>
  <c r="N318" i="69"/>
  <c r="P298" i="69"/>
  <c r="J320" i="69"/>
  <c r="K27" i="69" s="1"/>
  <c r="H320" i="69"/>
  <c r="P307" i="69"/>
  <c r="N302" i="69"/>
  <c r="K320" i="69"/>
  <c r="P302" i="69"/>
  <c r="E388" i="69"/>
  <c r="N362" i="69"/>
  <c r="P362" i="69"/>
  <c r="G388" i="69"/>
  <c r="J29" i="69" s="1"/>
  <c r="N360" i="69"/>
  <c r="P374" i="69"/>
  <c r="N358" i="69"/>
  <c r="N366" i="69"/>
  <c r="M388" i="69"/>
  <c r="L29" i="69" s="1"/>
  <c r="P326" i="69"/>
  <c r="D354" i="69"/>
  <c r="I28" i="69" s="1"/>
  <c r="M354" i="69"/>
  <c r="L28" i="69" s="1"/>
  <c r="P324" i="69"/>
  <c r="N350" i="69"/>
  <c r="B354" i="69"/>
  <c r="P349" i="69"/>
  <c r="N336" i="69"/>
  <c r="N348" i="69"/>
  <c r="N332" i="69"/>
  <c r="P291" i="69"/>
  <c r="P299" i="69"/>
  <c r="P315" i="69"/>
  <c r="N292" i="69"/>
  <c r="N306" i="69"/>
  <c r="N375" i="69"/>
  <c r="N386" i="69"/>
  <c r="N376" i="69"/>
  <c r="N352" i="69"/>
  <c r="J354" i="69"/>
  <c r="K28" i="69" s="1"/>
  <c r="N307" i="69"/>
  <c r="N291" i="69"/>
  <c r="N314" i="69"/>
  <c r="N315" i="69"/>
  <c r="P310" i="69"/>
  <c r="N290" i="69"/>
  <c r="G320" i="69"/>
  <c r="J27" i="69" s="1"/>
  <c r="P294" i="69"/>
  <c r="N298" i="69"/>
  <c r="N378" i="69"/>
  <c r="B388" i="69"/>
  <c r="N374" i="69"/>
  <c r="P358" i="69"/>
  <c r="N383" i="69"/>
  <c r="P370" i="69"/>
  <c r="N384" i="69"/>
  <c r="N333" i="69"/>
  <c r="N340" i="69"/>
  <c r="P332" i="69"/>
  <c r="H354" i="69"/>
  <c r="P350" i="69"/>
  <c r="G354" i="69"/>
  <c r="J28" i="69" s="1"/>
  <c r="P328" i="69"/>
  <c r="N344" i="69"/>
  <c r="K354" i="69"/>
  <c r="P318" i="69"/>
  <c r="B320" i="69"/>
  <c r="N316" i="69"/>
  <c r="M320" i="69"/>
  <c r="L27" i="69" s="1"/>
  <c r="D320" i="69"/>
  <c r="I27" i="69" s="1"/>
  <c r="N299" i="69"/>
  <c r="N300" i="69"/>
  <c r="P316" i="69"/>
  <c r="K388" i="69"/>
  <c r="P321" i="68"/>
  <c r="P336" i="68"/>
  <c r="N356" i="68"/>
  <c r="D376" i="68"/>
  <c r="I28" i="68" s="1"/>
  <c r="J376" i="68"/>
  <c r="K28" i="68" s="1"/>
  <c r="M376" i="68"/>
  <c r="L28" i="68" s="1"/>
  <c r="N347" i="68"/>
  <c r="P358" i="68"/>
  <c r="N371" i="68"/>
  <c r="P370" i="68"/>
  <c r="P354" i="68"/>
  <c r="P363" i="68"/>
  <c r="P371" i="68"/>
  <c r="P362" i="68"/>
  <c r="P346" i="68"/>
  <c r="P372" i="68"/>
  <c r="G376" i="68"/>
  <c r="J28" i="68" s="1"/>
  <c r="P314" i="68"/>
  <c r="P304" i="68"/>
  <c r="B376" i="68"/>
  <c r="B28" i="68" s="1"/>
  <c r="N350" i="68"/>
  <c r="N374" i="68"/>
  <c r="P356" i="68"/>
  <c r="N358" i="68"/>
  <c r="P328" i="68"/>
  <c r="P332" i="68"/>
  <c r="P298" i="68"/>
  <c r="P280" i="68"/>
  <c r="P296" i="68"/>
  <c r="E376" i="68"/>
  <c r="C28" i="68" s="1"/>
  <c r="P355" i="68"/>
  <c r="P295" i="68"/>
  <c r="P364" i="68"/>
  <c r="G342" i="68"/>
  <c r="J27" i="68" s="1"/>
  <c r="P316" i="68"/>
  <c r="P340" i="68"/>
  <c r="N280" i="68"/>
  <c r="B308" i="68"/>
  <c r="N296" i="68"/>
  <c r="N370" i="68"/>
  <c r="N355" i="68"/>
  <c r="P350" i="68"/>
  <c r="K376" i="68"/>
  <c r="N314" i="68"/>
  <c r="N340" i="68"/>
  <c r="N337" i="68"/>
  <c r="N312" i="68"/>
  <c r="P338" i="68"/>
  <c r="N338" i="68"/>
  <c r="B342" i="68"/>
  <c r="P287" i="68"/>
  <c r="N295" i="68"/>
  <c r="P303" i="68"/>
  <c r="N286" i="68"/>
  <c r="N278" i="68"/>
  <c r="N363" i="68"/>
  <c r="N348" i="68"/>
  <c r="N362" i="68"/>
  <c r="P330" i="68"/>
  <c r="N329" i="68"/>
  <c r="P320" i="68"/>
  <c r="P322" i="68"/>
  <c r="H342" i="68"/>
  <c r="N322" i="68"/>
  <c r="P324" i="68"/>
  <c r="P286" i="68"/>
  <c r="D308" i="68"/>
  <c r="I26" i="68" s="1"/>
  <c r="P306" i="68"/>
  <c r="N306" i="68"/>
  <c r="N298" i="68"/>
  <c r="P278" i="68"/>
  <c r="N294" i="68"/>
  <c r="J308" i="68"/>
  <c r="K26" i="68" s="1"/>
  <c r="H308" i="68"/>
  <c r="M308" i="68"/>
  <c r="L26" i="68" s="1"/>
  <c r="N372" i="68"/>
  <c r="P366" i="68"/>
  <c r="K342" i="68"/>
  <c r="N332" i="68"/>
  <c r="N324" i="68"/>
  <c r="N313" i="68"/>
  <c r="N302" i="68"/>
  <c r="N290" i="68"/>
  <c r="P294" i="68"/>
  <c r="P282" i="68"/>
  <c r="G308" i="68"/>
  <c r="J26" i="68" s="1"/>
  <c r="N304" i="68"/>
  <c r="P347" i="68"/>
  <c r="P329" i="68"/>
  <c r="N328" i="68"/>
  <c r="N330" i="68"/>
  <c r="K308" i="68"/>
  <c r="E308" i="68"/>
  <c r="N282" i="68"/>
  <c r="P302" i="68"/>
  <c r="N303" i="68"/>
  <c r="N354" i="68"/>
  <c r="N364" i="68"/>
  <c r="P348" i="68"/>
  <c r="P374" i="68"/>
  <c r="N321" i="68"/>
  <c r="M342" i="68"/>
  <c r="L27" i="68" s="1"/>
  <c r="N336" i="68"/>
  <c r="P313" i="68"/>
  <c r="J342" i="68"/>
  <c r="K27" i="68" s="1"/>
  <c r="P312" i="68"/>
  <c r="E342" i="68"/>
  <c r="N316" i="68"/>
  <c r="P337" i="68"/>
  <c r="D342" i="68"/>
  <c r="I27" i="68" s="1"/>
  <c r="N320" i="68"/>
  <c r="N287" i="68"/>
  <c r="P288" i="68"/>
  <c r="N279" i="68"/>
  <c r="N288" i="68"/>
  <c r="P279" i="68"/>
  <c r="N366" i="68"/>
  <c r="N346" i="68"/>
  <c r="H376" i="68"/>
  <c r="P351" i="67"/>
  <c r="P367" i="55"/>
  <c r="E273" i="55"/>
  <c r="C24" i="55" s="1"/>
  <c r="F24" i="55" s="1"/>
  <c r="N367" i="67"/>
  <c r="P344" i="67"/>
  <c r="P333" i="67"/>
  <c r="P285" i="67"/>
  <c r="D305" i="67"/>
  <c r="I26" i="67" s="1"/>
  <c r="P300" i="67"/>
  <c r="P299" i="67"/>
  <c r="N377" i="55"/>
  <c r="P375" i="55"/>
  <c r="P308" i="55"/>
  <c r="P301" i="55"/>
  <c r="P361" i="67"/>
  <c r="P343" i="67"/>
  <c r="P292" i="67"/>
  <c r="B373" i="67"/>
  <c r="B28" i="67" s="1"/>
  <c r="P371" i="55"/>
  <c r="N360" i="67"/>
  <c r="N343" i="67"/>
  <c r="P359" i="67"/>
  <c r="P367" i="67"/>
  <c r="D373" i="67"/>
  <c r="I28" i="67" s="1"/>
  <c r="P353" i="67"/>
  <c r="M373" i="67"/>
  <c r="L28" i="67" s="1"/>
  <c r="J373" i="67"/>
  <c r="K28" i="67" s="1"/>
  <c r="P345" i="67"/>
  <c r="P335" i="55"/>
  <c r="P293" i="55"/>
  <c r="N303" i="55"/>
  <c r="N293" i="55"/>
  <c r="P369" i="67"/>
  <c r="P326" i="67"/>
  <c r="P325" i="67"/>
  <c r="P318" i="67"/>
  <c r="P283" i="67"/>
  <c r="P276" i="67"/>
  <c r="P275" i="67"/>
  <c r="P363" i="67"/>
  <c r="N363" i="67"/>
  <c r="N359" i="67"/>
  <c r="G339" i="67"/>
  <c r="J27" i="67" s="1"/>
  <c r="P313" i="67"/>
  <c r="P329" i="67"/>
  <c r="N325" i="67"/>
  <c r="N327" i="67"/>
  <c r="N303" i="67"/>
  <c r="P293" i="67"/>
  <c r="P287" i="67"/>
  <c r="H305" i="67"/>
  <c r="N284" i="67"/>
  <c r="N368" i="55"/>
  <c r="N344" i="67"/>
  <c r="M339" i="67"/>
  <c r="L27" i="67" s="1"/>
  <c r="P334" i="67"/>
  <c r="N310" i="67"/>
  <c r="N334" i="67"/>
  <c r="N326" i="67"/>
  <c r="N293" i="67"/>
  <c r="P284" i="67"/>
  <c r="N299" i="67"/>
  <c r="H27" i="48"/>
  <c r="H20" i="48" s="1"/>
  <c r="P377" i="55"/>
  <c r="N337" i="55"/>
  <c r="J347" i="55"/>
  <c r="K28" i="55" s="1"/>
  <c r="B26" i="47"/>
  <c r="D24" i="47" s="1"/>
  <c r="P318" i="55"/>
  <c r="P333" i="55"/>
  <c r="P325" i="55"/>
  <c r="P345" i="55"/>
  <c r="P327" i="55"/>
  <c r="N308" i="55"/>
  <c r="N311" i="55"/>
  <c r="P311" i="55"/>
  <c r="N299" i="55"/>
  <c r="J313" i="55"/>
  <c r="K27" i="55" s="1"/>
  <c r="H313" i="55"/>
  <c r="D27" i="55" s="1"/>
  <c r="P376" i="55"/>
  <c r="P371" i="67"/>
  <c r="P360" i="67"/>
  <c r="N353" i="67"/>
  <c r="P355" i="67"/>
  <c r="P321" i="67"/>
  <c r="P310" i="67"/>
  <c r="N319" i="67"/>
  <c r="N311" i="67"/>
  <c r="H339" i="67"/>
  <c r="J339" i="67"/>
  <c r="K27" i="67" s="1"/>
  <c r="P317" i="67"/>
  <c r="P327" i="67"/>
  <c r="P309" i="67"/>
  <c r="E339" i="67"/>
  <c r="N313" i="67"/>
  <c r="N333" i="67"/>
  <c r="N300" i="67"/>
  <c r="N301" i="67"/>
  <c r="N291" i="67"/>
  <c r="N283" i="67"/>
  <c r="N276" i="67"/>
  <c r="K373" i="67"/>
  <c r="E373" i="67"/>
  <c r="N347" i="67"/>
  <c r="G373" i="67"/>
  <c r="J28" i="67" s="1"/>
  <c r="P347" i="67"/>
  <c r="N371" i="67"/>
  <c r="N321" i="67"/>
  <c r="N275" i="67"/>
  <c r="N292" i="67"/>
  <c r="H373" i="67"/>
  <c r="N345" i="67"/>
  <c r="N309" i="67"/>
  <c r="B339" i="67"/>
  <c r="P319" i="67"/>
  <c r="J305" i="67"/>
  <c r="K26" i="67" s="1"/>
  <c r="G305" i="67"/>
  <c r="J26" i="67" s="1"/>
  <c r="P279" i="67"/>
  <c r="N295" i="67"/>
  <c r="P301" i="67"/>
  <c r="N351" i="67"/>
  <c r="F37" i="34"/>
  <c r="J381" i="55"/>
  <c r="K29" i="55" s="1"/>
  <c r="P334" i="55"/>
  <c r="P326" i="55"/>
  <c r="P343" i="55"/>
  <c r="N327" i="55"/>
  <c r="P295" i="55"/>
  <c r="N309" i="55"/>
  <c r="P309" i="55"/>
  <c r="N295" i="55"/>
  <c r="N307" i="55"/>
  <c r="N351" i="55"/>
  <c r="P368" i="67"/>
  <c r="N352" i="67"/>
  <c r="N368" i="67"/>
  <c r="P352" i="67"/>
  <c r="N361" i="67"/>
  <c r="N329" i="67"/>
  <c r="K339" i="67"/>
  <c r="P335" i="67"/>
  <c r="D339" i="67"/>
  <c r="I27" i="67" s="1"/>
  <c r="N317" i="67"/>
  <c r="P337" i="67"/>
  <c r="P311" i="67"/>
  <c r="N318" i="67"/>
  <c r="N335" i="67"/>
  <c r="N337" i="67"/>
  <c r="P277" i="67"/>
  <c r="M305" i="67"/>
  <c r="L26" i="67" s="1"/>
  <c r="N285" i="67"/>
  <c r="B305" i="67"/>
  <c r="N287" i="67"/>
  <c r="P291" i="67"/>
  <c r="N277" i="67"/>
  <c r="K305" i="67"/>
  <c r="E305" i="67"/>
  <c r="N279" i="67"/>
  <c r="P295" i="67"/>
  <c r="P303" i="67"/>
  <c r="N369" i="67"/>
  <c r="N355" i="67"/>
  <c r="P360" i="55"/>
  <c r="P352" i="55"/>
  <c r="N352" i="55"/>
  <c r="N359" i="55"/>
  <c r="N363" i="55"/>
  <c r="N367" i="55"/>
  <c r="P351" i="55"/>
  <c r="N369" i="55"/>
  <c r="H381" i="55"/>
  <c r="D29" i="55" s="1"/>
  <c r="M381" i="55"/>
  <c r="L29" i="55" s="1"/>
  <c r="N353" i="55"/>
  <c r="N360" i="55"/>
  <c r="N361" i="55"/>
  <c r="D381" i="55"/>
  <c r="I29" i="55" s="1"/>
  <c r="N379" i="55"/>
  <c r="P369" i="55"/>
  <c r="P359" i="55"/>
  <c r="K381" i="55"/>
  <c r="E29" i="55" s="1"/>
  <c r="N321" i="55"/>
  <c r="E347" i="55"/>
  <c r="C28" i="55" s="1"/>
  <c r="H347" i="55"/>
  <c r="D28" i="55" s="1"/>
  <c r="D347" i="55"/>
  <c r="N343" i="55"/>
  <c r="N345" i="55"/>
  <c r="P307" i="55"/>
  <c r="P299" i="55"/>
  <c r="N371" i="55"/>
  <c r="G381" i="55"/>
  <c r="J29" i="55" s="1"/>
  <c r="P355" i="55"/>
  <c r="P368" i="55"/>
  <c r="N329" i="55"/>
  <c r="N333" i="55"/>
  <c r="N325" i="55"/>
  <c r="N341" i="55"/>
  <c r="N342" i="55"/>
  <c r="P319" i="55"/>
  <c r="N292" i="55"/>
  <c r="E313" i="55"/>
  <c r="C27" i="55" s="1"/>
  <c r="G313" i="55"/>
  <c r="J27" i="55" s="1"/>
  <c r="P300" i="55"/>
  <c r="N376" i="55"/>
  <c r="E381" i="55"/>
  <c r="C29" i="55" s="1"/>
  <c r="N355" i="55"/>
  <c r="B30" i="47"/>
  <c r="P321" i="55"/>
  <c r="G347" i="55"/>
  <c r="J28" i="55" s="1"/>
  <c r="N291" i="55"/>
  <c r="P353" i="55"/>
  <c r="P329" i="55"/>
  <c r="C20" i="43"/>
  <c r="B381" i="55"/>
  <c r="B29" i="55" s="1"/>
  <c r="P361" i="55"/>
  <c r="P363" i="55"/>
  <c r="P337" i="55"/>
  <c r="K347" i="55"/>
  <c r="E28" i="55" s="1"/>
  <c r="M347" i="55"/>
  <c r="L28" i="55" s="1"/>
  <c r="N334" i="55"/>
  <c r="N326" i="55"/>
  <c r="N318" i="55"/>
  <c r="P341" i="55"/>
  <c r="N335" i="55"/>
  <c r="N319" i="55"/>
  <c r="P342" i="55"/>
  <c r="B347" i="55"/>
  <c r="P292" i="55"/>
  <c r="N300" i="55"/>
  <c r="D313" i="55"/>
  <c r="I27" i="55" s="1"/>
  <c r="N301" i="55"/>
  <c r="B313" i="55"/>
  <c r="B27" i="55" s="1"/>
  <c r="P303" i="55"/>
  <c r="P291" i="55"/>
  <c r="K313" i="55"/>
  <c r="E27" i="55" s="1"/>
  <c r="M313" i="55"/>
  <c r="L27" i="55" s="1"/>
  <c r="P379" i="55"/>
  <c r="N375" i="55"/>
  <c r="H31" i="34"/>
  <c r="H23" i="34" s="1"/>
  <c r="F33" i="34"/>
  <c r="F28" i="48"/>
  <c r="M229" i="67" l="1"/>
  <c r="G229" i="67"/>
  <c r="H228" i="67"/>
  <c r="B228" i="67"/>
  <c r="H227" i="67"/>
  <c r="B227" i="67"/>
  <c r="H226" i="67"/>
  <c r="B226" i="67"/>
  <c r="H225" i="67"/>
  <c r="B225" i="67"/>
  <c r="H224" i="67"/>
  <c r="B224" i="67"/>
  <c r="H223" i="67"/>
  <c r="B223" i="67"/>
  <c r="H222" i="67"/>
  <c r="B222" i="67"/>
  <c r="H221" i="67"/>
  <c r="B221" i="67"/>
  <c r="J220" i="67"/>
  <c r="D220" i="67"/>
  <c r="K229" i="67"/>
  <c r="E229" i="67"/>
  <c r="M228" i="67"/>
  <c r="G228" i="67"/>
  <c r="M227" i="67"/>
  <c r="G227" i="67"/>
  <c r="M226" i="67"/>
  <c r="G226" i="67"/>
  <c r="M225" i="67"/>
  <c r="G225" i="67"/>
  <c r="M224" i="67"/>
  <c r="G224" i="67"/>
  <c r="M223" i="67"/>
  <c r="G223" i="67"/>
  <c r="M222" i="67"/>
  <c r="G222" i="67"/>
  <c r="M221" i="67"/>
  <c r="G221" i="67"/>
  <c r="H220" i="67"/>
  <c r="B220" i="67"/>
  <c r="J229" i="67"/>
  <c r="K228" i="67"/>
  <c r="K227" i="67"/>
  <c r="K226" i="67"/>
  <c r="K225" i="67"/>
  <c r="K224" i="67"/>
  <c r="K223" i="67"/>
  <c r="K222" i="67"/>
  <c r="K221" i="67"/>
  <c r="M220" i="67"/>
  <c r="H229" i="67"/>
  <c r="J228" i="67"/>
  <c r="D229" i="67"/>
  <c r="E228" i="67"/>
  <c r="E227" i="67"/>
  <c r="E226" i="67"/>
  <c r="E225" i="67"/>
  <c r="N225" i="67" s="1"/>
  <c r="E224" i="67"/>
  <c r="E223" i="67"/>
  <c r="E222" i="67"/>
  <c r="E221" i="67"/>
  <c r="N221" i="67" s="1"/>
  <c r="G220" i="67"/>
  <c r="D228" i="67"/>
  <c r="D226" i="67"/>
  <c r="D224" i="67"/>
  <c r="D222" i="67"/>
  <c r="E220" i="67"/>
  <c r="J227" i="67"/>
  <c r="J225" i="67"/>
  <c r="J223" i="67"/>
  <c r="J221" i="67"/>
  <c r="D227" i="67"/>
  <c r="D225" i="67"/>
  <c r="D223" i="67"/>
  <c r="D221" i="67"/>
  <c r="B229" i="67"/>
  <c r="J226" i="67"/>
  <c r="J224" i="67"/>
  <c r="J222" i="67"/>
  <c r="K220" i="67"/>
  <c r="M231" i="55"/>
  <c r="G231" i="55"/>
  <c r="M230" i="55"/>
  <c r="G230" i="55"/>
  <c r="M229" i="55"/>
  <c r="G229" i="55"/>
  <c r="M228" i="55"/>
  <c r="G228" i="55"/>
  <c r="M227" i="55"/>
  <c r="G227" i="55"/>
  <c r="K231" i="55"/>
  <c r="E231" i="55"/>
  <c r="K230" i="55"/>
  <c r="E230" i="55"/>
  <c r="K229" i="55"/>
  <c r="E229" i="55"/>
  <c r="K228" i="55"/>
  <c r="E228" i="55"/>
  <c r="K227" i="55"/>
  <c r="E227" i="55"/>
  <c r="D231" i="55"/>
  <c r="D230" i="55"/>
  <c r="D229" i="55"/>
  <c r="D228" i="55"/>
  <c r="D227" i="55"/>
  <c r="J226" i="55"/>
  <c r="D226" i="55"/>
  <c r="J225" i="55"/>
  <c r="D225" i="55"/>
  <c r="J224" i="55"/>
  <c r="D224" i="55"/>
  <c r="J223" i="55"/>
  <c r="D223" i="55"/>
  <c r="J222" i="55"/>
  <c r="D222" i="55"/>
  <c r="J231" i="55"/>
  <c r="J230" i="55"/>
  <c r="J229" i="55"/>
  <c r="J228" i="55"/>
  <c r="J227" i="55"/>
  <c r="M226" i="55"/>
  <c r="G226" i="55"/>
  <c r="M225" i="55"/>
  <c r="G225" i="55"/>
  <c r="M224" i="55"/>
  <c r="G224" i="55"/>
  <c r="M223" i="55"/>
  <c r="G223" i="55"/>
  <c r="M222" i="55"/>
  <c r="G222" i="55"/>
  <c r="B231" i="55"/>
  <c r="B229" i="55"/>
  <c r="B227" i="55"/>
  <c r="B226" i="55"/>
  <c r="B225" i="55"/>
  <c r="B224" i="55"/>
  <c r="B223" i="55"/>
  <c r="B222" i="55"/>
  <c r="H230" i="55"/>
  <c r="H228" i="55"/>
  <c r="K226" i="55"/>
  <c r="K225" i="55"/>
  <c r="K224" i="55"/>
  <c r="K223" i="55"/>
  <c r="K222" i="55"/>
  <c r="B230" i="55"/>
  <c r="B228" i="55"/>
  <c r="H226" i="55"/>
  <c r="H225" i="55"/>
  <c r="H224" i="55"/>
  <c r="H223" i="55"/>
  <c r="H222" i="55"/>
  <c r="H231" i="55"/>
  <c r="H229" i="55"/>
  <c r="H227" i="55"/>
  <c r="E226" i="55"/>
  <c r="E225" i="55"/>
  <c r="E224" i="55"/>
  <c r="E223" i="55"/>
  <c r="E222" i="55"/>
  <c r="K260" i="68"/>
  <c r="G260" i="68"/>
  <c r="J260" i="68"/>
  <c r="E260" i="68"/>
  <c r="D260" i="68"/>
  <c r="M260" i="68"/>
  <c r="B260" i="68"/>
  <c r="H260" i="68"/>
  <c r="H202" i="67"/>
  <c r="H198" i="67"/>
  <c r="H196" i="67"/>
  <c r="H195" i="67"/>
  <c r="H194" i="67"/>
  <c r="H190" i="67"/>
  <c r="H188" i="67"/>
  <c r="H187" i="67"/>
  <c r="H204" i="67"/>
  <c r="H203" i="67"/>
  <c r="H206" i="67"/>
  <c r="H206" i="55"/>
  <c r="H208" i="55"/>
  <c r="H198" i="55"/>
  <c r="H200" i="55"/>
  <c r="H204" i="55"/>
  <c r="H196" i="55"/>
  <c r="H197" i="55"/>
  <c r="H205" i="55"/>
  <c r="I28" i="55"/>
  <c r="B28" i="55"/>
  <c r="N286" i="69"/>
  <c r="F25" i="69" s="1"/>
  <c r="M27" i="69"/>
  <c r="P320" i="69"/>
  <c r="E29" i="69"/>
  <c r="M29" i="69"/>
  <c r="C29" i="69"/>
  <c r="C27" i="69"/>
  <c r="E28" i="69"/>
  <c r="P354" i="69"/>
  <c r="P388" i="69"/>
  <c r="E27" i="69"/>
  <c r="D29" i="69"/>
  <c r="N388" i="69"/>
  <c r="C28" i="69"/>
  <c r="B27" i="69"/>
  <c r="M28" i="69"/>
  <c r="D28" i="69"/>
  <c r="B29" i="69"/>
  <c r="B28" i="69"/>
  <c r="D27" i="69"/>
  <c r="N320" i="69"/>
  <c r="N354" i="69"/>
  <c r="M28" i="68"/>
  <c r="N376" i="68"/>
  <c r="P342" i="68"/>
  <c r="D26" i="68"/>
  <c r="D27" i="68"/>
  <c r="B27" i="68"/>
  <c r="E28" i="68"/>
  <c r="D28" i="68"/>
  <c r="M26" i="68"/>
  <c r="P376" i="68"/>
  <c r="D17" i="47"/>
  <c r="N342" i="68"/>
  <c r="N308" i="68"/>
  <c r="E27" i="68"/>
  <c r="B26" i="68"/>
  <c r="C27" i="68"/>
  <c r="C26" i="68"/>
  <c r="E26" i="68"/>
  <c r="P308" i="68"/>
  <c r="M27" i="68"/>
  <c r="M28" i="67"/>
  <c r="N273" i="55"/>
  <c r="P373" i="67"/>
  <c r="M29" i="55"/>
  <c r="P305" i="67"/>
  <c r="N305" i="67"/>
  <c r="E28" i="67"/>
  <c r="D26" i="67"/>
  <c r="M27" i="67"/>
  <c r="D18" i="47"/>
  <c r="C26" i="67"/>
  <c r="E26" i="67"/>
  <c r="M26" i="67"/>
  <c r="B26" i="67"/>
  <c r="B27" i="67"/>
  <c r="C27" i="67"/>
  <c r="P339" i="67"/>
  <c r="C28" i="67"/>
  <c r="D25" i="47"/>
  <c r="E27" i="67"/>
  <c r="D28" i="67"/>
  <c r="N373" i="67"/>
  <c r="N339" i="67"/>
  <c r="D27" i="67"/>
  <c r="D29" i="47"/>
  <c r="F29" i="47" s="1"/>
  <c r="P347" i="55"/>
  <c r="F29" i="55"/>
  <c r="F28" i="55"/>
  <c r="P381" i="55"/>
  <c r="N347" i="55"/>
  <c r="M28" i="55"/>
  <c r="N381" i="55"/>
  <c r="P285" i="55"/>
  <c r="N283" i="55"/>
  <c r="P287" i="55"/>
  <c r="P313" i="55" s="1"/>
  <c r="N284" i="55"/>
  <c r="N285" i="55"/>
  <c r="P284" i="55"/>
  <c r="P283" i="55"/>
  <c r="N287" i="55"/>
  <c r="N313" i="55" s="1"/>
  <c r="N317" i="55"/>
  <c r="P317" i="55"/>
  <c r="D20" i="47" l="1"/>
  <c r="N223" i="67"/>
  <c r="P223" i="55"/>
  <c r="P225" i="55"/>
  <c r="N227" i="55"/>
  <c r="P228" i="55"/>
  <c r="N226" i="67"/>
  <c r="P222" i="67"/>
  <c r="P224" i="67"/>
  <c r="P226" i="67"/>
  <c r="P225" i="67"/>
  <c r="N229" i="55"/>
  <c r="N225" i="55"/>
  <c r="P230" i="55"/>
  <c r="N260" i="68"/>
  <c r="N226" i="55"/>
  <c r="N222" i="67"/>
  <c r="N223" i="55"/>
  <c r="P220" i="67"/>
  <c r="N224" i="67"/>
  <c r="N228" i="67"/>
  <c r="P221" i="67"/>
  <c r="P223" i="67"/>
  <c r="P227" i="67"/>
  <c r="N229" i="67"/>
  <c r="P229" i="67"/>
  <c r="P228" i="67"/>
  <c r="N222" i="55"/>
  <c r="N231" i="55"/>
  <c r="N220" i="67"/>
  <c r="P260" i="68"/>
  <c r="N224" i="55"/>
  <c r="P226" i="55"/>
  <c r="P222" i="55"/>
  <c r="P224" i="55"/>
  <c r="N228" i="55"/>
  <c r="N230" i="55"/>
  <c r="P227" i="55"/>
  <c r="P229" i="55"/>
  <c r="P231" i="55"/>
  <c r="N227" i="67"/>
  <c r="F29" i="69"/>
  <c r="F28" i="69"/>
  <c r="F27" i="69"/>
  <c r="F27" i="68"/>
  <c r="F28" i="68"/>
  <c r="F26" i="68"/>
  <c r="F24" i="47"/>
  <c r="F16" i="47" s="1"/>
  <c r="F27" i="67"/>
  <c r="D26" i="47"/>
  <c r="F28" i="67"/>
  <c r="F26" i="67"/>
  <c r="D30" i="47"/>
  <c r="J23" i="23"/>
  <c r="J22" i="23"/>
  <c r="M27" i="55"/>
  <c r="J232" i="68" l="1"/>
  <c r="D232" i="68"/>
  <c r="J231" i="68"/>
  <c r="D231" i="68"/>
  <c r="J230" i="68"/>
  <c r="D230" i="68"/>
  <c r="J229" i="68"/>
  <c r="D229" i="68"/>
  <c r="J228" i="68"/>
  <c r="D228" i="68"/>
  <c r="J227" i="68"/>
  <c r="D227" i="68"/>
  <c r="J226" i="68"/>
  <c r="D226" i="68"/>
  <c r="J225" i="68"/>
  <c r="D225" i="68"/>
  <c r="J224" i="68"/>
  <c r="D224" i="68"/>
  <c r="J223" i="68"/>
  <c r="D223" i="68"/>
  <c r="H232" i="68"/>
  <c r="B232" i="68"/>
  <c r="H231" i="68"/>
  <c r="B231" i="68"/>
  <c r="H230" i="68"/>
  <c r="B230" i="68"/>
  <c r="H229" i="68"/>
  <c r="B229" i="68"/>
  <c r="H228" i="68"/>
  <c r="B228" i="68"/>
  <c r="H227" i="68"/>
  <c r="B227" i="68"/>
  <c r="H226" i="68"/>
  <c r="B226" i="68"/>
  <c r="H225" i="68"/>
  <c r="B225" i="68"/>
  <c r="H224" i="68"/>
  <c r="B224" i="68"/>
  <c r="H223" i="68"/>
  <c r="B223" i="68"/>
  <c r="G232" i="68"/>
  <c r="G231" i="68"/>
  <c r="G230" i="68"/>
  <c r="G229" i="68"/>
  <c r="G228" i="68"/>
  <c r="G227" i="68"/>
  <c r="G226" i="68"/>
  <c r="G225" i="68"/>
  <c r="G224" i="68"/>
  <c r="G223" i="68"/>
  <c r="E232" i="68"/>
  <c r="E231" i="68"/>
  <c r="E230" i="68"/>
  <c r="E229" i="68"/>
  <c r="E228" i="68"/>
  <c r="E227" i="68"/>
  <c r="E226" i="68"/>
  <c r="E225" i="68"/>
  <c r="E224" i="68"/>
  <c r="E223" i="68"/>
  <c r="M232" i="68"/>
  <c r="M231" i="68"/>
  <c r="M230" i="68"/>
  <c r="M229" i="68"/>
  <c r="M228" i="68"/>
  <c r="M227" i="68"/>
  <c r="M226" i="68"/>
  <c r="M225" i="68"/>
  <c r="M224" i="68"/>
  <c r="M223" i="68"/>
  <c r="K231" i="68"/>
  <c r="K227" i="68"/>
  <c r="K223" i="68"/>
  <c r="K230" i="68"/>
  <c r="K226" i="68"/>
  <c r="K229" i="68"/>
  <c r="K225" i="68"/>
  <c r="K232" i="68"/>
  <c r="K228" i="68"/>
  <c r="K224" i="68"/>
  <c r="H205" i="68"/>
  <c r="H201" i="68"/>
  <c r="H199" i="68"/>
  <c r="H198" i="68"/>
  <c r="H197" i="68"/>
  <c r="H193" i="68"/>
  <c r="H191" i="68"/>
  <c r="H190" i="68"/>
  <c r="H206" i="68"/>
  <c r="H209" i="68"/>
  <c r="H207" i="68"/>
  <c r="F27" i="55"/>
  <c r="N224" i="68" l="1"/>
  <c r="N232" i="68"/>
  <c r="N229" i="68"/>
  <c r="P227" i="68"/>
  <c r="N228" i="68"/>
  <c r="P226" i="68"/>
  <c r="P223" i="68"/>
  <c r="N226" i="68"/>
  <c r="P224" i="68"/>
  <c r="P232" i="68"/>
  <c r="N230" i="68"/>
  <c r="P228" i="68"/>
  <c r="P230" i="68"/>
  <c r="N225" i="68"/>
  <c r="P231" i="68"/>
  <c r="N223" i="68"/>
  <c r="N227" i="68"/>
  <c r="N231" i="68"/>
  <c r="P225" i="68"/>
  <c r="P229" i="68"/>
  <c r="C18" i="84"/>
  <c r="AE104" i="14"/>
  <c r="B10" i="23" s="1"/>
  <c r="C20" i="23" s="1"/>
  <c r="V20" i="23" s="1"/>
  <c r="AE90" i="14"/>
  <c r="B11" i="23" s="1"/>
  <c r="W20" i="23" l="1"/>
  <c r="AC20" i="23"/>
  <c r="Q20" i="23"/>
  <c r="J20" i="23"/>
  <c r="AB20" i="23"/>
  <c r="K20" i="23"/>
  <c r="P20" i="23"/>
  <c r="AE82" i="14"/>
  <c r="B8" i="23" s="1"/>
  <c r="C18" i="23" s="1"/>
  <c r="AE130" i="14"/>
  <c r="AE122" i="14" l="1"/>
  <c r="AE143" i="14"/>
  <c r="C15" i="21" s="1"/>
  <c r="AE145" i="14"/>
  <c r="B13" i="23"/>
  <c r="C21" i="23" s="1"/>
  <c r="AE116" i="14"/>
  <c r="AE114" i="14"/>
  <c r="B8" i="22" s="1"/>
  <c r="C17" i="22" s="1"/>
  <c r="AE84" i="14"/>
  <c r="B9" i="23" s="1"/>
  <c r="C19" i="23" s="1"/>
  <c r="J19" i="23" s="1"/>
  <c r="Q18" i="23"/>
  <c r="P18" i="23"/>
  <c r="W18" i="23"/>
  <c r="AB18" i="23"/>
  <c r="AC18" i="23"/>
  <c r="V18" i="23"/>
  <c r="K18" i="23"/>
  <c r="J18" i="23"/>
  <c r="B10" i="22"/>
  <c r="S64" i="14" l="1"/>
  <c r="G202" i="67" s="1"/>
  <c r="C10" i="13"/>
  <c r="C16" i="13" s="1"/>
  <c r="B12" i="22"/>
  <c r="C19" i="22" s="1"/>
  <c r="J19" i="22" s="1"/>
  <c r="J20" i="22" s="1"/>
  <c r="C12" i="21"/>
  <c r="J12" i="21" s="1"/>
  <c r="P19" i="23"/>
  <c r="Q19" i="23"/>
  <c r="B9" i="22"/>
  <c r="C18" i="22" s="1"/>
  <c r="W18" i="22" s="1"/>
  <c r="AB19" i="23"/>
  <c r="W19" i="23"/>
  <c r="K19" i="23"/>
  <c r="V19" i="23"/>
  <c r="AC19" i="23"/>
  <c r="C11" i="21"/>
  <c r="J11" i="21" s="1"/>
  <c r="AB21" i="23"/>
  <c r="P21" i="23"/>
  <c r="V21" i="23"/>
  <c r="D21" i="23"/>
  <c r="G192" i="55"/>
  <c r="E184" i="55"/>
  <c r="J190" i="68"/>
  <c r="G183" i="68"/>
  <c r="D206" i="68"/>
  <c r="E191" i="68"/>
  <c r="D191" i="68"/>
  <c r="B182" i="68"/>
  <c r="G207" i="68"/>
  <c r="B209" i="68"/>
  <c r="J25" i="23"/>
  <c r="B26" i="21" s="1"/>
  <c r="J17" i="22"/>
  <c r="AB17" i="22"/>
  <c r="W17" i="22"/>
  <c r="K17" i="22"/>
  <c r="AC17" i="22"/>
  <c r="Q17" i="22"/>
  <c r="V17" i="22"/>
  <c r="P17" i="22"/>
  <c r="B9" i="24"/>
  <c r="C15" i="24" s="1"/>
  <c r="C14" i="21"/>
  <c r="AB16" i="13" l="1"/>
  <c r="V16" i="13"/>
  <c r="P16" i="13"/>
  <c r="J16" i="13"/>
  <c r="D16" i="13"/>
  <c r="K198" i="68"/>
  <c r="K180" i="55"/>
  <c r="G201" i="68"/>
  <c r="B183" i="68"/>
  <c r="M197" i="55"/>
  <c r="K205" i="55"/>
  <c r="J188" i="67"/>
  <c r="D183" i="68"/>
  <c r="E199" i="68"/>
  <c r="B198" i="68"/>
  <c r="E198" i="55"/>
  <c r="G200" i="55"/>
  <c r="K206" i="68"/>
  <c r="G205" i="68"/>
  <c r="D207" i="68"/>
  <c r="K181" i="68"/>
  <c r="K201" i="68"/>
  <c r="J200" i="55"/>
  <c r="D190" i="55"/>
  <c r="B188" i="55"/>
  <c r="M190" i="67"/>
  <c r="B8" i="44"/>
  <c r="B8" i="85"/>
  <c r="K209" i="68"/>
  <c r="J183" i="68"/>
  <c r="D201" i="68"/>
  <c r="G206" i="68"/>
  <c r="M197" i="68"/>
  <c r="K189" i="68"/>
  <c r="M208" i="55"/>
  <c r="E200" i="55"/>
  <c r="E192" i="55"/>
  <c r="D206" i="67"/>
  <c r="G196" i="55"/>
  <c r="E182" i="55"/>
  <c r="G180" i="55"/>
  <c r="M182" i="55"/>
  <c r="B202" i="67"/>
  <c r="E207" i="68"/>
  <c r="B185" i="68"/>
  <c r="G193" i="68"/>
  <c r="D199" i="68"/>
  <c r="E205" i="68"/>
  <c r="H185" i="68"/>
  <c r="H211" i="68" s="1"/>
  <c r="D16" i="68" s="1"/>
  <c r="M205" i="68"/>
  <c r="J193" i="68"/>
  <c r="M192" i="55"/>
  <c r="B184" i="55"/>
  <c r="J198" i="55"/>
  <c r="B196" i="55"/>
  <c r="B206" i="55"/>
  <c r="D206" i="55"/>
  <c r="G179" i="67"/>
  <c r="K182" i="67"/>
  <c r="D179" i="67"/>
  <c r="K185" i="68"/>
  <c r="G191" i="68"/>
  <c r="D189" i="68"/>
  <c r="E190" i="68"/>
  <c r="G209" i="68"/>
  <c r="H183" i="68"/>
  <c r="M191" i="68"/>
  <c r="B197" i="68"/>
  <c r="H181" i="68"/>
  <c r="D188" i="55"/>
  <c r="K200" i="55"/>
  <c r="M188" i="55"/>
  <c r="H190" i="55"/>
  <c r="G181" i="55"/>
  <c r="G205" i="55"/>
  <c r="J204" i="55"/>
  <c r="E197" i="55"/>
  <c r="M206" i="67"/>
  <c r="K190" i="67"/>
  <c r="M188" i="67"/>
  <c r="D187" i="67"/>
  <c r="M178" i="67"/>
  <c r="J184" i="55"/>
  <c r="D208" i="55"/>
  <c r="M184" i="55"/>
  <c r="E206" i="67"/>
  <c r="E179" i="67"/>
  <c r="J178" i="67"/>
  <c r="B186" i="67"/>
  <c r="E202" i="67"/>
  <c r="K203" i="67"/>
  <c r="J202" i="67"/>
  <c r="K187" i="67"/>
  <c r="D198" i="67"/>
  <c r="G195" i="67"/>
  <c r="E194" i="69"/>
  <c r="E196" i="67"/>
  <c r="E178" i="67"/>
  <c r="G188" i="67"/>
  <c r="G182" i="67"/>
  <c r="B194" i="67"/>
  <c r="B178" i="67"/>
  <c r="D190" i="67"/>
  <c r="G180" i="67"/>
  <c r="B206" i="67"/>
  <c r="K195" i="67"/>
  <c r="K186" i="67"/>
  <c r="M195" i="67"/>
  <c r="J179" i="67"/>
  <c r="D182" i="67"/>
  <c r="J196" i="67"/>
  <c r="J186" i="67"/>
  <c r="K179" i="67"/>
  <c r="B203" i="67"/>
  <c r="M204" i="67"/>
  <c r="B204" i="67"/>
  <c r="E190" i="67"/>
  <c r="G194" i="67"/>
  <c r="B182" i="67"/>
  <c r="B187" i="67"/>
  <c r="D195" i="67"/>
  <c r="B180" i="67"/>
  <c r="K194" i="67"/>
  <c r="M198" i="67"/>
  <c r="M187" i="67"/>
  <c r="H186" i="67"/>
  <c r="J190" i="67"/>
  <c r="D180" i="67"/>
  <c r="K204" i="67"/>
  <c r="J206" i="67"/>
  <c r="D203" i="67"/>
  <c r="K181" i="55"/>
  <c r="B208" i="55"/>
  <c r="B192" i="55"/>
  <c r="D200" i="55"/>
  <c r="M196" i="55"/>
  <c r="J181" i="55"/>
  <c r="H184" i="55"/>
  <c r="B200" i="55"/>
  <c r="G206" i="55"/>
  <c r="G190" i="55"/>
  <c r="J188" i="55"/>
  <c r="G184" i="55"/>
  <c r="B205" i="55"/>
  <c r="H189" i="55"/>
  <c r="J208" i="55"/>
  <c r="J192" i="55"/>
  <c r="D204" i="55"/>
  <c r="B181" i="55"/>
  <c r="B197" i="55"/>
  <c r="K192" i="55"/>
  <c r="M198" i="55"/>
  <c r="D196" i="55"/>
  <c r="K205" i="68"/>
  <c r="K193" i="68"/>
  <c r="J201" i="68"/>
  <c r="J191" i="68"/>
  <c r="B201" i="68"/>
  <c r="B190" i="68"/>
  <c r="M201" i="68"/>
  <c r="M193" i="68"/>
  <c r="D182" i="68"/>
  <c r="J185" i="68"/>
  <c r="E185" i="68"/>
  <c r="M206" i="68"/>
  <c r="D209" i="68"/>
  <c r="E201" i="68"/>
  <c r="E193" i="68"/>
  <c r="B181" i="68"/>
  <c r="D198" i="68"/>
  <c r="D190" i="68"/>
  <c r="E181" i="68"/>
  <c r="G198" i="68"/>
  <c r="G190" i="68"/>
  <c r="E183" i="68"/>
  <c r="M182" i="68"/>
  <c r="M183" i="68"/>
  <c r="B206" i="68"/>
  <c r="J206" i="68"/>
  <c r="J209" i="68"/>
  <c r="E209" i="68"/>
  <c r="N209" i="68" s="1"/>
  <c r="K207" i="68"/>
  <c r="G185" i="68"/>
  <c r="M185" i="68"/>
  <c r="G182" i="68"/>
  <c r="G197" i="68"/>
  <c r="H189" i="68"/>
  <c r="D193" i="68"/>
  <c r="D205" i="68"/>
  <c r="E197" i="68"/>
  <c r="D181" i="68"/>
  <c r="B207" i="68"/>
  <c r="D185" i="68"/>
  <c r="J182" i="68"/>
  <c r="M189" i="68"/>
  <c r="M198" i="68"/>
  <c r="B189" i="68"/>
  <c r="B205" i="68"/>
  <c r="J198" i="68"/>
  <c r="K190" i="68"/>
  <c r="N190" i="68" s="1"/>
  <c r="J181" i="68"/>
  <c r="M190" i="55"/>
  <c r="M205" i="55"/>
  <c r="E205" i="55"/>
  <c r="D184" i="55"/>
  <c r="H188" i="55"/>
  <c r="J206" i="55"/>
  <c r="K208" i="55"/>
  <c r="E181" i="55"/>
  <c r="E204" i="55"/>
  <c r="G198" i="55"/>
  <c r="E189" i="55"/>
  <c r="H181" i="55"/>
  <c r="E196" i="55"/>
  <c r="D189" i="55"/>
  <c r="B190" i="55"/>
  <c r="K184" i="55"/>
  <c r="M181" i="55"/>
  <c r="G204" i="67"/>
  <c r="J203" i="67"/>
  <c r="M182" i="67"/>
  <c r="J194" i="67"/>
  <c r="H180" i="67"/>
  <c r="M196" i="67"/>
  <c r="K198" i="67"/>
  <c r="E204" i="67"/>
  <c r="D188" i="67"/>
  <c r="B190" i="67"/>
  <c r="B179" i="67"/>
  <c r="E186" i="67"/>
  <c r="M209" i="68"/>
  <c r="M207" i="68"/>
  <c r="E206" i="68"/>
  <c r="K183" i="68"/>
  <c r="K182" i="68"/>
  <c r="G189" i="68"/>
  <c r="G199" i="68"/>
  <c r="G181" i="68"/>
  <c r="D197" i="68"/>
  <c r="E189" i="68"/>
  <c r="E198" i="68"/>
  <c r="J207" i="68"/>
  <c r="E182" i="68"/>
  <c r="H182" i="68"/>
  <c r="M190" i="68"/>
  <c r="M199" i="68"/>
  <c r="B193" i="68"/>
  <c r="M181" i="68"/>
  <c r="J199" i="68"/>
  <c r="K197" i="68"/>
  <c r="K196" i="55"/>
  <c r="M189" i="55"/>
  <c r="K190" i="55"/>
  <c r="M180" i="55"/>
  <c r="D181" i="55"/>
  <c r="J189" i="55"/>
  <c r="J205" i="55"/>
  <c r="E206" i="55"/>
  <c r="G182" i="55"/>
  <c r="E188" i="55"/>
  <c r="G197" i="55"/>
  <c r="K197" i="55"/>
  <c r="E180" i="55"/>
  <c r="B204" i="55"/>
  <c r="D197" i="55"/>
  <c r="B189" i="55"/>
  <c r="K182" i="55"/>
  <c r="M203" i="67"/>
  <c r="K206" i="67"/>
  <c r="J180" i="67"/>
  <c r="J198" i="67"/>
  <c r="H182" i="67"/>
  <c r="H208" i="67" s="1"/>
  <c r="D16" i="67" s="1"/>
  <c r="K178" i="67"/>
  <c r="K202" i="67"/>
  <c r="N202" i="67" s="1"/>
  <c r="J182" i="67"/>
  <c r="D196" i="67"/>
  <c r="B195" i="67"/>
  <c r="G186" i="67"/>
  <c r="E194" i="67"/>
  <c r="K185" i="69"/>
  <c r="J192" i="69"/>
  <c r="D178" i="67"/>
  <c r="E195" i="67"/>
  <c r="E187" i="67"/>
  <c r="G198" i="67"/>
  <c r="G190" i="67"/>
  <c r="M179" i="67"/>
  <c r="M180" i="67"/>
  <c r="B198" i="67"/>
  <c r="E198" i="67"/>
  <c r="E188" i="67"/>
  <c r="G196" i="67"/>
  <c r="G187" i="67"/>
  <c r="K180" i="67"/>
  <c r="B196" i="67"/>
  <c r="B188" i="67"/>
  <c r="D202" i="67"/>
  <c r="D194" i="67"/>
  <c r="D186" i="67"/>
  <c r="H179" i="67"/>
  <c r="G206" i="67"/>
  <c r="G178" i="67"/>
  <c r="K196" i="67"/>
  <c r="K188" i="67"/>
  <c r="M202" i="67"/>
  <c r="M194" i="67"/>
  <c r="M186" i="67"/>
  <c r="E182" i="67"/>
  <c r="H178" i="67"/>
  <c r="J195" i="67"/>
  <c r="J187" i="67"/>
  <c r="E180" i="67"/>
  <c r="D204" i="67"/>
  <c r="E203" i="67"/>
  <c r="J204" i="67"/>
  <c r="G203" i="67"/>
  <c r="B180" i="55"/>
  <c r="D180" i="55"/>
  <c r="K198" i="55"/>
  <c r="D205" i="55"/>
  <c r="D198" i="55"/>
  <c r="D192" i="55"/>
  <c r="G188" i="55"/>
  <c r="J182" i="55"/>
  <c r="H182" i="55"/>
  <c r="E208" i="55"/>
  <c r="E190" i="55"/>
  <c r="G208" i="55"/>
  <c r="G189" i="55"/>
  <c r="J196" i="55"/>
  <c r="M204" i="55"/>
  <c r="H180" i="55"/>
  <c r="J180" i="55"/>
  <c r="B198" i="55"/>
  <c r="H192" i="55"/>
  <c r="J197" i="55"/>
  <c r="J190" i="55"/>
  <c r="K204" i="55"/>
  <c r="N204" i="55" s="1"/>
  <c r="D182" i="55"/>
  <c r="B182" i="55"/>
  <c r="K206" i="55"/>
  <c r="K189" i="55"/>
  <c r="M206" i="55"/>
  <c r="M200" i="55"/>
  <c r="K188" i="55"/>
  <c r="G204" i="55"/>
  <c r="K199" i="68"/>
  <c r="K191" i="68"/>
  <c r="N191" i="68" s="1"/>
  <c r="J205" i="68"/>
  <c r="J197" i="68"/>
  <c r="J189" i="68"/>
  <c r="B199" i="68"/>
  <c r="B191" i="68"/>
  <c r="G208" i="69"/>
  <c r="D193" i="69"/>
  <c r="D196" i="69"/>
  <c r="G202" i="69"/>
  <c r="G201" i="69"/>
  <c r="D200" i="69"/>
  <c r="M204" i="69"/>
  <c r="D192" i="69"/>
  <c r="M209" i="69"/>
  <c r="B192" i="69"/>
  <c r="K192" i="69"/>
  <c r="B201" i="69"/>
  <c r="E196" i="69"/>
  <c r="B194" i="69"/>
  <c r="G196" i="69"/>
  <c r="H192" i="69"/>
  <c r="J202" i="69"/>
  <c r="S41" i="14"/>
  <c r="G151" i="69" s="1"/>
  <c r="J185" i="69"/>
  <c r="G209" i="69"/>
  <c r="K202" i="69"/>
  <c r="G204" i="69"/>
  <c r="D204" i="69"/>
  <c r="E210" i="69"/>
  <c r="D194" i="69"/>
  <c r="J184" i="69"/>
  <c r="H188" i="69"/>
  <c r="H214" i="69" s="1"/>
  <c r="D16" i="69" s="1"/>
  <c r="H184" i="69"/>
  <c r="K209" i="69"/>
  <c r="G200" i="69"/>
  <c r="M200" i="69"/>
  <c r="G210" i="69"/>
  <c r="B209" i="69"/>
  <c r="J194" i="69"/>
  <c r="J188" i="69"/>
  <c r="M192" i="69"/>
  <c r="J212" i="69"/>
  <c r="K204" i="69"/>
  <c r="J201" i="69"/>
  <c r="M194" i="69"/>
  <c r="G186" i="69"/>
  <c r="D208" i="69"/>
  <c r="K212" i="69"/>
  <c r="M201" i="69"/>
  <c r="B200" i="69"/>
  <c r="E193" i="69"/>
  <c r="B202" i="69"/>
  <c r="J204" i="69"/>
  <c r="G194" i="69"/>
  <c r="B204" i="69"/>
  <c r="K196" i="69"/>
  <c r="B212" i="69"/>
  <c r="M210" i="69"/>
  <c r="D186" i="69"/>
  <c r="B188" i="69"/>
  <c r="G188" i="69"/>
  <c r="G184" i="69"/>
  <c r="E186" i="69"/>
  <c r="B186" i="69"/>
  <c r="K201" i="69"/>
  <c r="K193" i="69"/>
  <c r="D212" i="69"/>
  <c r="J196" i="69"/>
  <c r="K200" i="69"/>
  <c r="D210" i="69"/>
  <c r="J200" i="69"/>
  <c r="K194" i="69"/>
  <c r="E202" i="69"/>
  <c r="E192" i="69"/>
  <c r="E200" i="69"/>
  <c r="M196" i="69"/>
  <c r="E212" i="69"/>
  <c r="B196" i="69"/>
  <c r="E209" i="69"/>
  <c r="E204" i="69"/>
  <c r="E184" i="69"/>
  <c r="D188" i="69"/>
  <c r="D185" i="69"/>
  <c r="E188" i="69"/>
  <c r="H185" i="69"/>
  <c r="G193" i="69"/>
  <c r="J208" i="69"/>
  <c r="B210" i="69"/>
  <c r="M193" i="69"/>
  <c r="D209" i="69"/>
  <c r="D201" i="69"/>
  <c r="G212" i="69"/>
  <c r="G192" i="69"/>
  <c r="E201" i="69"/>
  <c r="J210" i="69"/>
  <c r="M208" i="69"/>
  <c r="B208" i="69"/>
  <c r="K208" i="69"/>
  <c r="J193" i="69"/>
  <c r="D202" i="69"/>
  <c r="M212" i="69"/>
  <c r="B193" i="69"/>
  <c r="E208" i="69"/>
  <c r="J209" i="69"/>
  <c r="M202" i="69"/>
  <c r="K210" i="69"/>
  <c r="K184" i="69"/>
  <c r="J186" i="69"/>
  <c r="G185" i="69"/>
  <c r="M184" i="69"/>
  <c r="H186" i="69"/>
  <c r="E185" i="69"/>
  <c r="P18" i="22"/>
  <c r="B185" i="69"/>
  <c r="B184" i="69"/>
  <c r="M188" i="69"/>
  <c r="M186" i="69"/>
  <c r="M185" i="69"/>
  <c r="D184" i="69"/>
  <c r="K188" i="69"/>
  <c r="K186" i="69"/>
  <c r="W12" i="21"/>
  <c r="AB18" i="22"/>
  <c r="Q12" i="21"/>
  <c r="Q11" i="21"/>
  <c r="K12" i="21"/>
  <c r="AC12" i="21"/>
  <c r="AC11" i="21"/>
  <c r="V12" i="21"/>
  <c r="P12" i="21"/>
  <c r="AB12" i="21"/>
  <c r="AB19" i="22"/>
  <c r="AB20" i="22" s="1"/>
  <c r="P11" i="21"/>
  <c r="W11" i="21"/>
  <c r="J18" i="22"/>
  <c r="Q18" i="22"/>
  <c r="B8" i="43"/>
  <c r="V19" i="22"/>
  <c r="V20" i="22" s="1"/>
  <c r="V18" i="22"/>
  <c r="AC18" i="22"/>
  <c r="K18" i="22"/>
  <c r="P19" i="22"/>
  <c r="P20" i="22" s="1"/>
  <c r="D19" i="22"/>
  <c r="AC19" i="22" s="1"/>
  <c r="K11" i="21"/>
  <c r="V11" i="21"/>
  <c r="AB11" i="21"/>
  <c r="B8" i="84"/>
  <c r="Q21" i="23"/>
  <c r="W21" i="23"/>
  <c r="AC21" i="23"/>
  <c r="K21" i="23"/>
  <c r="P23" i="23"/>
  <c r="P22" i="23"/>
  <c r="V22" i="23"/>
  <c r="V23" i="23"/>
  <c r="AB22" i="23"/>
  <c r="AB23" i="23"/>
  <c r="B8" i="45"/>
  <c r="B8" i="46"/>
  <c r="B8" i="42"/>
  <c r="J13" i="21"/>
  <c r="B35" i="21" s="1"/>
  <c r="B8" i="24" s="1"/>
  <c r="G15" i="24" s="1"/>
  <c r="C16" i="21"/>
  <c r="C18" i="21" s="1"/>
  <c r="J21" i="22"/>
  <c r="N199" i="68" l="1"/>
  <c r="P18" i="13"/>
  <c r="P17" i="13"/>
  <c r="V17" i="13"/>
  <c r="V18" i="13"/>
  <c r="K16" i="13"/>
  <c r="K17" i="13" s="1"/>
  <c r="D378" i="67" s="1"/>
  <c r="AC16" i="13"/>
  <c r="W16" i="13"/>
  <c r="Q16" i="13"/>
  <c r="AB17" i="13"/>
  <c r="AB18" i="13"/>
  <c r="N198" i="68"/>
  <c r="J17" i="13"/>
  <c r="B381" i="68" s="1"/>
  <c r="J18" i="13"/>
  <c r="B382" i="68" s="1"/>
  <c r="N201" i="68"/>
  <c r="N198" i="55"/>
  <c r="N205" i="55"/>
  <c r="N206" i="68"/>
  <c r="N192" i="55"/>
  <c r="N200" i="55"/>
  <c r="E210" i="55"/>
  <c r="C16" i="55" s="1"/>
  <c r="P183" i="68"/>
  <c r="N197" i="55"/>
  <c r="N207" i="68"/>
  <c r="N205" i="68"/>
  <c r="P192" i="55"/>
  <c r="P205" i="68"/>
  <c r="P193" i="68"/>
  <c r="N182" i="67"/>
  <c r="G211" i="68"/>
  <c r="J16" i="68" s="1"/>
  <c r="K211" i="68"/>
  <c r="E16" i="68" s="1"/>
  <c r="N181" i="68"/>
  <c r="N185" i="68"/>
  <c r="M208" i="67"/>
  <c r="L16" i="67" s="1"/>
  <c r="P191" i="68"/>
  <c r="N190" i="67"/>
  <c r="P206" i="68"/>
  <c r="P188" i="67"/>
  <c r="P206" i="67"/>
  <c r="N196" i="69"/>
  <c r="N189" i="68"/>
  <c r="P178" i="67"/>
  <c r="P184" i="55"/>
  <c r="P208" i="55"/>
  <c r="N179" i="67"/>
  <c r="P196" i="67"/>
  <c r="N194" i="69"/>
  <c r="P202" i="67"/>
  <c r="N203" i="67"/>
  <c r="N187" i="67"/>
  <c r="P195" i="67"/>
  <c r="N180" i="55"/>
  <c r="P182" i="55"/>
  <c r="N182" i="68"/>
  <c r="P198" i="68"/>
  <c r="P198" i="55"/>
  <c r="N204" i="67"/>
  <c r="P209" i="68"/>
  <c r="J211" i="68"/>
  <c r="K16" i="68" s="1"/>
  <c r="N188" i="67"/>
  <c r="N198" i="67"/>
  <c r="N182" i="55"/>
  <c r="N195" i="67"/>
  <c r="P182" i="67"/>
  <c r="P205" i="55"/>
  <c r="P204" i="55"/>
  <c r="P182" i="68"/>
  <c r="N193" i="68"/>
  <c r="J210" i="55"/>
  <c r="K16" i="55" s="1"/>
  <c r="D208" i="67"/>
  <c r="I16" i="67" s="1"/>
  <c r="P179" i="67"/>
  <c r="N194" i="67"/>
  <c r="P197" i="55"/>
  <c r="P204" i="67"/>
  <c r="N184" i="55"/>
  <c r="N183" i="68"/>
  <c r="E211" i="68"/>
  <c r="C16" i="68" s="1"/>
  <c r="P181" i="55"/>
  <c r="B210" i="55"/>
  <c r="B16" i="55" s="1"/>
  <c r="N186" i="67"/>
  <c r="N178" i="67"/>
  <c r="N197" i="68"/>
  <c r="P201" i="68"/>
  <c r="P190" i="67"/>
  <c r="G208" i="67"/>
  <c r="J16" i="67" s="1"/>
  <c r="N206" i="67"/>
  <c r="K208" i="67"/>
  <c r="E16" i="67" s="1"/>
  <c r="M211" i="68"/>
  <c r="L16" i="68" s="1"/>
  <c r="G210" i="55"/>
  <c r="J16" i="55" s="1"/>
  <c r="P190" i="55"/>
  <c r="P200" i="55"/>
  <c r="M210" i="55"/>
  <c r="L16" i="55" s="1"/>
  <c r="N188" i="55"/>
  <c r="P181" i="68"/>
  <c r="N189" i="55"/>
  <c r="P190" i="68"/>
  <c r="N181" i="55"/>
  <c r="P197" i="68"/>
  <c r="P196" i="55"/>
  <c r="D210" i="55"/>
  <c r="I16" i="55" s="1"/>
  <c r="P187" i="67"/>
  <c r="P186" i="67"/>
  <c r="N196" i="67"/>
  <c r="P180" i="67"/>
  <c r="N206" i="55"/>
  <c r="P180" i="55"/>
  <c r="P207" i="68"/>
  <c r="P199" i="68"/>
  <c r="N196" i="55"/>
  <c r="D211" i="68"/>
  <c r="I16" i="68" s="1"/>
  <c r="P185" i="68"/>
  <c r="B211" i="68"/>
  <c r="B16" i="68" s="1"/>
  <c r="J208" i="67"/>
  <c r="K16" i="67" s="1"/>
  <c r="P189" i="55"/>
  <c r="K210" i="55"/>
  <c r="E16" i="55" s="1"/>
  <c r="P194" i="67"/>
  <c r="N212" i="69"/>
  <c r="N202" i="69"/>
  <c r="P189" i="68"/>
  <c r="N190" i="55"/>
  <c r="P206" i="55"/>
  <c r="P188" i="55"/>
  <c r="P203" i="67"/>
  <c r="N180" i="67"/>
  <c r="E208" i="67"/>
  <c r="C16" i="67" s="1"/>
  <c r="B208" i="67"/>
  <c r="B16" i="67" s="1"/>
  <c r="P198" i="67"/>
  <c r="H210" i="55"/>
  <c r="D16" i="55" s="1"/>
  <c r="N208" i="55"/>
  <c r="D151" i="69"/>
  <c r="N210" i="69"/>
  <c r="N204" i="69"/>
  <c r="P202" i="69"/>
  <c r="J162" i="55"/>
  <c r="E148" i="55"/>
  <c r="J162" i="67"/>
  <c r="D156" i="68"/>
  <c r="D165" i="68"/>
  <c r="J146" i="67"/>
  <c r="B175" i="68"/>
  <c r="G148" i="68"/>
  <c r="K162" i="55"/>
  <c r="G173" i="68"/>
  <c r="M148" i="68"/>
  <c r="J148" i="68"/>
  <c r="J159" i="68"/>
  <c r="B154" i="55"/>
  <c r="B155" i="55"/>
  <c r="G164" i="68"/>
  <c r="K156" i="68"/>
  <c r="B172" i="55"/>
  <c r="K154" i="55"/>
  <c r="H145" i="67"/>
  <c r="N192" i="69"/>
  <c r="M149" i="68"/>
  <c r="H155" i="68"/>
  <c r="E156" i="68"/>
  <c r="G175" i="68"/>
  <c r="M165" i="68"/>
  <c r="H147" i="68"/>
  <c r="E174" i="55"/>
  <c r="D171" i="55"/>
  <c r="H172" i="67"/>
  <c r="K155" i="55"/>
  <c r="K156" i="67"/>
  <c r="B156" i="67"/>
  <c r="D160" i="69"/>
  <c r="E148" i="68"/>
  <c r="H164" i="68"/>
  <c r="E167" i="68"/>
  <c r="K175" i="68"/>
  <c r="B164" i="68"/>
  <c r="H163" i="55"/>
  <c r="G155" i="55"/>
  <c r="B169" i="67"/>
  <c r="M158" i="55"/>
  <c r="G172" i="67"/>
  <c r="G161" i="67"/>
  <c r="B173" i="68"/>
  <c r="G151" i="68"/>
  <c r="G159" i="68"/>
  <c r="H163" i="68"/>
  <c r="D164" i="68"/>
  <c r="E164" i="68"/>
  <c r="J172" i="68"/>
  <c r="B148" i="68"/>
  <c r="B163" i="68"/>
  <c r="K155" i="68"/>
  <c r="B166" i="55"/>
  <c r="E150" i="55"/>
  <c r="G156" i="55"/>
  <c r="B163" i="55"/>
  <c r="E169" i="67"/>
  <c r="D162" i="55"/>
  <c r="M147" i="55"/>
  <c r="D169" i="67"/>
  <c r="D146" i="67"/>
  <c r="K146" i="67"/>
  <c r="G160" i="67"/>
  <c r="M175" i="68"/>
  <c r="D172" i="68"/>
  <c r="K148" i="68"/>
  <c r="G147" i="68"/>
  <c r="E147" i="68"/>
  <c r="B155" i="68"/>
  <c r="K149" i="68"/>
  <c r="M164" i="68"/>
  <c r="J157" i="68"/>
  <c r="K171" i="68"/>
  <c r="E170" i="55"/>
  <c r="E163" i="55"/>
  <c r="G162" i="55"/>
  <c r="D172" i="55"/>
  <c r="B158" i="55"/>
  <c r="K158" i="55"/>
  <c r="B146" i="55"/>
  <c r="J161" i="67"/>
  <c r="K154" i="67"/>
  <c r="B154" i="67"/>
  <c r="K144" i="67"/>
  <c r="B176" i="69"/>
  <c r="J151" i="69"/>
  <c r="J152" i="69"/>
  <c r="J154" i="69"/>
  <c r="E150" i="69"/>
  <c r="H151" i="69"/>
  <c r="H152" i="69"/>
  <c r="H154" i="69"/>
  <c r="G150" i="69"/>
  <c r="S28" i="14"/>
  <c r="S17" i="14" s="1"/>
  <c r="K168" i="69"/>
  <c r="G162" i="69"/>
  <c r="B170" i="69"/>
  <c r="M174" i="69"/>
  <c r="D167" i="69"/>
  <c r="E178" i="69"/>
  <c r="G175" i="69"/>
  <c r="K158" i="69"/>
  <c r="B167" i="69"/>
  <c r="J168" i="69"/>
  <c r="E168" i="69"/>
  <c r="D159" i="69"/>
  <c r="E176" i="69"/>
  <c r="G176" i="69"/>
  <c r="K159" i="69"/>
  <c r="B168" i="69"/>
  <c r="D175" i="69"/>
  <c r="M159" i="69"/>
  <c r="H158" i="69"/>
  <c r="G166" i="69"/>
  <c r="B174" i="69"/>
  <c r="J160" i="69"/>
  <c r="K176" i="69"/>
  <c r="J178" i="69"/>
  <c r="M151" i="69"/>
  <c r="M152" i="69"/>
  <c r="M154" i="69"/>
  <c r="B150" i="69"/>
  <c r="K151" i="69"/>
  <c r="K152" i="69"/>
  <c r="K154" i="69"/>
  <c r="D150" i="69"/>
  <c r="H178" i="69"/>
  <c r="J167" i="69"/>
  <c r="E167" i="69"/>
  <c r="B162" i="69"/>
  <c r="M166" i="69"/>
  <c r="H175" i="69"/>
  <c r="E162" i="69"/>
  <c r="G167" i="69"/>
  <c r="J174" i="69"/>
  <c r="B159" i="69"/>
  <c r="M178" i="69"/>
  <c r="D174" i="69"/>
  <c r="H176" i="69"/>
  <c r="E160" i="69"/>
  <c r="G168" i="69"/>
  <c r="J175" i="69"/>
  <c r="B160" i="69"/>
  <c r="J162" i="69"/>
  <c r="K178" i="69"/>
  <c r="E170" i="69"/>
  <c r="G158" i="69"/>
  <c r="B166" i="69"/>
  <c r="M176" i="69"/>
  <c r="K160" i="69"/>
  <c r="D152" i="69"/>
  <c r="K150" i="69"/>
  <c r="B152" i="69"/>
  <c r="M150" i="69"/>
  <c r="H170" i="69"/>
  <c r="D168" i="69"/>
  <c r="M158" i="69"/>
  <c r="D178" i="69"/>
  <c r="D162" i="69"/>
  <c r="M170" i="69"/>
  <c r="H168" i="69"/>
  <c r="G160" i="69"/>
  <c r="E175" i="69"/>
  <c r="H174" i="69"/>
  <c r="K166" i="69"/>
  <c r="M168" i="69"/>
  <c r="G152" i="69"/>
  <c r="H150" i="69"/>
  <c r="E152" i="69"/>
  <c r="J150" i="69"/>
  <c r="H162" i="69"/>
  <c r="B178" i="69"/>
  <c r="K162" i="69"/>
  <c r="J158" i="69"/>
  <c r="B175" i="69"/>
  <c r="M162" i="69"/>
  <c r="H160" i="69"/>
  <c r="K175" i="69"/>
  <c r="E159" i="69"/>
  <c r="H166" i="69"/>
  <c r="D170" i="69"/>
  <c r="M160" i="69"/>
  <c r="D154" i="69"/>
  <c r="B154" i="69"/>
  <c r="G178" i="69"/>
  <c r="H167" i="69"/>
  <c r="E174" i="69"/>
  <c r="D176" i="69"/>
  <c r="M175" i="69"/>
  <c r="B158" i="69"/>
  <c r="B144" i="67"/>
  <c r="E161" i="67"/>
  <c r="E153" i="67"/>
  <c r="G164" i="67"/>
  <c r="G156" i="67"/>
  <c r="M145" i="67"/>
  <c r="D148" i="67"/>
  <c r="B161" i="67"/>
  <c r="B153" i="67"/>
  <c r="D162" i="67"/>
  <c r="D154" i="67"/>
  <c r="J145" i="67"/>
  <c r="K145" i="67"/>
  <c r="M172" i="67"/>
  <c r="H144" i="67"/>
  <c r="K161" i="67"/>
  <c r="K153" i="67"/>
  <c r="M164" i="67"/>
  <c r="M156" i="67"/>
  <c r="H152" i="67"/>
  <c r="K148" i="67"/>
  <c r="H162" i="67"/>
  <c r="H154" i="67"/>
  <c r="J168" i="67"/>
  <c r="J160" i="67"/>
  <c r="J152" i="67"/>
  <c r="E148" i="67"/>
  <c r="H170" i="67"/>
  <c r="M169" i="67"/>
  <c r="M170" i="67"/>
  <c r="J171" i="55"/>
  <c r="J166" i="55"/>
  <c r="B174" i="55"/>
  <c r="H148" i="55"/>
  <c r="H154" i="55"/>
  <c r="G154" i="69"/>
  <c r="E154" i="69"/>
  <c r="G170" i="69"/>
  <c r="H159" i="69"/>
  <c r="E158" i="69"/>
  <c r="J159" i="69"/>
  <c r="M167" i="69"/>
  <c r="E166" i="69"/>
  <c r="E168" i="67"/>
  <c r="E160" i="67"/>
  <c r="B152" i="67"/>
  <c r="G162" i="67"/>
  <c r="G154" i="67"/>
  <c r="E146" i="67"/>
  <c r="B168" i="67"/>
  <c r="B160" i="67"/>
  <c r="D144" i="67"/>
  <c r="D161" i="67"/>
  <c r="D153" i="67"/>
  <c r="H146" i="67"/>
  <c r="J148" i="67"/>
  <c r="K168" i="67"/>
  <c r="K160" i="67"/>
  <c r="K152" i="67"/>
  <c r="M162" i="67"/>
  <c r="M154" i="67"/>
  <c r="D145" i="67"/>
  <c r="G148" i="67"/>
  <c r="H161" i="67"/>
  <c r="H153" i="67"/>
  <c r="J164" i="67"/>
  <c r="J156" i="67"/>
  <c r="G145" i="67"/>
  <c r="H148" i="67"/>
  <c r="D170" i="67"/>
  <c r="H169" i="67"/>
  <c r="E172" i="67"/>
  <c r="J172" i="55"/>
  <c r="J156" i="55"/>
  <c r="B164" i="55"/>
  <c r="J146" i="55"/>
  <c r="H170" i="55"/>
  <c r="M163" i="55"/>
  <c r="M156" i="55"/>
  <c r="M150" i="55"/>
  <c r="K163" i="55"/>
  <c r="K156" i="55"/>
  <c r="K150" i="55"/>
  <c r="M170" i="55"/>
  <c r="K170" i="55"/>
  <c r="D150" i="55"/>
  <c r="B151" i="69"/>
  <c r="K167" i="69"/>
  <c r="D158" i="69"/>
  <c r="J166" i="69"/>
  <c r="E164" i="67"/>
  <c r="G144" i="67"/>
  <c r="G153" i="67"/>
  <c r="B164" i="67"/>
  <c r="D168" i="67"/>
  <c r="D152" i="67"/>
  <c r="E170" i="67"/>
  <c r="K164" i="67"/>
  <c r="M144" i="67"/>
  <c r="M153" i="67"/>
  <c r="H168" i="67"/>
  <c r="E152" i="67"/>
  <c r="J154" i="67"/>
  <c r="M148" i="67"/>
  <c r="G169" i="67"/>
  <c r="J174" i="55"/>
  <c r="H155" i="55"/>
  <c r="M171" i="55"/>
  <c r="M166" i="55"/>
  <c r="M148" i="55"/>
  <c r="K164" i="55"/>
  <c r="K147" i="55"/>
  <c r="B162" i="55"/>
  <c r="D166" i="55"/>
  <c r="H174" i="55"/>
  <c r="B148" i="55"/>
  <c r="B170" i="55"/>
  <c r="K170" i="67"/>
  <c r="B170" i="67"/>
  <c r="D174" i="55"/>
  <c r="J158" i="55"/>
  <c r="H166" i="55"/>
  <c r="D154" i="55"/>
  <c r="G171" i="55"/>
  <c r="G164" i="55"/>
  <c r="G158" i="55"/>
  <c r="E171" i="55"/>
  <c r="E164" i="55"/>
  <c r="E158" i="55"/>
  <c r="G146" i="55"/>
  <c r="E146" i="55"/>
  <c r="J163" i="55"/>
  <c r="B171" i="55"/>
  <c r="B156" i="55"/>
  <c r="J170" i="55"/>
  <c r="K167" i="68"/>
  <c r="K159" i="68"/>
  <c r="J147" i="68"/>
  <c r="J164" i="68"/>
  <c r="J156" i="68"/>
  <c r="B167" i="68"/>
  <c r="B159" i="68"/>
  <c r="M171" i="68"/>
  <c r="M163" i="68"/>
  <c r="M155" i="68"/>
  <c r="J149" i="68"/>
  <c r="B151" i="68"/>
  <c r="H149" i="68"/>
  <c r="E172" i="68"/>
  <c r="J173" i="68"/>
  <c r="H173" i="68"/>
  <c r="E151" i="69"/>
  <c r="J170" i="69"/>
  <c r="K170" i="69"/>
  <c r="G174" i="69"/>
  <c r="E162" i="67"/>
  <c r="G168" i="67"/>
  <c r="G152" i="67"/>
  <c r="B162" i="67"/>
  <c r="D164" i="67"/>
  <c r="B145" i="67"/>
  <c r="B172" i="67"/>
  <c r="K162" i="67"/>
  <c r="M168" i="67"/>
  <c r="M152" i="67"/>
  <c r="H164" i="67"/>
  <c r="J144" i="67"/>
  <c r="J153" i="67"/>
  <c r="B148" i="67"/>
  <c r="G170" i="67"/>
  <c r="D164" i="55"/>
  <c r="H158" i="55"/>
  <c r="M172" i="55"/>
  <c r="M155" i="55"/>
  <c r="K171" i="55"/>
  <c r="K166" i="55"/>
  <c r="K148" i="55"/>
  <c r="K146" i="55"/>
  <c r="D156" i="55"/>
  <c r="H164" i="55"/>
  <c r="D146" i="55"/>
  <c r="K169" i="67"/>
  <c r="K172" i="67"/>
  <c r="D172" i="67"/>
  <c r="D163" i="55"/>
  <c r="J148" i="55"/>
  <c r="H156" i="55"/>
  <c r="D170" i="55"/>
  <c r="G172" i="55"/>
  <c r="P172" i="55" s="1"/>
  <c r="G166" i="55"/>
  <c r="G147" i="55"/>
  <c r="E172" i="55"/>
  <c r="E166" i="55"/>
  <c r="E147" i="55"/>
  <c r="G154" i="55"/>
  <c r="E154" i="55"/>
  <c r="D155" i="55"/>
  <c r="H172" i="55"/>
  <c r="B147" i="55"/>
  <c r="M162" i="55"/>
  <c r="K165" i="68"/>
  <c r="K157" i="68"/>
  <c r="J171" i="68"/>
  <c r="J163" i="68"/>
  <c r="J155" i="68"/>
  <c r="B165" i="68"/>
  <c r="B157" i="68"/>
  <c r="M167" i="68"/>
  <c r="M159" i="68"/>
  <c r="E155" i="68"/>
  <c r="E151" i="68"/>
  <c r="H148" i="68"/>
  <c r="G149" i="68"/>
  <c r="K173" i="68"/>
  <c r="M173" i="68"/>
  <c r="D173" i="68"/>
  <c r="E165" i="68"/>
  <c r="E157" i="68"/>
  <c r="D171" i="68"/>
  <c r="D163" i="68"/>
  <c r="D155" i="68"/>
  <c r="H165" i="68"/>
  <c r="H157" i="68"/>
  <c r="G171" i="68"/>
  <c r="G163" i="68"/>
  <c r="G155" i="68"/>
  <c r="H151" i="68"/>
  <c r="D148" i="68"/>
  <c r="D151" i="68"/>
  <c r="G172" i="68"/>
  <c r="J175" i="68"/>
  <c r="E173" i="68"/>
  <c r="H172" i="68"/>
  <c r="B149" i="68"/>
  <c r="E149" i="68"/>
  <c r="G156" i="68"/>
  <c r="G165" i="68"/>
  <c r="H156" i="68"/>
  <c r="H167" i="68"/>
  <c r="D157" i="68"/>
  <c r="D167" i="68"/>
  <c r="E159" i="68"/>
  <c r="E171" i="68"/>
  <c r="H175" i="68"/>
  <c r="B172" i="68"/>
  <c r="D149" i="68"/>
  <c r="M156" i="68"/>
  <c r="M147" i="68"/>
  <c r="B171" i="68"/>
  <c r="J165" i="68"/>
  <c r="K163" i="68"/>
  <c r="J154" i="55"/>
  <c r="D148" i="55"/>
  <c r="G170" i="55"/>
  <c r="E156" i="55"/>
  <c r="G150" i="55"/>
  <c r="G163" i="55"/>
  <c r="H150" i="55"/>
  <c r="J155" i="55"/>
  <c r="J170" i="67"/>
  <c r="H146" i="55"/>
  <c r="H171" i="55"/>
  <c r="M154" i="55"/>
  <c r="K174" i="55"/>
  <c r="M164" i="55"/>
  <c r="J150" i="55"/>
  <c r="M146" i="67"/>
  <c r="H156" i="67"/>
  <c r="M160" i="67"/>
  <c r="E144" i="67"/>
  <c r="D156" i="67"/>
  <c r="B146" i="67"/>
  <c r="E154" i="67"/>
  <c r="D166" i="69"/>
  <c r="K174" i="69"/>
  <c r="E175" i="68"/>
  <c r="M172" i="68"/>
  <c r="K151" i="68"/>
  <c r="J151" i="68"/>
  <c r="G157" i="68"/>
  <c r="G167" i="68"/>
  <c r="H159" i="68"/>
  <c r="H171" i="68"/>
  <c r="D159" i="68"/>
  <c r="D147" i="68"/>
  <c r="E163" i="68"/>
  <c r="B147" i="68"/>
  <c r="D175" i="68"/>
  <c r="K172" i="68"/>
  <c r="M151" i="68"/>
  <c r="M157" i="68"/>
  <c r="B156" i="68"/>
  <c r="K147" i="68"/>
  <c r="J167" i="68"/>
  <c r="K164" i="68"/>
  <c r="B150" i="55"/>
  <c r="D158" i="55"/>
  <c r="H162" i="55"/>
  <c r="E155" i="55"/>
  <c r="G148" i="55"/>
  <c r="G174" i="55"/>
  <c r="H147" i="55"/>
  <c r="J164" i="55"/>
  <c r="J169" i="67"/>
  <c r="E162" i="55"/>
  <c r="D147" i="55"/>
  <c r="M146" i="55"/>
  <c r="K172" i="55"/>
  <c r="M174" i="55"/>
  <c r="J147" i="55"/>
  <c r="J172" i="67"/>
  <c r="G146" i="67"/>
  <c r="H160" i="67"/>
  <c r="M161" i="67"/>
  <c r="D160" i="67"/>
  <c r="E145" i="67"/>
  <c r="E156" i="67"/>
  <c r="J176" i="69"/>
  <c r="G159" i="69"/>
  <c r="P209" i="69"/>
  <c r="P184" i="69"/>
  <c r="P204" i="69"/>
  <c r="P210" i="69"/>
  <c r="P201" i="69"/>
  <c r="N186" i="69"/>
  <c r="P192" i="69"/>
  <c r="N209" i="69"/>
  <c r="P200" i="69"/>
  <c r="J214" i="69"/>
  <c r="K16" i="69" s="1"/>
  <c r="P194" i="69"/>
  <c r="B214" i="69"/>
  <c r="B16" i="69" s="1"/>
  <c r="N193" i="69"/>
  <c r="K214" i="69"/>
  <c r="E16" i="69" s="1"/>
  <c r="P188" i="69"/>
  <c r="G214" i="69"/>
  <c r="J16" i="69" s="1"/>
  <c r="P196" i="69"/>
  <c r="D214" i="69"/>
  <c r="I16" i="69" s="1"/>
  <c r="N200" i="69"/>
  <c r="N185" i="69"/>
  <c r="N188" i="69"/>
  <c r="E214" i="69"/>
  <c r="C16" i="69" s="1"/>
  <c r="W13" i="21"/>
  <c r="G35" i="21" s="1"/>
  <c r="G8" i="24" s="1"/>
  <c r="T15" i="24" s="1"/>
  <c r="N208" i="69"/>
  <c r="P208" i="69"/>
  <c r="N184" i="69"/>
  <c r="P212" i="69"/>
  <c r="N201" i="69"/>
  <c r="P193" i="69"/>
  <c r="M214" i="69"/>
  <c r="L16" i="69" s="1"/>
  <c r="P185" i="69"/>
  <c r="P186" i="69"/>
  <c r="AC20" i="22"/>
  <c r="Q13" i="21"/>
  <c r="E35" i="21" s="1"/>
  <c r="E8" i="24" s="1"/>
  <c r="N15" i="24" s="1"/>
  <c r="AB21" i="22"/>
  <c r="AB23" i="22" s="1"/>
  <c r="H31" i="21" s="1"/>
  <c r="H10" i="85" s="1"/>
  <c r="AC13" i="21"/>
  <c r="I35" i="21" s="1"/>
  <c r="I8" i="24" s="1"/>
  <c r="Z15" i="24" s="1"/>
  <c r="V21" i="22"/>
  <c r="V23" i="22" s="1"/>
  <c r="F32" i="21" s="1"/>
  <c r="P21" i="22"/>
  <c r="P23" i="22" s="1"/>
  <c r="D32" i="21" s="1"/>
  <c r="P13" i="21"/>
  <c r="D35" i="21" s="1"/>
  <c r="D8" i="24" s="1"/>
  <c r="M15" i="24" s="1"/>
  <c r="P15" i="24" s="1"/>
  <c r="E269" i="67" s="1"/>
  <c r="K13" i="21"/>
  <c r="C35" i="21" s="1"/>
  <c r="C8" i="24" s="1"/>
  <c r="H15" i="24" s="1"/>
  <c r="K15" i="24" s="1"/>
  <c r="V13" i="21"/>
  <c r="F35" i="21" s="1"/>
  <c r="F8" i="24" s="1"/>
  <c r="S15" i="24" s="1"/>
  <c r="AB13" i="21"/>
  <c r="H35" i="21" s="1"/>
  <c r="H8" i="24" s="1"/>
  <c r="Y15" i="24" s="1"/>
  <c r="AB15" i="24" s="1"/>
  <c r="K277" i="55" s="1"/>
  <c r="Q19" i="22"/>
  <c r="Q20" i="22" s="1"/>
  <c r="W19" i="22"/>
  <c r="W20" i="22" s="1"/>
  <c r="K19" i="22"/>
  <c r="K20" i="22" s="1"/>
  <c r="AB25" i="23"/>
  <c r="H26" i="21" s="1"/>
  <c r="H8" i="85" s="1"/>
  <c r="V25" i="23"/>
  <c r="F26" i="21" s="1"/>
  <c r="F8" i="85" s="1"/>
  <c r="B380" i="68"/>
  <c r="B385" i="55"/>
  <c r="B392" i="69"/>
  <c r="B377" i="67"/>
  <c r="AC23" i="23"/>
  <c r="AC22" i="23"/>
  <c r="Q23" i="23"/>
  <c r="Q22" i="23"/>
  <c r="P25" i="23"/>
  <c r="D26" i="21" s="1"/>
  <c r="D8" i="85" s="1"/>
  <c r="K23" i="23"/>
  <c r="K22" i="23"/>
  <c r="W23" i="23"/>
  <c r="W22" i="23"/>
  <c r="J15" i="24"/>
  <c r="J23" i="22"/>
  <c r="B31" i="21" s="1"/>
  <c r="B10" i="85" s="1"/>
  <c r="AC21" i="22"/>
  <c r="C17" i="21"/>
  <c r="K18" i="13" l="1"/>
  <c r="B379" i="67"/>
  <c r="B387" i="55"/>
  <c r="Q17" i="13"/>
  <c r="G386" i="55" s="1"/>
  <c r="Q18" i="13"/>
  <c r="W18" i="13"/>
  <c r="W17" i="13"/>
  <c r="J378" i="67" s="1"/>
  <c r="B394" i="69"/>
  <c r="AC17" i="13"/>
  <c r="M386" i="55" s="1"/>
  <c r="AC18" i="13"/>
  <c r="J20" i="13"/>
  <c r="B381" i="67" s="1"/>
  <c r="B25" i="67" s="1"/>
  <c r="H381" i="68"/>
  <c r="B386" i="55"/>
  <c r="B378" i="67"/>
  <c r="D394" i="69"/>
  <c r="B393" i="69"/>
  <c r="N211" i="68"/>
  <c r="F16" i="68"/>
  <c r="N208" i="67"/>
  <c r="P149" i="68"/>
  <c r="N156" i="68"/>
  <c r="F16" i="67"/>
  <c r="M16" i="69"/>
  <c r="P210" i="55"/>
  <c r="P211" i="68"/>
  <c r="M16" i="68"/>
  <c r="N210" i="55"/>
  <c r="N214" i="69"/>
  <c r="F16" i="55"/>
  <c r="P208" i="67"/>
  <c r="D71" i="67"/>
  <c r="M16" i="55"/>
  <c r="M16" i="67"/>
  <c r="N147" i="68"/>
  <c r="N154" i="55"/>
  <c r="H104" i="68"/>
  <c r="M136" i="68"/>
  <c r="J120" i="55"/>
  <c r="D91" i="68"/>
  <c r="M101" i="68"/>
  <c r="K80" i="68"/>
  <c r="M93" i="68"/>
  <c r="B69" i="68"/>
  <c r="E95" i="68"/>
  <c r="G89" i="68"/>
  <c r="G126" i="55"/>
  <c r="J83" i="68"/>
  <c r="J68" i="68"/>
  <c r="J91" i="68"/>
  <c r="B82" i="55"/>
  <c r="J67" i="67"/>
  <c r="D136" i="67"/>
  <c r="E78" i="67"/>
  <c r="J85" i="67"/>
  <c r="J133" i="67"/>
  <c r="B135" i="67"/>
  <c r="M103" i="67"/>
  <c r="J127" i="55"/>
  <c r="D127" i="55"/>
  <c r="K121" i="55"/>
  <c r="K102" i="55"/>
  <c r="E81" i="55"/>
  <c r="E130" i="55"/>
  <c r="G121" i="55"/>
  <c r="K113" i="55"/>
  <c r="M61" i="55"/>
  <c r="G101" i="55"/>
  <c r="B101" i="55"/>
  <c r="D100" i="55"/>
  <c r="M112" i="55"/>
  <c r="G105" i="55"/>
  <c r="K140" i="55"/>
  <c r="M132" i="55"/>
  <c r="D92" i="55"/>
  <c r="G63" i="55"/>
  <c r="B80" i="55"/>
  <c r="K93" i="55"/>
  <c r="H68" i="55"/>
  <c r="M115" i="55"/>
  <c r="E72" i="68"/>
  <c r="K62" i="68"/>
  <c r="G74" i="68"/>
  <c r="B122" i="68"/>
  <c r="B87" i="68"/>
  <c r="D122" i="68"/>
  <c r="D87" i="68"/>
  <c r="K128" i="68"/>
  <c r="M130" i="68"/>
  <c r="K137" i="68"/>
  <c r="J77" i="68"/>
  <c r="G85" i="68"/>
  <c r="H137" i="68"/>
  <c r="G79" i="68"/>
  <c r="E85" i="68"/>
  <c r="J126" i="67"/>
  <c r="H77" i="67"/>
  <c r="D122" i="67"/>
  <c r="H118" i="67"/>
  <c r="K73" i="67"/>
  <c r="H74" i="67"/>
  <c r="J138" i="55"/>
  <c r="B124" i="55"/>
  <c r="D135" i="55"/>
  <c r="J94" i="55"/>
  <c r="H110" i="55"/>
  <c r="D74" i="55"/>
  <c r="E137" i="55"/>
  <c r="M93" i="55"/>
  <c r="B105" i="55"/>
  <c r="E79" i="55"/>
  <c r="M68" i="55"/>
  <c r="H69" i="55"/>
  <c r="D99" i="55"/>
  <c r="D110" i="55"/>
  <c r="E77" i="55"/>
  <c r="K129" i="55"/>
  <c r="M138" i="55"/>
  <c r="E120" i="55"/>
  <c r="D105" i="55"/>
  <c r="G74" i="55"/>
  <c r="G104" i="55"/>
  <c r="G100" i="55"/>
  <c r="E125" i="68"/>
  <c r="J90" i="68"/>
  <c r="G127" i="68"/>
  <c r="M92" i="68"/>
  <c r="B135" i="68"/>
  <c r="D94" i="68"/>
  <c r="D135" i="68"/>
  <c r="G94" i="68"/>
  <c r="G139" i="68"/>
  <c r="E131" i="68"/>
  <c r="G103" i="68"/>
  <c r="B75" i="68"/>
  <c r="H94" i="68"/>
  <c r="B103" i="68"/>
  <c r="K81" i="68"/>
  <c r="H85" i="68"/>
  <c r="M60" i="67"/>
  <c r="H66" i="67"/>
  <c r="M89" i="67"/>
  <c r="E82" i="67"/>
  <c r="B82" i="67"/>
  <c r="B132" i="55"/>
  <c r="G113" i="55"/>
  <c r="B78" i="55"/>
  <c r="B121" i="55"/>
  <c r="D80" i="55"/>
  <c r="H84" i="55"/>
  <c r="K67" i="55"/>
  <c r="K136" i="55"/>
  <c r="M103" i="55"/>
  <c r="B94" i="55"/>
  <c r="K99" i="55"/>
  <c r="E100" i="68"/>
  <c r="J101" i="68"/>
  <c r="H102" i="68"/>
  <c r="J102" i="68"/>
  <c r="D139" i="68"/>
  <c r="B79" i="68"/>
  <c r="H88" i="68"/>
  <c r="D109" i="68"/>
  <c r="J101" i="67"/>
  <c r="E122" i="67"/>
  <c r="J127" i="67"/>
  <c r="E95" i="67"/>
  <c r="B138" i="55"/>
  <c r="B120" i="55"/>
  <c r="E140" i="55"/>
  <c r="D93" i="55"/>
  <c r="B76" i="55"/>
  <c r="D84" i="55"/>
  <c r="K63" i="55"/>
  <c r="M126" i="55"/>
  <c r="M67" i="55"/>
  <c r="E91" i="55"/>
  <c r="H108" i="55"/>
  <c r="H106" i="68"/>
  <c r="D111" i="68"/>
  <c r="K111" i="68"/>
  <c r="M111" i="68"/>
  <c r="B137" i="68"/>
  <c r="D78" i="68"/>
  <c r="E78" i="68"/>
  <c r="K135" i="68"/>
  <c r="K69" i="68"/>
  <c r="J95" i="68"/>
  <c r="H113" i="68"/>
  <c r="B121" i="68"/>
  <c r="M70" i="68"/>
  <c r="M98" i="68"/>
  <c r="K114" i="68"/>
  <c r="H63" i="68"/>
  <c r="H72" i="68"/>
  <c r="H100" i="68"/>
  <c r="H62" i="68"/>
  <c r="J64" i="68"/>
  <c r="J74" i="68"/>
  <c r="D102" i="68"/>
  <c r="H128" i="68"/>
  <c r="B131" i="68"/>
  <c r="J141" i="68"/>
  <c r="G138" i="68"/>
  <c r="E137" i="68"/>
  <c r="B88" i="68"/>
  <c r="G81" i="68"/>
  <c r="M82" i="68"/>
  <c r="D85" i="68"/>
  <c r="E109" i="68"/>
  <c r="E141" i="68"/>
  <c r="H95" i="68"/>
  <c r="D83" i="68"/>
  <c r="M76" i="68"/>
  <c r="K96" i="68"/>
  <c r="H116" i="68"/>
  <c r="B122" i="67"/>
  <c r="J75" i="67"/>
  <c r="M64" i="55"/>
  <c r="J110" i="55"/>
  <c r="M108" i="55"/>
  <c r="M94" i="55"/>
  <c r="H74" i="55"/>
  <c r="G64" i="68"/>
  <c r="D65" i="68"/>
  <c r="M104" i="68"/>
  <c r="M80" i="68"/>
  <c r="K122" i="68"/>
  <c r="K67" i="68"/>
  <c r="B101" i="68"/>
  <c r="M123" i="68"/>
  <c r="M68" i="68"/>
  <c r="G102" i="68"/>
  <c r="H125" i="68"/>
  <c r="H69" i="68"/>
  <c r="E104" i="68"/>
  <c r="J127" i="68"/>
  <c r="J70" i="68"/>
  <c r="J105" i="68"/>
  <c r="D137" i="68"/>
  <c r="B130" i="68"/>
  <c r="K138" i="68"/>
  <c r="J103" i="68"/>
  <c r="M81" i="68"/>
  <c r="G82" i="68"/>
  <c r="M85" i="68"/>
  <c r="B138" i="68"/>
  <c r="H82" i="68"/>
  <c r="K77" i="68"/>
  <c r="H92" i="68"/>
  <c r="K116" i="68"/>
  <c r="G72" i="67"/>
  <c r="M59" i="67"/>
  <c r="D122" i="55"/>
  <c r="G134" i="55"/>
  <c r="G120" i="55"/>
  <c r="H75" i="55"/>
  <c r="E67" i="68"/>
  <c r="D69" i="68"/>
  <c r="G109" i="68"/>
  <c r="K72" i="68"/>
  <c r="E107" i="68"/>
  <c r="M66" i="68"/>
  <c r="D106" i="68"/>
  <c r="H65" i="68"/>
  <c r="D95" i="68"/>
  <c r="E121" i="68"/>
  <c r="G93" i="68"/>
  <c r="J128" i="68"/>
  <c r="M137" i="68"/>
  <c r="D133" i="68"/>
  <c r="E80" i="68"/>
  <c r="G75" i="68"/>
  <c r="M116" i="68"/>
  <c r="K103" i="68"/>
  <c r="E77" i="68"/>
  <c r="K85" i="68"/>
  <c r="E140" i="67"/>
  <c r="C14" i="67" s="1"/>
  <c r="M97" i="67"/>
  <c r="H135" i="55"/>
  <c r="G95" i="55"/>
  <c r="E67" i="55"/>
  <c r="D78" i="55"/>
  <c r="D76" i="55"/>
  <c r="G68" i="68"/>
  <c r="G129" i="68"/>
  <c r="G133" i="68"/>
  <c r="K125" i="68"/>
  <c r="K87" i="68"/>
  <c r="E62" i="68"/>
  <c r="M74" i="68"/>
  <c r="J111" i="68"/>
  <c r="H67" i="68"/>
  <c r="B107" i="68"/>
  <c r="J66" i="68"/>
  <c r="G98" i="68"/>
  <c r="D131" i="68"/>
  <c r="H131" i="68"/>
  <c r="J143" i="68"/>
  <c r="K14" i="68" s="1"/>
  <c r="J75" i="68"/>
  <c r="B92" i="68"/>
  <c r="H138" i="68"/>
  <c r="B82" i="68"/>
  <c r="G76" i="68"/>
  <c r="K100" i="68"/>
  <c r="H93" i="68"/>
  <c r="M105" i="68"/>
  <c r="G141" i="68"/>
  <c r="H87" i="68"/>
  <c r="M89" i="68"/>
  <c r="M75" i="68"/>
  <c r="B65" i="68"/>
  <c r="J105" i="55"/>
  <c r="B94" i="68"/>
  <c r="E103" i="68"/>
  <c r="E83" i="68"/>
  <c r="B136" i="68"/>
  <c r="H114" i="68"/>
  <c r="J123" i="68"/>
  <c r="H135" i="68"/>
  <c r="M64" i="68"/>
  <c r="K65" i="68"/>
  <c r="H76" i="68"/>
  <c r="E63" i="68"/>
  <c r="B84" i="55"/>
  <c r="K69" i="67"/>
  <c r="E89" i="68"/>
  <c r="G143" i="68"/>
  <c r="J14" i="68" s="1"/>
  <c r="K83" i="68"/>
  <c r="J131" i="68"/>
  <c r="G111" i="68"/>
  <c r="E113" i="68"/>
  <c r="H122" i="68"/>
  <c r="M127" i="68"/>
  <c r="K63" i="68"/>
  <c r="E114" i="68"/>
  <c r="K91" i="55"/>
  <c r="H93" i="55"/>
  <c r="N155" i="55"/>
  <c r="K70" i="69"/>
  <c r="D68" i="69"/>
  <c r="D87" i="69"/>
  <c r="K107" i="69"/>
  <c r="J104" i="69"/>
  <c r="H63" i="69"/>
  <c r="K79" i="69"/>
  <c r="M80" i="69"/>
  <c r="B104" i="69"/>
  <c r="J94" i="69"/>
  <c r="J115" i="69"/>
  <c r="B120" i="67"/>
  <c r="B61" i="67"/>
  <c r="B69" i="67"/>
  <c r="B97" i="67"/>
  <c r="M118" i="67"/>
  <c r="K65" i="67"/>
  <c r="J90" i="67"/>
  <c r="E104" i="67"/>
  <c r="J124" i="67"/>
  <c r="J65" i="67"/>
  <c r="G86" i="67"/>
  <c r="G101" i="67"/>
  <c r="C14" i="69"/>
  <c r="B95" i="69"/>
  <c r="G97" i="69"/>
  <c r="B60" i="67"/>
  <c r="D85" i="67"/>
  <c r="K120" i="67"/>
  <c r="K64" i="67"/>
  <c r="J95" i="67"/>
  <c r="J119" i="67"/>
  <c r="J62" i="67"/>
  <c r="G90" i="67"/>
  <c r="G110" i="67"/>
  <c r="J125" i="67"/>
  <c r="B128" i="67"/>
  <c r="B133" i="67"/>
  <c r="K108" i="67"/>
  <c r="M122" i="67"/>
  <c r="M61" i="67"/>
  <c r="M66" i="67"/>
  <c r="M88" i="67"/>
  <c r="G99" i="67"/>
  <c r="J110" i="67"/>
  <c r="G127" i="67"/>
  <c r="E128" i="67"/>
  <c r="J135" i="67"/>
  <c r="D130" i="67"/>
  <c r="M140" i="67"/>
  <c r="L14" i="67" s="1"/>
  <c r="B85" i="67"/>
  <c r="M78" i="67"/>
  <c r="B92" i="67"/>
  <c r="M79" i="67"/>
  <c r="B89" i="67"/>
  <c r="E89" i="67"/>
  <c r="E106" i="67"/>
  <c r="H136" i="67"/>
  <c r="K101" i="67"/>
  <c r="K75" i="67"/>
  <c r="G76" i="67"/>
  <c r="H78" i="67"/>
  <c r="G77" i="67"/>
  <c r="H119" i="67"/>
  <c r="J118" i="67"/>
  <c r="H65" i="67"/>
  <c r="H84" i="67"/>
  <c r="D95" i="67"/>
  <c r="E132" i="67"/>
  <c r="E63" i="67"/>
  <c r="E69" i="67"/>
  <c r="J91" i="67"/>
  <c r="E102" i="67"/>
  <c r="D119" i="67"/>
  <c r="D60" i="67"/>
  <c r="D65" i="67"/>
  <c r="D84" i="67"/>
  <c r="D97" i="67"/>
  <c r="J104" i="67"/>
  <c r="E125" i="67"/>
  <c r="M136" i="67"/>
  <c r="D135" i="67"/>
  <c r="H102" i="67"/>
  <c r="G120" i="67"/>
  <c r="G60" i="67"/>
  <c r="G65" i="67"/>
  <c r="M85" i="67"/>
  <c r="G97" i="67"/>
  <c r="D108" i="67"/>
  <c r="B127" i="67"/>
  <c r="D126" i="67"/>
  <c r="G135" i="67"/>
  <c r="E136" i="67"/>
  <c r="K140" i="67"/>
  <c r="E14" i="67" s="1"/>
  <c r="M101" i="67"/>
  <c r="B73" i="67"/>
  <c r="E85" i="67"/>
  <c r="B76" i="67"/>
  <c r="K86" i="67"/>
  <c r="B87" i="67"/>
  <c r="G106" i="67"/>
  <c r="K135" i="67"/>
  <c r="E100" i="67"/>
  <c r="K79" i="67"/>
  <c r="G80" i="67"/>
  <c r="K74" i="67"/>
  <c r="J73" i="67"/>
  <c r="K91" i="67"/>
  <c r="H82" i="67"/>
  <c r="G113" i="67"/>
  <c r="H126" i="55"/>
  <c r="H134" i="55"/>
  <c r="H142" i="55"/>
  <c r="D14" i="55" s="1"/>
  <c r="J128" i="55"/>
  <c r="J136" i="55"/>
  <c r="D88" i="55"/>
  <c r="J103" i="55"/>
  <c r="K89" i="67"/>
  <c r="H113" i="67"/>
  <c r="B116" i="69"/>
  <c r="M91" i="69"/>
  <c r="B63" i="67"/>
  <c r="D89" i="67"/>
  <c r="K63" i="67"/>
  <c r="B98" i="67"/>
  <c r="K118" i="67"/>
  <c r="J84" i="67"/>
  <c r="H111" i="67"/>
  <c r="J136" i="67"/>
  <c r="M133" i="67"/>
  <c r="M111" i="67"/>
  <c r="M132" i="67"/>
  <c r="M65" i="67"/>
  <c r="M90" i="67"/>
  <c r="G104" i="67"/>
  <c r="E127" i="67"/>
  <c r="K128" i="67"/>
  <c r="H130" i="67"/>
  <c r="J140" i="67"/>
  <c r="K77" i="67"/>
  <c r="G78" i="67"/>
  <c r="B80" i="67"/>
  <c r="K87" i="67"/>
  <c r="M98" i="67"/>
  <c r="K133" i="67"/>
  <c r="M104" i="67"/>
  <c r="B75" i="67"/>
  <c r="K78" i="67"/>
  <c r="M72" i="67"/>
  <c r="H120" i="67"/>
  <c r="J82" i="69"/>
  <c r="G107" i="69"/>
  <c r="K96" i="69"/>
  <c r="B124" i="67"/>
  <c r="E98" i="67"/>
  <c r="K71" i="67"/>
  <c r="J120" i="67"/>
  <c r="G95" i="67"/>
  <c r="D125" i="67"/>
  <c r="G138" i="67"/>
  <c r="H59" i="67"/>
  <c r="M62" i="67"/>
  <c r="M84" i="67"/>
  <c r="J108" i="67"/>
  <c r="D133" i="67"/>
  <c r="K136" i="67"/>
  <c r="J100" i="67"/>
  <c r="E77" i="67"/>
  <c r="E80" i="67"/>
  <c r="D82" i="67"/>
  <c r="M113" i="67"/>
  <c r="B100" i="67"/>
  <c r="M76" i="67"/>
  <c r="M77" i="67"/>
  <c r="H61" i="67"/>
  <c r="H67" i="67"/>
  <c r="D92" i="67"/>
  <c r="G118" i="67"/>
  <c r="E66" i="67"/>
  <c r="J87" i="67"/>
  <c r="H103" i="67"/>
  <c r="D124" i="67"/>
  <c r="D64" i="67"/>
  <c r="G87" i="67"/>
  <c r="J99" i="67"/>
  <c r="E111" i="67"/>
  <c r="E126" i="67"/>
  <c r="B99" i="67"/>
  <c r="G111" i="67"/>
  <c r="G61" i="67"/>
  <c r="G69" i="67"/>
  <c r="M93" i="67"/>
  <c r="D111" i="67"/>
  <c r="J138" i="67"/>
  <c r="M138" i="67"/>
  <c r="E133" i="67"/>
  <c r="K103" i="67"/>
  <c r="H73" i="67"/>
  <c r="B72" i="67"/>
  <c r="G75" i="67"/>
  <c r="E88" i="67"/>
  <c r="J113" i="67"/>
  <c r="D140" i="67"/>
  <c r="I14" i="67" s="1"/>
  <c r="H92" i="67"/>
  <c r="D80" i="67"/>
  <c r="B74" i="67"/>
  <c r="B67" i="67"/>
  <c r="K60" i="67"/>
  <c r="B103" i="67"/>
  <c r="J66" i="67"/>
  <c r="G108" i="67"/>
  <c r="D128" i="67"/>
  <c r="E103" i="67"/>
  <c r="M124" i="67"/>
  <c r="M69" i="67"/>
  <c r="D98" i="67"/>
  <c r="B59" i="67"/>
  <c r="M128" i="67"/>
  <c r="E134" i="67"/>
  <c r="K102" i="67"/>
  <c r="J72" i="67"/>
  <c r="D79" i="67"/>
  <c r="M82" i="67"/>
  <c r="B138" i="67"/>
  <c r="E72" i="67"/>
  <c r="K85" i="67"/>
  <c r="H88" i="67"/>
  <c r="H124" i="67"/>
  <c r="H63" i="67"/>
  <c r="D86" i="67"/>
  <c r="E120" i="67"/>
  <c r="E62" i="67"/>
  <c r="E84" i="67"/>
  <c r="E97" i="67"/>
  <c r="B111" i="67"/>
  <c r="D61" i="67"/>
  <c r="D69" i="67"/>
  <c r="G91" i="67"/>
  <c r="M108" i="67"/>
  <c r="M125" i="67"/>
  <c r="M126" i="67"/>
  <c r="E108" i="67"/>
  <c r="G124" i="67"/>
  <c r="G64" i="67"/>
  <c r="M87" i="67"/>
  <c r="G102" i="67"/>
  <c r="K59" i="67"/>
  <c r="H128" i="67"/>
  <c r="J130" i="67"/>
  <c r="B140" i="67"/>
  <c r="B14" i="67" s="1"/>
  <c r="K72" i="67"/>
  <c r="J74" i="67"/>
  <c r="E76" i="67"/>
  <c r="E91" i="67"/>
  <c r="B95" i="67"/>
  <c r="B130" i="67"/>
  <c r="M100" i="67"/>
  <c r="B79" i="67"/>
  <c r="H72" i="67"/>
  <c r="D73" i="67"/>
  <c r="B90" i="67"/>
  <c r="D106" i="67"/>
  <c r="H140" i="55"/>
  <c r="H130" i="55"/>
  <c r="J140" i="55"/>
  <c r="J132" i="55"/>
  <c r="J122" i="55"/>
  <c r="M105" i="69"/>
  <c r="B65" i="67"/>
  <c r="J86" i="67"/>
  <c r="D99" i="67"/>
  <c r="H99" i="67"/>
  <c r="M64" i="67"/>
  <c r="D59" i="67"/>
  <c r="H133" i="67"/>
  <c r="J78" i="67"/>
  <c r="H90" i="67"/>
  <c r="H85" i="67"/>
  <c r="J77" i="67"/>
  <c r="H71" i="67"/>
  <c r="E60" i="67"/>
  <c r="J93" i="67"/>
  <c r="D132" i="67"/>
  <c r="G89" i="67"/>
  <c r="G125" i="67"/>
  <c r="E101" i="67"/>
  <c r="G63" i="67"/>
  <c r="J98" i="67"/>
  <c r="M134" i="67"/>
  <c r="E130" i="67"/>
  <c r="M74" i="67"/>
  <c r="D75" i="67"/>
  <c r="B113" i="67"/>
  <c r="E79" i="67"/>
  <c r="M73" i="67"/>
  <c r="H87" i="67"/>
  <c r="H124" i="55"/>
  <c r="H136" i="55"/>
  <c r="J130" i="55"/>
  <c r="G90" i="55"/>
  <c r="K93" i="67"/>
  <c r="H106" i="67"/>
  <c r="B127" i="55"/>
  <c r="B134" i="55"/>
  <c r="B142" i="55"/>
  <c r="B14" i="55" s="1"/>
  <c r="D129" i="55"/>
  <c r="D136" i="55"/>
  <c r="G87" i="55"/>
  <c r="G106" i="55"/>
  <c r="K122" i="55"/>
  <c r="J97" i="55"/>
  <c r="J87" i="55"/>
  <c r="G110" i="55"/>
  <c r="M105" i="55"/>
  <c r="J63" i="55"/>
  <c r="J65" i="55"/>
  <c r="E69" i="55"/>
  <c r="M82" i="55"/>
  <c r="H101" i="55"/>
  <c r="M77" i="55"/>
  <c r="E126" i="55"/>
  <c r="E132" i="55"/>
  <c r="E138" i="55"/>
  <c r="G128" i="55"/>
  <c r="G135" i="55"/>
  <c r="G122" i="55"/>
  <c r="G103" i="55"/>
  <c r="B122" i="55"/>
  <c r="D95" i="55"/>
  <c r="E65" i="55"/>
  <c r="H102" i="55"/>
  <c r="D67" i="55"/>
  <c r="E64" i="55"/>
  <c r="M69" i="55"/>
  <c r="B79" i="55"/>
  <c r="B104" i="55"/>
  <c r="M75" i="55"/>
  <c r="D104" i="55"/>
  <c r="G69" i="55"/>
  <c r="J84" i="55"/>
  <c r="E95" i="55"/>
  <c r="E104" i="55"/>
  <c r="B68" i="55"/>
  <c r="E68" i="55"/>
  <c r="K71" i="55"/>
  <c r="K100" i="55"/>
  <c r="H99" i="55"/>
  <c r="E108" i="55"/>
  <c r="E122" i="55"/>
  <c r="H120" i="55"/>
  <c r="H105" i="55"/>
  <c r="H67" i="55"/>
  <c r="K64" i="55"/>
  <c r="K94" i="55"/>
  <c r="B77" i="55"/>
  <c r="D101" i="55"/>
  <c r="J81" i="55"/>
  <c r="K124" i="55"/>
  <c r="K130" i="55"/>
  <c r="K138" i="55"/>
  <c r="M127" i="55"/>
  <c r="M134" i="55"/>
  <c r="M122" i="55"/>
  <c r="M97" i="55"/>
  <c r="H121" i="55"/>
  <c r="D97" i="55"/>
  <c r="E113" i="55"/>
  <c r="E105" i="55"/>
  <c r="B67" i="55"/>
  <c r="G64" i="55"/>
  <c r="E87" i="55"/>
  <c r="B75" i="55"/>
  <c r="J101" i="55"/>
  <c r="M79" i="55"/>
  <c r="H61" i="55"/>
  <c r="G68" i="55"/>
  <c r="M84" i="55"/>
  <c r="E97" i="55"/>
  <c r="K61" i="55"/>
  <c r="K95" i="55"/>
  <c r="E88" i="55"/>
  <c r="B97" i="55"/>
  <c r="M100" i="55"/>
  <c r="E99" i="55"/>
  <c r="J115" i="55"/>
  <c r="B115" i="55"/>
  <c r="E127" i="68"/>
  <c r="E64" i="68"/>
  <c r="E68" i="68"/>
  <c r="E74" i="68"/>
  <c r="J92" i="68"/>
  <c r="H101" i="68"/>
  <c r="B111" i="68"/>
  <c r="G122" i="68"/>
  <c r="G135" i="68"/>
  <c r="G65" i="68"/>
  <c r="G69" i="68"/>
  <c r="G87" i="68"/>
  <c r="M94" i="68"/>
  <c r="D104" i="68"/>
  <c r="D113" i="68"/>
  <c r="B123" i="68"/>
  <c r="M121" i="68"/>
  <c r="B66" i="68"/>
  <c r="B70" i="68"/>
  <c r="D88" i="68"/>
  <c r="D96" i="68"/>
  <c r="B105" i="68"/>
  <c r="K113" i="68"/>
  <c r="D123" i="68"/>
  <c r="K121" i="68"/>
  <c r="D66" i="68"/>
  <c r="D70" i="68"/>
  <c r="G88" i="68"/>
  <c r="G96" i="68"/>
  <c r="D105" i="68"/>
  <c r="M113" i="68"/>
  <c r="G128" i="68"/>
  <c r="M139" i="68"/>
  <c r="M129" i="68"/>
  <c r="E130" i="68"/>
  <c r="D136" i="68"/>
  <c r="K131" i="68"/>
  <c r="J138" i="68"/>
  <c r="E138" i="68"/>
  <c r="H141" i="68"/>
  <c r="H103" i="68"/>
  <c r="K95" i="68"/>
  <c r="E76" i="68"/>
  <c r="G77" i="68"/>
  <c r="K79" i="68"/>
  <c r="M78" i="68"/>
  <c r="B91" i="68"/>
  <c r="E96" i="68"/>
  <c r="J85" i="68"/>
  <c r="D116" i="68"/>
  <c r="K139" i="68"/>
  <c r="B141" i="68"/>
  <c r="K104" i="68"/>
  <c r="E75" i="68"/>
  <c r="B78" i="68"/>
  <c r="D79" i="68"/>
  <c r="H81" i="68"/>
  <c r="J80" i="68"/>
  <c r="H91" i="68"/>
  <c r="B93" i="68"/>
  <c r="K98" i="68"/>
  <c r="G116" i="68"/>
  <c r="G70" i="69"/>
  <c r="K124" i="67"/>
  <c r="J61" i="67"/>
  <c r="D134" i="67"/>
  <c r="M119" i="67"/>
  <c r="M92" i="67"/>
  <c r="D127" i="67"/>
  <c r="M102" i="67"/>
  <c r="G79" i="67"/>
  <c r="E135" i="67"/>
  <c r="D76" i="67"/>
  <c r="H62" i="67"/>
  <c r="E119" i="67"/>
  <c r="E67" i="67"/>
  <c r="B110" i="67"/>
  <c r="D66" i="67"/>
  <c r="G103" i="67"/>
  <c r="K126" i="67"/>
  <c r="G122" i="67"/>
  <c r="G71" i="67"/>
  <c r="J59" i="67"/>
  <c r="H135" i="67"/>
  <c r="M99" i="67"/>
  <c r="H76" i="67"/>
  <c r="H91" i="67"/>
  <c r="D100" i="67"/>
  <c r="D72" i="67"/>
  <c r="K90" i="67"/>
  <c r="J106" i="67"/>
  <c r="H129" i="55"/>
  <c r="J126" i="55"/>
  <c r="J137" i="55"/>
  <c r="G97" i="55"/>
  <c r="K82" i="67"/>
  <c r="B140" i="55"/>
  <c r="B129" i="55"/>
  <c r="B137" i="55"/>
  <c r="D126" i="55"/>
  <c r="D132" i="55"/>
  <c r="D121" i="55"/>
  <c r="G93" i="55"/>
  <c r="M113" i="55"/>
  <c r="J92" i="55"/>
  <c r="H113" i="55"/>
  <c r="J95" i="55"/>
  <c r="H62" i="55"/>
  <c r="G62" i="55"/>
  <c r="M65" i="55"/>
  <c r="M104" i="55"/>
  <c r="H81" i="55"/>
  <c r="G82" i="55"/>
  <c r="E78" i="55"/>
  <c r="G142" i="55"/>
  <c r="J14" i="55" s="1"/>
  <c r="E128" i="55"/>
  <c r="E136" i="55"/>
  <c r="G124" i="55"/>
  <c r="G130" i="55"/>
  <c r="G138" i="55"/>
  <c r="M91" i="55"/>
  <c r="B113" i="55"/>
  <c r="D91" i="55"/>
  <c r="H112" i="55"/>
  <c r="B62" i="55"/>
  <c r="J102" i="55"/>
  <c r="G65" i="55"/>
  <c r="B65" i="55"/>
  <c r="H79" i="55"/>
  <c r="G80" i="55"/>
  <c r="H76" i="55"/>
  <c r="D77" i="55"/>
  <c r="H87" i="55"/>
  <c r="H88" i="55"/>
  <c r="H91" i="55"/>
  <c r="D75" i="55"/>
  <c r="B69" i="55"/>
  <c r="H89" i="55"/>
  <c r="K89" i="55"/>
  <c r="H71" i="55"/>
  <c r="B99" i="55"/>
  <c r="D108" i="55"/>
  <c r="E115" i="55"/>
  <c r="E103" i="55"/>
  <c r="J62" i="55"/>
  <c r="E66" i="55"/>
  <c r="G67" i="55"/>
  <c r="K105" i="55"/>
  <c r="K77" i="55"/>
  <c r="G78" i="55"/>
  <c r="E82" i="55"/>
  <c r="D81" i="55"/>
  <c r="K128" i="55"/>
  <c r="K135" i="55"/>
  <c r="M140" i="55"/>
  <c r="M130" i="55"/>
  <c r="M137" i="55"/>
  <c r="M90" i="55"/>
  <c r="J113" i="55"/>
  <c r="D90" i="55"/>
  <c r="B112" i="55"/>
  <c r="M101" i="55"/>
  <c r="G102" i="55"/>
  <c r="B64" i="55"/>
  <c r="K103" i="55"/>
  <c r="K75" i="55"/>
  <c r="J76" i="55"/>
  <c r="E80" i="55"/>
  <c r="D79" i="55"/>
  <c r="D61" i="55"/>
  <c r="K90" i="55"/>
  <c r="E89" i="55"/>
  <c r="D71" i="55"/>
  <c r="E94" i="55"/>
  <c r="B93" i="55"/>
  <c r="E93" i="55"/>
  <c r="J100" i="55"/>
  <c r="M99" i="55"/>
  <c r="D115" i="55"/>
  <c r="H115" i="55"/>
  <c r="E123" i="68"/>
  <c r="J121" i="68"/>
  <c r="E66" i="68"/>
  <c r="E70" i="68"/>
  <c r="J88" i="68"/>
  <c r="J96" i="68"/>
  <c r="E105" i="68"/>
  <c r="B114" i="68"/>
  <c r="G125" i="68"/>
  <c r="G63" i="68"/>
  <c r="G67" i="68"/>
  <c r="G72" i="68"/>
  <c r="M90" i="68"/>
  <c r="G100" i="68"/>
  <c r="J106" i="68"/>
  <c r="J62" i="68"/>
  <c r="B127" i="68"/>
  <c r="B64" i="68"/>
  <c r="B68" i="68"/>
  <c r="B74" i="68"/>
  <c r="D92" i="68"/>
  <c r="E101" i="68"/>
  <c r="H107" i="68"/>
  <c r="B62" i="68"/>
  <c r="D127" i="68"/>
  <c r="D64" i="68"/>
  <c r="D68" i="68"/>
  <c r="D74" i="68"/>
  <c r="G92" i="68"/>
  <c r="G101" i="68"/>
  <c r="J107" i="68"/>
  <c r="E128" i="68"/>
  <c r="B128" i="68"/>
  <c r="K129" i="68"/>
  <c r="J136" i="68"/>
  <c r="G130" i="68"/>
  <c r="D130" i="68"/>
  <c r="M131" i="68"/>
  <c r="H139" i="68"/>
  <c r="K136" i="68"/>
  <c r="K143" i="68"/>
  <c r="E14" i="68" s="1"/>
  <c r="M102" i="68"/>
  <c r="K76" i="68"/>
  <c r="M77" i="68"/>
  <c r="E88" i="68"/>
  <c r="E79" i="68"/>
  <c r="G78" i="68"/>
  <c r="E94" i="68"/>
  <c r="B90" i="68"/>
  <c r="M100" i="68"/>
  <c r="B116" i="68"/>
  <c r="H136" i="68"/>
  <c r="H143" i="68"/>
  <c r="D14" i="68" s="1"/>
  <c r="K107" i="68"/>
  <c r="H78" i="68"/>
  <c r="J79" i="68"/>
  <c r="H96" i="68"/>
  <c r="B81" i="68"/>
  <c r="D80" i="68"/>
  <c r="K94" i="68"/>
  <c r="H90" i="68"/>
  <c r="J109" i="68"/>
  <c r="M109" i="68"/>
  <c r="E98" i="68"/>
  <c r="H89" i="68"/>
  <c r="K93" i="68"/>
  <c r="J76" i="68"/>
  <c r="H77" i="68"/>
  <c r="D75" i="68"/>
  <c r="M83" i="68"/>
  <c r="K82" i="68"/>
  <c r="M103" i="68"/>
  <c r="D143" i="68"/>
  <c r="I14" i="68" s="1"/>
  <c r="J133" i="68"/>
  <c r="K109" i="68"/>
  <c r="H98" i="68"/>
  <c r="B89" i="68"/>
  <c r="E93" i="68"/>
  <c r="J82" i="68"/>
  <c r="H83" i="68"/>
  <c r="D81" i="68"/>
  <c r="B80" i="68"/>
  <c r="B96" i="68"/>
  <c r="K102" i="68"/>
  <c r="K141" i="68"/>
  <c r="E139" i="68"/>
  <c r="M138" i="68"/>
  <c r="B129" i="68"/>
  <c r="G137" i="68"/>
  <c r="H130" i="68"/>
  <c r="J129" i="68"/>
  <c r="J139" i="68"/>
  <c r="D128" i="68"/>
  <c r="G113" i="68"/>
  <c r="G104" i="68"/>
  <c r="G95" i="68"/>
  <c r="J87" i="68"/>
  <c r="J69" i="68"/>
  <c r="J65" i="68"/>
  <c r="J135" i="68"/>
  <c r="J122" i="68"/>
  <c r="E111" i="68"/>
  <c r="B102" i="68"/>
  <c r="D93" i="68"/>
  <c r="H74" i="68"/>
  <c r="H68" i="68"/>
  <c r="H64" i="68"/>
  <c r="H127" i="68"/>
  <c r="D62" i="68"/>
  <c r="G107" i="68"/>
  <c r="D101" i="68"/>
  <c r="M91" i="68"/>
  <c r="M72" i="68"/>
  <c r="M67" i="68"/>
  <c r="M63" i="68"/>
  <c r="M125" i="68"/>
  <c r="J114" i="68"/>
  <c r="B106" i="68"/>
  <c r="J98" i="68"/>
  <c r="J89" i="68"/>
  <c r="K70" i="68"/>
  <c r="K66" i="68"/>
  <c r="D121" i="68"/>
  <c r="K123" i="68"/>
  <c r="E116" i="68"/>
  <c r="K91" i="68"/>
  <c r="G80" i="68"/>
  <c r="K88" i="68"/>
  <c r="K78" i="68"/>
  <c r="E143" i="68"/>
  <c r="J116" i="68"/>
  <c r="E91" i="68"/>
  <c r="J78" i="68"/>
  <c r="D77" i="68"/>
  <c r="K75" i="68"/>
  <c r="B143" i="68"/>
  <c r="B14" i="68" s="1"/>
  <c r="M133" i="68"/>
  <c r="J137" i="68"/>
  <c r="D138" i="68"/>
  <c r="M128" i="68"/>
  <c r="G106" i="68"/>
  <c r="G90" i="68"/>
  <c r="D67" i="68"/>
  <c r="D125" i="68"/>
  <c r="E106" i="68"/>
  <c r="D90" i="68"/>
  <c r="B67" i="68"/>
  <c r="B125" i="68"/>
  <c r="G105" i="68"/>
  <c r="M88" i="68"/>
  <c r="G66" i="68"/>
  <c r="G123" i="68"/>
  <c r="B104" i="68"/>
  <c r="E87" i="68"/>
  <c r="E65" i="68"/>
  <c r="E122" i="68"/>
  <c r="G108" i="55"/>
  <c r="B71" i="55"/>
  <c r="H92" i="55"/>
  <c r="G71" i="55"/>
  <c r="M71" i="55"/>
  <c r="G79" i="55"/>
  <c r="M76" i="55"/>
  <c r="D65" i="55"/>
  <c r="M62" i="55"/>
  <c r="H103" i="55"/>
  <c r="D106" i="55"/>
  <c r="M136" i="55"/>
  <c r="K142" i="55"/>
  <c r="E14" i="55" s="1"/>
  <c r="K126" i="55"/>
  <c r="H82" i="55"/>
  <c r="E74" i="55"/>
  <c r="H63" i="55"/>
  <c r="J66" i="55"/>
  <c r="K115" i="55"/>
  <c r="B100" i="55"/>
  <c r="B91" i="55"/>
  <c r="G61" i="55"/>
  <c r="E92" i="55"/>
  <c r="B61" i="55"/>
  <c r="K76" i="55"/>
  <c r="B95" i="55"/>
  <c r="D64" i="55"/>
  <c r="B66" i="55"/>
  <c r="D87" i="55"/>
  <c r="J89" i="55"/>
  <c r="G129" i="55"/>
  <c r="E134" i="55"/>
  <c r="G77" i="55"/>
  <c r="J82" i="55"/>
  <c r="G66" i="55"/>
  <c r="B110" i="55"/>
  <c r="J91" i="55"/>
  <c r="M88" i="55"/>
  <c r="G91" i="55"/>
  <c r="D130" i="55"/>
  <c r="B135" i="55"/>
  <c r="D142" i="55"/>
  <c r="I14" i="55" s="1"/>
  <c r="H86" i="67"/>
  <c r="J134" i="55"/>
  <c r="H128" i="55"/>
  <c r="K95" i="67"/>
  <c r="M80" i="67"/>
  <c r="G82" i="67"/>
  <c r="G100" i="67"/>
  <c r="J103" i="67"/>
  <c r="E110" i="67"/>
  <c r="G98" i="67"/>
  <c r="B101" i="67"/>
  <c r="D90" i="67"/>
  <c r="B106" i="67"/>
  <c r="B134" i="67"/>
  <c r="M71" i="67"/>
  <c r="H125" i="67"/>
  <c r="D87" i="67"/>
  <c r="K118" i="69"/>
  <c r="H109" i="68"/>
  <c r="K92" i="68"/>
  <c r="B85" i="68"/>
  <c r="D76" i="68"/>
  <c r="B77" i="68"/>
  <c r="H75" i="68"/>
  <c r="G83" i="68"/>
  <c r="E82" i="68"/>
  <c r="M106" i="68"/>
  <c r="D103" i="68"/>
  <c r="B139" i="68"/>
  <c r="E133" i="68"/>
  <c r="B109" i="68"/>
  <c r="E92" i="68"/>
  <c r="K90" i="68"/>
  <c r="D82" i="68"/>
  <c r="B83" i="68"/>
  <c r="B95" i="68"/>
  <c r="J81" i="68"/>
  <c r="H80" i="68"/>
  <c r="K105" i="68"/>
  <c r="M143" i="68"/>
  <c r="L14" i="68" s="1"/>
  <c r="E136" i="68"/>
  <c r="K133" i="68"/>
  <c r="M141" i="68"/>
  <c r="D129" i="68"/>
  <c r="J130" i="68"/>
  <c r="G136" i="68"/>
  <c r="H129" i="68"/>
  <c r="D141" i="68"/>
  <c r="G62" i="68"/>
  <c r="D107" i="68"/>
  <c r="J100" i="68"/>
  <c r="G91" i="68"/>
  <c r="J72" i="68"/>
  <c r="J67" i="68"/>
  <c r="J63" i="68"/>
  <c r="J125" i="68"/>
  <c r="G114" i="68"/>
  <c r="H105" i="68"/>
  <c r="D98" i="68"/>
  <c r="D89" i="68"/>
  <c r="H70" i="68"/>
  <c r="H66" i="68"/>
  <c r="G121" i="68"/>
  <c r="H123" i="68"/>
  <c r="J113" i="68"/>
  <c r="J104" i="68"/>
  <c r="M95" i="68"/>
  <c r="M87" i="68"/>
  <c r="M69" i="68"/>
  <c r="M65" i="68"/>
  <c r="M135" i="68"/>
  <c r="M122" i="68"/>
  <c r="H111" i="68"/>
  <c r="E102" i="68"/>
  <c r="J93" i="68"/>
  <c r="K74" i="68"/>
  <c r="K68" i="68"/>
  <c r="K64" i="68"/>
  <c r="K127" i="68"/>
  <c r="K101" i="68"/>
  <c r="E90" i="68"/>
  <c r="E81" i="68"/>
  <c r="M79" i="68"/>
  <c r="M107" i="68"/>
  <c r="H133" i="68"/>
  <c r="B98" i="68"/>
  <c r="K89" i="68"/>
  <c r="H79" i="68"/>
  <c r="B76" i="68"/>
  <c r="K106" i="68"/>
  <c r="B133" i="68"/>
  <c r="G131" i="68"/>
  <c r="K130" i="68"/>
  <c r="E129" i="68"/>
  <c r="M62" i="68"/>
  <c r="D100" i="68"/>
  <c r="D72" i="68"/>
  <c r="D63" i="68"/>
  <c r="M114" i="68"/>
  <c r="B100" i="68"/>
  <c r="B72" i="68"/>
  <c r="B63" i="68"/>
  <c r="D114" i="68"/>
  <c r="M96" i="68"/>
  <c r="G70" i="68"/>
  <c r="H121" i="68"/>
  <c r="B113" i="68"/>
  <c r="J94" i="68"/>
  <c r="E69" i="68"/>
  <c r="E135" i="68"/>
  <c r="G115" i="55"/>
  <c r="G99" i="55"/>
  <c r="K92" i="55"/>
  <c r="E61" i="55"/>
  <c r="K88" i="55"/>
  <c r="H104" i="55"/>
  <c r="K80" i="55"/>
  <c r="K74" i="55"/>
  <c r="B63" i="55"/>
  <c r="D66" i="55"/>
  <c r="G88" i="55"/>
  <c r="J88" i="55"/>
  <c r="M128" i="55"/>
  <c r="K134" i="55"/>
  <c r="G81" i="55"/>
  <c r="M78" i="55"/>
  <c r="E62" i="55"/>
  <c r="E102" i="55"/>
  <c r="M89" i="55"/>
  <c r="K108" i="55"/>
  <c r="H97" i="55"/>
  <c r="E90" i="55"/>
  <c r="K97" i="55"/>
  <c r="J68" i="55"/>
  <c r="J75" i="55"/>
  <c r="J80" i="55"/>
  <c r="M66" i="55"/>
  <c r="K66" i="55"/>
  <c r="E106" i="55"/>
  <c r="J106" i="55"/>
  <c r="G136" i="55"/>
  <c r="G140" i="55"/>
  <c r="E127" i="55"/>
  <c r="K78" i="55"/>
  <c r="K81" i="55"/>
  <c r="J64" i="55"/>
  <c r="K65" i="55"/>
  <c r="E112" i="55"/>
  <c r="J112" i="55"/>
  <c r="D137" i="55"/>
  <c r="D124" i="55"/>
  <c r="B128" i="55"/>
  <c r="M106" i="67"/>
  <c r="G94" i="55"/>
  <c r="H138" i="55"/>
  <c r="E86" i="67"/>
  <c r="E138" i="67"/>
  <c r="D74" i="67"/>
  <c r="J128" i="67"/>
  <c r="G67" i="67"/>
  <c r="B125" i="67"/>
  <c r="D62" i="67"/>
  <c r="E64" i="67"/>
  <c r="H132" i="67"/>
  <c r="E75" i="67"/>
  <c r="K80" i="67"/>
  <c r="M127" i="67"/>
  <c r="H104" i="67"/>
  <c r="H108" i="67"/>
  <c r="H65" i="69"/>
  <c r="H67" i="69"/>
  <c r="H69" i="69"/>
  <c r="H71" i="69"/>
  <c r="H74" i="69"/>
  <c r="H77" i="69"/>
  <c r="H79" i="69"/>
  <c r="H81" i="69"/>
  <c r="H83" i="69"/>
  <c r="H85" i="69"/>
  <c r="D64" i="69"/>
  <c r="D66" i="69"/>
  <c r="G67" i="69"/>
  <c r="M68" i="69"/>
  <c r="D70" i="69"/>
  <c r="G71" i="69"/>
  <c r="M72" i="69"/>
  <c r="D76" i="69"/>
  <c r="G77" i="69"/>
  <c r="G78" i="69"/>
  <c r="G79" i="69"/>
  <c r="G80" i="69"/>
  <c r="G81" i="69"/>
  <c r="G82" i="69"/>
  <c r="G83" i="69"/>
  <c r="G84" i="69"/>
  <c r="G85" i="69"/>
  <c r="G87" i="69"/>
  <c r="E89" i="69"/>
  <c r="E90" i="69"/>
  <c r="E91" i="69"/>
  <c r="E92" i="69"/>
  <c r="E93" i="69"/>
  <c r="E94" i="69"/>
  <c r="E95" i="69"/>
  <c r="E96" i="69"/>
  <c r="E97" i="69"/>
  <c r="E98" i="69"/>
  <c r="E100" i="69"/>
  <c r="E102" i="69"/>
  <c r="E103" i="69"/>
  <c r="E104" i="69"/>
  <c r="E105" i="69"/>
  <c r="E106" i="69"/>
  <c r="E107" i="69"/>
  <c r="E108" i="69"/>
  <c r="E109" i="69"/>
  <c r="E111" i="69"/>
  <c r="E113" i="69"/>
  <c r="E115" i="69"/>
  <c r="E116" i="69"/>
  <c r="E118" i="69"/>
  <c r="J63" i="69"/>
  <c r="K64" i="69"/>
  <c r="K67" i="69"/>
  <c r="H70" i="69"/>
  <c r="K72" i="69"/>
  <c r="K77" i="69"/>
  <c r="H80" i="69"/>
  <c r="K82" i="69"/>
  <c r="K85" i="69"/>
  <c r="D65" i="69"/>
  <c r="D67" i="69"/>
  <c r="D69" i="69"/>
  <c r="M70" i="69"/>
  <c r="G72" i="69"/>
  <c r="G76" i="69"/>
  <c r="M77" i="69"/>
  <c r="D79" i="69"/>
  <c r="J80" i="69"/>
  <c r="M81" i="69"/>
  <c r="D83" i="69"/>
  <c r="J84" i="69"/>
  <c r="M85" i="69"/>
  <c r="B89" i="69"/>
  <c r="H90" i="69"/>
  <c r="K91" i="69"/>
  <c r="B93" i="69"/>
  <c r="H94" i="69"/>
  <c r="K95" i="69"/>
  <c r="B97" i="69"/>
  <c r="H98" i="69"/>
  <c r="K100" i="69"/>
  <c r="B103" i="69"/>
  <c r="H104" i="69"/>
  <c r="K105" i="69"/>
  <c r="B107" i="69"/>
  <c r="H108" i="69"/>
  <c r="K109" i="69"/>
  <c r="B113" i="69"/>
  <c r="H115" i="69"/>
  <c r="K116" i="69"/>
  <c r="M63" i="69"/>
  <c r="D89" i="69"/>
  <c r="D90" i="69"/>
  <c r="D91" i="69"/>
  <c r="D92" i="69"/>
  <c r="D93" i="69"/>
  <c r="D94" i="69"/>
  <c r="D95" i="69"/>
  <c r="D96" i="69"/>
  <c r="D97" i="69"/>
  <c r="D98" i="69"/>
  <c r="D100" i="69"/>
  <c r="D102" i="69"/>
  <c r="D103" i="69"/>
  <c r="D104" i="69"/>
  <c r="D105" i="69"/>
  <c r="D106" i="69"/>
  <c r="D107" i="69"/>
  <c r="D108" i="69"/>
  <c r="D109" i="69"/>
  <c r="D111" i="69"/>
  <c r="D113" i="69"/>
  <c r="D115" i="69"/>
  <c r="D116" i="69"/>
  <c r="D118" i="69"/>
  <c r="K63" i="69"/>
  <c r="K14" i="69"/>
  <c r="H64" i="69"/>
  <c r="H68" i="69"/>
  <c r="K71" i="69"/>
  <c r="K76" i="69"/>
  <c r="K80" i="69"/>
  <c r="H84" i="69"/>
  <c r="G66" i="69"/>
  <c r="G68" i="69"/>
  <c r="D71" i="69"/>
  <c r="G74" i="69"/>
  <c r="J77" i="69"/>
  <c r="J79" i="69"/>
  <c r="D81" i="69"/>
  <c r="M82" i="69"/>
  <c r="M84" i="69"/>
  <c r="H87" i="69"/>
  <c r="B90" i="69"/>
  <c r="B92" i="69"/>
  <c r="K93" i="69"/>
  <c r="H95" i="69"/>
  <c r="H97" i="69"/>
  <c r="B100" i="69"/>
  <c r="K102" i="69"/>
  <c r="K104" i="69"/>
  <c r="H106" i="69"/>
  <c r="B108" i="69"/>
  <c r="B111" i="69"/>
  <c r="K113" i="69"/>
  <c r="H116" i="69"/>
  <c r="G63" i="69"/>
  <c r="J89" i="69"/>
  <c r="M90" i="69"/>
  <c r="G92" i="69"/>
  <c r="J93" i="69"/>
  <c r="M94" i="69"/>
  <c r="G96" i="69"/>
  <c r="J97" i="69"/>
  <c r="M98" i="69"/>
  <c r="G102" i="69"/>
  <c r="J103" i="69"/>
  <c r="M104" i="69"/>
  <c r="G106" i="69"/>
  <c r="J107" i="69"/>
  <c r="M108" i="69"/>
  <c r="G111" i="69"/>
  <c r="J113" i="69"/>
  <c r="M115" i="69"/>
  <c r="G118" i="69"/>
  <c r="E63" i="69"/>
  <c r="H66" i="69"/>
  <c r="K69" i="69"/>
  <c r="K74" i="69"/>
  <c r="K78" i="69"/>
  <c r="H82" i="69"/>
  <c r="B14" i="69"/>
  <c r="G64" i="69"/>
  <c r="M67" i="69"/>
  <c r="M69" i="69"/>
  <c r="D72" i="69"/>
  <c r="M76" i="69"/>
  <c r="J78" i="69"/>
  <c r="D80" i="69"/>
  <c r="D82" i="69"/>
  <c r="M83" i="69"/>
  <c r="J85" i="69"/>
  <c r="H89" i="69"/>
  <c r="B91" i="69"/>
  <c r="K92" i="69"/>
  <c r="K94" i="69"/>
  <c r="H96" i="69"/>
  <c r="B98" i="69"/>
  <c r="B102" i="69"/>
  <c r="K103" i="69"/>
  <c r="H105" i="69"/>
  <c r="H107" i="69"/>
  <c r="B109" i="69"/>
  <c r="K111" i="69"/>
  <c r="K115" i="69"/>
  <c r="H118" i="69"/>
  <c r="M87" i="69"/>
  <c r="G90" i="69"/>
  <c r="J91" i="69"/>
  <c r="M92" i="69"/>
  <c r="G94" i="69"/>
  <c r="J95" i="69"/>
  <c r="M96" i="69"/>
  <c r="G98" i="69"/>
  <c r="J100" i="69"/>
  <c r="M102" i="69"/>
  <c r="G104" i="69"/>
  <c r="J105" i="69"/>
  <c r="M106" i="69"/>
  <c r="G108" i="69"/>
  <c r="J109" i="69"/>
  <c r="M111" i="69"/>
  <c r="G115" i="69"/>
  <c r="J116" i="69"/>
  <c r="M118" i="69"/>
  <c r="K68" i="69"/>
  <c r="H78" i="69"/>
  <c r="K84" i="69"/>
  <c r="M66" i="69"/>
  <c r="M71" i="69"/>
  <c r="D78" i="69"/>
  <c r="J81" i="69"/>
  <c r="D85" i="69"/>
  <c r="K90" i="69"/>
  <c r="B94" i="69"/>
  <c r="K97" i="69"/>
  <c r="H103" i="69"/>
  <c r="K106" i="69"/>
  <c r="H111" i="69"/>
  <c r="B118" i="69"/>
  <c r="J87" i="69"/>
  <c r="G91" i="69"/>
  <c r="M93" i="69"/>
  <c r="J96" i="69"/>
  <c r="G100" i="69"/>
  <c r="M103" i="69"/>
  <c r="J106" i="69"/>
  <c r="G109" i="69"/>
  <c r="M113" i="69"/>
  <c r="J118" i="69"/>
  <c r="K65" i="69"/>
  <c r="H72" i="69"/>
  <c r="K81" i="69"/>
  <c r="G69" i="69"/>
  <c r="M74" i="69"/>
  <c r="M79" i="69"/>
  <c r="J83" i="69"/>
  <c r="K87" i="69"/>
  <c r="H92" i="69"/>
  <c r="B96" i="69"/>
  <c r="H100" i="69"/>
  <c r="B105" i="69"/>
  <c r="K108" i="69"/>
  <c r="B115" i="69"/>
  <c r="D63" i="69"/>
  <c r="M89" i="69"/>
  <c r="J92" i="69"/>
  <c r="G95" i="69"/>
  <c r="M97" i="69"/>
  <c r="J102" i="69"/>
  <c r="G105" i="69"/>
  <c r="M107" i="69"/>
  <c r="J111" i="69"/>
  <c r="G116" i="69"/>
  <c r="B63" i="69"/>
  <c r="H76" i="69"/>
  <c r="G65" i="69"/>
  <c r="D77" i="69"/>
  <c r="D84" i="69"/>
  <c r="H93" i="69"/>
  <c r="H102" i="69"/>
  <c r="H109" i="69"/>
  <c r="J90" i="69"/>
  <c r="M95" i="69"/>
  <c r="G103" i="69"/>
  <c r="J108" i="69"/>
  <c r="M116" i="69"/>
  <c r="D124" i="69"/>
  <c r="K83" i="69"/>
  <c r="M78" i="69"/>
  <c r="K89" i="69"/>
  <c r="K98" i="69"/>
  <c r="H113" i="69"/>
  <c r="G93" i="69"/>
  <c r="M100" i="69"/>
  <c r="M109" i="69"/>
  <c r="B119" i="67"/>
  <c r="B132" i="67"/>
  <c r="B62" i="67"/>
  <c r="B66" i="67"/>
  <c r="B84" i="67"/>
  <c r="D91" i="67"/>
  <c r="K119" i="67"/>
  <c r="K132" i="67"/>
  <c r="K62" i="67"/>
  <c r="K66" i="67"/>
  <c r="K84" i="67"/>
  <c r="J92" i="67"/>
  <c r="H101" i="67"/>
  <c r="H110" i="67"/>
  <c r="J122" i="67"/>
  <c r="J60" i="67"/>
  <c r="J64" i="67"/>
  <c r="J69" i="67"/>
  <c r="G88" i="67"/>
  <c r="J97" i="67"/>
  <c r="D104" i="67"/>
  <c r="G59" i="67"/>
  <c r="K66" i="69"/>
  <c r="D74" i="69"/>
  <c r="H91" i="69"/>
  <c r="B106" i="69"/>
  <c r="G89" i="69"/>
  <c r="J98" i="69"/>
  <c r="G113" i="69"/>
  <c r="D118" i="67"/>
  <c r="B64" i="67"/>
  <c r="B71" i="67"/>
  <c r="D93" i="67"/>
  <c r="K122" i="67"/>
  <c r="K61" i="67"/>
  <c r="K67" i="67"/>
  <c r="J88" i="67"/>
  <c r="E99" i="67"/>
  <c r="J111" i="67"/>
  <c r="J132" i="67"/>
  <c r="J63" i="67"/>
  <c r="J71" i="67"/>
  <c r="G92" i="67"/>
  <c r="J102" i="67"/>
  <c r="E59" i="67"/>
  <c r="D138" i="67"/>
  <c r="H126" i="67"/>
  <c r="G133" i="67"/>
  <c r="B102" i="67"/>
  <c r="K110" i="67"/>
  <c r="M120" i="67"/>
  <c r="B118" i="67"/>
  <c r="M63" i="67"/>
  <c r="M67" i="67"/>
  <c r="M86" i="67"/>
  <c r="M95" i="67"/>
  <c r="D103" i="67"/>
  <c r="K111" i="67"/>
  <c r="K127" i="67"/>
  <c r="J134" i="67"/>
  <c r="G128" i="67"/>
  <c r="K130" i="67"/>
  <c r="H134" i="67"/>
  <c r="K138" i="67"/>
  <c r="K99" i="67"/>
  <c r="B93" i="67"/>
  <c r="B77" i="67"/>
  <c r="D78" i="67"/>
  <c r="H80" i="67"/>
  <c r="J79" i="67"/>
  <c r="E90" i="67"/>
  <c r="B86" i="67"/>
  <c r="H95" i="67"/>
  <c r="K106" i="67"/>
  <c r="M130" i="67"/>
  <c r="H140" i="67"/>
  <c r="D14" i="67" s="1"/>
  <c r="K104" i="67"/>
  <c r="H75" i="67"/>
  <c r="J76" i="67"/>
  <c r="H93" i="67"/>
  <c r="B78" i="67"/>
  <c r="D77" i="67"/>
  <c r="H122" i="67"/>
  <c r="H60" i="67"/>
  <c r="H64" i="67"/>
  <c r="H69" i="67"/>
  <c r="D88" i="67"/>
  <c r="H97" i="67"/>
  <c r="E124" i="67"/>
  <c r="E61" i="67"/>
  <c r="E65" i="67"/>
  <c r="E71" i="67"/>
  <c r="J89" i="67"/>
  <c r="H98" i="67"/>
  <c r="B108" i="67"/>
  <c r="D120" i="67"/>
  <c r="E118" i="67"/>
  <c r="D63" i="67"/>
  <c r="D67" i="67"/>
  <c r="G85" i="67"/>
  <c r="G93" i="67"/>
  <c r="D102" i="67"/>
  <c r="M110" i="67"/>
  <c r="K125" i="67"/>
  <c r="G136" i="67"/>
  <c r="G126" i="67"/>
  <c r="G130" i="67"/>
  <c r="B104" i="67"/>
  <c r="G119" i="67"/>
  <c r="G132" i="67"/>
  <c r="G62" i="67"/>
  <c r="G66" i="67"/>
  <c r="G84" i="67"/>
  <c r="M91" i="67"/>
  <c r="D101" i="67"/>
  <c r="D110" i="67"/>
  <c r="H127" i="67"/>
  <c r="G134" i="67"/>
  <c r="B126" i="67"/>
  <c r="M135" i="67"/>
  <c r="B136" i="67"/>
  <c r="H138" i="67"/>
  <c r="H100" i="67"/>
  <c r="K92" i="67"/>
  <c r="E73" i="67"/>
  <c r="G74" i="67"/>
  <c r="K76" i="67"/>
  <c r="M75" i="67"/>
  <c r="B88" i="67"/>
  <c r="E93" i="67"/>
  <c r="J82" i="67"/>
  <c r="D113" i="67"/>
  <c r="K134" i="67"/>
  <c r="G140" i="67"/>
  <c r="J14" i="67" s="1"/>
  <c r="K100" i="67"/>
  <c r="H79" i="67"/>
  <c r="J80" i="67"/>
  <c r="E92" i="67"/>
  <c r="E74" i="67"/>
  <c r="G73" i="67"/>
  <c r="E87" i="67"/>
  <c r="K88" i="67"/>
  <c r="K98" i="67"/>
  <c r="E113" i="67"/>
  <c r="J142" i="55"/>
  <c r="K14" i="55" s="1"/>
  <c r="H127" i="55"/>
  <c r="H132" i="55"/>
  <c r="H137" i="55"/>
  <c r="J124" i="55"/>
  <c r="J129" i="55"/>
  <c r="J135" i="55"/>
  <c r="J121" i="55"/>
  <c r="G92" i="55"/>
  <c r="H89" i="67"/>
  <c r="B91" i="67"/>
  <c r="K97" i="67"/>
  <c r="K113" i="67"/>
  <c r="B126" i="55"/>
  <c r="B130" i="55"/>
  <c r="B136" i="55"/>
  <c r="D140" i="55"/>
  <c r="D128" i="55"/>
  <c r="D134" i="55"/>
  <c r="D138" i="55"/>
  <c r="D89" i="55"/>
  <c r="D103" i="55"/>
  <c r="M120" i="55"/>
  <c r="J90" i="55"/>
  <c r="B106" i="55"/>
  <c r="E121" i="55"/>
  <c r="H106" i="55"/>
  <c r="H66" i="55"/>
  <c r="B102" i="55"/>
  <c r="J67" i="55"/>
  <c r="M63" i="55"/>
  <c r="K101" i="55"/>
  <c r="K69" i="55"/>
  <c r="B81" i="55"/>
  <c r="D82" i="55"/>
  <c r="H78" i="55"/>
  <c r="J77" i="55"/>
  <c r="E124" i="55"/>
  <c r="E129" i="55"/>
  <c r="E135" i="55"/>
  <c r="E142" i="55"/>
  <c r="C14" i="55" s="1"/>
  <c r="G127" i="55"/>
  <c r="G132" i="55"/>
  <c r="G137" i="55"/>
  <c r="M87" i="55"/>
  <c r="M95" i="55"/>
  <c r="D120" i="55"/>
  <c r="G89" i="55"/>
  <c r="B103" i="55"/>
  <c r="K120" i="55"/>
  <c r="K104" i="55"/>
  <c r="M102" i="55"/>
  <c r="D63" i="55"/>
  <c r="E63" i="55"/>
  <c r="M106" i="55"/>
  <c r="K79" i="55"/>
  <c r="M80" i="55"/>
  <c r="J74" i="55"/>
  <c r="E76" i="55"/>
  <c r="G75" i="55"/>
  <c r="J61" i="55"/>
  <c r="B74" i="55"/>
  <c r="B89" i="55"/>
  <c r="D68" i="55"/>
  <c r="J71" i="55"/>
  <c r="J104" i="55"/>
  <c r="H95" i="55"/>
  <c r="K68" i="55"/>
  <c r="H90" i="55"/>
  <c r="D69" i="55"/>
  <c r="H100" i="55"/>
  <c r="J99" i="55"/>
  <c r="J108" i="55"/>
  <c r="B108" i="55"/>
  <c r="D112" i="55"/>
  <c r="J93" i="55"/>
  <c r="K112" i="55"/>
  <c r="K106" i="55"/>
  <c r="D102" i="55"/>
  <c r="H64" i="55"/>
  <c r="H65" i="55"/>
  <c r="K87" i="55"/>
  <c r="H77" i="55"/>
  <c r="J78" i="55"/>
  <c r="K82" i="55"/>
  <c r="M81" i="55"/>
  <c r="M142" i="55"/>
  <c r="L14" i="55" s="1"/>
  <c r="K127" i="55"/>
  <c r="K132" i="55"/>
  <c r="K137" i="55"/>
  <c r="M124" i="55"/>
  <c r="M129" i="55"/>
  <c r="M135" i="55"/>
  <c r="M121" i="55"/>
  <c r="M92" i="55"/>
  <c r="G112" i="55"/>
  <c r="H122" i="55"/>
  <c r="D94" i="55"/>
  <c r="D113" i="55"/>
  <c r="D62" i="55"/>
  <c r="E110" i="55"/>
  <c r="K110" i="55"/>
  <c r="M110" i="55"/>
  <c r="K62" i="55"/>
  <c r="H94" i="55"/>
  <c r="E75" i="55"/>
  <c r="G76" i="55"/>
  <c r="H80" i="55"/>
  <c r="J79" i="55"/>
  <c r="E101" i="55"/>
  <c r="J69" i="55"/>
  <c r="B92" i="55"/>
  <c r="B90" i="55"/>
  <c r="E84" i="55"/>
  <c r="M74" i="55"/>
  <c r="B87" i="55"/>
  <c r="B88" i="55"/>
  <c r="K84" i="55"/>
  <c r="G84" i="55"/>
  <c r="E71" i="55"/>
  <c r="E100" i="55"/>
  <c r="N162" i="55"/>
  <c r="P151" i="68"/>
  <c r="N156" i="67"/>
  <c r="J176" i="55"/>
  <c r="K15" i="55" s="1"/>
  <c r="P170" i="55"/>
  <c r="P159" i="68"/>
  <c r="N166" i="55"/>
  <c r="N162" i="67"/>
  <c r="P174" i="69"/>
  <c r="N151" i="69"/>
  <c r="P146" i="55"/>
  <c r="P158" i="55"/>
  <c r="P174" i="55"/>
  <c r="P148" i="67"/>
  <c r="P151" i="69"/>
  <c r="P146" i="67"/>
  <c r="P148" i="68"/>
  <c r="M176" i="55"/>
  <c r="L15" i="55" s="1"/>
  <c r="P155" i="55"/>
  <c r="I14" i="69"/>
  <c r="B64" i="69"/>
  <c r="B65" i="69"/>
  <c r="B66" i="69"/>
  <c r="B67" i="69"/>
  <c r="B68" i="69"/>
  <c r="B69" i="69"/>
  <c r="B70" i="69"/>
  <c r="B71" i="69"/>
  <c r="B72" i="69"/>
  <c r="B74" i="69"/>
  <c r="B76" i="69"/>
  <c r="B77" i="69"/>
  <c r="B78" i="69"/>
  <c r="B79" i="69"/>
  <c r="B80" i="69"/>
  <c r="B81" i="69"/>
  <c r="B82" i="69"/>
  <c r="B83" i="69"/>
  <c r="B84" i="69"/>
  <c r="B85" i="69"/>
  <c r="B87" i="69"/>
  <c r="D14" i="69"/>
  <c r="J64" i="69"/>
  <c r="J65" i="69"/>
  <c r="J66" i="69"/>
  <c r="J67" i="69"/>
  <c r="J68" i="69"/>
  <c r="J69" i="69"/>
  <c r="J70" i="69"/>
  <c r="J71" i="69"/>
  <c r="J72" i="69"/>
  <c r="J74" i="69"/>
  <c r="J76" i="69"/>
  <c r="J14" i="69"/>
  <c r="E64" i="69"/>
  <c r="E65" i="69"/>
  <c r="E66" i="69"/>
  <c r="E67" i="69"/>
  <c r="E68" i="69"/>
  <c r="E69" i="69"/>
  <c r="E70" i="69"/>
  <c r="E71" i="69"/>
  <c r="E72" i="69"/>
  <c r="E74" i="69"/>
  <c r="E76" i="69"/>
  <c r="E77" i="69"/>
  <c r="E78" i="69"/>
  <c r="E79" i="69"/>
  <c r="E80" i="69"/>
  <c r="E81" i="69"/>
  <c r="E82" i="69"/>
  <c r="E83" i="69"/>
  <c r="E84" i="69"/>
  <c r="E85" i="69"/>
  <c r="E87" i="69"/>
  <c r="E14" i="69"/>
  <c r="B124" i="69"/>
  <c r="M64" i="69"/>
  <c r="M65" i="69"/>
  <c r="L14" i="69"/>
  <c r="N145" i="67"/>
  <c r="P171" i="55"/>
  <c r="N158" i="69"/>
  <c r="P161" i="67"/>
  <c r="P164" i="55"/>
  <c r="N155" i="68"/>
  <c r="P162" i="67"/>
  <c r="N146" i="67"/>
  <c r="P170" i="69"/>
  <c r="P150" i="55"/>
  <c r="P169" i="67"/>
  <c r="P164" i="67"/>
  <c r="N162" i="69"/>
  <c r="H177" i="68"/>
  <c r="D15" i="68" s="1"/>
  <c r="N172" i="68"/>
  <c r="P173" i="68"/>
  <c r="J174" i="67"/>
  <c r="K15" i="67" s="1"/>
  <c r="M177" i="68"/>
  <c r="L15" i="68" s="1"/>
  <c r="N147" i="55"/>
  <c r="P148" i="55"/>
  <c r="B174" i="67"/>
  <c r="B15" i="67" s="1"/>
  <c r="P168" i="67"/>
  <c r="N164" i="55"/>
  <c r="K174" i="67"/>
  <c r="E15" i="67" s="1"/>
  <c r="P156" i="55"/>
  <c r="E180" i="69"/>
  <c r="C15" i="69" s="1"/>
  <c r="M174" i="67"/>
  <c r="L15" i="67" s="1"/>
  <c r="N178" i="69"/>
  <c r="P162" i="55"/>
  <c r="N148" i="68"/>
  <c r="N150" i="55"/>
  <c r="N146" i="55"/>
  <c r="N175" i="69"/>
  <c r="P157" i="68"/>
  <c r="H176" i="55"/>
  <c r="D15" i="55" s="1"/>
  <c r="P165" i="68"/>
  <c r="D177" i="68"/>
  <c r="I15" i="68" s="1"/>
  <c r="N165" i="68"/>
  <c r="D174" i="67"/>
  <c r="I15" i="67" s="1"/>
  <c r="P153" i="67"/>
  <c r="N170" i="55"/>
  <c r="N169" i="67"/>
  <c r="N168" i="67"/>
  <c r="G180" i="69"/>
  <c r="J15" i="69" s="1"/>
  <c r="P152" i="67"/>
  <c r="N161" i="67"/>
  <c r="N160" i="69"/>
  <c r="N163" i="55"/>
  <c r="P172" i="67"/>
  <c r="N172" i="55"/>
  <c r="B176" i="55"/>
  <c r="B15" i="55" s="1"/>
  <c r="N163" i="68"/>
  <c r="N144" i="67"/>
  <c r="P171" i="68"/>
  <c r="J180" i="69"/>
  <c r="K15" i="69" s="1"/>
  <c r="N149" i="68"/>
  <c r="P163" i="55"/>
  <c r="P144" i="67"/>
  <c r="N152" i="67"/>
  <c r="N159" i="69"/>
  <c r="N170" i="69"/>
  <c r="P168" i="69"/>
  <c r="P178" i="69"/>
  <c r="N168" i="69"/>
  <c r="P175" i="69"/>
  <c r="P150" i="69"/>
  <c r="N150" i="69"/>
  <c r="N158" i="55"/>
  <c r="N171" i="68"/>
  <c r="G176" i="55"/>
  <c r="J15" i="55" s="1"/>
  <c r="P147" i="68"/>
  <c r="N175" i="68"/>
  <c r="N159" i="68"/>
  <c r="J177" i="68"/>
  <c r="K15" i="68" s="1"/>
  <c r="N151" i="68"/>
  <c r="P154" i="55"/>
  <c r="P147" i="55"/>
  <c r="P170" i="67"/>
  <c r="P163" i="68"/>
  <c r="P156" i="68"/>
  <c r="K177" i="68"/>
  <c r="E15" i="68" s="1"/>
  <c r="P154" i="67"/>
  <c r="N164" i="67"/>
  <c r="P166" i="69"/>
  <c r="K176" i="55"/>
  <c r="E15" i="55" s="1"/>
  <c r="H174" i="67"/>
  <c r="D15" i="67" s="1"/>
  <c r="N148" i="55"/>
  <c r="N170" i="67"/>
  <c r="G174" i="67"/>
  <c r="J15" i="67" s="1"/>
  <c r="P152" i="69"/>
  <c r="D180" i="69"/>
  <c r="I15" i="69" s="1"/>
  <c r="N167" i="69"/>
  <c r="K180" i="69"/>
  <c r="E15" i="69" s="1"/>
  <c r="M180" i="69"/>
  <c r="L15" i="69" s="1"/>
  <c r="N176" i="69"/>
  <c r="B180" i="69"/>
  <c r="B15" i="69" s="1"/>
  <c r="E176" i="55"/>
  <c r="C15" i="55" s="1"/>
  <c r="E177" i="68"/>
  <c r="C15" i="68" s="1"/>
  <c r="N164" i="68"/>
  <c r="P167" i="68"/>
  <c r="P172" i="68"/>
  <c r="P160" i="67"/>
  <c r="N156" i="55"/>
  <c r="P155" i="68"/>
  <c r="N157" i="68"/>
  <c r="P166" i="55"/>
  <c r="N173" i="68"/>
  <c r="B177" i="68"/>
  <c r="B15" i="68" s="1"/>
  <c r="P164" i="68"/>
  <c r="N171" i="55"/>
  <c r="N174" i="55"/>
  <c r="D176" i="55"/>
  <c r="I15" i="55" s="1"/>
  <c r="N172" i="67"/>
  <c r="P145" i="67"/>
  <c r="N160" i="67"/>
  <c r="N166" i="69"/>
  <c r="E174" i="67"/>
  <c r="C15" i="67" s="1"/>
  <c r="N154" i="67"/>
  <c r="P156" i="67"/>
  <c r="N153" i="67"/>
  <c r="N174" i="69"/>
  <c r="P158" i="69"/>
  <c r="P160" i="69"/>
  <c r="P167" i="69"/>
  <c r="N152" i="69"/>
  <c r="P159" i="69"/>
  <c r="P176" i="69"/>
  <c r="P162" i="69"/>
  <c r="H180" i="69"/>
  <c r="D15" i="69" s="1"/>
  <c r="P154" i="69"/>
  <c r="G177" i="68"/>
  <c r="J15" i="68" s="1"/>
  <c r="N148" i="67"/>
  <c r="N154" i="69"/>
  <c r="P175" i="68"/>
  <c r="N167" i="68"/>
  <c r="D380" i="68"/>
  <c r="D393" i="69"/>
  <c r="F16" i="69"/>
  <c r="P214" i="69"/>
  <c r="D381" i="68"/>
  <c r="D386" i="55"/>
  <c r="W15" i="24"/>
  <c r="J272" i="68" s="1"/>
  <c r="G385" i="55"/>
  <c r="D377" i="67"/>
  <c r="M385" i="55"/>
  <c r="D385" i="55"/>
  <c r="K20" i="13"/>
  <c r="D381" i="67" s="1"/>
  <c r="I25" i="67" s="1"/>
  <c r="D392" i="69"/>
  <c r="Q15" i="24"/>
  <c r="G272" i="68" s="1"/>
  <c r="E272" i="68"/>
  <c r="V15" i="24"/>
  <c r="E275" i="69"/>
  <c r="Q21" i="22"/>
  <c r="Q23" i="22" s="1"/>
  <c r="E31" i="21" s="1"/>
  <c r="E10" i="85" s="1"/>
  <c r="P17" i="24"/>
  <c r="E277" i="55"/>
  <c r="D272" i="68"/>
  <c r="D269" i="67"/>
  <c r="K17" i="24"/>
  <c r="D277" i="69" s="1"/>
  <c r="I24" i="69" s="1"/>
  <c r="D277" i="55"/>
  <c r="K272" i="68"/>
  <c r="AB17" i="24"/>
  <c r="K271" i="67" s="1"/>
  <c r="AC15" i="24"/>
  <c r="D275" i="69"/>
  <c r="K269" i="67"/>
  <c r="K275" i="69"/>
  <c r="W21" i="22"/>
  <c r="W23" i="22" s="1"/>
  <c r="G31" i="21" s="1"/>
  <c r="G10" i="85" s="1"/>
  <c r="K21" i="22"/>
  <c r="K23" i="22" s="1"/>
  <c r="B277" i="55"/>
  <c r="B275" i="69"/>
  <c r="J17" i="24"/>
  <c r="B279" i="55" s="1"/>
  <c r="B269" i="67"/>
  <c r="B272" i="68"/>
  <c r="B32" i="21"/>
  <c r="B34" i="21" s="1"/>
  <c r="B11" i="85" s="1"/>
  <c r="G18" i="85" s="1"/>
  <c r="W25" i="23"/>
  <c r="G26" i="21" s="1"/>
  <c r="K25" i="23"/>
  <c r="C26" i="21" s="1"/>
  <c r="C8" i="85" s="1"/>
  <c r="F31" i="21"/>
  <c r="H32" i="21"/>
  <c r="H34" i="21" s="1"/>
  <c r="H11" i="85" s="1"/>
  <c r="Y18" i="85" s="1"/>
  <c r="D31" i="21"/>
  <c r="Q25" i="23"/>
  <c r="E26" i="21" s="1"/>
  <c r="E8" i="85" s="1"/>
  <c r="AC25" i="23"/>
  <c r="I26" i="21" s="1"/>
  <c r="K381" i="68"/>
  <c r="K386" i="55"/>
  <c r="K393" i="69"/>
  <c r="K378" i="67"/>
  <c r="H393" i="69"/>
  <c r="E380" i="68"/>
  <c r="E385" i="55"/>
  <c r="E392" i="69"/>
  <c r="E377" i="67"/>
  <c r="P20" i="13"/>
  <c r="E379" i="67"/>
  <c r="E394" i="69"/>
  <c r="E382" i="68"/>
  <c r="E387" i="55"/>
  <c r="F8" i="44"/>
  <c r="F8" i="43"/>
  <c r="F8" i="46"/>
  <c r="F8" i="42"/>
  <c r="F8" i="84"/>
  <c r="F8" i="45"/>
  <c r="D8" i="42"/>
  <c r="D8" i="44"/>
  <c r="D8" i="46"/>
  <c r="D8" i="84"/>
  <c r="D8" i="43"/>
  <c r="D8" i="45"/>
  <c r="E393" i="69"/>
  <c r="E378" i="67"/>
  <c r="E386" i="55"/>
  <c r="E381" i="68"/>
  <c r="K392" i="69"/>
  <c r="AB20" i="13"/>
  <c r="K380" i="68"/>
  <c r="K377" i="67"/>
  <c r="K385" i="55"/>
  <c r="H377" i="67"/>
  <c r="H385" i="55"/>
  <c r="H392" i="69"/>
  <c r="H380" i="68"/>
  <c r="V20" i="13"/>
  <c r="H387" i="55"/>
  <c r="H394" i="69"/>
  <c r="H382" i="68"/>
  <c r="H379" i="67"/>
  <c r="K379" i="67"/>
  <c r="K387" i="55"/>
  <c r="K394" i="69"/>
  <c r="K382" i="68"/>
  <c r="H8" i="44"/>
  <c r="H8" i="46"/>
  <c r="H8" i="84"/>
  <c r="H8" i="43"/>
  <c r="H8" i="45"/>
  <c r="H8" i="42"/>
  <c r="J392" i="69"/>
  <c r="J380" i="68"/>
  <c r="J377" i="67"/>
  <c r="J385" i="55"/>
  <c r="D34" i="21"/>
  <c r="AC23" i="22"/>
  <c r="I32" i="21" s="1"/>
  <c r="B10" i="44"/>
  <c r="B10" i="42"/>
  <c r="G19" i="42" s="1"/>
  <c r="B10" i="45"/>
  <c r="G29" i="45" s="1"/>
  <c r="B10" i="43"/>
  <c r="G19" i="43" s="1"/>
  <c r="B10" i="84"/>
  <c r="B10" i="46"/>
  <c r="G19" i="46" s="1"/>
  <c r="H10" i="45"/>
  <c r="H10" i="42"/>
  <c r="H10" i="44"/>
  <c r="H10" i="84"/>
  <c r="H10" i="46"/>
  <c r="H10" i="43"/>
  <c r="F34" i="21"/>
  <c r="F11" i="85" s="1"/>
  <c r="S18" i="85" s="1"/>
  <c r="K263" i="67" s="1"/>
  <c r="B384" i="68" l="1"/>
  <c r="B25" i="68" s="1"/>
  <c r="B389" i="55"/>
  <c r="B26" i="55" s="1"/>
  <c r="B396" i="69"/>
  <c r="B26" i="69" s="1"/>
  <c r="D379" i="67"/>
  <c r="D387" i="55"/>
  <c r="D382" i="68"/>
  <c r="G387" i="55"/>
  <c r="G394" i="69"/>
  <c r="G379" i="67"/>
  <c r="G382" i="68"/>
  <c r="M379" i="67"/>
  <c r="M394" i="69"/>
  <c r="M387" i="55"/>
  <c r="M382" i="68"/>
  <c r="J379" i="67"/>
  <c r="J387" i="55"/>
  <c r="J394" i="69"/>
  <c r="J382" i="68"/>
  <c r="H378" i="67"/>
  <c r="N378" i="67" s="1"/>
  <c r="H386" i="55"/>
  <c r="N386" i="55" s="1"/>
  <c r="B13" i="69"/>
  <c r="K13" i="69"/>
  <c r="D13" i="69"/>
  <c r="J13" i="69"/>
  <c r="E13" i="69"/>
  <c r="L13" i="69"/>
  <c r="I13" i="69"/>
  <c r="C13" i="69"/>
  <c r="J13" i="67"/>
  <c r="L13" i="67"/>
  <c r="E13" i="67"/>
  <c r="B13" i="67"/>
  <c r="C13" i="67"/>
  <c r="I13" i="67"/>
  <c r="D13" i="67"/>
  <c r="B13" i="55"/>
  <c r="E13" i="55"/>
  <c r="I13" i="55"/>
  <c r="C13" i="55"/>
  <c r="K13" i="55"/>
  <c r="J13" i="55"/>
  <c r="D13" i="55"/>
  <c r="L13" i="55"/>
  <c r="D11" i="43"/>
  <c r="M20" i="43" s="1"/>
  <c r="P20" i="43" s="1"/>
  <c r="D11" i="85"/>
  <c r="M18" i="85" s="1"/>
  <c r="E263" i="67" s="1"/>
  <c r="D10" i="42"/>
  <c r="M19" i="42" s="1"/>
  <c r="P19" i="42" s="1"/>
  <c r="D10" i="85"/>
  <c r="G8" i="44"/>
  <c r="G8" i="85"/>
  <c r="AB18" i="85"/>
  <c r="J18" i="85"/>
  <c r="V18" i="85"/>
  <c r="I8" i="45"/>
  <c r="I8" i="85"/>
  <c r="F10" i="45"/>
  <c r="S29" i="45" s="1"/>
  <c r="V29" i="45" s="1"/>
  <c r="F10" i="85"/>
  <c r="N86" i="67"/>
  <c r="P76" i="55"/>
  <c r="N69" i="69"/>
  <c r="P142" i="69"/>
  <c r="F14" i="55"/>
  <c r="N61" i="55"/>
  <c r="P68" i="69"/>
  <c r="N135" i="68"/>
  <c r="N174" i="67"/>
  <c r="C13" i="68"/>
  <c r="E13" i="68"/>
  <c r="I13" i="68"/>
  <c r="L13" i="68"/>
  <c r="D13" i="68"/>
  <c r="J13" i="68"/>
  <c r="K13" i="68"/>
  <c r="B13" i="68"/>
  <c r="P125" i="67"/>
  <c r="N116" i="68"/>
  <c r="P102" i="69"/>
  <c r="N67" i="68"/>
  <c r="N115" i="69"/>
  <c r="N76" i="68"/>
  <c r="P82" i="67"/>
  <c r="P62" i="55"/>
  <c r="N66" i="69"/>
  <c r="P120" i="55"/>
  <c r="N81" i="68"/>
  <c r="N65" i="68"/>
  <c r="P66" i="68"/>
  <c r="P103" i="67"/>
  <c r="P63" i="67"/>
  <c r="N78" i="68"/>
  <c r="P106" i="68"/>
  <c r="M14" i="55"/>
  <c r="N127" i="67"/>
  <c r="N106" i="68"/>
  <c r="P134" i="67"/>
  <c r="P102" i="67"/>
  <c r="P93" i="69"/>
  <c r="P111" i="69"/>
  <c r="N108" i="67"/>
  <c r="N85" i="69"/>
  <c r="N64" i="55"/>
  <c r="P137" i="55"/>
  <c r="P85" i="67"/>
  <c r="P67" i="67"/>
  <c r="P105" i="69"/>
  <c r="P92" i="69"/>
  <c r="N98" i="69"/>
  <c r="P128" i="67"/>
  <c r="P125" i="68"/>
  <c r="N143" i="68"/>
  <c r="P89" i="68"/>
  <c r="P103" i="68"/>
  <c r="P104" i="68"/>
  <c r="P136" i="68"/>
  <c r="N74" i="55"/>
  <c r="N111" i="68"/>
  <c r="P69" i="68"/>
  <c r="P113" i="68"/>
  <c r="N93" i="68"/>
  <c r="P130" i="68"/>
  <c r="P72" i="68"/>
  <c r="N70" i="68"/>
  <c r="N93" i="55"/>
  <c r="P138" i="55"/>
  <c r="N128" i="55"/>
  <c r="P126" i="55"/>
  <c r="N135" i="67"/>
  <c r="P80" i="68"/>
  <c r="N95" i="68"/>
  <c r="N99" i="55"/>
  <c r="P68" i="55"/>
  <c r="P98" i="67"/>
  <c r="P107" i="69"/>
  <c r="P78" i="67"/>
  <c r="N65" i="67"/>
  <c r="P90" i="67"/>
  <c r="N91" i="55"/>
  <c r="N63" i="68"/>
  <c r="P93" i="68"/>
  <c r="P141" i="68"/>
  <c r="P74" i="68"/>
  <c r="P101" i="67"/>
  <c r="N129" i="55"/>
  <c r="P132" i="55"/>
  <c r="P74" i="69"/>
  <c r="P102" i="68"/>
  <c r="P140" i="55"/>
  <c r="P75" i="68"/>
  <c r="P111" i="68"/>
  <c r="P100" i="55"/>
  <c r="P77" i="55"/>
  <c r="N122" i="68"/>
  <c r="P123" i="68"/>
  <c r="N128" i="68"/>
  <c r="P129" i="68"/>
  <c r="N67" i="55"/>
  <c r="N108" i="55"/>
  <c r="N140" i="55"/>
  <c r="N142" i="55"/>
  <c r="P128" i="69"/>
  <c r="N76" i="55"/>
  <c r="P106" i="55"/>
  <c r="N95" i="67"/>
  <c r="P103" i="55"/>
  <c r="P128" i="68"/>
  <c r="P106" i="69"/>
  <c r="P109" i="69"/>
  <c r="P79" i="69"/>
  <c r="P67" i="69"/>
  <c r="N106" i="55"/>
  <c r="P77" i="68"/>
  <c r="N62" i="68"/>
  <c r="P85" i="68"/>
  <c r="N131" i="68"/>
  <c r="P113" i="55"/>
  <c r="F14" i="67"/>
  <c r="N113" i="69"/>
  <c r="P94" i="69"/>
  <c r="P64" i="55"/>
  <c r="N103" i="68"/>
  <c r="N100" i="68"/>
  <c r="N85" i="68"/>
  <c r="P68" i="68"/>
  <c r="N83" i="69"/>
  <c r="N74" i="69"/>
  <c r="P69" i="69"/>
  <c r="N94" i="68"/>
  <c r="N64" i="68"/>
  <c r="N105" i="55"/>
  <c r="N93" i="67"/>
  <c r="P75" i="67"/>
  <c r="P87" i="67"/>
  <c r="P62" i="67"/>
  <c r="N80" i="68"/>
  <c r="P70" i="68"/>
  <c r="N125" i="68"/>
  <c r="P81" i="68"/>
  <c r="N69" i="68"/>
  <c r="N84" i="55"/>
  <c r="P118" i="69"/>
  <c r="N118" i="69"/>
  <c r="P84" i="55"/>
  <c r="N74" i="67"/>
  <c r="P108" i="69"/>
  <c r="P95" i="69"/>
  <c r="N104" i="69"/>
  <c r="P84" i="69"/>
  <c r="N111" i="69"/>
  <c r="N92" i="69"/>
  <c r="P78" i="69"/>
  <c r="N71" i="69"/>
  <c r="P62" i="68"/>
  <c r="P116" i="68"/>
  <c r="N122" i="55"/>
  <c r="N73" i="67"/>
  <c r="P84" i="67"/>
  <c r="N89" i="68"/>
  <c r="P78" i="68"/>
  <c r="P67" i="68"/>
  <c r="N66" i="68"/>
  <c r="N115" i="55"/>
  <c r="P142" i="55"/>
  <c r="P95" i="55"/>
  <c r="N104" i="68"/>
  <c r="P94" i="68"/>
  <c r="P92" i="68"/>
  <c r="N87" i="55"/>
  <c r="N130" i="55"/>
  <c r="P63" i="55"/>
  <c r="P64" i="67"/>
  <c r="P72" i="67"/>
  <c r="N80" i="67"/>
  <c r="P106" i="67"/>
  <c r="P60" i="67"/>
  <c r="P118" i="67"/>
  <c r="P99" i="67"/>
  <c r="N114" i="68"/>
  <c r="N83" i="68"/>
  <c r="P133" i="68"/>
  <c r="P127" i="68"/>
  <c r="P64" i="68"/>
  <c r="P127" i="67"/>
  <c r="N82" i="67"/>
  <c r="N137" i="55"/>
  <c r="N72" i="68"/>
  <c r="P133" i="67"/>
  <c r="P105" i="68"/>
  <c r="P98" i="68"/>
  <c r="N136" i="55"/>
  <c r="N113" i="68"/>
  <c r="N63" i="67"/>
  <c r="P79" i="68"/>
  <c r="N77" i="55"/>
  <c r="N137" i="68"/>
  <c r="N72" i="69"/>
  <c r="P67" i="55"/>
  <c r="P74" i="67"/>
  <c r="P126" i="67"/>
  <c r="N67" i="67"/>
  <c r="P65" i="67"/>
  <c r="N79" i="69"/>
  <c r="P100" i="69"/>
  <c r="P114" i="68"/>
  <c r="N136" i="68"/>
  <c r="P83" i="68"/>
  <c r="N102" i="55"/>
  <c r="N121" i="68"/>
  <c r="P115" i="55"/>
  <c r="P104" i="55"/>
  <c r="P132" i="67"/>
  <c r="N77" i="69"/>
  <c r="N67" i="69"/>
  <c r="P71" i="69"/>
  <c r="N124" i="69"/>
  <c r="N100" i="55"/>
  <c r="N110" i="55"/>
  <c r="N82" i="55"/>
  <c r="N90" i="55"/>
  <c r="P71" i="55"/>
  <c r="P87" i="55"/>
  <c r="N69" i="55"/>
  <c r="P135" i="55"/>
  <c r="N87" i="67"/>
  <c r="P80" i="67"/>
  <c r="P119" i="67"/>
  <c r="P136" i="67"/>
  <c r="P93" i="67"/>
  <c r="N118" i="67"/>
  <c r="P89" i="67"/>
  <c r="N124" i="67"/>
  <c r="N64" i="67"/>
  <c r="P76" i="67"/>
  <c r="P130" i="67"/>
  <c r="N90" i="67"/>
  <c r="N134" i="67"/>
  <c r="P86" i="67"/>
  <c r="N126" i="67"/>
  <c r="N61" i="67"/>
  <c r="P88" i="67"/>
  <c r="N119" i="67"/>
  <c r="N75" i="67"/>
  <c r="N138" i="67"/>
  <c r="N138" i="55"/>
  <c r="N81" i="55"/>
  <c r="P136" i="55"/>
  <c r="P88" i="55"/>
  <c r="N92" i="55"/>
  <c r="N130" i="68"/>
  <c r="N133" i="68"/>
  <c r="N90" i="68"/>
  <c r="P91" i="68"/>
  <c r="N92" i="68"/>
  <c r="N75" i="68"/>
  <c r="P134" i="55"/>
  <c r="P66" i="55"/>
  <c r="N103" i="55"/>
  <c r="N87" i="68"/>
  <c r="P90" i="68"/>
  <c r="P137" i="68"/>
  <c r="N127" i="68"/>
  <c r="P135" i="68"/>
  <c r="P95" i="68"/>
  <c r="P139" i="68"/>
  <c r="N102" i="68"/>
  <c r="N77" i="68"/>
  <c r="P109" i="68"/>
  <c r="N107" i="68"/>
  <c r="N79" i="68"/>
  <c r="P101" i="68"/>
  <c r="N101" i="68"/>
  <c r="P100" i="68"/>
  <c r="P63" i="68"/>
  <c r="P96" i="68"/>
  <c r="P99" i="55"/>
  <c r="N94" i="55"/>
  <c r="P90" i="55"/>
  <c r="N66" i="55"/>
  <c r="N89" i="55"/>
  <c r="N88" i="55"/>
  <c r="P80" i="55"/>
  <c r="P102" i="55"/>
  <c r="P124" i="55"/>
  <c r="N78" i="55"/>
  <c r="P65" i="55"/>
  <c r="N113" i="55"/>
  <c r="P97" i="55"/>
  <c r="N76" i="67"/>
  <c r="N62" i="67"/>
  <c r="N96" i="68"/>
  <c r="N141" i="68"/>
  <c r="P88" i="68"/>
  <c r="N74" i="68"/>
  <c r="N104" i="55"/>
  <c r="P69" i="55"/>
  <c r="P122" i="55"/>
  <c r="N132" i="55"/>
  <c r="P105" i="55"/>
  <c r="P130" i="55"/>
  <c r="N101" i="67"/>
  <c r="N133" i="67"/>
  <c r="N72" i="67"/>
  <c r="N59" i="67"/>
  <c r="P124" i="67"/>
  <c r="N120" i="67"/>
  <c r="P61" i="67"/>
  <c r="N77" i="67"/>
  <c r="P138" i="67"/>
  <c r="N71" i="67"/>
  <c r="N96" i="69"/>
  <c r="P82" i="69"/>
  <c r="P104" i="67"/>
  <c r="P128" i="55"/>
  <c r="N91" i="67"/>
  <c r="P135" i="67"/>
  <c r="P97" i="67"/>
  <c r="P77" i="67"/>
  <c r="N128" i="67"/>
  <c r="N63" i="69"/>
  <c r="N80" i="69"/>
  <c r="P139" i="69"/>
  <c r="P76" i="69"/>
  <c r="P70" i="69"/>
  <c r="N71" i="55"/>
  <c r="N62" i="55"/>
  <c r="P93" i="55"/>
  <c r="N68" i="55"/>
  <c r="P75" i="55"/>
  <c r="N127" i="55"/>
  <c r="P73" i="67"/>
  <c r="P66" i="67"/>
  <c r="N97" i="67"/>
  <c r="N106" i="67"/>
  <c r="N99" i="67"/>
  <c r="N122" i="67"/>
  <c r="P89" i="69"/>
  <c r="P59" i="67"/>
  <c r="P69" i="67"/>
  <c r="N66" i="67"/>
  <c r="P104" i="69"/>
  <c r="N94" i="69"/>
  <c r="P85" i="69"/>
  <c r="N102" i="69"/>
  <c r="P80" i="69"/>
  <c r="P63" i="69"/>
  <c r="N103" i="69"/>
  <c r="N97" i="69"/>
  <c r="P83" i="69"/>
  <c r="P94" i="55"/>
  <c r="N134" i="55"/>
  <c r="P107" i="68"/>
  <c r="N105" i="68"/>
  <c r="N109" i="68"/>
  <c r="P91" i="55"/>
  <c r="P65" i="68"/>
  <c r="P138" i="68"/>
  <c r="P82" i="68"/>
  <c r="N82" i="68"/>
  <c r="P76" i="68"/>
  <c r="N88" i="68"/>
  <c r="N79" i="55"/>
  <c r="P92" i="55"/>
  <c r="N139" i="68"/>
  <c r="N138" i="68"/>
  <c r="N68" i="68"/>
  <c r="N121" i="55"/>
  <c r="P127" i="55"/>
  <c r="N95" i="55"/>
  <c r="P110" i="55"/>
  <c r="N85" i="67"/>
  <c r="N103" i="67"/>
  <c r="P100" i="67"/>
  <c r="N100" i="67"/>
  <c r="N69" i="67"/>
  <c r="N78" i="67"/>
  <c r="N104" i="67"/>
  <c r="P115" i="69"/>
  <c r="P61" i="55"/>
  <c r="P79" i="55"/>
  <c r="N98" i="68"/>
  <c r="P87" i="68"/>
  <c r="P122" i="68"/>
  <c r="N97" i="55"/>
  <c r="N65" i="55"/>
  <c r="K13" i="67"/>
  <c r="P113" i="67"/>
  <c r="K14" i="67"/>
  <c r="M14" i="67" s="1"/>
  <c r="P140" i="67"/>
  <c r="P120" i="67"/>
  <c r="P112" i="55"/>
  <c r="P89" i="55"/>
  <c r="N89" i="67"/>
  <c r="N112" i="55"/>
  <c r="P131" i="68"/>
  <c r="P121" i="68"/>
  <c r="N129" i="68"/>
  <c r="P108" i="55"/>
  <c r="N123" i="68"/>
  <c r="P82" i="55"/>
  <c r="P122" i="67"/>
  <c r="N91" i="68"/>
  <c r="P101" i="55"/>
  <c r="N126" i="55"/>
  <c r="N60" i="67"/>
  <c r="P108" i="67"/>
  <c r="P111" i="67"/>
  <c r="N102" i="67"/>
  <c r="N84" i="67"/>
  <c r="C14" i="68"/>
  <c r="F14" i="68" s="1"/>
  <c r="P143" i="68"/>
  <c r="P78" i="55"/>
  <c r="N135" i="55"/>
  <c r="P129" i="55"/>
  <c r="N79" i="67"/>
  <c r="N125" i="67"/>
  <c r="P79" i="67"/>
  <c r="N130" i="67"/>
  <c r="P71" i="67"/>
  <c r="N107" i="69"/>
  <c r="N80" i="55"/>
  <c r="N111" i="67"/>
  <c r="P96" i="69"/>
  <c r="N93" i="69"/>
  <c r="N89" i="69"/>
  <c r="N113" i="67"/>
  <c r="M14" i="68"/>
  <c r="N81" i="69"/>
  <c r="P140" i="69"/>
  <c r="N101" i="55"/>
  <c r="N75" i="55"/>
  <c r="P81" i="55"/>
  <c r="P74" i="55"/>
  <c r="N63" i="55"/>
  <c r="N120" i="55"/>
  <c r="N124" i="55"/>
  <c r="P121" i="55"/>
  <c r="N88" i="67"/>
  <c r="N92" i="67"/>
  <c r="P91" i="67"/>
  <c r="N98" i="67"/>
  <c r="P95" i="67"/>
  <c r="P113" i="69"/>
  <c r="P92" i="67"/>
  <c r="N132" i="67"/>
  <c r="P103" i="69"/>
  <c r="P97" i="69"/>
  <c r="P87" i="69"/>
  <c r="P98" i="69"/>
  <c r="N106" i="69"/>
  <c r="N108" i="69"/>
  <c r="N109" i="69"/>
  <c r="N105" i="69"/>
  <c r="N100" i="69"/>
  <c r="N95" i="69"/>
  <c r="P81" i="69"/>
  <c r="P77" i="69"/>
  <c r="N136" i="67"/>
  <c r="N84" i="69"/>
  <c r="N76" i="69"/>
  <c r="N70" i="69"/>
  <c r="P144" i="69"/>
  <c r="P133" i="69"/>
  <c r="P66" i="69"/>
  <c r="N140" i="67"/>
  <c r="N87" i="69"/>
  <c r="N82" i="69"/>
  <c r="N78" i="69"/>
  <c r="N68" i="69"/>
  <c r="P141" i="69"/>
  <c r="P136" i="69"/>
  <c r="P131" i="69"/>
  <c r="P125" i="69"/>
  <c r="P72" i="69"/>
  <c r="N144" i="69"/>
  <c r="N139" i="69"/>
  <c r="N133" i="69"/>
  <c r="N128" i="69"/>
  <c r="N142" i="69"/>
  <c r="N138" i="69"/>
  <c r="N132" i="69"/>
  <c r="N126" i="69"/>
  <c r="P124" i="69"/>
  <c r="P132" i="69"/>
  <c r="M15" i="55"/>
  <c r="N140" i="69"/>
  <c r="P177" i="68"/>
  <c r="P134" i="69"/>
  <c r="P130" i="69"/>
  <c r="M14" i="69"/>
  <c r="N134" i="69"/>
  <c r="N130" i="69"/>
  <c r="P146" i="69"/>
  <c r="P126" i="69"/>
  <c r="P138" i="69"/>
  <c r="N141" i="69"/>
  <c r="N136" i="69"/>
  <c r="N131" i="69"/>
  <c r="N125" i="69"/>
  <c r="N146" i="69"/>
  <c r="F14" i="69"/>
  <c r="P176" i="55"/>
  <c r="F15" i="68"/>
  <c r="F15" i="55"/>
  <c r="F15" i="67"/>
  <c r="P174" i="67"/>
  <c r="N180" i="69"/>
  <c r="P180" i="69"/>
  <c r="M15" i="68"/>
  <c r="N176" i="55"/>
  <c r="M15" i="67"/>
  <c r="N177" i="68"/>
  <c r="J386" i="55"/>
  <c r="P386" i="55" s="1"/>
  <c r="J393" i="69"/>
  <c r="G378" i="67"/>
  <c r="J381" i="68"/>
  <c r="W20" i="13"/>
  <c r="G393" i="69"/>
  <c r="G377" i="67"/>
  <c r="J269" i="67"/>
  <c r="J277" i="55"/>
  <c r="W17" i="24"/>
  <c r="J279" i="55" s="1"/>
  <c r="K25" i="55" s="1"/>
  <c r="M378" i="67"/>
  <c r="G381" i="68"/>
  <c r="J275" i="69"/>
  <c r="M380" i="68"/>
  <c r="D384" i="68"/>
  <c r="I25" i="68" s="1"/>
  <c r="G380" i="68"/>
  <c r="Q20" i="13"/>
  <c r="G392" i="69"/>
  <c r="D396" i="69"/>
  <c r="I26" i="69" s="1"/>
  <c r="M381" i="68"/>
  <c r="AC20" i="13"/>
  <c r="D389" i="55"/>
  <c r="I26" i="55" s="1"/>
  <c r="M393" i="69"/>
  <c r="G275" i="69"/>
  <c r="M377" i="67"/>
  <c r="M392" i="69"/>
  <c r="H269" i="67"/>
  <c r="N269" i="67" s="1"/>
  <c r="K277" i="69"/>
  <c r="E24" i="69" s="1"/>
  <c r="H277" i="55"/>
  <c r="N277" i="55" s="1"/>
  <c r="G269" i="67"/>
  <c r="V17" i="24"/>
  <c r="Q17" i="24"/>
  <c r="E279" i="55"/>
  <c r="C25" i="55" s="1"/>
  <c r="E277" i="69"/>
  <c r="C24" i="69" s="1"/>
  <c r="M275" i="69"/>
  <c r="E271" i="67"/>
  <c r="C24" i="67" s="1"/>
  <c r="M277" i="55"/>
  <c r="K279" i="55"/>
  <c r="E25" i="55" s="1"/>
  <c r="C8" i="46"/>
  <c r="E274" i="68"/>
  <c r="C24" i="68" s="1"/>
  <c r="M272" i="68"/>
  <c r="P272" i="68" s="1"/>
  <c r="AC17" i="24"/>
  <c r="M269" i="67"/>
  <c r="G277" i="55"/>
  <c r="D274" i="68"/>
  <c r="I24" i="68" s="1"/>
  <c r="H275" i="69"/>
  <c r="N275" i="69" s="1"/>
  <c r="H272" i="68"/>
  <c r="N272" i="68" s="1"/>
  <c r="K274" i="68"/>
  <c r="E24" i="68" s="1"/>
  <c r="D279" i="55"/>
  <c r="I25" i="55" s="1"/>
  <c r="C8" i="45"/>
  <c r="D271" i="67"/>
  <c r="I24" i="67" s="1"/>
  <c r="F10" i="43"/>
  <c r="S19" i="43" s="1"/>
  <c r="V19" i="43" s="1"/>
  <c r="C8" i="43"/>
  <c r="C8" i="42"/>
  <c r="G8" i="46"/>
  <c r="C8" i="84"/>
  <c r="C8" i="44"/>
  <c r="I8" i="42"/>
  <c r="D10" i="84"/>
  <c r="B271" i="67"/>
  <c r="B24" i="67" s="1"/>
  <c r="F10" i="84"/>
  <c r="D10" i="46"/>
  <c r="M19" i="46" s="1"/>
  <c r="P19" i="46" s="1"/>
  <c r="D10" i="43"/>
  <c r="M19" i="43" s="1"/>
  <c r="P19" i="43" s="1"/>
  <c r="D10" i="45"/>
  <c r="M29" i="45" s="1"/>
  <c r="P29" i="45" s="1"/>
  <c r="F10" i="46"/>
  <c r="S19" i="46" s="1"/>
  <c r="V19" i="46" s="1"/>
  <c r="F10" i="42"/>
  <c r="S19" i="42" s="1"/>
  <c r="V19" i="42" s="1"/>
  <c r="D10" i="44"/>
  <c r="F10" i="44"/>
  <c r="F15" i="69"/>
  <c r="M15" i="69"/>
  <c r="N381" i="68"/>
  <c r="N393" i="69"/>
  <c r="D11" i="45"/>
  <c r="M30" i="45" s="1"/>
  <c r="B277" i="69"/>
  <c r="B24" i="69" s="1"/>
  <c r="B274" i="68"/>
  <c r="B24" i="68" s="1"/>
  <c r="I34" i="21"/>
  <c r="Y19" i="43"/>
  <c r="AB19" i="43" s="1"/>
  <c r="Y19" i="46"/>
  <c r="AB19" i="46" s="1"/>
  <c r="G8" i="42"/>
  <c r="Y19" i="42"/>
  <c r="AB19" i="42" s="1"/>
  <c r="G8" i="45"/>
  <c r="G8" i="43"/>
  <c r="G8" i="84"/>
  <c r="Y29" i="45"/>
  <c r="AB29" i="45" s="1"/>
  <c r="I31" i="21"/>
  <c r="D11" i="46"/>
  <c r="M20" i="46" s="1"/>
  <c r="P20" i="46" s="1"/>
  <c r="E8" i="45"/>
  <c r="E8" i="43"/>
  <c r="E8" i="44"/>
  <c r="E8" i="46"/>
  <c r="E8" i="84"/>
  <c r="E8" i="42"/>
  <c r="I8" i="46"/>
  <c r="I8" i="44"/>
  <c r="I8" i="84"/>
  <c r="I8" i="43"/>
  <c r="H389" i="55"/>
  <c r="D26" i="55" s="1"/>
  <c r="H396" i="69"/>
  <c r="D26" i="69" s="1"/>
  <c r="H384" i="68"/>
  <c r="D25" i="68" s="1"/>
  <c r="H381" i="67"/>
  <c r="D25" i="67" s="1"/>
  <c r="K384" i="68"/>
  <c r="E25" i="68" s="1"/>
  <c r="K389" i="55"/>
  <c r="E26" i="55" s="1"/>
  <c r="K396" i="69"/>
  <c r="E26" i="69" s="1"/>
  <c r="K381" i="67"/>
  <c r="E25" i="67" s="1"/>
  <c r="N387" i="55"/>
  <c r="N394" i="69"/>
  <c r="E396" i="69"/>
  <c r="E384" i="68"/>
  <c r="E381" i="67"/>
  <c r="E389" i="55"/>
  <c r="N392" i="69"/>
  <c r="N380" i="68"/>
  <c r="P385" i="55"/>
  <c r="N382" i="68"/>
  <c r="N379" i="67"/>
  <c r="N377" i="67"/>
  <c r="N385" i="55"/>
  <c r="D11" i="44"/>
  <c r="M19" i="44" s="1"/>
  <c r="P19" i="44" s="1"/>
  <c r="P22" i="44" s="1"/>
  <c r="D11" i="84"/>
  <c r="M18" i="84" s="1"/>
  <c r="P18" i="84" s="1"/>
  <c r="D11" i="42"/>
  <c r="M20" i="42" s="1"/>
  <c r="P20" i="42" s="1"/>
  <c r="E32" i="21"/>
  <c r="E34" i="21" s="1"/>
  <c r="G32" i="21"/>
  <c r="G34" i="21" s="1"/>
  <c r="F11" i="45"/>
  <c r="S30" i="45" s="1"/>
  <c r="F11" i="43"/>
  <c r="S20" i="43" s="1"/>
  <c r="F11" i="44"/>
  <c r="S19" i="44" s="1"/>
  <c r="F11" i="46"/>
  <c r="S20" i="46" s="1"/>
  <c r="F11" i="84"/>
  <c r="S18" i="84" s="1"/>
  <c r="F11" i="42"/>
  <c r="S20" i="42" s="1"/>
  <c r="J29" i="45"/>
  <c r="G10" i="43"/>
  <c r="G10" i="42"/>
  <c r="G10" i="45"/>
  <c r="G10" i="44"/>
  <c r="G10" i="84"/>
  <c r="G10" i="46"/>
  <c r="B11" i="84"/>
  <c r="G18" i="84" s="1"/>
  <c r="B11" i="43"/>
  <c r="G20" i="43" s="1"/>
  <c r="B11" i="45"/>
  <c r="G30" i="45" s="1"/>
  <c r="B11" i="42"/>
  <c r="G20" i="42" s="1"/>
  <c r="B11" i="46"/>
  <c r="G20" i="46" s="1"/>
  <c r="B11" i="44"/>
  <c r="G19" i="44" s="1"/>
  <c r="C32" i="21"/>
  <c r="C34" i="21" s="1"/>
  <c r="C11" i="85" s="1"/>
  <c r="H18" i="85" s="1"/>
  <c r="K18" i="85" s="1"/>
  <c r="C31" i="21"/>
  <c r="C10" i="85" s="1"/>
  <c r="E24" i="67"/>
  <c r="E10" i="84"/>
  <c r="E10" i="46"/>
  <c r="E10" i="45"/>
  <c r="E10" i="43"/>
  <c r="E10" i="44"/>
  <c r="E10" i="42"/>
  <c r="J19" i="46"/>
  <c r="J19" i="43"/>
  <c r="J19" i="42"/>
  <c r="B25" i="55"/>
  <c r="H11" i="45"/>
  <c r="Y30" i="45" s="1"/>
  <c r="H11" i="43"/>
  <c r="Y20" i="43" s="1"/>
  <c r="H11" i="46"/>
  <c r="Y20" i="46" s="1"/>
  <c r="H11" i="84"/>
  <c r="Y18" i="84" s="1"/>
  <c r="H11" i="42"/>
  <c r="Y20" i="42" s="1"/>
  <c r="H11" i="44"/>
  <c r="Y19" i="44" s="1"/>
  <c r="P379" i="67" l="1"/>
  <c r="P382" i="68"/>
  <c r="P394" i="69"/>
  <c r="P387" i="55"/>
  <c r="F13" i="55"/>
  <c r="F13" i="67"/>
  <c r="F13" i="69"/>
  <c r="J20" i="85"/>
  <c r="B269" i="69"/>
  <c r="B265" i="55"/>
  <c r="B263" i="67"/>
  <c r="B266" i="68"/>
  <c r="M13" i="55"/>
  <c r="K20" i="85"/>
  <c r="D269" i="69"/>
  <c r="D265" i="55"/>
  <c r="D263" i="67"/>
  <c r="D266" i="68"/>
  <c r="V20" i="85"/>
  <c r="H269" i="69"/>
  <c r="H265" i="55"/>
  <c r="H266" i="68"/>
  <c r="AB20" i="85"/>
  <c r="K269" i="69"/>
  <c r="K265" i="55"/>
  <c r="K266" i="68"/>
  <c r="M13" i="69"/>
  <c r="P18" i="85"/>
  <c r="G11" i="84"/>
  <c r="T18" i="84" s="1"/>
  <c r="W18" i="84" s="1"/>
  <c r="G11" i="85"/>
  <c r="T18" i="85" s="1"/>
  <c r="I11" i="42"/>
  <c r="Z20" i="42" s="1"/>
  <c r="AC20" i="42" s="1"/>
  <c r="I11" i="85"/>
  <c r="Z18" i="85" s="1"/>
  <c r="AC18" i="85" s="1"/>
  <c r="E11" i="46"/>
  <c r="N20" i="46" s="1"/>
  <c r="Q20" i="46" s="1"/>
  <c r="E11" i="85"/>
  <c r="N18" i="85" s="1"/>
  <c r="I10" i="43"/>
  <c r="Z19" i="43" s="1"/>
  <c r="AC19" i="43" s="1"/>
  <c r="I10" i="85"/>
  <c r="M13" i="67"/>
  <c r="M13" i="68"/>
  <c r="P30" i="45"/>
  <c r="P42" i="45" s="1"/>
  <c r="J30" i="45"/>
  <c r="B225" i="69" s="1"/>
  <c r="V30" i="45"/>
  <c r="V42" i="45" s="1"/>
  <c r="AB30" i="45"/>
  <c r="AB42" i="45" s="1"/>
  <c r="F13" i="68"/>
  <c r="G274" i="68"/>
  <c r="J24" i="68" s="1"/>
  <c r="J396" i="69"/>
  <c r="K26" i="69" s="1"/>
  <c r="J274" i="68"/>
  <c r="K24" i="68" s="1"/>
  <c r="J384" i="68"/>
  <c r="K25" i="68" s="1"/>
  <c r="P380" i="68"/>
  <c r="J381" i="67"/>
  <c r="K25" i="67" s="1"/>
  <c r="J389" i="55"/>
  <c r="K26" i="55" s="1"/>
  <c r="P377" i="67"/>
  <c r="P378" i="67"/>
  <c r="P393" i="69"/>
  <c r="P392" i="69"/>
  <c r="J271" i="67"/>
  <c r="K24" i="67" s="1"/>
  <c r="P381" i="68"/>
  <c r="J277" i="69"/>
  <c r="K24" i="69" s="1"/>
  <c r="G396" i="69"/>
  <c r="J26" i="69" s="1"/>
  <c r="G381" i="67"/>
  <c r="J25" i="67" s="1"/>
  <c r="G384" i="68"/>
  <c r="G389" i="55"/>
  <c r="J26" i="55" s="1"/>
  <c r="M381" i="67"/>
  <c r="L25" i="67" s="1"/>
  <c r="M396" i="69"/>
  <c r="L26" i="69" s="1"/>
  <c r="M389" i="55"/>
  <c r="L26" i="55" s="1"/>
  <c r="M384" i="68"/>
  <c r="L25" i="68" s="1"/>
  <c r="P275" i="69"/>
  <c r="H277" i="69"/>
  <c r="D24" i="69" s="1"/>
  <c r="F24" i="69" s="1"/>
  <c r="H279" i="55"/>
  <c r="N279" i="55" s="1"/>
  <c r="G277" i="69"/>
  <c r="J24" i="69" s="1"/>
  <c r="P269" i="67"/>
  <c r="G279" i="55"/>
  <c r="J25" i="55" s="1"/>
  <c r="G271" i="67"/>
  <c r="J24" i="67" s="1"/>
  <c r="H274" i="68"/>
  <c r="N274" i="68" s="1"/>
  <c r="P277" i="55"/>
  <c r="H271" i="67"/>
  <c r="D24" i="67" s="1"/>
  <c r="F24" i="67" s="1"/>
  <c r="M277" i="69"/>
  <c r="M279" i="55"/>
  <c r="L25" i="55" s="1"/>
  <c r="M271" i="67"/>
  <c r="L24" i="67" s="1"/>
  <c r="M274" i="68"/>
  <c r="L24" i="68" s="1"/>
  <c r="T19" i="46"/>
  <c r="W19" i="46" s="1"/>
  <c r="J252" i="68" s="1"/>
  <c r="T19" i="42"/>
  <c r="W19" i="42" s="1"/>
  <c r="I11" i="46"/>
  <c r="Z20" i="46" s="1"/>
  <c r="AC20" i="46" s="1"/>
  <c r="I11" i="43"/>
  <c r="Z20" i="43" s="1"/>
  <c r="AC20" i="43" s="1"/>
  <c r="I11" i="45"/>
  <c r="Z30" i="45" s="1"/>
  <c r="AC30" i="45" s="1"/>
  <c r="E11" i="45"/>
  <c r="N30" i="45" s="1"/>
  <c r="Q30" i="45" s="1"/>
  <c r="I10" i="42"/>
  <c r="Z19" i="42" s="1"/>
  <c r="AC19" i="42" s="1"/>
  <c r="M241" i="69" s="1"/>
  <c r="N29" i="45"/>
  <c r="Q29" i="45" s="1"/>
  <c r="T29" i="45"/>
  <c r="W29" i="45" s="1"/>
  <c r="I11" i="84"/>
  <c r="Z18" i="84" s="1"/>
  <c r="AC18" i="84" s="1"/>
  <c r="I11" i="44"/>
  <c r="Z19" i="44" s="1"/>
  <c r="AC19" i="44" s="1"/>
  <c r="AC22" i="44" s="1"/>
  <c r="E218" i="69"/>
  <c r="E11" i="42"/>
  <c r="N20" i="42" s="1"/>
  <c r="Q20" i="42" s="1"/>
  <c r="E11" i="84"/>
  <c r="N18" i="84" s="1"/>
  <c r="Q18" i="84" s="1"/>
  <c r="G212" i="67" s="1"/>
  <c r="N19" i="42"/>
  <c r="Q19" i="42" s="1"/>
  <c r="G237" i="55" s="1"/>
  <c r="N19" i="43"/>
  <c r="Q19" i="43" s="1"/>
  <c r="G248" i="69" s="1"/>
  <c r="T19" i="43"/>
  <c r="W19" i="43" s="1"/>
  <c r="I10" i="45"/>
  <c r="Z29" i="45" s="1"/>
  <c r="AC29" i="45" s="1"/>
  <c r="N19" i="46"/>
  <c r="Q19" i="46" s="1"/>
  <c r="G249" i="67" s="1"/>
  <c r="I10" i="44"/>
  <c r="I10" i="46"/>
  <c r="Z19" i="46" s="1"/>
  <c r="AC19" i="46" s="1"/>
  <c r="I10" i="84"/>
  <c r="E11" i="44"/>
  <c r="N19" i="44" s="1"/>
  <c r="Q19" i="44" s="1"/>
  <c r="E11" i="43"/>
  <c r="N20" i="43" s="1"/>
  <c r="Q20" i="43" s="1"/>
  <c r="N389" i="55"/>
  <c r="C26" i="55"/>
  <c r="F26" i="55" s="1"/>
  <c r="C25" i="68"/>
  <c r="F25" i="68" s="1"/>
  <c r="N384" i="68"/>
  <c r="C25" i="67"/>
  <c r="F25" i="67" s="1"/>
  <c r="N381" i="67"/>
  <c r="C26" i="69"/>
  <c r="F26" i="69" s="1"/>
  <c r="N396" i="69"/>
  <c r="G11" i="42"/>
  <c r="T20" i="42" s="1"/>
  <c r="W20" i="42" s="1"/>
  <c r="P20" i="84"/>
  <c r="G11" i="44"/>
  <c r="T19" i="44" s="1"/>
  <c r="W19" i="44" s="1"/>
  <c r="W22" i="44" s="1"/>
  <c r="G11" i="46"/>
  <c r="T20" i="46" s="1"/>
  <c r="W20" i="46" s="1"/>
  <c r="G11" i="45"/>
  <c r="T30" i="45" s="1"/>
  <c r="W30" i="45" s="1"/>
  <c r="G11" i="43"/>
  <c r="T20" i="43" s="1"/>
  <c r="W20" i="43" s="1"/>
  <c r="E215" i="68"/>
  <c r="E214" i="67"/>
  <c r="E212" i="67"/>
  <c r="AB18" i="84"/>
  <c r="J18" i="84"/>
  <c r="V18" i="84"/>
  <c r="E214" i="55"/>
  <c r="E246" i="68"/>
  <c r="E249" i="69"/>
  <c r="E245" i="55"/>
  <c r="E243" i="67"/>
  <c r="E239" i="68"/>
  <c r="E236" i="67"/>
  <c r="E242" i="69"/>
  <c r="E238" i="55"/>
  <c r="H218" i="67"/>
  <c r="H224" i="69"/>
  <c r="H221" i="68"/>
  <c r="H220" i="55"/>
  <c r="H249" i="67"/>
  <c r="H255" i="69"/>
  <c r="H251" i="55"/>
  <c r="H252" i="68"/>
  <c r="AB19" i="44"/>
  <c r="AB22" i="44" s="1"/>
  <c r="AB20" i="43"/>
  <c r="AB22" i="43" s="1"/>
  <c r="B241" i="69"/>
  <c r="B235" i="67"/>
  <c r="B238" i="68"/>
  <c r="B237" i="55"/>
  <c r="B248" i="69"/>
  <c r="B242" i="67"/>
  <c r="B244" i="55"/>
  <c r="B245" i="68"/>
  <c r="K237" i="55"/>
  <c r="K241" i="69"/>
  <c r="K238" i="68"/>
  <c r="K235" i="67"/>
  <c r="E256" i="67"/>
  <c r="E258" i="55"/>
  <c r="E259" i="68"/>
  <c r="E262" i="69"/>
  <c r="E252" i="55"/>
  <c r="E250" i="67"/>
  <c r="E253" i="68"/>
  <c r="E256" i="69"/>
  <c r="C11" i="45"/>
  <c r="H30" i="45" s="1"/>
  <c r="K30" i="45" s="1"/>
  <c r="C11" i="84"/>
  <c r="H18" i="84" s="1"/>
  <c r="K18" i="84" s="1"/>
  <c r="C11" i="43"/>
  <c r="H20" i="43" s="1"/>
  <c r="K20" i="43" s="1"/>
  <c r="C11" i="44"/>
  <c r="H19" i="44" s="1"/>
  <c r="K19" i="44" s="1"/>
  <c r="K22" i="44" s="1"/>
  <c r="C11" i="46"/>
  <c r="H20" i="46" s="1"/>
  <c r="K20" i="46" s="1"/>
  <c r="C11" i="42"/>
  <c r="H20" i="42" s="1"/>
  <c r="K20" i="42" s="1"/>
  <c r="J20" i="42"/>
  <c r="J20" i="43"/>
  <c r="E218" i="67"/>
  <c r="E224" i="69"/>
  <c r="E221" i="68"/>
  <c r="E220" i="55"/>
  <c r="E244" i="55"/>
  <c r="E248" i="69"/>
  <c r="E242" i="67"/>
  <c r="E245" i="68"/>
  <c r="P22" i="43"/>
  <c r="K252" i="68"/>
  <c r="K249" i="67"/>
  <c r="K255" i="69"/>
  <c r="K251" i="55"/>
  <c r="K244" i="55"/>
  <c r="K245" i="68"/>
  <c r="K248" i="69"/>
  <c r="K242" i="67"/>
  <c r="V20" i="42"/>
  <c r="V22" i="42" s="1"/>
  <c r="V20" i="46"/>
  <c r="V22" i="46" s="1"/>
  <c r="V20" i="43"/>
  <c r="V22" i="43" s="1"/>
  <c r="H235" i="67"/>
  <c r="H241" i="69"/>
  <c r="H237" i="55"/>
  <c r="H238" i="68"/>
  <c r="AB20" i="42"/>
  <c r="AB22" i="42" s="1"/>
  <c r="AB20" i="46"/>
  <c r="AB22" i="46" s="1"/>
  <c r="E251" i="55"/>
  <c r="E249" i="67"/>
  <c r="E255" i="69"/>
  <c r="E252" i="68"/>
  <c r="P22" i="46"/>
  <c r="B249" i="67"/>
  <c r="B255" i="69"/>
  <c r="B251" i="55"/>
  <c r="B252" i="68"/>
  <c r="H242" i="67"/>
  <c r="H248" i="69"/>
  <c r="H244" i="55"/>
  <c r="H245" i="68"/>
  <c r="C10" i="46"/>
  <c r="H19" i="46" s="1"/>
  <c r="K19" i="46" s="1"/>
  <c r="C10" i="84"/>
  <c r="C10" i="44"/>
  <c r="C10" i="42"/>
  <c r="H19" i="42" s="1"/>
  <c r="K19" i="42" s="1"/>
  <c r="C10" i="43"/>
  <c r="H19" i="43" s="1"/>
  <c r="K19" i="43" s="1"/>
  <c r="C10" i="45"/>
  <c r="H29" i="45" s="1"/>
  <c r="K29" i="45" s="1"/>
  <c r="J19" i="44"/>
  <c r="J22" i="44" s="1"/>
  <c r="J20" i="46"/>
  <c r="J22" i="46" s="1"/>
  <c r="E241" i="69"/>
  <c r="P22" i="42"/>
  <c r="E235" i="67"/>
  <c r="E238" i="68"/>
  <c r="E237" i="55"/>
  <c r="B224" i="69"/>
  <c r="B220" i="55"/>
  <c r="B218" i="67"/>
  <c r="B221" i="68"/>
  <c r="K218" i="67"/>
  <c r="K221" i="68"/>
  <c r="K220" i="55"/>
  <c r="K224" i="69"/>
  <c r="V19" i="44"/>
  <c r="V22" i="44" s="1"/>
  <c r="Q42" i="45" l="1"/>
  <c r="K271" i="69"/>
  <c r="E23" i="69" s="1"/>
  <c r="K267" i="55"/>
  <c r="E23" i="55" s="1"/>
  <c r="K268" i="68"/>
  <c r="E23" i="68" s="1"/>
  <c r="H271" i="69"/>
  <c r="D23" i="69" s="1"/>
  <c r="H267" i="55"/>
  <c r="D23" i="55" s="1"/>
  <c r="H268" i="68"/>
  <c r="D23" i="68" s="1"/>
  <c r="B271" i="69"/>
  <c r="B23" i="69" s="1"/>
  <c r="B267" i="55"/>
  <c r="B23" i="55" s="1"/>
  <c r="B265" i="67"/>
  <c r="B23" i="67" s="1"/>
  <c r="B268" i="68"/>
  <c r="B23" i="68" s="1"/>
  <c r="Q18" i="85"/>
  <c r="G263" i="67"/>
  <c r="AC20" i="85"/>
  <c r="M269" i="69"/>
  <c r="M265" i="55"/>
  <c r="M266" i="68"/>
  <c r="W18" i="85"/>
  <c r="M263" i="67"/>
  <c r="P20" i="85"/>
  <c r="E269" i="69"/>
  <c r="N269" i="69" s="1"/>
  <c r="H263" i="67"/>
  <c r="N263" i="67" s="1"/>
  <c r="E265" i="55"/>
  <c r="N265" i="55" s="1"/>
  <c r="E266" i="68"/>
  <c r="N266" i="68" s="1"/>
  <c r="D271" i="69"/>
  <c r="I23" i="69" s="1"/>
  <c r="D267" i="55"/>
  <c r="I23" i="55" s="1"/>
  <c r="D265" i="67"/>
  <c r="I23" i="67" s="1"/>
  <c r="D268" i="68"/>
  <c r="I23" i="68" s="1"/>
  <c r="G258" i="55"/>
  <c r="Q22" i="44"/>
  <c r="G265" i="69" s="1"/>
  <c r="W42" i="45"/>
  <c r="K42" i="45"/>
  <c r="J42" i="45"/>
  <c r="AC42" i="45"/>
  <c r="M233" i="55" s="1"/>
  <c r="M225" i="69"/>
  <c r="M219" i="67"/>
  <c r="M222" i="68"/>
  <c r="M221" i="55"/>
  <c r="D225" i="69"/>
  <c r="D222" i="68"/>
  <c r="D221" i="55"/>
  <c r="D219" i="67"/>
  <c r="K222" i="68"/>
  <c r="K221" i="55"/>
  <c r="K225" i="69"/>
  <c r="K219" i="67"/>
  <c r="B219" i="67"/>
  <c r="B222" i="68"/>
  <c r="B221" i="55"/>
  <c r="H225" i="69"/>
  <c r="H219" i="67"/>
  <c r="H221" i="55"/>
  <c r="H222" i="68"/>
  <c r="J219" i="67"/>
  <c r="J222" i="68"/>
  <c r="J221" i="55"/>
  <c r="J225" i="69"/>
  <c r="G222" i="68"/>
  <c r="G225" i="69"/>
  <c r="G219" i="67"/>
  <c r="G221" i="55"/>
  <c r="E222" i="68"/>
  <c r="E221" i="55"/>
  <c r="E219" i="67"/>
  <c r="E225" i="69"/>
  <c r="M24" i="68"/>
  <c r="M26" i="69"/>
  <c r="N277" i="69"/>
  <c r="P396" i="69"/>
  <c r="P384" i="68"/>
  <c r="P389" i="55"/>
  <c r="M25" i="67"/>
  <c r="J25" i="68"/>
  <c r="M25" i="68" s="1"/>
  <c r="P381" i="67"/>
  <c r="N271" i="67"/>
  <c r="D24" i="68"/>
  <c r="F24" i="68" s="1"/>
  <c r="M26" i="55"/>
  <c r="M24" i="67"/>
  <c r="D25" i="55"/>
  <c r="F25" i="55" s="1"/>
  <c r="M25" i="55"/>
  <c r="P279" i="55"/>
  <c r="P277" i="69"/>
  <c r="L24" i="69"/>
  <c r="M24" i="69" s="1"/>
  <c r="P271" i="67"/>
  <c r="P274" i="68"/>
  <c r="M238" i="68"/>
  <c r="M235" i="67"/>
  <c r="J238" i="68"/>
  <c r="J235" i="67"/>
  <c r="J241" i="69"/>
  <c r="J237" i="55"/>
  <c r="G255" i="69"/>
  <c r="J221" i="68"/>
  <c r="G253" i="68"/>
  <c r="J249" i="67"/>
  <c r="J255" i="69"/>
  <c r="G215" i="68"/>
  <c r="J251" i="55"/>
  <c r="G214" i="55"/>
  <c r="M221" i="68"/>
  <c r="W22" i="46"/>
  <c r="G249" i="69"/>
  <c r="J248" i="69"/>
  <c r="M237" i="55"/>
  <c r="AC22" i="42"/>
  <c r="G235" i="67"/>
  <c r="M245" i="68"/>
  <c r="J218" i="67"/>
  <c r="J220" i="55"/>
  <c r="J224" i="69"/>
  <c r="J244" i="55"/>
  <c r="G252" i="68"/>
  <c r="G252" i="55"/>
  <c r="Q20" i="84"/>
  <c r="G220" i="69" s="1"/>
  <c r="H218" i="69"/>
  <c r="B218" i="69"/>
  <c r="M218" i="69"/>
  <c r="G218" i="69"/>
  <c r="D218" i="69"/>
  <c r="J218" i="69"/>
  <c r="K218" i="69"/>
  <c r="E220" i="69"/>
  <c r="J245" i="68"/>
  <c r="J242" i="67"/>
  <c r="G238" i="68"/>
  <c r="G214" i="67"/>
  <c r="M220" i="55"/>
  <c r="M224" i="69"/>
  <c r="G245" i="68"/>
  <c r="G242" i="67"/>
  <c r="Q22" i="43"/>
  <c r="Q22" i="46"/>
  <c r="G243" i="67"/>
  <c r="G246" i="68"/>
  <c r="G245" i="55"/>
  <c r="G251" i="55"/>
  <c r="G241" i="69"/>
  <c r="M252" i="68"/>
  <c r="M249" i="67"/>
  <c r="M255" i="69"/>
  <c r="M251" i="55"/>
  <c r="G250" i="67"/>
  <c r="G256" i="69"/>
  <c r="G238" i="55"/>
  <c r="M218" i="67"/>
  <c r="G244" i="55"/>
  <c r="Q22" i="42"/>
  <c r="G240" i="55" s="1"/>
  <c r="M244" i="55"/>
  <c r="M248" i="69"/>
  <c r="M242" i="67"/>
  <c r="G224" i="69"/>
  <c r="G259" i="68"/>
  <c r="G242" i="69"/>
  <c r="G236" i="67"/>
  <c r="G221" i="68"/>
  <c r="G218" i="67"/>
  <c r="G220" i="55"/>
  <c r="G262" i="69"/>
  <c r="G239" i="68"/>
  <c r="G256" i="67"/>
  <c r="E216" i="55"/>
  <c r="C17" i="55" s="1"/>
  <c r="E217" i="68"/>
  <c r="C17" i="68" s="1"/>
  <c r="D215" i="68"/>
  <c r="D214" i="67"/>
  <c r="D212" i="67"/>
  <c r="H215" i="68"/>
  <c r="H214" i="67"/>
  <c r="H212" i="67"/>
  <c r="B215" i="68"/>
  <c r="B214" i="67"/>
  <c r="B212" i="67"/>
  <c r="M215" i="68"/>
  <c r="M214" i="67"/>
  <c r="M212" i="67"/>
  <c r="J215" i="68"/>
  <c r="J214" i="67"/>
  <c r="J212" i="67"/>
  <c r="K215" i="68"/>
  <c r="K214" i="67"/>
  <c r="K212" i="67"/>
  <c r="C17" i="67"/>
  <c r="D214" i="55"/>
  <c r="J214" i="55"/>
  <c r="W20" i="84"/>
  <c r="M214" i="55"/>
  <c r="AC20" i="84"/>
  <c r="K20" i="84"/>
  <c r="H214" i="55"/>
  <c r="V20" i="84"/>
  <c r="B214" i="55"/>
  <c r="J20" i="84"/>
  <c r="K214" i="55"/>
  <c r="AB20" i="84"/>
  <c r="B254" i="55"/>
  <c r="B252" i="67"/>
  <c r="B258" i="69"/>
  <c r="B255" i="68"/>
  <c r="K254" i="55"/>
  <c r="K252" i="67"/>
  <c r="K258" i="69"/>
  <c r="K255" i="68"/>
  <c r="K244" i="69"/>
  <c r="K238" i="67"/>
  <c r="K241" i="68"/>
  <c r="K240" i="55"/>
  <c r="H254" i="55"/>
  <c r="H258" i="69"/>
  <c r="H252" i="67"/>
  <c r="H255" i="68"/>
  <c r="J262" i="69"/>
  <c r="J259" i="68"/>
  <c r="J256" i="67"/>
  <c r="J258" i="55"/>
  <c r="N238" i="68"/>
  <c r="N235" i="67"/>
  <c r="N241" i="69"/>
  <c r="D250" i="67"/>
  <c r="D256" i="69"/>
  <c r="D253" i="68"/>
  <c r="D252" i="55"/>
  <c r="D262" i="69"/>
  <c r="D259" i="68"/>
  <c r="D258" i="55"/>
  <c r="D256" i="67"/>
  <c r="D218" i="67"/>
  <c r="D224" i="69"/>
  <c r="D220" i="55"/>
  <c r="D221" i="68"/>
  <c r="D241" i="69"/>
  <c r="K22" i="42"/>
  <c r="D235" i="67"/>
  <c r="D237" i="55"/>
  <c r="D238" i="68"/>
  <c r="D251" i="55"/>
  <c r="D252" i="68"/>
  <c r="K22" i="46"/>
  <c r="D249" i="67"/>
  <c r="D255" i="69"/>
  <c r="H247" i="55"/>
  <c r="H245" i="67"/>
  <c r="H248" i="68"/>
  <c r="H251" i="69"/>
  <c r="E255" i="68"/>
  <c r="E254" i="55"/>
  <c r="E252" i="67"/>
  <c r="E258" i="69"/>
  <c r="N252" i="68"/>
  <c r="N251" i="55"/>
  <c r="M256" i="69"/>
  <c r="M250" i="67"/>
  <c r="M253" i="68"/>
  <c r="M252" i="55"/>
  <c r="M236" i="67"/>
  <c r="M238" i="55"/>
  <c r="M242" i="69"/>
  <c r="M239" i="68"/>
  <c r="J245" i="55"/>
  <c r="J243" i="67"/>
  <c r="J246" i="68"/>
  <c r="J249" i="69"/>
  <c r="J252" i="55"/>
  <c r="J253" i="68"/>
  <c r="J256" i="69"/>
  <c r="J250" i="67"/>
  <c r="J236" i="67"/>
  <c r="J239" i="68"/>
  <c r="J242" i="69"/>
  <c r="J238" i="55"/>
  <c r="K245" i="67"/>
  <c r="K247" i="55"/>
  <c r="K248" i="68"/>
  <c r="K251" i="69"/>
  <c r="E245" i="67"/>
  <c r="E247" i="55"/>
  <c r="E251" i="69"/>
  <c r="E248" i="68"/>
  <c r="N244" i="55"/>
  <c r="N220" i="55"/>
  <c r="N221" i="68"/>
  <c r="N218" i="67"/>
  <c r="D243" i="67"/>
  <c r="D246" i="68"/>
  <c r="D249" i="69"/>
  <c r="D245" i="55"/>
  <c r="D239" i="68"/>
  <c r="D242" i="69"/>
  <c r="D238" i="55"/>
  <c r="D236" i="67"/>
  <c r="K246" i="68"/>
  <c r="K243" i="67"/>
  <c r="K249" i="69"/>
  <c r="K245" i="55"/>
  <c r="M258" i="55"/>
  <c r="M259" i="68"/>
  <c r="M256" i="67"/>
  <c r="M262" i="69"/>
  <c r="W22" i="43"/>
  <c r="W22" i="42"/>
  <c r="AC22" i="46"/>
  <c r="H256" i="67"/>
  <c r="H262" i="69"/>
  <c r="H258" i="55"/>
  <c r="H259" i="68"/>
  <c r="N237" i="55"/>
  <c r="E238" i="67"/>
  <c r="E244" i="69"/>
  <c r="E241" i="68"/>
  <c r="E240" i="55"/>
  <c r="B250" i="67"/>
  <c r="B256" i="69"/>
  <c r="B252" i="55"/>
  <c r="B253" i="68"/>
  <c r="B256" i="67"/>
  <c r="B262" i="69"/>
  <c r="B258" i="55"/>
  <c r="B259" i="68"/>
  <c r="D242" i="67"/>
  <c r="D244" i="55"/>
  <c r="D245" i="68"/>
  <c r="D248" i="69"/>
  <c r="K22" i="43"/>
  <c r="N255" i="69"/>
  <c r="N249" i="67"/>
  <c r="K250" i="67"/>
  <c r="K256" i="69"/>
  <c r="K253" i="68"/>
  <c r="K252" i="55"/>
  <c r="K242" i="69"/>
  <c r="K236" i="67"/>
  <c r="K238" i="55"/>
  <c r="K239" i="68"/>
  <c r="H238" i="67"/>
  <c r="H240" i="55"/>
  <c r="H241" i="68"/>
  <c r="H244" i="69"/>
  <c r="H243" i="67"/>
  <c r="H249" i="69"/>
  <c r="H245" i="55"/>
  <c r="H246" i="68"/>
  <c r="H250" i="67"/>
  <c r="H256" i="69"/>
  <c r="H252" i="55"/>
  <c r="H253" i="68"/>
  <c r="H236" i="67"/>
  <c r="H242" i="69"/>
  <c r="H238" i="55"/>
  <c r="H239" i="68"/>
  <c r="N239" i="68" s="1"/>
  <c r="N245" i="68"/>
  <c r="N242" i="67"/>
  <c r="N248" i="69"/>
  <c r="E234" i="68"/>
  <c r="E233" i="55"/>
  <c r="E231" i="67"/>
  <c r="E237" i="69"/>
  <c r="N224" i="69"/>
  <c r="B249" i="69"/>
  <c r="B246" i="68"/>
  <c r="B245" i="55"/>
  <c r="B243" i="67"/>
  <c r="B238" i="55"/>
  <c r="B242" i="69"/>
  <c r="B236" i="67"/>
  <c r="B239" i="68"/>
  <c r="E262" i="68"/>
  <c r="E261" i="55"/>
  <c r="E265" i="69"/>
  <c r="E259" i="67"/>
  <c r="M245" i="55"/>
  <c r="M246" i="68"/>
  <c r="M243" i="67"/>
  <c r="M249" i="69"/>
  <c r="K259" i="68"/>
  <c r="K262" i="69"/>
  <c r="K258" i="55"/>
  <c r="K256" i="67"/>
  <c r="J22" i="43"/>
  <c r="J22" i="42"/>
  <c r="AC22" i="43"/>
  <c r="E271" i="69" l="1"/>
  <c r="E398" i="69" s="1"/>
  <c r="H265" i="67"/>
  <c r="E267" i="55"/>
  <c r="E391" i="55" s="1"/>
  <c r="E268" i="68"/>
  <c r="E386" i="68" s="1"/>
  <c r="W20" i="85"/>
  <c r="J269" i="69"/>
  <c r="J265" i="55"/>
  <c r="J266" i="68"/>
  <c r="M271" i="69"/>
  <c r="L23" i="69" s="1"/>
  <c r="M267" i="55"/>
  <c r="L23" i="55" s="1"/>
  <c r="M268" i="68"/>
  <c r="L23" i="68" s="1"/>
  <c r="Q20" i="85"/>
  <c r="G269" i="69"/>
  <c r="J263" i="67"/>
  <c r="P263" i="67" s="1"/>
  <c r="G265" i="55"/>
  <c r="G266" i="68"/>
  <c r="E383" i="67"/>
  <c r="F383" i="67" s="1"/>
  <c r="B17" i="67"/>
  <c r="L17" i="67"/>
  <c r="J17" i="67"/>
  <c r="K17" i="67"/>
  <c r="I17" i="67"/>
  <c r="E17" i="67"/>
  <c r="D17" i="67"/>
  <c r="N242" i="69"/>
  <c r="B231" i="67"/>
  <c r="B18" i="67" s="1"/>
  <c r="B234" i="68"/>
  <c r="B18" i="68" s="1"/>
  <c r="P241" i="69"/>
  <c r="B233" i="55"/>
  <c r="B18" i="55" s="1"/>
  <c r="B237" i="69"/>
  <c r="B18" i="69" s="1"/>
  <c r="K237" i="69"/>
  <c r="E18" i="69" s="1"/>
  <c r="K234" i="68"/>
  <c r="E18" i="68" s="1"/>
  <c r="H233" i="55"/>
  <c r="D18" i="55" s="1"/>
  <c r="H237" i="69"/>
  <c r="D18" i="69" s="1"/>
  <c r="P221" i="55"/>
  <c r="P222" i="68"/>
  <c r="P219" i="67"/>
  <c r="N219" i="67"/>
  <c r="N222" i="68"/>
  <c r="H234" i="68"/>
  <c r="D18" i="68" s="1"/>
  <c r="H231" i="67"/>
  <c r="D18" i="67" s="1"/>
  <c r="K231" i="67"/>
  <c r="E18" i="67" s="1"/>
  <c r="K233" i="55"/>
  <c r="E18" i="55" s="1"/>
  <c r="N225" i="69"/>
  <c r="N221" i="55"/>
  <c r="P225" i="69"/>
  <c r="L18" i="55"/>
  <c r="P255" i="69"/>
  <c r="P235" i="67"/>
  <c r="P238" i="68"/>
  <c r="P237" i="55"/>
  <c r="J255" i="68"/>
  <c r="K21" i="68" s="1"/>
  <c r="J252" i="67"/>
  <c r="K21" i="67" s="1"/>
  <c r="P221" i="68"/>
  <c r="G258" i="69"/>
  <c r="J21" i="69" s="1"/>
  <c r="J254" i="55"/>
  <c r="K21" i="55" s="1"/>
  <c r="G244" i="69"/>
  <c r="J19" i="69" s="1"/>
  <c r="G254" i="55"/>
  <c r="J21" i="55" s="1"/>
  <c r="J258" i="69"/>
  <c r="K21" i="69" s="1"/>
  <c r="M241" i="68"/>
  <c r="P249" i="67"/>
  <c r="P214" i="55"/>
  <c r="P251" i="55"/>
  <c r="G245" i="67"/>
  <c r="J20" i="67" s="1"/>
  <c r="J231" i="67"/>
  <c r="G247" i="55"/>
  <c r="J20" i="55" s="1"/>
  <c r="G251" i="69"/>
  <c r="J20" i="69" s="1"/>
  <c r="G248" i="68"/>
  <c r="J20" i="68" s="1"/>
  <c r="P238" i="55"/>
  <c r="J237" i="69"/>
  <c r="P218" i="67"/>
  <c r="P245" i="68"/>
  <c r="J234" i="68"/>
  <c r="K18" i="68" s="1"/>
  <c r="J233" i="55"/>
  <c r="P244" i="55"/>
  <c r="G238" i="67"/>
  <c r="J19" i="67" s="1"/>
  <c r="P224" i="69"/>
  <c r="P220" i="55"/>
  <c r="P252" i="68"/>
  <c r="M234" i="68"/>
  <c r="L18" i="68" s="1"/>
  <c r="M231" i="67"/>
  <c r="M238" i="67"/>
  <c r="L19" i="67" s="1"/>
  <c r="P248" i="69"/>
  <c r="G241" i="68"/>
  <c r="M237" i="69"/>
  <c r="P236" i="67"/>
  <c r="M240" i="55"/>
  <c r="G231" i="67"/>
  <c r="G255" i="68"/>
  <c r="J21" i="68" s="1"/>
  <c r="G252" i="67"/>
  <c r="P256" i="69"/>
  <c r="P242" i="67"/>
  <c r="G237" i="69"/>
  <c r="G233" i="55"/>
  <c r="G234" i="68"/>
  <c r="J18" i="68" s="1"/>
  <c r="M244" i="69"/>
  <c r="L19" i="69" s="1"/>
  <c r="G216" i="55"/>
  <c r="J17" i="55" s="1"/>
  <c r="N212" i="67"/>
  <c r="G217" i="68"/>
  <c r="J17" i="68" s="1"/>
  <c r="N218" i="69"/>
  <c r="M220" i="69"/>
  <c r="J220" i="69"/>
  <c r="J17" i="69"/>
  <c r="P218" i="69"/>
  <c r="K220" i="69"/>
  <c r="B220" i="69"/>
  <c r="H220" i="69"/>
  <c r="D220" i="69"/>
  <c r="C17" i="69"/>
  <c r="G261" i="55"/>
  <c r="J22" i="55" s="1"/>
  <c r="G259" i="67"/>
  <c r="J22" i="67" s="1"/>
  <c r="G262" i="68"/>
  <c r="J22" i="68" s="1"/>
  <c r="P252" i="55"/>
  <c r="K217" i="68"/>
  <c r="E17" i="68" s="1"/>
  <c r="B217" i="68"/>
  <c r="B17" i="68" s="1"/>
  <c r="H217" i="68"/>
  <c r="D17" i="68" s="1"/>
  <c r="D217" i="68"/>
  <c r="I17" i="68" s="1"/>
  <c r="M217" i="68"/>
  <c r="L17" i="68" s="1"/>
  <c r="J217" i="68"/>
  <c r="K17" i="68" s="1"/>
  <c r="N256" i="67"/>
  <c r="N258" i="55"/>
  <c r="P246" i="68"/>
  <c r="N246" i="68"/>
  <c r="N245" i="55"/>
  <c r="P215" i="68"/>
  <c r="P243" i="67"/>
  <c r="P245" i="55"/>
  <c r="P259" i="68"/>
  <c r="P242" i="69"/>
  <c r="P250" i="67"/>
  <c r="P253" i="68"/>
  <c r="N256" i="69"/>
  <c r="P256" i="67"/>
  <c r="N243" i="67"/>
  <c r="N252" i="55"/>
  <c r="P239" i="68"/>
  <c r="P262" i="69"/>
  <c r="N214" i="67"/>
  <c r="P212" i="67"/>
  <c r="N238" i="55"/>
  <c r="P258" i="55"/>
  <c r="P249" i="69"/>
  <c r="P214" i="67"/>
  <c r="N215" i="68"/>
  <c r="B216" i="55"/>
  <c r="D216" i="55"/>
  <c r="I17" i="55" s="1"/>
  <c r="M216" i="55"/>
  <c r="L17" i="55" s="1"/>
  <c r="K216" i="55"/>
  <c r="H216" i="55"/>
  <c r="J216" i="55"/>
  <c r="K17" i="55" s="1"/>
  <c r="N214" i="55"/>
  <c r="B248" i="68"/>
  <c r="B245" i="67"/>
  <c r="B247" i="55"/>
  <c r="B251" i="69"/>
  <c r="J19" i="55"/>
  <c r="K261" i="55"/>
  <c r="K259" i="67"/>
  <c r="K262" i="68"/>
  <c r="K265" i="69"/>
  <c r="C22" i="67"/>
  <c r="C22" i="69"/>
  <c r="C18" i="67"/>
  <c r="D19" i="67"/>
  <c r="B261" i="55"/>
  <c r="B259" i="67"/>
  <c r="B262" i="68"/>
  <c r="B265" i="69"/>
  <c r="N244" i="69"/>
  <c r="C19" i="69"/>
  <c r="N238" i="67"/>
  <c r="C19" i="67"/>
  <c r="M255" i="68"/>
  <c r="L21" i="68" s="1"/>
  <c r="M254" i="55"/>
  <c r="L21" i="55" s="1"/>
  <c r="M252" i="67"/>
  <c r="L21" i="67" s="1"/>
  <c r="M258" i="69"/>
  <c r="L21" i="69" s="1"/>
  <c r="J251" i="69"/>
  <c r="K20" i="69" s="1"/>
  <c r="J248" i="68"/>
  <c r="K20" i="68" s="1"/>
  <c r="J247" i="55"/>
  <c r="K20" i="55" s="1"/>
  <c r="J245" i="67"/>
  <c r="K20" i="67" s="1"/>
  <c r="J22" i="69"/>
  <c r="M261" i="55"/>
  <c r="L22" i="55" s="1"/>
  <c r="M262" i="68"/>
  <c r="L22" i="68" s="1"/>
  <c r="M265" i="69"/>
  <c r="L22" i="69" s="1"/>
  <c r="M259" i="67"/>
  <c r="L22" i="67" s="1"/>
  <c r="C20" i="69"/>
  <c r="N251" i="69"/>
  <c r="N245" i="67"/>
  <c r="C20" i="67"/>
  <c r="E20" i="69"/>
  <c r="E20" i="55"/>
  <c r="E20" i="67"/>
  <c r="N252" i="67"/>
  <c r="C21" i="67"/>
  <c r="N254" i="55"/>
  <c r="C21" i="55"/>
  <c r="N255" i="68"/>
  <c r="C21" i="68"/>
  <c r="D20" i="69"/>
  <c r="D20" i="67"/>
  <c r="D231" i="67"/>
  <c r="D234" i="68"/>
  <c r="I18" i="68" s="1"/>
  <c r="D233" i="55"/>
  <c r="D237" i="69"/>
  <c r="J265" i="69"/>
  <c r="K22" i="69" s="1"/>
  <c r="J261" i="55"/>
  <c r="K22" i="55" s="1"/>
  <c r="J262" i="68"/>
  <c r="K22" i="68" s="1"/>
  <c r="J259" i="67"/>
  <c r="K22" i="67" s="1"/>
  <c r="D21" i="68"/>
  <c r="D21" i="67"/>
  <c r="D21" i="55"/>
  <c r="E19" i="55"/>
  <c r="E19" i="67"/>
  <c r="E19" i="69"/>
  <c r="E21" i="69"/>
  <c r="E21" i="55"/>
  <c r="B21" i="68"/>
  <c r="B21" i="69"/>
  <c r="B21" i="67"/>
  <c r="B21" i="55"/>
  <c r="N249" i="69"/>
  <c r="N236" i="67"/>
  <c r="N259" i="68"/>
  <c r="M248" i="68"/>
  <c r="L20" i="68" s="1"/>
  <c r="M247" i="55"/>
  <c r="L20" i="55" s="1"/>
  <c r="M251" i="69"/>
  <c r="L20" i="69" s="1"/>
  <c r="M245" i="67"/>
  <c r="L20" i="67" s="1"/>
  <c r="B240" i="55"/>
  <c r="B238" i="67"/>
  <c r="B241" i="68"/>
  <c r="B244" i="69"/>
  <c r="C22" i="55"/>
  <c r="C22" i="68"/>
  <c r="C18" i="69"/>
  <c r="C18" i="55"/>
  <c r="C18" i="68"/>
  <c r="D19" i="69"/>
  <c r="D19" i="68"/>
  <c r="D19" i="55"/>
  <c r="D251" i="69"/>
  <c r="I20" i="69" s="1"/>
  <c r="D248" i="68"/>
  <c r="I20" i="68" s="1"/>
  <c r="D245" i="67"/>
  <c r="I20" i="67" s="1"/>
  <c r="D247" i="55"/>
  <c r="I20" i="55" s="1"/>
  <c r="N240" i="55"/>
  <c r="C19" i="55"/>
  <c r="N241" i="68"/>
  <c r="C19" i="68"/>
  <c r="H261" i="55"/>
  <c r="H265" i="69"/>
  <c r="H262" i="68"/>
  <c r="H259" i="67"/>
  <c r="J240" i="55"/>
  <c r="J238" i="67"/>
  <c r="K19" i="67" s="1"/>
  <c r="J241" i="68"/>
  <c r="J244" i="69"/>
  <c r="K19" i="69" s="1"/>
  <c r="C20" i="68"/>
  <c r="N248" i="68"/>
  <c r="N247" i="55"/>
  <c r="C20" i="55"/>
  <c r="E20" i="68"/>
  <c r="N258" i="69"/>
  <c r="C21" i="69"/>
  <c r="D20" i="68"/>
  <c r="D20" i="55"/>
  <c r="D258" i="69"/>
  <c r="I21" i="69" s="1"/>
  <c r="D254" i="55"/>
  <c r="I21" i="55" s="1"/>
  <c r="D255" i="68"/>
  <c r="I21" i="68" s="1"/>
  <c r="D252" i="67"/>
  <c r="I21" i="67" s="1"/>
  <c r="D238" i="67"/>
  <c r="I19" i="67" s="1"/>
  <c r="D240" i="55"/>
  <c r="D244" i="69"/>
  <c r="I19" i="69" s="1"/>
  <c r="D241" i="68"/>
  <c r="D261" i="55"/>
  <c r="I22" i="55" s="1"/>
  <c r="D265" i="69"/>
  <c r="I22" i="69" s="1"/>
  <c r="D262" i="68"/>
  <c r="I22" i="68" s="1"/>
  <c r="D259" i="67"/>
  <c r="I22" i="67" s="1"/>
  <c r="D21" i="69"/>
  <c r="E19" i="68"/>
  <c r="E21" i="68"/>
  <c r="E21" i="67"/>
  <c r="N262" i="69"/>
  <c r="N250" i="67"/>
  <c r="N253" i="68"/>
  <c r="F263" i="69" l="1"/>
  <c r="F146" i="69"/>
  <c r="P266" i="68"/>
  <c r="F257" i="67"/>
  <c r="F263" i="67"/>
  <c r="F17" i="67"/>
  <c r="F265" i="67"/>
  <c r="M17" i="67"/>
  <c r="B386" i="68"/>
  <c r="C266" i="68" s="1"/>
  <c r="B383" i="67"/>
  <c r="C265" i="67" s="1"/>
  <c r="J271" i="69"/>
  <c r="K23" i="69" s="1"/>
  <c r="J267" i="55"/>
  <c r="K23" i="55" s="1"/>
  <c r="J268" i="68"/>
  <c r="K23" i="68" s="1"/>
  <c r="C23" i="55"/>
  <c r="F23" i="55" s="1"/>
  <c r="N267" i="55"/>
  <c r="N271" i="69"/>
  <c r="C23" i="69"/>
  <c r="F23" i="69" s="1"/>
  <c r="P269" i="69"/>
  <c r="P265" i="55"/>
  <c r="G271" i="69"/>
  <c r="G398" i="69" s="1"/>
  <c r="J265" i="67"/>
  <c r="J383" i="67" s="1"/>
  <c r="G267" i="55"/>
  <c r="G268" i="68"/>
  <c r="G386" i="68" s="1"/>
  <c r="N268" i="68"/>
  <c r="C23" i="68"/>
  <c r="F23" i="68" s="1"/>
  <c r="N265" i="67"/>
  <c r="D23" i="67"/>
  <c r="F23" i="67" s="1"/>
  <c r="D386" i="68"/>
  <c r="D17" i="69"/>
  <c r="H398" i="69"/>
  <c r="I146" i="69" s="1"/>
  <c r="B17" i="69"/>
  <c r="B398" i="69"/>
  <c r="E17" i="69"/>
  <c r="K398" i="69"/>
  <c r="L146" i="69" s="1"/>
  <c r="L17" i="69"/>
  <c r="M398" i="69"/>
  <c r="K17" i="69"/>
  <c r="I17" i="69"/>
  <c r="D398" i="69"/>
  <c r="F398" i="69"/>
  <c r="F271" i="69"/>
  <c r="F269" i="69"/>
  <c r="K386" i="68"/>
  <c r="L260" i="68" s="1"/>
  <c r="M386" i="68"/>
  <c r="F386" i="68"/>
  <c r="F268" i="68"/>
  <c r="F266" i="68"/>
  <c r="F260" i="68"/>
  <c r="H386" i="68"/>
  <c r="K383" i="67"/>
  <c r="L257" i="67" s="1"/>
  <c r="M383" i="67"/>
  <c r="H383" i="67"/>
  <c r="I257" i="67" s="1"/>
  <c r="D383" i="67"/>
  <c r="G383" i="67"/>
  <c r="C29" i="67"/>
  <c r="F391" i="55"/>
  <c r="F267" i="55"/>
  <c r="F265" i="55"/>
  <c r="L19" i="55"/>
  <c r="L30" i="55" s="1"/>
  <c r="M391" i="55"/>
  <c r="K391" i="55"/>
  <c r="L259" i="55" s="1"/>
  <c r="K19" i="55"/>
  <c r="B391" i="55"/>
  <c r="C259" i="55" s="1"/>
  <c r="H391" i="55"/>
  <c r="I259" i="55" s="1"/>
  <c r="I19" i="55"/>
  <c r="D391" i="55"/>
  <c r="F259" i="55"/>
  <c r="F225" i="69"/>
  <c r="F229" i="69"/>
  <c r="F228" i="69"/>
  <c r="F233" i="69"/>
  <c r="F232" i="69"/>
  <c r="F235" i="69"/>
  <c r="F226" i="69"/>
  <c r="F234" i="69"/>
  <c r="F227" i="69"/>
  <c r="F231" i="69"/>
  <c r="F230" i="69"/>
  <c r="F221" i="55"/>
  <c r="F230" i="55"/>
  <c r="F228" i="55"/>
  <c r="F222" i="55"/>
  <c r="F229" i="55"/>
  <c r="F224" i="55"/>
  <c r="F226" i="55"/>
  <c r="F223" i="55"/>
  <c r="F231" i="55"/>
  <c r="F225" i="55"/>
  <c r="F227" i="55"/>
  <c r="F245" i="67"/>
  <c r="F227" i="67"/>
  <c r="F226" i="67"/>
  <c r="F223" i="67"/>
  <c r="F222" i="67"/>
  <c r="F225" i="67"/>
  <c r="F224" i="67"/>
  <c r="F229" i="67"/>
  <c r="F220" i="67"/>
  <c r="F228" i="67"/>
  <c r="F221" i="67"/>
  <c r="F217" i="68"/>
  <c r="F226" i="68"/>
  <c r="F225" i="68"/>
  <c r="F230" i="68"/>
  <c r="F229" i="68"/>
  <c r="F228" i="68"/>
  <c r="F227" i="68"/>
  <c r="F232" i="68"/>
  <c r="F223" i="68"/>
  <c r="F231" i="68"/>
  <c r="F224" i="68"/>
  <c r="N237" i="69"/>
  <c r="N233" i="55"/>
  <c r="N234" i="68"/>
  <c r="F222" i="68"/>
  <c r="F219" i="67"/>
  <c r="N231" i="67"/>
  <c r="F17" i="68"/>
  <c r="M17" i="68"/>
  <c r="I18" i="55"/>
  <c r="I18" i="69"/>
  <c r="J18" i="67"/>
  <c r="L18" i="67"/>
  <c r="L29" i="67" s="1"/>
  <c r="I18" i="67"/>
  <c r="I29" i="67" s="1"/>
  <c r="K18" i="69"/>
  <c r="P233" i="55"/>
  <c r="K18" i="55"/>
  <c r="L18" i="69"/>
  <c r="K18" i="67"/>
  <c r="L19" i="68"/>
  <c r="L29" i="68" s="1"/>
  <c r="J19" i="68"/>
  <c r="I19" i="68"/>
  <c r="I29" i="68" s="1"/>
  <c r="K19" i="68"/>
  <c r="P237" i="69"/>
  <c r="P231" i="67"/>
  <c r="J18" i="55"/>
  <c r="P234" i="68"/>
  <c r="J18" i="69"/>
  <c r="P217" i="68"/>
  <c r="J21" i="67"/>
  <c r="M21" i="67" s="1"/>
  <c r="N220" i="69"/>
  <c r="P220" i="69"/>
  <c r="F359" i="69"/>
  <c r="F361" i="69"/>
  <c r="F362" i="69"/>
  <c r="F360" i="69"/>
  <c r="F325" i="69"/>
  <c r="F326" i="69"/>
  <c r="F328" i="69"/>
  <c r="F294" i="69"/>
  <c r="F292" i="69"/>
  <c r="F291" i="69"/>
  <c r="F218" i="69"/>
  <c r="F220" i="69"/>
  <c r="F188" i="69"/>
  <c r="F186" i="69"/>
  <c r="F185" i="69"/>
  <c r="F124" i="69"/>
  <c r="F154" i="69"/>
  <c r="F152" i="69"/>
  <c r="F151" i="69"/>
  <c r="F64" i="69"/>
  <c r="F65" i="69"/>
  <c r="F66" i="69"/>
  <c r="F67" i="69"/>
  <c r="F68" i="69"/>
  <c r="F69" i="69"/>
  <c r="F70" i="69"/>
  <c r="F71" i="69"/>
  <c r="F72" i="69"/>
  <c r="F74" i="69"/>
  <c r="F76" i="69"/>
  <c r="F77" i="69"/>
  <c r="F78" i="69"/>
  <c r="F79" i="69"/>
  <c r="F80" i="69"/>
  <c r="F81" i="69"/>
  <c r="F82" i="69"/>
  <c r="F83" i="69"/>
  <c r="F84" i="69"/>
  <c r="F85" i="69"/>
  <c r="F87" i="69"/>
  <c r="F89" i="69"/>
  <c r="F90" i="69"/>
  <c r="F91" i="69"/>
  <c r="F92" i="69"/>
  <c r="F93" i="69"/>
  <c r="F94" i="69"/>
  <c r="F95" i="69"/>
  <c r="F96" i="69"/>
  <c r="F97" i="69"/>
  <c r="F98" i="69"/>
  <c r="F118" i="69"/>
  <c r="F116" i="69"/>
  <c r="F115" i="69"/>
  <c r="F113" i="69"/>
  <c r="F111" i="69"/>
  <c r="F109" i="69"/>
  <c r="F108" i="69"/>
  <c r="F107" i="69"/>
  <c r="F106" i="69"/>
  <c r="F105" i="69"/>
  <c r="F104" i="69"/>
  <c r="F103" i="69"/>
  <c r="F102" i="69"/>
  <c r="F100" i="69"/>
  <c r="F251" i="69"/>
  <c r="F248" i="68"/>
  <c r="F215" i="68"/>
  <c r="N217" i="68"/>
  <c r="M20" i="55"/>
  <c r="P261" i="55"/>
  <c r="N265" i="69"/>
  <c r="M21" i="69"/>
  <c r="N259" i="67"/>
  <c r="P247" i="55"/>
  <c r="M22" i="55"/>
  <c r="M20" i="67"/>
  <c r="P259" i="67"/>
  <c r="M21" i="55"/>
  <c r="F212" i="67"/>
  <c r="F214" i="67"/>
  <c r="F258" i="69"/>
  <c r="P245" i="67"/>
  <c r="M22" i="67"/>
  <c r="F19" i="55"/>
  <c r="F237" i="69"/>
  <c r="P254" i="55"/>
  <c r="P258" i="69"/>
  <c r="D17" i="55"/>
  <c r="N216" i="55"/>
  <c r="E17" i="55"/>
  <c r="B17" i="55"/>
  <c r="M17" i="55"/>
  <c r="F261" i="55"/>
  <c r="F214" i="55"/>
  <c r="F216" i="55"/>
  <c r="P216" i="55"/>
  <c r="F252" i="67"/>
  <c r="F247" i="55"/>
  <c r="F189" i="68"/>
  <c r="F173" i="68"/>
  <c r="F342" i="68"/>
  <c r="F320" i="68"/>
  <c r="F338" i="68"/>
  <c r="F209" i="68"/>
  <c r="F167" i="68"/>
  <c r="F328" i="68"/>
  <c r="F362" i="68"/>
  <c r="F366" i="68"/>
  <c r="F75" i="68"/>
  <c r="F93" i="68"/>
  <c r="F114" i="68"/>
  <c r="F143" i="68"/>
  <c r="F66" i="68"/>
  <c r="F85" i="68"/>
  <c r="F104" i="68"/>
  <c r="F133" i="68"/>
  <c r="F182" i="68"/>
  <c r="F197" i="68"/>
  <c r="F171" i="68"/>
  <c r="F303" i="68"/>
  <c r="F332" i="68"/>
  <c r="F370" i="68"/>
  <c r="F206" i="68"/>
  <c r="F163" i="68"/>
  <c r="F288" i="68"/>
  <c r="F376" i="68"/>
  <c r="F371" i="68"/>
  <c r="F77" i="68"/>
  <c r="F95" i="68"/>
  <c r="F139" i="68"/>
  <c r="F149" i="68"/>
  <c r="F68" i="68"/>
  <c r="F88" i="68"/>
  <c r="F106" i="68"/>
  <c r="F130" i="68"/>
  <c r="F282" i="68"/>
  <c r="F147" i="68"/>
  <c r="F172" i="68"/>
  <c r="F329" i="68"/>
  <c r="F330" i="68"/>
  <c r="F384" i="68"/>
  <c r="F156" i="68"/>
  <c r="F308" i="68"/>
  <c r="F340" i="68"/>
  <c r="F306" i="68"/>
  <c r="F69" i="68"/>
  <c r="F89" i="68"/>
  <c r="F107" i="68"/>
  <c r="F127" i="68"/>
  <c r="F347" i="68"/>
  <c r="F80" i="68"/>
  <c r="F100" i="68"/>
  <c r="F138" i="68"/>
  <c r="F148" i="68"/>
  <c r="F177" i="68"/>
  <c r="F62" i="68"/>
  <c r="F201" i="68"/>
  <c r="F337" i="68"/>
  <c r="F372" i="68"/>
  <c r="F181" i="68"/>
  <c r="F198" i="68"/>
  <c r="F346" i="68"/>
  <c r="F364" i="68"/>
  <c r="F312" i="68"/>
  <c r="F72" i="68"/>
  <c r="F91" i="68"/>
  <c r="F111" i="68"/>
  <c r="F123" i="68"/>
  <c r="F64" i="68"/>
  <c r="F82" i="68"/>
  <c r="F102" i="68"/>
  <c r="F136" i="68"/>
  <c r="F185" i="68"/>
  <c r="F316" i="68"/>
  <c r="F121" i="68"/>
  <c r="F193" i="68"/>
  <c r="F304" i="68"/>
  <c r="F295" i="68"/>
  <c r="F358" i="68"/>
  <c r="F380" i="68"/>
  <c r="F191" i="68"/>
  <c r="F298" i="68"/>
  <c r="F354" i="68"/>
  <c r="F65" i="68"/>
  <c r="F83" i="68"/>
  <c r="F103" i="68"/>
  <c r="F131" i="68"/>
  <c r="F314" i="68"/>
  <c r="F76" i="68"/>
  <c r="F94" i="68"/>
  <c r="F116" i="68"/>
  <c r="F122" i="68"/>
  <c r="F313" i="68"/>
  <c r="F175" i="68"/>
  <c r="F157" i="68"/>
  <c r="F294" i="68"/>
  <c r="F321" i="68"/>
  <c r="F211" i="68"/>
  <c r="F199" i="68"/>
  <c r="F190" i="68"/>
  <c r="F278" i="68"/>
  <c r="F302" i="68"/>
  <c r="F67" i="68"/>
  <c r="F87" i="68"/>
  <c r="F105" i="68"/>
  <c r="F129" i="68"/>
  <c r="F350" i="68"/>
  <c r="F78" i="68"/>
  <c r="F96" i="68"/>
  <c r="F141" i="68"/>
  <c r="F151" i="68"/>
  <c r="F348" i="68"/>
  <c r="F207" i="68"/>
  <c r="F159" i="68"/>
  <c r="F290" i="68"/>
  <c r="F355" i="68"/>
  <c r="F374" i="68"/>
  <c r="F165" i="68"/>
  <c r="F155" i="68"/>
  <c r="F322" i="68"/>
  <c r="F286" i="68"/>
  <c r="F356" i="68"/>
  <c r="F79" i="68"/>
  <c r="F98" i="68"/>
  <c r="F137" i="68"/>
  <c r="F183" i="68"/>
  <c r="F70" i="68"/>
  <c r="F90" i="68"/>
  <c r="F109" i="68"/>
  <c r="F128" i="68"/>
  <c r="F279" i="68"/>
  <c r="F382" i="68"/>
  <c r="F164" i="68"/>
  <c r="F287" i="68"/>
  <c r="F336" i="68"/>
  <c r="F363" i="68"/>
  <c r="F381" i="68"/>
  <c r="F205" i="68"/>
  <c r="F324" i="68"/>
  <c r="F296" i="68"/>
  <c r="F63" i="68"/>
  <c r="F81" i="68"/>
  <c r="F101" i="68"/>
  <c r="F135" i="68"/>
  <c r="F280" i="68"/>
  <c r="F74" i="68"/>
  <c r="F92" i="68"/>
  <c r="F113" i="68"/>
  <c r="F125" i="68"/>
  <c r="F272" i="68"/>
  <c r="F274" i="68"/>
  <c r="F238" i="68"/>
  <c r="F252" i="68"/>
  <c r="F259" i="68"/>
  <c r="F246" i="68"/>
  <c r="F239" i="68"/>
  <c r="F221" i="68"/>
  <c r="F253" i="68"/>
  <c r="F245" i="68"/>
  <c r="D22" i="68"/>
  <c r="D29" i="68" s="1"/>
  <c r="D22" i="55"/>
  <c r="F18" i="68"/>
  <c r="F18" i="55"/>
  <c r="B19" i="68"/>
  <c r="B19" i="67"/>
  <c r="B19" i="55"/>
  <c r="F200" i="69"/>
  <c r="F341" i="69"/>
  <c r="F290" i="69"/>
  <c r="F315" i="69"/>
  <c r="F214" i="69"/>
  <c r="F384" i="69"/>
  <c r="F366" i="69"/>
  <c r="F358" i="69"/>
  <c r="F194" i="69"/>
  <c r="F178" i="69"/>
  <c r="F299" i="69"/>
  <c r="F348" i="69"/>
  <c r="F344" i="69"/>
  <c r="F202" i="69"/>
  <c r="F168" i="69"/>
  <c r="F209" i="69"/>
  <c r="F350" i="69"/>
  <c r="F340" i="69"/>
  <c r="F354" i="69"/>
  <c r="F300" i="69"/>
  <c r="F204" i="69"/>
  <c r="F159" i="69"/>
  <c r="F166" i="69"/>
  <c r="F333" i="69"/>
  <c r="F334" i="69"/>
  <c r="F368" i="69"/>
  <c r="F158" i="69"/>
  <c r="F342" i="69"/>
  <c r="F383" i="69"/>
  <c r="F170" i="69"/>
  <c r="F176" i="69"/>
  <c r="F393" i="69"/>
  <c r="F332" i="69"/>
  <c r="F370" i="69"/>
  <c r="F374" i="69"/>
  <c r="F382" i="69"/>
  <c r="F63" i="69"/>
  <c r="F193" i="69"/>
  <c r="F298" i="69"/>
  <c r="F367" i="69"/>
  <c r="F306" i="69"/>
  <c r="F394" i="69"/>
  <c r="F196" i="69"/>
  <c r="F388" i="69"/>
  <c r="F352" i="69"/>
  <c r="F375" i="69"/>
  <c r="F184" i="69"/>
  <c r="F316" i="69"/>
  <c r="F336" i="69"/>
  <c r="F192" i="69"/>
  <c r="F376" i="69"/>
  <c r="F174" i="69"/>
  <c r="F310" i="69"/>
  <c r="F160" i="69"/>
  <c r="F210" i="69"/>
  <c r="F396" i="69"/>
  <c r="F180" i="69"/>
  <c r="F349" i="69"/>
  <c r="F386" i="69"/>
  <c r="F162" i="69"/>
  <c r="F201" i="69"/>
  <c r="F314" i="69"/>
  <c r="F318" i="69"/>
  <c r="F302" i="69"/>
  <c r="F392" i="69"/>
  <c r="F324" i="69"/>
  <c r="F308" i="69"/>
  <c r="F212" i="69"/>
  <c r="F320" i="69"/>
  <c r="F378" i="69"/>
  <c r="F175" i="69"/>
  <c r="F150" i="69"/>
  <c r="F208" i="69"/>
  <c r="F307" i="69"/>
  <c r="F167" i="69"/>
  <c r="F275" i="69"/>
  <c r="F277" i="69"/>
  <c r="F241" i="69"/>
  <c r="F242" i="69"/>
  <c r="F249" i="69"/>
  <c r="F255" i="69"/>
  <c r="F248" i="69"/>
  <c r="F224" i="69"/>
  <c r="F256" i="69"/>
  <c r="F262" i="69"/>
  <c r="F195" i="67"/>
  <c r="F190" i="67"/>
  <c r="F293" i="67"/>
  <c r="F295" i="67"/>
  <c r="F208" i="67"/>
  <c r="F198" i="67"/>
  <c r="F318" i="67"/>
  <c r="F325" i="67"/>
  <c r="F343" i="67"/>
  <c r="F104" i="67"/>
  <c r="F103" i="67"/>
  <c r="F91" i="67"/>
  <c r="F66" i="67"/>
  <c r="F134" i="67"/>
  <c r="F276" i="67"/>
  <c r="F86" i="67"/>
  <c r="F61" i="67"/>
  <c r="F127" i="67"/>
  <c r="F378" i="67"/>
  <c r="F204" i="67"/>
  <c r="F305" i="67"/>
  <c r="F292" i="67"/>
  <c r="F300" i="67"/>
  <c r="F153" i="67"/>
  <c r="F178" i="67"/>
  <c r="F309" i="67"/>
  <c r="F333" i="67"/>
  <c r="F355" i="67"/>
  <c r="F111" i="67"/>
  <c r="F102" i="67"/>
  <c r="F89" i="67"/>
  <c r="F64" i="67"/>
  <c r="F118" i="67"/>
  <c r="F313" i="67"/>
  <c r="F84" i="67"/>
  <c r="F138" i="67"/>
  <c r="F119" i="67"/>
  <c r="F174" i="67"/>
  <c r="F161" i="67"/>
  <c r="F339" i="67"/>
  <c r="F303" i="67"/>
  <c r="F359" i="67"/>
  <c r="F186" i="67"/>
  <c r="F203" i="67"/>
  <c r="F326" i="67"/>
  <c r="F327" i="67"/>
  <c r="F353" i="67"/>
  <c r="F108" i="67"/>
  <c r="F113" i="67"/>
  <c r="F87" i="67"/>
  <c r="F62" i="67"/>
  <c r="F133" i="67"/>
  <c r="F310" i="67"/>
  <c r="F80" i="67"/>
  <c r="F120" i="67"/>
  <c r="F146" i="67"/>
  <c r="F379" i="67"/>
  <c r="F194" i="67"/>
  <c r="F361" i="67"/>
  <c r="F368" i="67"/>
  <c r="F369" i="67"/>
  <c r="F188" i="67"/>
  <c r="F168" i="67"/>
  <c r="F335" i="67"/>
  <c r="F285" i="67"/>
  <c r="F360" i="67"/>
  <c r="F101" i="67"/>
  <c r="F110" i="67"/>
  <c r="F85" i="67"/>
  <c r="F60" i="67"/>
  <c r="F125" i="67"/>
  <c r="F345" i="67"/>
  <c r="F78" i="67"/>
  <c r="F124" i="67"/>
  <c r="F182" i="67"/>
  <c r="F187" i="67"/>
  <c r="F59" i="67"/>
  <c r="F321" i="67"/>
  <c r="F299" i="67"/>
  <c r="F351" i="67"/>
  <c r="F152" i="67"/>
  <c r="F206" i="67"/>
  <c r="F352" i="67"/>
  <c r="F301" i="67"/>
  <c r="F73" i="67"/>
  <c r="F99" i="67"/>
  <c r="F106" i="67"/>
  <c r="F82" i="67"/>
  <c r="F140" i="67"/>
  <c r="F148" i="67"/>
  <c r="F71" i="67"/>
  <c r="F128" i="67"/>
  <c r="F179" i="67"/>
  <c r="F162" i="67"/>
  <c r="F164" i="67"/>
  <c r="F334" i="67"/>
  <c r="F287" i="67"/>
  <c r="F367" i="67"/>
  <c r="F156" i="67"/>
  <c r="F169" i="67"/>
  <c r="F319" i="67"/>
  <c r="F317" i="67"/>
  <c r="F75" i="67"/>
  <c r="F97" i="67"/>
  <c r="F100" i="67"/>
  <c r="F79" i="67"/>
  <c r="F122" i="67"/>
  <c r="F145" i="67"/>
  <c r="F93" i="67"/>
  <c r="F67" i="67"/>
  <c r="F132" i="67"/>
  <c r="F277" i="67"/>
  <c r="F196" i="67"/>
  <c r="F154" i="67"/>
  <c r="F329" i="67"/>
  <c r="F275" i="67"/>
  <c r="F381" i="67"/>
  <c r="F170" i="67"/>
  <c r="F160" i="67"/>
  <c r="F337" i="67"/>
  <c r="F371" i="67"/>
  <c r="F92" i="67"/>
  <c r="F74" i="67"/>
  <c r="F98" i="67"/>
  <c r="F77" i="67"/>
  <c r="F126" i="67"/>
  <c r="F180" i="67"/>
  <c r="F90" i="67"/>
  <c r="F65" i="67"/>
  <c r="F136" i="67"/>
  <c r="F311" i="67"/>
  <c r="F172" i="67"/>
  <c r="F202" i="67"/>
  <c r="F283" i="67"/>
  <c r="F363" i="67"/>
  <c r="F377" i="67"/>
  <c r="F144" i="67"/>
  <c r="F373" i="67"/>
  <c r="F291" i="67"/>
  <c r="F284" i="67"/>
  <c r="F72" i="67"/>
  <c r="F76" i="67"/>
  <c r="F95" i="67"/>
  <c r="F69" i="67"/>
  <c r="F130" i="67"/>
  <c r="F279" i="67"/>
  <c r="F88" i="67"/>
  <c r="F63" i="67"/>
  <c r="F135" i="67"/>
  <c r="F347" i="67"/>
  <c r="F344" i="67"/>
  <c r="F269" i="67"/>
  <c r="F271" i="67"/>
  <c r="F235" i="67"/>
  <c r="F236" i="67"/>
  <c r="F243" i="67"/>
  <c r="F218" i="67"/>
  <c r="F250" i="67"/>
  <c r="F249" i="67"/>
  <c r="F242" i="67"/>
  <c r="F256" i="67"/>
  <c r="B22" i="69"/>
  <c r="E22" i="67"/>
  <c r="E29" i="67" s="1"/>
  <c r="M18" i="68"/>
  <c r="B20" i="67"/>
  <c r="B20" i="68"/>
  <c r="F240" i="55"/>
  <c r="N262" i="68"/>
  <c r="P244" i="69"/>
  <c r="P241" i="68"/>
  <c r="F21" i="68"/>
  <c r="F255" i="68"/>
  <c r="F21" i="67"/>
  <c r="F20" i="67"/>
  <c r="M20" i="68"/>
  <c r="M20" i="69"/>
  <c r="M22" i="69"/>
  <c r="M22" i="68"/>
  <c r="F19" i="67"/>
  <c r="F238" i="67"/>
  <c r="F231" i="67"/>
  <c r="M21" i="68"/>
  <c r="M19" i="67"/>
  <c r="F210" i="55"/>
  <c r="F360" i="55"/>
  <c r="F381" i="55"/>
  <c r="F301" i="55"/>
  <c r="F311" i="55"/>
  <c r="F371" i="55"/>
  <c r="F386" i="55"/>
  <c r="F104" i="55"/>
  <c r="F129" i="55"/>
  <c r="F121" i="55"/>
  <c r="F188" i="55"/>
  <c r="F132" i="55"/>
  <c r="F122" i="55"/>
  <c r="F76" i="55"/>
  <c r="F156" i="55"/>
  <c r="F208" i="55"/>
  <c r="F147" i="55"/>
  <c r="F206" i="55"/>
  <c r="F355" i="55"/>
  <c r="F154" i="55"/>
  <c r="F337" i="55"/>
  <c r="F379" i="55"/>
  <c r="F283" i="55"/>
  <c r="F308" i="55"/>
  <c r="F309" i="55"/>
  <c r="F176" i="55"/>
  <c r="F100" i="55"/>
  <c r="F81" i="55"/>
  <c r="F136" i="55"/>
  <c r="F126" i="55"/>
  <c r="F106" i="55"/>
  <c r="F135" i="55"/>
  <c r="F62" i="55"/>
  <c r="F148" i="55"/>
  <c r="F198" i="55"/>
  <c r="F142" i="55"/>
  <c r="F200" i="55"/>
  <c r="F389" i="55"/>
  <c r="F335" i="55"/>
  <c r="F347" i="55"/>
  <c r="F303" i="55"/>
  <c r="F299" i="55"/>
  <c r="F342" i="55"/>
  <c r="F341" i="55"/>
  <c r="F61" i="55"/>
  <c r="F64" i="55"/>
  <c r="F63" i="55"/>
  <c r="F87" i="55"/>
  <c r="F77" i="55"/>
  <c r="F99" i="55"/>
  <c r="F69" i="55"/>
  <c r="F95" i="55"/>
  <c r="F163" i="55"/>
  <c r="F284" i="55"/>
  <c r="F155" i="55"/>
  <c r="F285" i="55"/>
  <c r="F352" i="55"/>
  <c r="F300" i="55"/>
  <c r="F367" i="55"/>
  <c r="F377" i="55"/>
  <c r="F317" i="55"/>
  <c r="F326" i="55"/>
  <c r="F327" i="55"/>
  <c r="F385" i="55"/>
  <c r="F110" i="55"/>
  <c r="F137" i="55"/>
  <c r="F74" i="55"/>
  <c r="F71" i="55"/>
  <c r="F66" i="55"/>
  <c r="F65" i="55"/>
  <c r="F89" i="55"/>
  <c r="F166" i="55"/>
  <c r="F287" i="55"/>
  <c r="F158" i="55"/>
  <c r="F205" i="55"/>
  <c r="F295" i="55"/>
  <c r="F334" i="55"/>
  <c r="F333" i="55"/>
  <c r="F271" i="55"/>
  <c r="F180" i="55"/>
  <c r="F325" i="55"/>
  <c r="F369" i="55"/>
  <c r="F79" i="55"/>
  <c r="F103" i="55"/>
  <c r="F124" i="55"/>
  <c r="F84" i="55"/>
  <c r="F90" i="55"/>
  <c r="F120" i="55"/>
  <c r="F128" i="55"/>
  <c r="F105" i="55"/>
  <c r="F171" i="55"/>
  <c r="F319" i="55"/>
  <c r="F172" i="55"/>
  <c r="F184" i="55"/>
  <c r="F204" i="55"/>
  <c r="F329" i="55"/>
  <c r="F307" i="55"/>
  <c r="F291" i="55"/>
  <c r="F387" i="55"/>
  <c r="F368" i="55"/>
  <c r="F351" i="55"/>
  <c r="F75" i="55"/>
  <c r="F68" i="55"/>
  <c r="F67" i="55"/>
  <c r="F91" i="55"/>
  <c r="F78" i="55"/>
  <c r="F80" i="55"/>
  <c r="F108" i="55"/>
  <c r="F97" i="55"/>
  <c r="F174" i="55"/>
  <c r="F182" i="55"/>
  <c r="F164" i="55"/>
  <c r="F292" i="55"/>
  <c r="F313" i="55"/>
  <c r="F361" i="55"/>
  <c r="F196" i="55"/>
  <c r="F293" i="55"/>
  <c r="F363" i="55"/>
  <c r="F375" i="55"/>
  <c r="F92" i="55"/>
  <c r="F113" i="55"/>
  <c r="F130" i="55"/>
  <c r="F115" i="55"/>
  <c r="F102" i="55"/>
  <c r="F127" i="55"/>
  <c r="F138" i="55"/>
  <c r="F150" i="55"/>
  <c r="F197" i="55"/>
  <c r="F140" i="55"/>
  <c r="F190" i="55"/>
  <c r="F321" i="55"/>
  <c r="F162" i="55"/>
  <c r="F359" i="55"/>
  <c r="F345" i="55"/>
  <c r="F170" i="55"/>
  <c r="F273" i="55"/>
  <c r="F343" i="55"/>
  <c r="F376" i="55"/>
  <c r="F88" i="55"/>
  <c r="F93" i="55"/>
  <c r="F112" i="55"/>
  <c r="F101" i="55"/>
  <c r="F94" i="55"/>
  <c r="F146" i="55"/>
  <c r="F134" i="55"/>
  <c r="F82" i="55"/>
  <c r="F192" i="55"/>
  <c r="F353" i="55"/>
  <c r="F189" i="55"/>
  <c r="F181" i="55"/>
  <c r="F318" i="55"/>
  <c r="F277" i="55"/>
  <c r="F279" i="55"/>
  <c r="F238" i="55"/>
  <c r="F245" i="55"/>
  <c r="F251" i="55"/>
  <c r="F244" i="55"/>
  <c r="F220" i="55"/>
  <c r="F237" i="55"/>
  <c r="F252" i="55"/>
  <c r="F258" i="55"/>
  <c r="D22" i="67"/>
  <c r="D22" i="69"/>
  <c r="B19" i="69"/>
  <c r="B22" i="68"/>
  <c r="B22" i="67"/>
  <c r="B22" i="55"/>
  <c r="F18" i="67"/>
  <c r="E22" i="69"/>
  <c r="E22" i="68"/>
  <c r="E29" i="68" s="1"/>
  <c r="E22" i="55"/>
  <c r="B20" i="69"/>
  <c r="B20" i="55"/>
  <c r="F21" i="69"/>
  <c r="F20" i="55"/>
  <c r="F20" i="68"/>
  <c r="F19" i="68"/>
  <c r="F241" i="68"/>
  <c r="F234" i="68"/>
  <c r="F233" i="55"/>
  <c r="F18" i="69"/>
  <c r="F262" i="68"/>
  <c r="N261" i="55"/>
  <c r="M19" i="69"/>
  <c r="F21" i="55"/>
  <c r="F254" i="55"/>
  <c r="F20" i="69"/>
  <c r="P248" i="68"/>
  <c r="P251" i="69"/>
  <c r="P265" i="69"/>
  <c r="P262" i="68"/>
  <c r="F19" i="69"/>
  <c r="F244" i="69"/>
  <c r="F265" i="69"/>
  <c r="F259" i="67"/>
  <c r="P252" i="67"/>
  <c r="P255" i="68"/>
  <c r="P240" i="55"/>
  <c r="P238" i="67"/>
  <c r="C263" i="69" l="1"/>
  <c r="C146" i="69"/>
  <c r="C257" i="67"/>
  <c r="C268" i="68"/>
  <c r="C263" i="67"/>
  <c r="F17" i="69"/>
  <c r="C260" i="68"/>
  <c r="C29" i="68"/>
  <c r="C30" i="55"/>
  <c r="J386" i="68"/>
  <c r="K29" i="68"/>
  <c r="M19" i="55"/>
  <c r="M17" i="69"/>
  <c r="D29" i="67"/>
  <c r="J391" i="55"/>
  <c r="J398" i="69"/>
  <c r="N386" i="68"/>
  <c r="O268" i="68" s="1"/>
  <c r="P268" i="68"/>
  <c r="P386" i="68" s="1"/>
  <c r="J23" i="68"/>
  <c r="M23" i="68" s="1"/>
  <c r="K23" i="67"/>
  <c r="M23" i="67" s="1"/>
  <c r="P265" i="67"/>
  <c r="P383" i="67" s="1"/>
  <c r="N383" i="67"/>
  <c r="O265" i="67" s="1"/>
  <c r="N391" i="55"/>
  <c r="O265" i="55" s="1"/>
  <c r="J23" i="55"/>
  <c r="M23" i="55" s="1"/>
  <c r="P267" i="55"/>
  <c r="P391" i="55" s="1"/>
  <c r="J23" i="69"/>
  <c r="M23" i="69" s="1"/>
  <c r="P271" i="69"/>
  <c r="P398" i="69" s="1"/>
  <c r="J30" i="55"/>
  <c r="G391" i="55"/>
  <c r="L398" i="69"/>
  <c r="L271" i="69"/>
  <c r="L269" i="69"/>
  <c r="I398" i="69"/>
  <c r="I271" i="69"/>
  <c r="I269" i="69"/>
  <c r="I263" i="69"/>
  <c r="L263" i="69"/>
  <c r="C269" i="69"/>
  <c r="C271" i="69"/>
  <c r="N398" i="69"/>
  <c r="O283" i="69" s="1"/>
  <c r="I386" i="68"/>
  <c r="I266" i="68"/>
  <c r="I268" i="68"/>
  <c r="I260" i="68"/>
  <c r="L386" i="68"/>
  <c r="L266" i="68"/>
  <c r="L268" i="68"/>
  <c r="B29" i="68"/>
  <c r="I265" i="67"/>
  <c r="I383" i="67"/>
  <c r="I263" i="67"/>
  <c r="L383" i="67"/>
  <c r="L265" i="67"/>
  <c r="L263" i="67"/>
  <c r="B29" i="67"/>
  <c r="J29" i="67"/>
  <c r="K30" i="55"/>
  <c r="I30" i="55"/>
  <c r="I391" i="55"/>
  <c r="I265" i="55"/>
  <c r="I267" i="55"/>
  <c r="C265" i="55"/>
  <c r="C267" i="55"/>
  <c r="L391" i="55"/>
  <c r="L267" i="55"/>
  <c r="L265" i="55"/>
  <c r="D30" i="55"/>
  <c r="E30" i="55"/>
  <c r="B30" i="55"/>
  <c r="I215" i="68"/>
  <c r="C221" i="55"/>
  <c r="C227" i="55"/>
  <c r="C231" i="55"/>
  <c r="C230" i="55"/>
  <c r="C223" i="55"/>
  <c r="C225" i="55"/>
  <c r="C229" i="55"/>
  <c r="C224" i="55"/>
  <c r="C228" i="55"/>
  <c r="C222" i="55"/>
  <c r="C226" i="55"/>
  <c r="L225" i="69"/>
  <c r="L231" i="69"/>
  <c r="L234" i="69"/>
  <c r="L226" i="69"/>
  <c r="L227" i="69"/>
  <c r="L230" i="69"/>
  <c r="L235" i="69"/>
  <c r="L228" i="69"/>
  <c r="L232" i="69"/>
  <c r="L233" i="69"/>
  <c r="L229" i="69"/>
  <c r="C234" i="69"/>
  <c r="C229" i="69"/>
  <c r="C226" i="69"/>
  <c r="C233" i="69"/>
  <c r="C230" i="69"/>
  <c r="C227" i="69"/>
  <c r="C235" i="69"/>
  <c r="C231" i="69"/>
  <c r="C228" i="69"/>
  <c r="C232" i="69"/>
  <c r="L222" i="68"/>
  <c r="L231" i="68"/>
  <c r="L223" i="68"/>
  <c r="L232" i="68"/>
  <c r="L224" i="68"/>
  <c r="L228" i="68"/>
  <c r="L227" i="68"/>
  <c r="L226" i="68"/>
  <c r="L230" i="68"/>
  <c r="L229" i="68"/>
  <c r="L225" i="68"/>
  <c r="I222" i="68"/>
  <c r="I232" i="68"/>
  <c r="I224" i="68"/>
  <c r="I225" i="68"/>
  <c r="I229" i="68"/>
  <c r="I228" i="68"/>
  <c r="I223" i="68"/>
  <c r="I230" i="68"/>
  <c r="I226" i="68"/>
  <c r="I231" i="68"/>
  <c r="I227" i="68"/>
  <c r="C222" i="68"/>
  <c r="C230" i="68"/>
  <c r="C227" i="68"/>
  <c r="C231" i="68"/>
  <c r="C226" i="68"/>
  <c r="C223" i="68"/>
  <c r="C232" i="68"/>
  <c r="C228" i="68"/>
  <c r="C224" i="68"/>
  <c r="C229" i="68"/>
  <c r="C225" i="68"/>
  <c r="I225" i="69"/>
  <c r="I232" i="69"/>
  <c r="I235" i="69"/>
  <c r="I227" i="69"/>
  <c r="I228" i="69"/>
  <c r="I231" i="69"/>
  <c r="I233" i="69"/>
  <c r="I230" i="69"/>
  <c r="I226" i="69"/>
  <c r="I234" i="69"/>
  <c r="I229" i="69"/>
  <c r="C219" i="67"/>
  <c r="C227" i="67"/>
  <c r="C224" i="67"/>
  <c r="C228" i="67"/>
  <c r="C220" i="67"/>
  <c r="C223" i="67"/>
  <c r="C221" i="67"/>
  <c r="C226" i="67"/>
  <c r="C225" i="67"/>
  <c r="C222" i="67"/>
  <c r="C229" i="67"/>
  <c r="I221" i="55"/>
  <c r="I229" i="55"/>
  <c r="I227" i="55"/>
  <c r="I228" i="55"/>
  <c r="I225" i="55"/>
  <c r="I231" i="55"/>
  <c r="I223" i="55"/>
  <c r="I226" i="55"/>
  <c r="I230" i="55"/>
  <c r="I224" i="55"/>
  <c r="I222" i="55"/>
  <c r="L219" i="67"/>
  <c r="L229" i="67"/>
  <c r="L221" i="67"/>
  <c r="L224" i="67"/>
  <c r="L228" i="67"/>
  <c r="L220" i="67"/>
  <c r="L225" i="67"/>
  <c r="L222" i="67"/>
  <c r="L226" i="67"/>
  <c r="L223" i="67"/>
  <c r="L227" i="67"/>
  <c r="L221" i="55"/>
  <c r="L227" i="55"/>
  <c r="L226" i="55"/>
  <c r="L231" i="55"/>
  <c r="L230" i="55"/>
  <c r="L222" i="55"/>
  <c r="L224" i="55"/>
  <c r="L228" i="55"/>
  <c r="L223" i="55"/>
  <c r="L225" i="55"/>
  <c r="L229" i="55"/>
  <c r="I219" i="67"/>
  <c r="I222" i="67"/>
  <c r="I225" i="67"/>
  <c r="I229" i="67"/>
  <c r="I221" i="67"/>
  <c r="I226" i="67"/>
  <c r="I228" i="67"/>
  <c r="I227" i="67"/>
  <c r="I220" i="67"/>
  <c r="I224" i="67"/>
  <c r="I223" i="67"/>
  <c r="I214" i="55"/>
  <c r="L261" i="55"/>
  <c r="C106" i="68"/>
  <c r="C225" i="69"/>
  <c r="C214" i="67"/>
  <c r="M18" i="67"/>
  <c r="C214" i="55"/>
  <c r="M19" i="68"/>
  <c r="M18" i="69"/>
  <c r="M18" i="55"/>
  <c r="C208" i="69"/>
  <c r="C303" i="68"/>
  <c r="C237" i="69"/>
  <c r="C251" i="69"/>
  <c r="C204" i="69"/>
  <c r="C382" i="69"/>
  <c r="C384" i="69"/>
  <c r="C202" i="69"/>
  <c r="C136" i="68"/>
  <c r="C312" i="68"/>
  <c r="C96" i="68"/>
  <c r="C201" i="68"/>
  <c r="C162" i="69"/>
  <c r="C333" i="69"/>
  <c r="C308" i="69"/>
  <c r="L361" i="69"/>
  <c r="C277" i="69"/>
  <c r="C388" i="69"/>
  <c r="C392" i="69"/>
  <c r="C362" i="69"/>
  <c r="C193" i="68"/>
  <c r="C130" i="68"/>
  <c r="C206" i="68"/>
  <c r="F22" i="68"/>
  <c r="F29" i="68" s="1"/>
  <c r="C177" i="68"/>
  <c r="C72" i="68"/>
  <c r="C160" i="69"/>
  <c r="C352" i="69"/>
  <c r="C349" i="69"/>
  <c r="C192" i="69"/>
  <c r="C178" i="69"/>
  <c r="L359" i="69"/>
  <c r="C361" i="69"/>
  <c r="I259" i="67"/>
  <c r="C265" i="69"/>
  <c r="C262" i="69"/>
  <c r="C241" i="69"/>
  <c r="C214" i="69"/>
  <c r="C307" i="69"/>
  <c r="C340" i="69"/>
  <c r="C342" i="69"/>
  <c r="C350" i="69"/>
  <c r="C374" i="69"/>
  <c r="C193" i="69"/>
  <c r="C344" i="69"/>
  <c r="C210" i="69"/>
  <c r="C386" i="69"/>
  <c r="L360" i="69"/>
  <c r="C359" i="69"/>
  <c r="C258" i="69"/>
  <c r="C298" i="69"/>
  <c r="C341" i="69"/>
  <c r="C212" i="69"/>
  <c r="C184" i="69"/>
  <c r="C159" i="69"/>
  <c r="C354" i="69"/>
  <c r="C248" i="69"/>
  <c r="C334" i="69"/>
  <c r="C175" i="69"/>
  <c r="C306" i="69"/>
  <c r="C194" i="69"/>
  <c r="C302" i="69"/>
  <c r="C366" i="69"/>
  <c r="C176" i="69"/>
  <c r="C324" i="69"/>
  <c r="C368" i="69"/>
  <c r="C336" i="69"/>
  <c r="L362" i="69"/>
  <c r="C360" i="69"/>
  <c r="C212" i="67"/>
  <c r="C246" i="68"/>
  <c r="C234" i="68"/>
  <c r="C280" i="68"/>
  <c r="C143" i="68"/>
  <c r="C155" i="68"/>
  <c r="C363" i="68"/>
  <c r="C205" i="68"/>
  <c r="C371" i="68"/>
  <c r="C64" i="68"/>
  <c r="C98" i="68"/>
  <c r="C182" i="68"/>
  <c r="C380" i="68"/>
  <c r="C252" i="68"/>
  <c r="C116" i="68"/>
  <c r="C135" i="68"/>
  <c r="C89" i="68"/>
  <c r="C313" i="68"/>
  <c r="C288" i="68"/>
  <c r="C384" i="68"/>
  <c r="C295" i="68"/>
  <c r="C90" i="68"/>
  <c r="C63" i="68"/>
  <c r="C274" i="68"/>
  <c r="C159" i="68"/>
  <c r="C294" i="68"/>
  <c r="C80" i="68"/>
  <c r="C105" i="68"/>
  <c r="C133" i="68"/>
  <c r="C173" i="68"/>
  <c r="C355" i="68"/>
  <c r="C342" i="68"/>
  <c r="C259" i="67"/>
  <c r="C238" i="67"/>
  <c r="C207" i="68"/>
  <c r="C340" i="68"/>
  <c r="C181" i="68"/>
  <c r="C306" i="68"/>
  <c r="C329" i="68"/>
  <c r="C88" i="68"/>
  <c r="C122" i="68"/>
  <c r="C95" i="68"/>
  <c r="C129" i="68"/>
  <c r="C347" i="68"/>
  <c r="C382" i="68"/>
  <c r="C286" i="68"/>
  <c r="C121" i="68"/>
  <c r="C362" i="68"/>
  <c r="C109" i="68"/>
  <c r="C70" i="68"/>
  <c r="C350" i="68"/>
  <c r="C79" i="68"/>
  <c r="C151" i="68"/>
  <c r="C172" i="68"/>
  <c r="C364" i="68"/>
  <c r="C157" i="68"/>
  <c r="C337" i="68"/>
  <c r="C358" i="68"/>
  <c r="C82" i="68"/>
  <c r="C138" i="68"/>
  <c r="C91" i="68"/>
  <c r="C137" i="68"/>
  <c r="C156" i="68"/>
  <c r="C308" i="68"/>
  <c r="C328" i="68"/>
  <c r="C191" i="68"/>
  <c r="C346" i="68"/>
  <c r="C104" i="68"/>
  <c r="C66" i="68"/>
  <c r="C114" i="68"/>
  <c r="C75" i="68"/>
  <c r="C185" i="68"/>
  <c r="C190" i="68"/>
  <c r="C296" i="68"/>
  <c r="C165" i="68"/>
  <c r="C330" i="68"/>
  <c r="C386" i="68"/>
  <c r="C78" i="68"/>
  <c r="C183" i="68"/>
  <c r="C87" i="68"/>
  <c r="C128" i="68"/>
  <c r="C199" i="68"/>
  <c r="C324" i="68"/>
  <c r="C372" i="68"/>
  <c r="C198" i="68"/>
  <c r="C320" i="68"/>
  <c r="C100" i="68"/>
  <c r="C123" i="68"/>
  <c r="C107" i="68"/>
  <c r="C69" i="68"/>
  <c r="C282" i="68"/>
  <c r="C189" i="68"/>
  <c r="C338" i="68"/>
  <c r="C163" i="68"/>
  <c r="C321" i="68"/>
  <c r="C113" i="68"/>
  <c r="C74" i="68"/>
  <c r="C314" i="68"/>
  <c r="C81" i="68"/>
  <c r="C148" i="68"/>
  <c r="C209" i="68"/>
  <c r="C336" i="68"/>
  <c r="C370" i="68"/>
  <c r="C167" i="68"/>
  <c r="C332" i="68"/>
  <c r="C94" i="68"/>
  <c r="C131" i="68"/>
  <c r="C103" i="68"/>
  <c r="C65" i="68"/>
  <c r="C316" i="68"/>
  <c r="C255" i="68"/>
  <c r="C259" i="68"/>
  <c r="C253" i="68"/>
  <c r="C239" i="68"/>
  <c r="C262" i="68"/>
  <c r="C248" i="68"/>
  <c r="C241" i="68"/>
  <c r="C245" i="68"/>
  <c r="C238" i="68"/>
  <c r="C221" i="68"/>
  <c r="C272" i="68"/>
  <c r="C83" i="68"/>
  <c r="C76" i="68"/>
  <c r="C304" i="68"/>
  <c r="C376" i="68"/>
  <c r="C348" i="68"/>
  <c r="C101" i="68"/>
  <c r="C92" i="68"/>
  <c r="C381" i="68"/>
  <c r="C322" i="68"/>
  <c r="C141" i="68"/>
  <c r="C149" i="68"/>
  <c r="C366" i="68"/>
  <c r="C175" i="68"/>
  <c r="C164" i="68"/>
  <c r="C67" i="68"/>
  <c r="C127" i="68"/>
  <c r="C298" i="68"/>
  <c r="C374" i="68"/>
  <c r="C171" i="68"/>
  <c r="C93" i="68"/>
  <c r="C85" i="68"/>
  <c r="C287" i="68"/>
  <c r="C356" i="68"/>
  <c r="C279" i="68"/>
  <c r="C111" i="68"/>
  <c r="C102" i="68"/>
  <c r="C62" i="68"/>
  <c r="C354" i="68"/>
  <c r="C125" i="68"/>
  <c r="C139" i="68"/>
  <c r="C302" i="68"/>
  <c r="C147" i="68"/>
  <c r="C197" i="68"/>
  <c r="C77" i="68"/>
  <c r="C68" i="68"/>
  <c r="C290" i="68"/>
  <c r="C278" i="68"/>
  <c r="C211" i="68"/>
  <c r="I360" i="69"/>
  <c r="I362" i="69"/>
  <c r="I361" i="69"/>
  <c r="I359" i="69"/>
  <c r="L325" i="69"/>
  <c r="L326" i="69"/>
  <c r="L328" i="69"/>
  <c r="I328" i="69"/>
  <c r="I326" i="69"/>
  <c r="I325" i="69"/>
  <c r="C328" i="69"/>
  <c r="C326" i="69"/>
  <c r="C325" i="69"/>
  <c r="C291" i="69"/>
  <c r="C292" i="69"/>
  <c r="C294" i="69"/>
  <c r="I291" i="69"/>
  <c r="I292" i="69"/>
  <c r="I294" i="69"/>
  <c r="L294" i="69"/>
  <c r="L292" i="69"/>
  <c r="L291" i="69"/>
  <c r="L218" i="69"/>
  <c r="L220" i="69"/>
  <c r="I220" i="69"/>
  <c r="I218" i="69"/>
  <c r="C218" i="69"/>
  <c r="C220" i="69"/>
  <c r="L188" i="69"/>
  <c r="L186" i="69"/>
  <c r="L185" i="69"/>
  <c r="I185" i="69"/>
  <c r="I186" i="69"/>
  <c r="I188" i="69"/>
  <c r="C185" i="69"/>
  <c r="C186" i="69"/>
  <c r="C188" i="69"/>
  <c r="C151" i="69"/>
  <c r="C152" i="69"/>
  <c r="C154" i="69"/>
  <c r="C124" i="69"/>
  <c r="I151" i="69"/>
  <c r="I152" i="69"/>
  <c r="I154" i="69"/>
  <c r="I124" i="69"/>
  <c r="L124" i="69"/>
  <c r="L154" i="69"/>
  <c r="L152" i="69"/>
  <c r="L151" i="69"/>
  <c r="I98" i="69"/>
  <c r="I100" i="69"/>
  <c r="I102" i="69"/>
  <c r="I103" i="69"/>
  <c r="I104" i="69"/>
  <c r="I105" i="69"/>
  <c r="I106" i="69"/>
  <c r="I107" i="69"/>
  <c r="I108" i="69"/>
  <c r="I109" i="69"/>
  <c r="I111" i="69"/>
  <c r="I113" i="69"/>
  <c r="I115" i="69"/>
  <c r="I116" i="69"/>
  <c r="I118" i="69"/>
  <c r="I97" i="69"/>
  <c r="I96" i="69"/>
  <c r="I95" i="69"/>
  <c r="I94" i="69"/>
  <c r="I93" i="69"/>
  <c r="I92" i="69"/>
  <c r="I91" i="69"/>
  <c r="I90" i="69"/>
  <c r="I89" i="69"/>
  <c r="I87" i="69"/>
  <c r="I85" i="69"/>
  <c r="I84" i="69"/>
  <c r="I83" i="69"/>
  <c r="I82" i="69"/>
  <c r="I81" i="69"/>
  <c r="I80" i="69"/>
  <c r="I79" i="69"/>
  <c r="I78" i="69"/>
  <c r="I77" i="69"/>
  <c r="I76" i="69"/>
  <c r="I74" i="69"/>
  <c r="I72" i="69"/>
  <c r="I71" i="69"/>
  <c r="I70" i="69"/>
  <c r="I69" i="69"/>
  <c r="I68" i="69"/>
  <c r="I67" i="69"/>
  <c r="I66" i="69"/>
  <c r="I65" i="69"/>
  <c r="I64" i="69"/>
  <c r="L64" i="69"/>
  <c r="L65" i="69"/>
  <c r="L66" i="69"/>
  <c r="L67" i="69"/>
  <c r="L68" i="69"/>
  <c r="L69" i="69"/>
  <c r="L70" i="69"/>
  <c r="L71" i="69"/>
  <c r="L72" i="69"/>
  <c r="L74" i="69"/>
  <c r="L76" i="69"/>
  <c r="L77" i="69"/>
  <c r="L78" i="69"/>
  <c r="L79" i="69"/>
  <c r="L80" i="69"/>
  <c r="L81" i="69"/>
  <c r="L82" i="69"/>
  <c r="L83" i="69"/>
  <c r="L84" i="69"/>
  <c r="L85" i="69"/>
  <c r="L87" i="69"/>
  <c r="L89" i="69"/>
  <c r="L90" i="69"/>
  <c r="L91" i="69"/>
  <c r="L92" i="69"/>
  <c r="L93" i="69"/>
  <c r="L94" i="69"/>
  <c r="L95" i="69"/>
  <c r="L96" i="69"/>
  <c r="L97" i="69"/>
  <c r="L118" i="69"/>
  <c r="L116" i="69"/>
  <c r="L115" i="69"/>
  <c r="L113" i="69"/>
  <c r="L111" i="69"/>
  <c r="L109" i="69"/>
  <c r="L108" i="69"/>
  <c r="L107" i="69"/>
  <c r="L106" i="69"/>
  <c r="L105" i="69"/>
  <c r="L104" i="69"/>
  <c r="L103" i="69"/>
  <c r="L102" i="69"/>
  <c r="L100" i="69"/>
  <c r="L98" i="69"/>
  <c r="C100" i="69"/>
  <c r="C102" i="69"/>
  <c r="C103" i="69"/>
  <c r="C104" i="69"/>
  <c r="C105" i="69"/>
  <c r="C106" i="69"/>
  <c r="C107" i="69"/>
  <c r="C108" i="69"/>
  <c r="C109" i="69"/>
  <c r="C111" i="69"/>
  <c r="C113" i="69"/>
  <c r="C115" i="69"/>
  <c r="C116" i="69"/>
  <c r="C118" i="69"/>
  <c r="C98" i="69"/>
  <c r="C97" i="69"/>
  <c r="C96" i="69"/>
  <c r="C95" i="69"/>
  <c r="C94" i="69"/>
  <c r="C93" i="69"/>
  <c r="C92" i="69"/>
  <c r="C91" i="69"/>
  <c r="C90" i="69"/>
  <c r="C89" i="69"/>
  <c r="C87" i="69"/>
  <c r="C85" i="69"/>
  <c r="C83" i="69"/>
  <c r="C81" i="69"/>
  <c r="C79" i="69"/>
  <c r="C77" i="69"/>
  <c r="C71" i="69"/>
  <c r="C69" i="69"/>
  <c r="C66" i="69"/>
  <c r="C64" i="69"/>
  <c r="C84" i="69"/>
  <c r="C82" i="69"/>
  <c r="C80" i="69"/>
  <c r="C78" i="69"/>
  <c r="C76" i="69"/>
  <c r="C74" i="69"/>
  <c r="C72" i="69"/>
  <c r="C70" i="69"/>
  <c r="C68" i="69"/>
  <c r="C67" i="69"/>
  <c r="C65" i="69"/>
  <c r="C180" i="69"/>
  <c r="L262" i="68"/>
  <c r="L215" i="68"/>
  <c r="L217" i="68"/>
  <c r="I217" i="68"/>
  <c r="C215" i="68"/>
  <c r="C217" i="68"/>
  <c r="F22" i="69"/>
  <c r="C244" i="69"/>
  <c r="C256" i="69"/>
  <c r="C242" i="69"/>
  <c r="C249" i="69"/>
  <c r="C255" i="69"/>
  <c r="C224" i="69"/>
  <c r="C275" i="69"/>
  <c r="C314" i="69"/>
  <c r="C168" i="69"/>
  <c r="C200" i="69"/>
  <c r="C310" i="69"/>
  <c r="C201" i="69"/>
  <c r="C318" i="69"/>
  <c r="C174" i="69"/>
  <c r="C166" i="69"/>
  <c r="C290" i="69"/>
  <c r="C315" i="69"/>
  <c r="C398" i="69"/>
  <c r="C209" i="69"/>
  <c r="C167" i="69"/>
  <c r="C367" i="69"/>
  <c r="C393" i="69"/>
  <c r="C299" i="69"/>
  <c r="C150" i="69"/>
  <c r="C396" i="69"/>
  <c r="C376" i="69"/>
  <c r="C63" i="69"/>
  <c r="C394" i="69"/>
  <c r="C316" i="69"/>
  <c r="C370" i="69"/>
  <c r="C158" i="69"/>
  <c r="C170" i="69"/>
  <c r="C348" i="69"/>
  <c r="C300" i="69"/>
  <c r="C378" i="69"/>
  <c r="C332" i="69"/>
  <c r="C196" i="69"/>
  <c r="C358" i="69"/>
  <c r="C320" i="69"/>
  <c r="C383" i="69"/>
  <c r="C375" i="69"/>
  <c r="L214" i="67"/>
  <c r="L212" i="67"/>
  <c r="F22" i="55"/>
  <c r="I265" i="69"/>
  <c r="I214" i="67"/>
  <c r="I212" i="67"/>
  <c r="L265" i="69"/>
  <c r="L214" i="55"/>
  <c r="C216" i="55"/>
  <c r="F17" i="55"/>
  <c r="L216" i="55"/>
  <c r="I216" i="55"/>
  <c r="F22" i="67"/>
  <c r="F29" i="67" s="1"/>
  <c r="C176" i="55"/>
  <c r="C271" i="55"/>
  <c r="C345" i="55"/>
  <c r="C379" i="55"/>
  <c r="C283" i="55"/>
  <c r="C300" i="55"/>
  <c r="C347" i="55"/>
  <c r="C292" i="55"/>
  <c r="C333" i="55"/>
  <c r="C381" i="55"/>
  <c r="C180" i="55"/>
  <c r="C371" i="55"/>
  <c r="C308" i="55"/>
  <c r="C129" i="55"/>
  <c r="C122" i="55"/>
  <c r="C124" i="55"/>
  <c r="C65" i="55"/>
  <c r="C120" i="55"/>
  <c r="C171" i="55"/>
  <c r="C184" i="55"/>
  <c r="C113" i="55"/>
  <c r="C66" i="55"/>
  <c r="C102" i="55"/>
  <c r="C158" i="55"/>
  <c r="C206" i="55"/>
  <c r="C389" i="55"/>
  <c r="C293" i="55"/>
  <c r="C313" i="55"/>
  <c r="C377" i="55"/>
  <c r="C162" i="55"/>
  <c r="C303" i="55"/>
  <c r="C368" i="55"/>
  <c r="C80" i="55"/>
  <c r="C135" i="55"/>
  <c r="C100" i="55"/>
  <c r="C78" i="55"/>
  <c r="C92" i="55"/>
  <c r="C166" i="55"/>
  <c r="C181" i="55"/>
  <c r="C94" i="55"/>
  <c r="C62" i="55"/>
  <c r="C99" i="55"/>
  <c r="C148" i="55"/>
  <c r="C205" i="55"/>
  <c r="C341" i="55"/>
  <c r="C329" i="55"/>
  <c r="C84" i="55"/>
  <c r="C115" i="55"/>
  <c r="C68" i="55"/>
  <c r="C106" i="55"/>
  <c r="C156" i="55"/>
  <c r="C285" i="55"/>
  <c r="C88" i="55"/>
  <c r="C138" i="55"/>
  <c r="C95" i="55"/>
  <c r="C142" i="55"/>
  <c r="C200" i="55"/>
  <c r="C353" i="55"/>
  <c r="C210" i="55"/>
  <c r="C325" i="55"/>
  <c r="C351" i="55"/>
  <c r="C385" i="55"/>
  <c r="C291" i="55"/>
  <c r="C327" i="55"/>
  <c r="C375" i="55"/>
  <c r="C76" i="55"/>
  <c r="C108" i="55"/>
  <c r="C64" i="55"/>
  <c r="C103" i="55"/>
  <c r="C155" i="55"/>
  <c r="C208" i="55"/>
  <c r="C101" i="55"/>
  <c r="C134" i="55"/>
  <c r="C89" i="55"/>
  <c r="C140" i="55"/>
  <c r="C189" i="55"/>
  <c r="C154" i="55"/>
  <c r="C299" i="55"/>
  <c r="C309" i="55"/>
  <c r="C307" i="55"/>
  <c r="C204" i="55"/>
  <c r="C311" i="55"/>
  <c r="C391" i="55"/>
  <c r="C359" i="55"/>
  <c r="C343" i="55"/>
  <c r="C386" i="55"/>
  <c r="C295" i="55"/>
  <c r="C367" i="55"/>
  <c r="C376" i="55"/>
  <c r="C61" i="55"/>
  <c r="C90" i="55"/>
  <c r="C121" i="55"/>
  <c r="C97" i="55"/>
  <c r="C150" i="55"/>
  <c r="C198" i="55"/>
  <c r="C355" i="55"/>
  <c r="C130" i="55"/>
  <c r="C82" i="55"/>
  <c r="C127" i="55"/>
  <c r="C190" i="55"/>
  <c r="C319" i="55"/>
  <c r="C170" i="55"/>
  <c r="C342" i="55"/>
  <c r="C326" i="55"/>
  <c r="C387" i="55"/>
  <c r="C273" i="55"/>
  <c r="C335" i="55"/>
  <c r="C369" i="55"/>
  <c r="C79" i="55"/>
  <c r="C105" i="55"/>
  <c r="C136" i="55"/>
  <c r="C91" i="55"/>
  <c r="C147" i="55"/>
  <c r="C197" i="55"/>
  <c r="C352" i="55"/>
  <c r="C126" i="55"/>
  <c r="C67" i="55"/>
  <c r="C81" i="55"/>
  <c r="C174" i="55"/>
  <c r="C182" i="55"/>
  <c r="C361" i="55"/>
  <c r="C71" i="55"/>
  <c r="C93" i="55"/>
  <c r="C132" i="55"/>
  <c r="C87" i="55"/>
  <c r="C188" i="55"/>
  <c r="C192" i="55"/>
  <c r="C321" i="55"/>
  <c r="C104" i="55"/>
  <c r="C77" i="55"/>
  <c r="C112" i="55"/>
  <c r="C164" i="55"/>
  <c r="C287" i="55"/>
  <c r="C317" i="55"/>
  <c r="C301" i="55"/>
  <c r="C363" i="55"/>
  <c r="C360" i="55"/>
  <c r="C196" i="55"/>
  <c r="C337" i="55"/>
  <c r="C334" i="55"/>
  <c r="C137" i="55"/>
  <c r="C75" i="55"/>
  <c r="C128" i="55"/>
  <c r="C69" i="55"/>
  <c r="C63" i="55"/>
  <c r="C172" i="55"/>
  <c r="C318" i="55"/>
  <c r="C146" i="55"/>
  <c r="C74" i="55"/>
  <c r="C110" i="55"/>
  <c r="C163" i="55"/>
  <c r="C284" i="55"/>
  <c r="C277" i="55"/>
  <c r="C279" i="55"/>
  <c r="C251" i="55"/>
  <c r="C244" i="55"/>
  <c r="C237" i="55"/>
  <c r="C220" i="55"/>
  <c r="C254" i="55"/>
  <c r="C258" i="55"/>
  <c r="C238" i="55"/>
  <c r="C252" i="55"/>
  <c r="C233" i="55"/>
  <c r="C245" i="55"/>
  <c r="L384" i="68"/>
  <c r="L201" i="68"/>
  <c r="L382" i="68"/>
  <c r="L296" i="68"/>
  <c r="L303" i="68"/>
  <c r="L164" i="68"/>
  <c r="L189" i="68"/>
  <c r="L308" i="68"/>
  <c r="L306" i="68"/>
  <c r="L298" i="68"/>
  <c r="L72" i="68"/>
  <c r="L91" i="68"/>
  <c r="L111" i="68"/>
  <c r="L129" i="68"/>
  <c r="L316" i="68"/>
  <c r="L76" i="68"/>
  <c r="L94" i="68"/>
  <c r="L149" i="68"/>
  <c r="L122" i="68"/>
  <c r="L172" i="68"/>
  <c r="L381" i="68"/>
  <c r="L376" i="68"/>
  <c r="L328" i="68"/>
  <c r="L332" i="68"/>
  <c r="L198" i="68"/>
  <c r="L175" i="68"/>
  <c r="L295" i="68"/>
  <c r="L337" i="68"/>
  <c r="L366" i="68"/>
  <c r="L75" i="68"/>
  <c r="L93" i="68"/>
  <c r="L114" i="68"/>
  <c r="L127" i="68"/>
  <c r="L313" i="68"/>
  <c r="L78" i="68"/>
  <c r="L96" i="68"/>
  <c r="L141" i="68"/>
  <c r="L183" i="68"/>
  <c r="L159" i="68"/>
  <c r="L380" i="68"/>
  <c r="L286" i="68"/>
  <c r="L324" i="68"/>
  <c r="L322" i="68"/>
  <c r="L165" i="68"/>
  <c r="L199" i="68"/>
  <c r="L336" i="68"/>
  <c r="L356" i="68"/>
  <c r="L355" i="68"/>
  <c r="L77" i="68"/>
  <c r="L95" i="68"/>
  <c r="L151" i="68"/>
  <c r="L123" i="68"/>
  <c r="L116" i="68"/>
  <c r="L80" i="68"/>
  <c r="L100" i="68"/>
  <c r="L138" i="68"/>
  <c r="L280" i="68"/>
  <c r="L191" i="68"/>
  <c r="L163" i="68"/>
  <c r="L354" i="68"/>
  <c r="L370" i="68"/>
  <c r="L346" i="68"/>
  <c r="L121" i="68"/>
  <c r="L155" i="68"/>
  <c r="L330" i="68"/>
  <c r="L294" i="68"/>
  <c r="L371" i="68"/>
  <c r="L79" i="68"/>
  <c r="L98" i="68"/>
  <c r="L148" i="68"/>
  <c r="L143" i="68"/>
  <c r="L64" i="68"/>
  <c r="L82" i="68"/>
  <c r="L102" i="68"/>
  <c r="L136" i="68"/>
  <c r="L314" i="68"/>
  <c r="L209" i="68"/>
  <c r="L206" i="68"/>
  <c r="L302" i="68"/>
  <c r="L372" i="68"/>
  <c r="L364" i="68"/>
  <c r="L171" i="68"/>
  <c r="L205" i="68"/>
  <c r="L363" i="68"/>
  <c r="L329" i="68"/>
  <c r="L63" i="68"/>
  <c r="L81" i="68"/>
  <c r="L101" i="68"/>
  <c r="L139" i="68"/>
  <c r="L185" i="68"/>
  <c r="L66" i="68"/>
  <c r="L85" i="68"/>
  <c r="L104" i="68"/>
  <c r="L133" i="68"/>
  <c r="L348" i="68"/>
  <c r="L157" i="68"/>
  <c r="L147" i="68"/>
  <c r="L320" i="68"/>
  <c r="L304" i="68"/>
  <c r="L362" i="68"/>
  <c r="L197" i="68"/>
  <c r="L190" i="68"/>
  <c r="L340" i="68"/>
  <c r="L278" i="68"/>
  <c r="L65" i="68"/>
  <c r="L83" i="68"/>
  <c r="L103" i="68"/>
  <c r="L137" i="68"/>
  <c r="L182" i="68"/>
  <c r="L68" i="68"/>
  <c r="L88" i="68"/>
  <c r="L106" i="68"/>
  <c r="L130" i="68"/>
  <c r="L347" i="68"/>
  <c r="L181" i="68"/>
  <c r="L173" i="68"/>
  <c r="L374" i="68"/>
  <c r="L287" i="68"/>
  <c r="L177" i="68"/>
  <c r="L193" i="68"/>
  <c r="L62" i="68"/>
  <c r="L288" i="68"/>
  <c r="L358" i="68"/>
  <c r="L67" i="68"/>
  <c r="L87" i="68"/>
  <c r="L105" i="68"/>
  <c r="L135" i="68"/>
  <c r="L282" i="68"/>
  <c r="L70" i="68"/>
  <c r="L90" i="68"/>
  <c r="L109" i="68"/>
  <c r="L128" i="68"/>
  <c r="L350" i="68"/>
  <c r="L167" i="68"/>
  <c r="L207" i="68"/>
  <c r="L312" i="68"/>
  <c r="L321" i="68"/>
  <c r="L211" i="68"/>
  <c r="L156" i="68"/>
  <c r="L342" i="68"/>
  <c r="L338" i="68"/>
  <c r="L290" i="68"/>
  <c r="L69" i="68"/>
  <c r="L89" i="68"/>
  <c r="L107" i="68"/>
  <c r="L131" i="68"/>
  <c r="L279" i="68"/>
  <c r="L74" i="68"/>
  <c r="L92" i="68"/>
  <c r="L113" i="68"/>
  <c r="L125" i="68"/>
  <c r="L272" i="68"/>
  <c r="L274" i="68"/>
  <c r="L221" i="68"/>
  <c r="L245" i="68"/>
  <c r="L252" i="68"/>
  <c r="L238" i="68"/>
  <c r="L259" i="68"/>
  <c r="L253" i="68"/>
  <c r="L246" i="68"/>
  <c r="L234" i="68"/>
  <c r="L248" i="68"/>
  <c r="L241" i="68"/>
  <c r="L255" i="68"/>
  <c r="L239" i="68"/>
  <c r="I201" i="68"/>
  <c r="I199" i="68"/>
  <c r="I355" i="68"/>
  <c r="I288" i="68"/>
  <c r="I354" i="68"/>
  <c r="I191" i="68"/>
  <c r="I205" i="68"/>
  <c r="I287" i="68"/>
  <c r="I312" i="68"/>
  <c r="I374" i="68"/>
  <c r="I96" i="68"/>
  <c r="I78" i="68"/>
  <c r="I130" i="68"/>
  <c r="I138" i="68"/>
  <c r="I348" i="68"/>
  <c r="I95" i="68"/>
  <c r="I77" i="68"/>
  <c r="I136" i="68"/>
  <c r="I183" i="68"/>
  <c r="I189" i="68"/>
  <c r="I193" i="68"/>
  <c r="I322" i="68"/>
  <c r="I294" i="68"/>
  <c r="I364" i="68"/>
  <c r="I197" i="68"/>
  <c r="I175" i="68"/>
  <c r="I358" i="68"/>
  <c r="I336" i="68"/>
  <c r="I116" i="68"/>
  <c r="I94" i="68"/>
  <c r="I76" i="68"/>
  <c r="I139" i="68"/>
  <c r="I182" i="68"/>
  <c r="I114" i="68"/>
  <c r="I93" i="68"/>
  <c r="I75" i="68"/>
  <c r="I148" i="68"/>
  <c r="I280" i="68"/>
  <c r="I380" i="68"/>
  <c r="I173" i="68"/>
  <c r="I308" i="68"/>
  <c r="I302" i="68"/>
  <c r="I303" i="68"/>
  <c r="I156" i="68"/>
  <c r="I157" i="68"/>
  <c r="I321" i="68"/>
  <c r="I298" i="68"/>
  <c r="I356" i="68"/>
  <c r="I102" i="68"/>
  <c r="I82" i="68"/>
  <c r="I64" i="68"/>
  <c r="I129" i="68"/>
  <c r="I316" i="68"/>
  <c r="I101" i="68"/>
  <c r="I81" i="68"/>
  <c r="I63" i="68"/>
  <c r="I131" i="68"/>
  <c r="I209" i="68"/>
  <c r="I172" i="68"/>
  <c r="I329" i="68"/>
  <c r="I340" i="68"/>
  <c r="I370" i="68"/>
  <c r="I165" i="68"/>
  <c r="I167" i="68"/>
  <c r="I320" i="68"/>
  <c r="I295" i="68"/>
  <c r="I372" i="68"/>
  <c r="I100" i="68"/>
  <c r="I80" i="68"/>
  <c r="I122" i="68"/>
  <c r="I133" i="68"/>
  <c r="I350" i="68"/>
  <c r="I98" i="68"/>
  <c r="I79" i="68"/>
  <c r="I128" i="68"/>
  <c r="I135" i="68"/>
  <c r="I190" i="68"/>
  <c r="I381" i="68"/>
  <c r="I304" i="68"/>
  <c r="I366" i="68"/>
  <c r="I211" i="68"/>
  <c r="I155" i="68"/>
  <c r="I376" i="68"/>
  <c r="I290" i="68"/>
  <c r="I371" i="68"/>
  <c r="I106" i="68"/>
  <c r="I88" i="68"/>
  <c r="I68" i="68"/>
  <c r="I143" i="68"/>
  <c r="I282" i="68"/>
  <c r="I105" i="68"/>
  <c r="I87" i="68"/>
  <c r="I67" i="68"/>
  <c r="I123" i="68"/>
  <c r="I384" i="68"/>
  <c r="I62" i="68"/>
  <c r="I206" i="68"/>
  <c r="I337" i="68"/>
  <c r="I330" i="68"/>
  <c r="I163" i="68"/>
  <c r="I181" i="68"/>
  <c r="I342" i="68"/>
  <c r="I286" i="68"/>
  <c r="I363" i="68"/>
  <c r="I104" i="68"/>
  <c r="I85" i="68"/>
  <c r="I66" i="68"/>
  <c r="I125" i="68"/>
  <c r="I313" i="68"/>
  <c r="I103" i="68"/>
  <c r="I83" i="68"/>
  <c r="I65" i="68"/>
  <c r="I127" i="68"/>
  <c r="I207" i="68"/>
  <c r="I164" i="68"/>
  <c r="I328" i="68"/>
  <c r="I306" i="68"/>
  <c r="I362" i="68"/>
  <c r="I147" i="68"/>
  <c r="I382" i="68"/>
  <c r="I296" i="68"/>
  <c r="I338" i="68"/>
  <c r="I113" i="68"/>
  <c r="I92" i="68"/>
  <c r="I74" i="68"/>
  <c r="I149" i="68"/>
  <c r="I185" i="68"/>
  <c r="I111" i="68"/>
  <c r="I91" i="68"/>
  <c r="I72" i="68"/>
  <c r="I151" i="68"/>
  <c r="I314" i="68"/>
  <c r="I121" i="68"/>
  <c r="I171" i="68"/>
  <c r="I346" i="68"/>
  <c r="I332" i="68"/>
  <c r="I177" i="68"/>
  <c r="I198" i="68"/>
  <c r="I159" i="68"/>
  <c r="I324" i="68"/>
  <c r="I278" i="68"/>
  <c r="I109" i="68"/>
  <c r="I90" i="68"/>
  <c r="I70" i="68"/>
  <c r="I137" i="68"/>
  <c r="I279" i="68"/>
  <c r="I107" i="68"/>
  <c r="I89" i="68"/>
  <c r="I69" i="68"/>
  <c r="I141" i="68"/>
  <c r="I347" i="68"/>
  <c r="I272" i="68"/>
  <c r="I274" i="68"/>
  <c r="I245" i="68"/>
  <c r="I252" i="68"/>
  <c r="I221" i="68"/>
  <c r="I238" i="68"/>
  <c r="I255" i="68"/>
  <c r="I253" i="68"/>
  <c r="I259" i="68"/>
  <c r="I234" i="68"/>
  <c r="I241" i="68"/>
  <c r="I248" i="68"/>
  <c r="I239" i="68"/>
  <c r="I246" i="68"/>
  <c r="I176" i="55"/>
  <c r="I61" i="55"/>
  <c r="I81" i="55"/>
  <c r="I105" i="55"/>
  <c r="I79" i="55"/>
  <c r="I158" i="55"/>
  <c r="I206" i="55"/>
  <c r="I188" i="55"/>
  <c r="I113" i="55"/>
  <c r="I80" i="55"/>
  <c r="I77" i="55"/>
  <c r="I150" i="55"/>
  <c r="I198" i="55"/>
  <c r="I309" i="55"/>
  <c r="I351" i="55"/>
  <c r="I295" i="55"/>
  <c r="I307" i="55"/>
  <c r="I367" i="55"/>
  <c r="I321" i="55"/>
  <c r="I385" i="55"/>
  <c r="I126" i="55"/>
  <c r="I124" i="55"/>
  <c r="I115" i="55"/>
  <c r="I75" i="55"/>
  <c r="I163" i="55"/>
  <c r="I387" i="55"/>
  <c r="I128" i="55"/>
  <c r="I132" i="55"/>
  <c r="I146" i="55"/>
  <c r="I71" i="55"/>
  <c r="I155" i="55"/>
  <c r="I208" i="55"/>
  <c r="I333" i="55"/>
  <c r="I327" i="55"/>
  <c r="I303" i="55"/>
  <c r="I345" i="55"/>
  <c r="I379" i="55"/>
  <c r="I352" i="55"/>
  <c r="I353" i="55"/>
  <c r="I210" i="55"/>
  <c r="I68" i="55"/>
  <c r="I95" i="55"/>
  <c r="I94" i="55"/>
  <c r="I142" i="55"/>
  <c r="I200" i="55"/>
  <c r="I196" i="55"/>
  <c r="I97" i="55"/>
  <c r="I99" i="55"/>
  <c r="I92" i="55"/>
  <c r="I140" i="55"/>
  <c r="I190" i="55"/>
  <c r="I301" i="55"/>
  <c r="I369" i="55"/>
  <c r="I381" i="55"/>
  <c r="I342" i="55"/>
  <c r="I329" i="55"/>
  <c r="I184" i="55"/>
  <c r="I319" i="55"/>
  <c r="I273" i="55"/>
  <c r="I127" i="55"/>
  <c r="I101" i="55"/>
  <c r="I90" i="55"/>
  <c r="I148" i="55"/>
  <c r="I205" i="55"/>
  <c r="I271" i="55"/>
  <c r="I84" i="55"/>
  <c r="I103" i="55"/>
  <c r="I88" i="55"/>
  <c r="I147" i="55"/>
  <c r="I197" i="55"/>
  <c r="I361" i="55"/>
  <c r="I326" i="55"/>
  <c r="I292" i="55"/>
  <c r="I371" i="55"/>
  <c r="I341" i="55"/>
  <c r="I318" i="55"/>
  <c r="I285" i="55"/>
  <c r="I162" i="55"/>
  <c r="I121" i="55"/>
  <c r="I87" i="55"/>
  <c r="I106" i="55"/>
  <c r="I122" i="55"/>
  <c r="I192" i="55"/>
  <c r="I154" i="55"/>
  <c r="I62" i="55"/>
  <c r="I89" i="55"/>
  <c r="I104" i="55"/>
  <c r="I137" i="55"/>
  <c r="I171" i="55"/>
  <c r="I291" i="55"/>
  <c r="I335" i="55"/>
  <c r="I377" i="55"/>
  <c r="I368" i="55"/>
  <c r="I337" i="55"/>
  <c r="I287" i="55"/>
  <c r="I204" i="55"/>
  <c r="I64" i="55"/>
  <c r="I91" i="55"/>
  <c r="I102" i="55"/>
  <c r="I135" i="55"/>
  <c r="I189" i="55"/>
  <c r="I180" i="55"/>
  <c r="I66" i="55"/>
  <c r="I93" i="55"/>
  <c r="I100" i="55"/>
  <c r="I129" i="55"/>
  <c r="I172" i="55"/>
  <c r="I300" i="55"/>
  <c r="I343" i="55"/>
  <c r="I375" i="55"/>
  <c r="I325" i="55"/>
  <c r="I311" i="55"/>
  <c r="I181" i="55"/>
  <c r="I182" i="55"/>
  <c r="I386" i="55"/>
  <c r="I130" i="55"/>
  <c r="I74" i="55"/>
  <c r="I110" i="55"/>
  <c r="I69" i="55"/>
  <c r="I164" i="55"/>
  <c r="I389" i="55"/>
  <c r="I134" i="55"/>
  <c r="I76" i="55"/>
  <c r="I120" i="55"/>
  <c r="I67" i="55"/>
  <c r="I156" i="55"/>
  <c r="I283" i="55"/>
  <c r="I359" i="55"/>
  <c r="I334" i="55"/>
  <c r="I299" i="55"/>
  <c r="I360" i="55"/>
  <c r="I376" i="55"/>
  <c r="I355" i="55"/>
  <c r="I170" i="55"/>
  <c r="I136" i="55"/>
  <c r="I78" i="55"/>
  <c r="I112" i="55"/>
  <c r="I65" i="55"/>
  <c r="I174" i="55"/>
  <c r="I317" i="55"/>
  <c r="I138" i="55"/>
  <c r="I82" i="55"/>
  <c r="I108" i="55"/>
  <c r="I63" i="55"/>
  <c r="I166" i="55"/>
  <c r="I293" i="55"/>
  <c r="I313" i="55"/>
  <c r="I363" i="55"/>
  <c r="I347" i="55"/>
  <c r="I308" i="55"/>
  <c r="I284" i="55"/>
  <c r="I277" i="55"/>
  <c r="I279" i="55"/>
  <c r="I237" i="55"/>
  <c r="I251" i="55"/>
  <c r="I244" i="55"/>
  <c r="I220" i="55"/>
  <c r="I254" i="55"/>
  <c r="I233" i="55"/>
  <c r="I238" i="55"/>
  <c r="I245" i="55"/>
  <c r="I258" i="55"/>
  <c r="I252" i="55"/>
  <c r="I240" i="55"/>
  <c r="I247" i="55"/>
  <c r="C247" i="55"/>
  <c r="C240" i="55"/>
  <c r="L273" i="55"/>
  <c r="L307" i="55"/>
  <c r="L345" i="55"/>
  <c r="L180" i="55"/>
  <c r="L367" i="55"/>
  <c r="L335" i="55"/>
  <c r="L377" i="55"/>
  <c r="L88" i="55"/>
  <c r="L115" i="55"/>
  <c r="L74" i="55"/>
  <c r="L127" i="55"/>
  <c r="L102" i="55"/>
  <c r="L103" i="55"/>
  <c r="L64" i="55"/>
  <c r="L156" i="55"/>
  <c r="L205" i="55"/>
  <c r="L158" i="55"/>
  <c r="L206" i="55"/>
  <c r="L389" i="55"/>
  <c r="L292" i="55"/>
  <c r="L379" i="55"/>
  <c r="L341" i="55"/>
  <c r="L196" i="55"/>
  <c r="L359" i="55"/>
  <c r="L326" i="55"/>
  <c r="L188" i="55"/>
  <c r="L94" i="55"/>
  <c r="L105" i="55"/>
  <c r="L66" i="55"/>
  <c r="L135" i="55"/>
  <c r="L84" i="55"/>
  <c r="L99" i="55"/>
  <c r="L121" i="55"/>
  <c r="L155" i="55"/>
  <c r="L287" i="55"/>
  <c r="L164" i="55"/>
  <c r="L285" i="55"/>
  <c r="L352" i="55"/>
  <c r="L204" i="55"/>
  <c r="L347" i="55"/>
  <c r="L308" i="55"/>
  <c r="L386" i="55"/>
  <c r="L299" i="55"/>
  <c r="L309" i="55"/>
  <c r="L313" i="55"/>
  <c r="L71" i="55"/>
  <c r="L108" i="55"/>
  <c r="L82" i="55"/>
  <c r="L124" i="55"/>
  <c r="L81" i="55"/>
  <c r="L146" i="55"/>
  <c r="L76" i="55"/>
  <c r="L142" i="55"/>
  <c r="L197" i="55"/>
  <c r="L148" i="55"/>
  <c r="L198" i="55"/>
  <c r="L318" i="55"/>
  <c r="L210" i="55"/>
  <c r="L327" i="55"/>
  <c r="L351" i="55"/>
  <c r="L170" i="55"/>
  <c r="L300" i="55"/>
  <c r="L368" i="55"/>
  <c r="L325" i="55"/>
  <c r="L126" i="55"/>
  <c r="L120" i="55"/>
  <c r="L78" i="55"/>
  <c r="L61" i="55"/>
  <c r="L90" i="55"/>
  <c r="L113" i="55"/>
  <c r="L68" i="55"/>
  <c r="L150" i="55"/>
  <c r="L208" i="55"/>
  <c r="L147" i="55"/>
  <c r="L200" i="55"/>
  <c r="L355" i="55"/>
  <c r="L162" i="55"/>
  <c r="L301" i="55"/>
  <c r="L343" i="55"/>
  <c r="L176" i="55"/>
  <c r="L293" i="55"/>
  <c r="L375" i="55"/>
  <c r="L381" i="55"/>
  <c r="L63" i="55"/>
  <c r="L79" i="55"/>
  <c r="L93" i="55"/>
  <c r="L134" i="55"/>
  <c r="L69" i="55"/>
  <c r="L104" i="55"/>
  <c r="L87" i="55"/>
  <c r="L128" i="55"/>
  <c r="L189" i="55"/>
  <c r="L319" i="55"/>
  <c r="L171" i="55"/>
  <c r="L181" i="55"/>
  <c r="L154" i="55"/>
  <c r="L363" i="55"/>
  <c r="L329" i="55"/>
  <c r="L385" i="55"/>
  <c r="L295" i="55"/>
  <c r="L342" i="55"/>
  <c r="L333" i="55"/>
  <c r="L67" i="55"/>
  <c r="L100" i="55"/>
  <c r="L89" i="55"/>
  <c r="L130" i="55"/>
  <c r="L77" i="55"/>
  <c r="L112" i="55"/>
  <c r="L80" i="55"/>
  <c r="L140" i="55"/>
  <c r="L190" i="55"/>
  <c r="L353" i="55"/>
  <c r="L192" i="55"/>
  <c r="L321" i="55"/>
  <c r="L387" i="55"/>
  <c r="L291" i="55"/>
  <c r="L337" i="55"/>
  <c r="L371" i="55"/>
  <c r="L271" i="55"/>
  <c r="L334" i="55"/>
  <c r="L369" i="55"/>
  <c r="L129" i="55"/>
  <c r="L106" i="55"/>
  <c r="L101" i="55"/>
  <c r="L62" i="55"/>
  <c r="L122" i="55"/>
  <c r="L75" i="55"/>
  <c r="L95" i="55"/>
  <c r="L136" i="55"/>
  <c r="L166" i="55"/>
  <c r="L284" i="55"/>
  <c r="L163" i="55"/>
  <c r="L317" i="55"/>
  <c r="L303" i="55"/>
  <c r="L376" i="55"/>
  <c r="L360" i="55"/>
  <c r="L283" i="55"/>
  <c r="L311" i="55"/>
  <c r="L361" i="55"/>
  <c r="L137" i="55"/>
  <c r="L110" i="55"/>
  <c r="L97" i="55"/>
  <c r="L138" i="55"/>
  <c r="L65" i="55"/>
  <c r="L92" i="55"/>
  <c r="L91" i="55"/>
  <c r="L132" i="55"/>
  <c r="L174" i="55"/>
  <c r="L182" i="55"/>
  <c r="L172" i="55"/>
  <c r="L184" i="55"/>
  <c r="L277" i="55"/>
  <c r="L279" i="55"/>
  <c r="L251" i="55"/>
  <c r="L244" i="55"/>
  <c r="L220" i="55"/>
  <c r="L237" i="55"/>
  <c r="L233" i="55"/>
  <c r="L247" i="55"/>
  <c r="L240" i="55"/>
  <c r="L254" i="55"/>
  <c r="L258" i="55"/>
  <c r="L238" i="55"/>
  <c r="L252" i="55"/>
  <c r="L245" i="55"/>
  <c r="L170" i="67"/>
  <c r="L172" i="67"/>
  <c r="L335" i="67"/>
  <c r="L295" i="67"/>
  <c r="L208" i="67"/>
  <c r="L202" i="67"/>
  <c r="L334" i="67"/>
  <c r="L363" i="67"/>
  <c r="L337" i="67"/>
  <c r="L113" i="67"/>
  <c r="L89" i="67"/>
  <c r="L63" i="67"/>
  <c r="L104" i="67"/>
  <c r="L82" i="67"/>
  <c r="L122" i="67"/>
  <c r="L148" i="67"/>
  <c r="L140" i="67"/>
  <c r="L118" i="67"/>
  <c r="L381" i="67"/>
  <c r="L206" i="67"/>
  <c r="L339" i="67"/>
  <c r="L333" i="67"/>
  <c r="L329" i="67"/>
  <c r="L160" i="67"/>
  <c r="L203" i="67"/>
  <c r="L352" i="67"/>
  <c r="L343" i="67"/>
  <c r="L367" i="67"/>
  <c r="L110" i="67"/>
  <c r="L86" i="67"/>
  <c r="L61" i="67"/>
  <c r="L100" i="67"/>
  <c r="L79" i="67"/>
  <c r="L130" i="67"/>
  <c r="L145" i="67"/>
  <c r="L126" i="67"/>
  <c r="L146" i="67"/>
  <c r="L344" i="67"/>
  <c r="L164" i="67"/>
  <c r="L186" i="67"/>
  <c r="L368" i="67"/>
  <c r="L293" i="67"/>
  <c r="L378" i="67"/>
  <c r="L187" i="67"/>
  <c r="L169" i="67"/>
  <c r="L301" i="67"/>
  <c r="L355" i="67"/>
  <c r="L73" i="67"/>
  <c r="L93" i="67"/>
  <c r="L67" i="67"/>
  <c r="L111" i="67"/>
  <c r="L87" i="67"/>
  <c r="L62" i="67"/>
  <c r="L127" i="67"/>
  <c r="L347" i="67"/>
  <c r="L133" i="67"/>
  <c r="L310" i="67"/>
  <c r="L178" i="67"/>
  <c r="L196" i="67"/>
  <c r="L326" i="67"/>
  <c r="L325" i="67"/>
  <c r="L379" i="67"/>
  <c r="L188" i="67"/>
  <c r="L305" i="67"/>
  <c r="L317" i="67"/>
  <c r="L300" i="67"/>
  <c r="L75" i="67"/>
  <c r="L91" i="67"/>
  <c r="L65" i="67"/>
  <c r="L108" i="67"/>
  <c r="L85" i="67"/>
  <c r="L60" i="67"/>
  <c r="L119" i="67"/>
  <c r="L125" i="67"/>
  <c r="L345" i="67"/>
  <c r="L152" i="67"/>
  <c r="L156" i="67"/>
  <c r="L275" i="67"/>
  <c r="L287" i="67"/>
  <c r="L360" i="67"/>
  <c r="L204" i="67"/>
  <c r="L144" i="67"/>
  <c r="L303" i="67"/>
  <c r="L291" i="67"/>
  <c r="L71" i="67"/>
  <c r="L99" i="67"/>
  <c r="L78" i="67"/>
  <c r="L74" i="67"/>
  <c r="L92" i="67"/>
  <c r="L66" i="67"/>
  <c r="L132" i="67"/>
  <c r="L277" i="67"/>
  <c r="L128" i="67"/>
  <c r="L276" i="67"/>
  <c r="L195" i="67"/>
  <c r="L153" i="67"/>
  <c r="L299" i="67"/>
  <c r="L309" i="67"/>
  <c r="L359" i="67"/>
  <c r="L59" i="67"/>
  <c r="L198" i="67"/>
  <c r="L371" i="67"/>
  <c r="L361" i="67"/>
  <c r="L102" i="67"/>
  <c r="L97" i="67"/>
  <c r="L76" i="67"/>
  <c r="L103" i="67"/>
  <c r="L90" i="67"/>
  <c r="L64" i="67"/>
  <c r="L135" i="67"/>
  <c r="L311" i="67"/>
  <c r="L136" i="67"/>
  <c r="L313" i="67"/>
  <c r="L377" i="67"/>
  <c r="L194" i="67"/>
  <c r="L373" i="67"/>
  <c r="L321" i="67"/>
  <c r="L319" i="67"/>
  <c r="L190" i="67"/>
  <c r="L161" i="67"/>
  <c r="L285" i="67"/>
  <c r="L292" i="67"/>
  <c r="L369" i="67"/>
  <c r="L106" i="67"/>
  <c r="L84" i="67"/>
  <c r="L88" i="67"/>
  <c r="L98" i="67"/>
  <c r="L77" i="67"/>
  <c r="L138" i="67"/>
  <c r="L182" i="67"/>
  <c r="L134" i="67"/>
  <c r="L180" i="67"/>
  <c r="L174" i="67"/>
  <c r="L154" i="67"/>
  <c r="L318" i="67"/>
  <c r="L283" i="67"/>
  <c r="L351" i="67"/>
  <c r="L168" i="67"/>
  <c r="L162" i="67"/>
  <c r="L327" i="67"/>
  <c r="L284" i="67"/>
  <c r="L353" i="67"/>
  <c r="L101" i="67"/>
  <c r="L80" i="67"/>
  <c r="L72" i="67"/>
  <c r="L95" i="67"/>
  <c r="L69" i="67"/>
  <c r="L124" i="67"/>
  <c r="L179" i="67"/>
  <c r="L120" i="67"/>
  <c r="L279" i="67"/>
  <c r="L269" i="67"/>
  <c r="L271" i="67"/>
  <c r="L218" i="67"/>
  <c r="L242" i="67"/>
  <c r="L249" i="67"/>
  <c r="L235" i="67"/>
  <c r="L238" i="67"/>
  <c r="L256" i="67"/>
  <c r="L250" i="67"/>
  <c r="L231" i="67"/>
  <c r="L245" i="67"/>
  <c r="L236" i="67"/>
  <c r="L252" i="67"/>
  <c r="L243" i="67"/>
  <c r="C381" i="67"/>
  <c r="C162" i="67"/>
  <c r="C202" i="67"/>
  <c r="C335" i="67"/>
  <c r="C360" i="67"/>
  <c r="C190" i="67"/>
  <c r="C194" i="67"/>
  <c r="C305" i="67"/>
  <c r="C329" i="67"/>
  <c r="C283" i="67"/>
  <c r="C67" i="67"/>
  <c r="C77" i="67"/>
  <c r="C76" i="67"/>
  <c r="C130" i="67"/>
  <c r="C313" i="67"/>
  <c r="C100" i="67"/>
  <c r="C86" i="67"/>
  <c r="C145" i="67"/>
  <c r="C138" i="67"/>
  <c r="C208" i="67"/>
  <c r="C377" i="67"/>
  <c r="C339" i="67"/>
  <c r="C317" i="67"/>
  <c r="C284" i="67"/>
  <c r="C59" i="67"/>
  <c r="C378" i="67"/>
  <c r="C309" i="67"/>
  <c r="C275" i="67"/>
  <c r="C352" i="67"/>
  <c r="C93" i="67"/>
  <c r="C79" i="67"/>
  <c r="C74" i="67"/>
  <c r="C126" i="67"/>
  <c r="C60" i="67"/>
  <c r="C102" i="67"/>
  <c r="C88" i="67"/>
  <c r="C148" i="67"/>
  <c r="C180" i="67"/>
  <c r="C178" i="67"/>
  <c r="C156" i="67"/>
  <c r="C301" i="67"/>
  <c r="C292" i="67"/>
  <c r="C368" i="67"/>
  <c r="C144" i="67"/>
  <c r="C198" i="67"/>
  <c r="C369" i="67"/>
  <c r="C291" i="67"/>
  <c r="C361" i="67"/>
  <c r="C97" i="67"/>
  <c r="C82" i="67"/>
  <c r="C72" i="67"/>
  <c r="C122" i="67"/>
  <c r="C62" i="67"/>
  <c r="C108" i="67"/>
  <c r="C90" i="67"/>
  <c r="C127" i="67"/>
  <c r="C276" i="67"/>
  <c r="C203" i="67"/>
  <c r="C153" i="67"/>
  <c r="C293" i="67"/>
  <c r="C371" i="67"/>
  <c r="C343" i="67"/>
  <c r="C169" i="67"/>
  <c r="C168" i="67"/>
  <c r="C334" i="67"/>
  <c r="C373" i="67"/>
  <c r="C367" i="67"/>
  <c r="C99" i="67"/>
  <c r="C85" i="67"/>
  <c r="C133" i="67"/>
  <c r="C140" i="67"/>
  <c r="C64" i="67"/>
  <c r="C111" i="67"/>
  <c r="C92" i="67"/>
  <c r="C136" i="67"/>
  <c r="C279" i="67"/>
  <c r="C195" i="67"/>
  <c r="C379" i="67"/>
  <c r="C287" i="67"/>
  <c r="C299" i="67"/>
  <c r="C363" i="67"/>
  <c r="C161" i="67"/>
  <c r="C206" i="67"/>
  <c r="C295" i="67"/>
  <c r="C325" i="67"/>
  <c r="C359" i="67"/>
  <c r="C101" i="67"/>
  <c r="C87" i="67"/>
  <c r="C146" i="67"/>
  <c r="C179" i="67"/>
  <c r="C66" i="67"/>
  <c r="C71" i="67"/>
  <c r="C103" i="67"/>
  <c r="C132" i="67"/>
  <c r="C311" i="67"/>
  <c r="C186" i="67"/>
  <c r="C154" i="67"/>
  <c r="C326" i="67"/>
  <c r="C303" i="67"/>
  <c r="C353" i="67"/>
  <c r="C118" i="67"/>
  <c r="C152" i="67"/>
  <c r="C285" i="67"/>
  <c r="C355" i="67"/>
  <c r="C61" i="67"/>
  <c r="C106" i="67"/>
  <c r="C89" i="67"/>
  <c r="C119" i="67"/>
  <c r="C182" i="67"/>
  <c r="C69" i="67"/>
  <c r="C78" i="67"/>
  <c r="C75" i="67"/>
  <c r="C128" i="67"/>
  <c r="C345" i="67"/>
  <c r="C188" i="67"/>
  <c r="C204" i="67"/>
  <c r="C318" i="67"/>
  <c r="C321" i="67"/>
  <c r="C383" i="67"/>
  <c r="C160" i="67"/>
  <c r="C172" i="67"/>
  <c r="C327" i="67"/>
  <c r="C319" i="67"/>
  <c r="C63" i="67"/>
  <c r="C110" i="67"/>
  <c r="C91" i="67"/>
  <c r="C135" i="67"/>
  <c r="C277" i="67"/>
  <c r="C95" i="67"/>
  <c r="C80" i="67"/>
  <c r="C73" i="67"/>
  <c r="C124" i="67"/>
  <c r="C344" i="67"/>
  <c r="C164" i="67"/>
  <c r="C170" i="67"/>
  <c r="C337" i="67"/>
  <c r="C333" i="67"/>
  <c r="C174" i="67"/>
  <c r="C196" i="67"/>
  <c r="C187" i="67"/>
  <c r="C351" i="67"/>
  <c r="C300" i="67"/>
  <c r="C65" i="67"/>
  <c r="C113" i="67"/>
  <c r="C104" i="67"/>
  <c r="C134" i="67"/>
  <c r="C310" i="67"/>
  <c r="C98" i="67"/>
  <c r="C84" i="67"/>
  <c r="C125" i="67"/>
  <c r="C120" i="67"/>
  <c r="C347" i="67"/>
  <c r="C269" i="67"/>
  <c r="C271" i="67"/>
  <c r="C249" i="67"/>
  <c r="C242" i="67"/>
  <c r="C235" i="67"/>
  <c r="C218" i="67"/>
  <c r="C231" i="67"/>
  <c r="C252" i="67"/>
  <c r="C256" i="67"/>
  <c r="C250" i="67"/>
  <c r="C236" i="67"/>
  <c r="C243" i="67"/>
  <c r="I186" i="67"/>
  <c r="I162" i="67"/>
  <c r="I202" i="67"/>
  <c r="I188" i="67"/>
  <c r="I371" i="67"/>
  <c r="I61" i="67"/>
  <c r="I106" i="67"/>
  <c r="I125" i="67"/>
  <c r="I140" i="67"/>
  <c r="I343" i="67"/>
  <c r="I174" i="67"/>
  <c r="I360" i="67"/>
  <c r="I178" i="67"/>
  <c r="I325" i="67"/>
  <c r="I87" i="67"/>
  <c r="I97" i="67"/>
  <c r="I74" i="67"/>
  <c r="I128" i="67"/>
  <c r="I347" i="67"/>
  <c r="I204" i="67"/>
  <c r="I321" i="67"/>
  <c r="I187" i="67"/>
  <c r="I203" i="67"/>
  <c r="I317" i="67"/>
  <c r="I91" i="67"/>
  <c r="I100" i="67"/>
  <c r="I118" i="67"/>
  <c r="I122" i="67"/>
  <c r="I194" i="67"/>
  <c r="I208" i="67"/>
  <c r="I198" i="67"/>
  <c r="I379" i="67"/>
  <c r="I85" i="67"/>
  <c r="I93" i="67"/>
  <c r="I76" i="67"/>
  <c r="I132" i="67"/>
  <c r="I311" i="67"/>
  <c r="I305" i="67"/>
  <c r="I326" i="67"/>
  <c r="I373" i="67"/>
  <c r="I359" i="67"/>
  <c r="I327" i="67"/>
  <c r="I89" i="67"/>
  <c r="I98" i="67"/>
  <c r="I73" i="67"/>
  <c r="I126" i="67"/>
  <c r="I344" i="67"/>
  <c r="I154" i="67"/>
  <c r="I144" i="67"/>
  <c r="I293" i="67"/>
  <c r="I195" i="67"/>
  <c r="I82" i="67"/>
  <c r="I69" i="67"/>
  <c r="I102" i="67"/>
  <c r="I136" i="67"/>
  <c r="I279" i="67"/>
  <c r="I369" i="67"/>
  <c r="I292" i="67"/>
  <c r="I275" i="67"/>
  <c r="I164" i="67"/>
  <c r="I318" i="67"/>
  <c r="I86" i="67"/>
  <c r="I95" i="67"/>
  <c r="I75" i="67"/>
  <c r="I130" i="67"/>
  <c r="I313" i="67"/>
  <c r="I168" i="67"/>
  <c r="I339" i="67"/>
  <c r="I283" i="67"/>
  <c r="I329" i="67"/>
  <c r="I79" i="67"/>
  <c r="I66" i="67"/>
  <c r="I104" i="67"/>
  <c r="I146" i="67"/>
  <c r="I276" i="67"/>
  <c r="I301" i="67"/>
  <c r="I337" i="67"/>
  <c r="I319" i="67"/>
  <c r="I206" i="67"/>
  <c r="I152" i="67"/>
  <c r="I84" i="67"/>
  <c r="I92" i="67"/>
  <c r="I88" i="67"/>
  <c r="I134" i="67"/>
  <c r="I310" i="67"/>
  <c r="I351" i="67"/>
  <c r="I284" i="67"/>
  <c r="I161" i="67"/>
  <c r="I170" i="67"/>
  <c r="I77" i="67"/>
  <c r="I64" i="67"/>
  <c r="I111" i="67"/>
  <c r="I135" i="67"/>
  <c r="I180" i="67"/>
  <c r="I295" i="67"/>
  <c r="I352" i="67"/>
  <c r="I363" i="67"/>
  <c r="I333" i="67"/>
  <c r="I153" i="67"/>
  <c r="I80" i="67"/>
  <c r="I67" i="67"/>
  <c r="I103" i="67"/>
  <c r="I148" i="67"/>
  <c r="I277" i="67"/>
  <c r="I353" i="67"/>
  <c r="I291" i="67"/>
  <c r="I160" i="67"/>
  <c r="I196" i="67"/>
  <c r="I190" i="67"/>
  <c r="I62" i="67"/>
  <c r="I108" i="67"/>
  <c r="I127" i="67"/>
  <c r="I138" i="67"/>
  <c r="I361" i="67"/>
  <c r="I377" i="67"/>
  <c r="I378" i="67"/>
  <c r="I309" i="67"/>
  <c r="I367" i="67"/>
  <c r="I78" i="67"/>
  <c r="I65" i="67"/>
  <c r="I113" i="67"/>
  <c r="I145" i="67"/>
  <c r="I182" i="67"/>
  <c r="I287" i="67"/>
  <c r="I285" i="67"/>
  <c r="I335" i="67"/>
  <c r="I300" i="67"/>
  <c r="I59" i="67"/>
  <c r="I60" i="67"/>
  <c r="I101" i="67"/>
  <c r="I119" i="67"/>
  <c r="I120" i="67"/>
  <c r="I345" i="67"/>
  <c r="I172" i="67"/>
  <c r="I156" i="67"/>
  <c r="I299" i="67"/>
  <c r="I381" i="67"/>
  <c r="I72" i="67"/>
  <c r="I63" i="67"/>
  <c r="I110" i="67"/>
  <c r="I133" i="67"/>
  <c r="I179" i="67"/>
  <c r="I355" i="67"/>
  <c r="I303" i="67"/>
  <c r="I334" i="67"/>
  <c r="I169" i="67"/>
  <c r="I368" i="67"/>
  <c r="I90" i="67"/>
  <c r="I99" i="67"/>
  <c r="I71" i="67"/>
  <c r="I124" i="67"/>
  <c r="I269" i="67"/>
  <c r="I271" i="67"/>
  <c r="I242" i="67"/>
  <c r="I235" i="67"/>
  <c r="I249" i="67"/>
  <c r="I218" i="67"/>
  <c r="I231" i="67"/>
  <c r="I238" i="67"/>
  <c r="I245" i="67"/>
  <c r="I252" i="67"/>
  <c r="I236" i="67"/>
  <c r="I250" i="67"/>
  <c r="I243" i="67"/>
  <c r="I256" i="67"/>
  <c r="I150" i="69"/>
  <c r="I384" i="69"/>
  <c r="I368" i="69"/>
  <c r="I175" i="69"/>
  <c r="I200" i="69"/>
  <c r="I334" i="69"/>
  <c r="I290" i="69"/>
  <c r="I348" i="69"/>
  <c r="I168" i="69"/>
  <c r="I370" i="69"/>
  <c r="I192" i="69"/>
  <c r="I383" i="69"/>
  <c r="I214" i="69"/>
  <c r="I392" i="69"/>
  <c r="I310" i="69"/>
  <c r="I354" i="69"/>
  <c r="I316" i="69"/>
  <c r="I376" i="69"/>
  <c r="I63" i="69"/>
  <c r="I162" i="69"/>
  <c r="I194" i="69"/>
  <c r="I208" i="69"/>
  <c r="I344" i="69"/>
  <c r="I315" i="69"/>
  <c r="I350" i="69"/>
  <c r="I394" i="69"/>
  <c r="I158" i="69"/>
  <c r="I318" i="69"/>
  <c r="I159" i="69"/>
  <c r="I324" i="69"/>
  <c r="I340" i="69"/>
  <c r="I202" i="69"/>
  <c r="I174" i="69"/>
  <c r="I382" i="69"/>
  <c r="I176" i="69"/>
  <c r="I298" i="69"/>
  <c r="I378" i="69"/>
  <c r="I184" i="69"/>
  <c r="I307" i="69"/>
  <c r="I314" i="69"/>
  <c r="I160" i="69"/>
  <c r="I212" i="69"/>
  <c r="I320" i="69"/>
  <c r="I300" i="69"/>
  <c r="I386" i="69"/>
  <c r="I193" i="69"/>
  <c r="I388" i="69"/>
  <c r="I342" i="69"/>
  <c r="I196" i="69"/>
  <c r="I302" i="69"/>
  <c r="I396" i="69"/>
  <c r="I210" i="69"/>
  <c r="I336" i="69"/>
  <c r="I204" i="69"/>
  <c r="I332" i="69"/>
  <c r="I375" i="69"/>
  <c r="I341" i="69"/>
  <c r="I367" i="69"/>
  <c r="I167" i="69"/>
  <c r="I306" i="69"/>
  <c r="I374" i="69"/>
  <c r="I333" i="69"/>
  <c r="I170" i="69"/>
  <c r="I201" i="69"/>
  <c r="I393" i="69"/>
  <c r="I299" i="69"/>
  <c r="I349" i="69"/>
  <c r="I180" i="69"/>
  <c r="I352" i="69"/>
  <c r="I209" i="69"/>
  <c r="I308" i="69"/>
  <c r="I366" i="69"/>
  <c r="I166" i="69"/>
  <c r="I358" i="69"/>
  <c r="I178" i="69"/>
  <c r="I275" i="69"/>
  <c r="I277" i="69"/>
  <c r="I255" i="69"/>
  <c r="I248" i="69"/>
  <c r="I241" i="69"/>
  <c r="I224" i="69"/>
  <c r="I251" i="69"/>
  <c r="I249" i="69"/>
  <c r="I237" i="69"/>
  <c r="I256" i="69"/>
  <c r="I262" i="69"/>
  <c r="I244" i="69"/>
  <c r="I258" i="69"/>
  <c r="I242" i="69"/>
  <c r="L208" i="69"/>
  <c r="L310" i="69"/>
  <c r="L290" i="69"/>
  <c r="L358" i="69"/>
  <c r="L166" i="69"/>
  <c r="L298" i="69"/>
  <c r="L302" i="69"/>
  <c r="L167" i="69"/>
  <c r="L393" i="69"/>
  <c r="L388" i="69"/>
  <c r="L336" i="69"/>
  <c r="L314" i="69"/>
  <c r="L386" i="69"/>
  <c r="L193" i="69"/>
  <c r="L170" i="69"/>
  <c r="L307" i="69"/>
  <c r="L375" i="69"/>
  <c r="L333" i="69"/>
  <c r="L204" i="69"/>
  <c r="L214" i="69"/>
  <c r="L306" i="69"/>
  <c r="L349" i="69"/>
  <c r="L299" i="69"/>
  <c r="L340" i="69"/>
  <c r="L316" i="69"/>
  <c r="L160" i="69"/>
  <c r="L212" i="69"/>
  <c r="L168" i="69"/>
  <c r="L158" i="69"/>
  <c r="L344" i="69"/>
  <c r="L150" i="69"/>
  <c r="L374" i="69"/>
  <c r="L176" i="69"/>
  <c r="L209" i="69"/>
  <c r="L332" i="69"/>
  <c r="L348" i="69"/>
  <c r="L368" i="69"/>
  <c r="L178" i="69"/>
  <c r="L180" i="69"/>
  <c r="L320" i="69"/>
  <c r="L376" i="69"/>
  <c r="L384" i="69"/>
  <c r="L354" i="69"/>
  <c r="L315" i="69"/>
  <c r="L342" i="69"/>
  <c r="L63" i="69"/>
  <c r="L194" i="69"/>
  <c r="L202" i="69"/>
  <c r="L324" i="69"/>
  <c r="L366" i="69"/>
  <c r="L383" i="69"/>
  <c r="L162" i="69"/>
  <c r="L201" i="69"/>
  <c r="L200" i="69"/>
  <c r="L334" i="69"/>
  <c r="L392" i="69"/>
  <c r="L378" i="69"/>
  <c r="L196" i="69"/>
  <c r="L352" i="69"/>
  <c r="L341" i="69"/>
  <c r="L174" i="69"/>
  <c r="L382" i="69"/>
  <c r="L308" i="69"/>
  <c r="L367" i="69"/>
  <c r="L175" i="69"/>
  <c r="L394" i="69"/>
  <c r="L300" i="69"/>
  <c r="L350" i="69"/>
  <c r="L318" i="69"/>
  <c r="L396" i="69"/>
  <c r="L184" i="69"/>
  <c r="L192" i="69"/>
  <c r="L370" i="69"/>
  <c r="L159" i="69"/>
  <c r="L210" i="69"/>
  <c r="L275" i="69"/>
  <c r="L277" i="69"/>
  <c r="L248" i="69"/>
  <c r="L224" i="69"/>
  <c r="L241" i="69"/>
  <c r="L255" i="69"/>
  <c r="L251" i="69"/>
  <c r="L244" i="69"/>
  <c r="L258" i="69"/>
  <c r="L249" i="69"/>
  <c r="L237" i="69"/>
  <c r="L256" i="69"/>
  <c r="L262" i="69"/>
  <c r="L242" i="69"/>
  <c r="C261" i="55"/>
  <c r="C245" i="67"/>
  <c r="L259" i="67"/>
  <c r="I261" i="55"/>
  <c r="I262" i="68"/>
  <c r="O221" i="67" l="1"/>
  <c r="F30" i="69"/>
  <c r="O229" i="67"/>
  <c r="M30" i="69"/>
  <c r="O225" i="67"/>
  <c r="O391" i="55"/>
  <c r="O220" i="67"/>
  <c r="O224" i="67"/>
  <c r="O226" i="67"/>
  <c r="O222" i="67"/>
  <c r="O383" i="67"/>
  <c r="O228" i="67"/>
  <c r="O263" i="67"/>
  <c r="O214" i="67"/>
  <c r="O227" i="67"/>
  <c r="O223" i="67"/>
  <c r="O219" i="67"/>
  <c r="O257" i="67"/>
  <c r="O266" i="68"/>
  <c r="M30" i="55"/>
  <c r="M29" i="67"/>
  <c r="M29" i="68"/>
  <c r="J29" i="68"/>
  <c r="O386" i="68"/>
  <c r="F30" i="55"/>
  <c r="O259" i="55"/>
  <c r="O267" i="55"/>
  <c r="K29" i="67"/>
  <c r="O260" i="68"/>
  <c r="O398" i="69"/>
  <c r="O269" i="69"/>
  <c r="O271" i="69"/>
  <c r="O263" i="69"/>
  <c r="O221" i="55"/>
  <c r="O227" i="55"/>
  <c r="O230" i="55"/>
  <c r="O225" i="55"/>
  <c r="O222" i="55"/>
  <c r="O223" i="55"/>
  <c r="O231" i="55"/>
  <c r="O226" i="55"/>
  <c r="O229" i="55"/>
  <c r="O228" i="55"/>
  <c r="O224" i="55"/>
  <c r="O222" i="68"/>
  <c r="O227" i="68"/>
  <c r="O232" i="68"/>
  <c r="O223" i="68"/>
  <c r="O228" i="68"/>
  <c r="O226" i="68"/>
  <c r="O224" i="68"/>
  <c r="O230" i="68"/>
  <c r="O229" i="68"/>
  <c r="O225" i="68"/>
  <c r="O231" i="68"/>
  <c r="O225" i="69"/>
  <c r="O233" i="69"/>
  <c r="O229" i="69"/>
  <c r="O226" i="69"/>
  <c r="O227" i="69"/>
  <c r="O228" i="69"/>
  <c r="O231" i="69"/>
  <c r="O230" i="69"/>
  <c r="O235" i="69"/>
  <c r="O234" i="69"/>
  <c r="O232" i="69"/>
  <c r="O214" i="55"/>
  <c r="O174" i="55"/>
  <c r="O327" i="55"/>
  <c r="O237" i="55"/>
  <c r="O71" i="55"/>
  <c r="O300" i="55"/>
  <c r="O148" i="55"/>
  <c r="O110" i="55"/>
  <c r="O126" i="55"/>
  <c r="O94" i="55"/>
  <c r="O318" i="55"/>
  <c r="O142" i="55"/>
  <c r="O138" i="55"/>
  <c r="O170" i="55"/>
  <c r="O99" i="55"/>
  <c r="O180" i="55"/>
  <c r="O150" i="55"/>
  <c r="O299" i="55"/>
  <c r="O106" i="55"/>
  <c r="O188" i="55"/>
  <c r="O254" i="55"/>
  <c r="O379" i="55"/>
  <c r="O329" i="55"/>
  <c r="O62" i="55"/>
  <c r="O205" i="55"/>
  <c r="O360" i="55"/>
  <c r="O136" i="55"/>
  <c r="O381" i="55"/>
  <c r="O97" i="55"/>
  <c r="O287" i="55"/>
  <c r="O369" i="55"/>
  <c r="O233" i="55"/>
  <c r="O377" i="55"/>
  <c r="O238" i="55"/>
  <c r="O208" i="55"/>
  <c r="O140" i="55"/>
  <c r="O321" i="55"/>
  <c r="O102" i="55"/>
  <c r="O181" i="55"/>
  <c r="O319" i="55"/>
  <c r="O387" i="55"/>
  <c r="O351" i="55"/>
  <c r="O134" i="55"/>
  <c r="O130" i="69"/>
  <c r="O146" i="69"/>
  <c r="O134" i="69"/>
  <c r="O125" i="69"/>
  <c r="O212" i="67"/>
  <c r="O136" i="69"/>
  <c r="O140" i="69"/>
  <c r="O131" i="69"/>
  <c r="O141" i="69"/>
  <c r="O144" i="69"/>
  <c r="O126" i="69"/>
  <c r="O128" i="69"/>
  <c r="O133" i="69"/>
  <c r="O138" i="69"/>
  <c r="O142" i="69"/>
  <c r="O132" i="69"/>
  <c r="O139" i="69"/>
  <c r="O247" i="55"/>
  <c r="O251" i="55"/>
  <c r="O245" i="55"/>
  <c r="O252" i="55"/>
  <c r="O87" i="55"/>
  <c r="O341" i="55"/>
  <c r="O155" i="55"/>
  <c r="O189" i="55"/>
  <c r="O65" i="55"/>
  <c r="O292" i="55"/>
  <c r="O89" i="55"/>
  <c r="O375" i="55"/>
  <c r="O129" i="55"/>
  <c r="O293" i="55"/>
  <c r="O95" i="55"/>
  <c r="O345" i="55"/>
  <c r="O184" i="55"/>
  <c r="O122" i="55"/>
  <c r="O162" i="55"/>
  <c r="O132" i="55"/>
  <c r="O325" i="55"/>
  <c r="O146" i="55"/>
  <c r="O368" i="55"/>
  <c r="O197" i="55"/>
  <c r="O75" i="55"/>
  <c r="O295" i="55"/>
  <c r="O291" i="55"/>
  <c r="O91" i="55"/>
  <c r="O343" i="55"/>
  <c r="O164" i="55"/>
  <c r="O137" i="55"/>
  <c r="O61" i="55"/>
  <c r="O130" i="55"/>
  <c r="O326" i="55"/>
  <c r="O115" i="55"/>
  <c r="O367" i="55"/>
  <c r="O206" i="55"/>
  <c r="O88" i="55"/>
  <c r="O389" i="55"/>
  <c r="O78" i="55"/>
  <c r="O342" i="55"/>
  <c r="O216" i="55"/>
  <c r="O261" i="55"/>
  <c r="O240" i="55"/>
  <c r="O220" i="55"/>
  <c r="O279" i="55"/>
  <c r="O67" i="55"/>
  <c r="O309" i="55"/>
  <c r="O93" i="55"/>
  <c r="O163" i="55"/>
  <c r="O92" i="55"/>
  <c r="O283" i="55"/>
  <c r="O120" i="55"/>
  <c r="O347" i="55"/>
  <c r="O172" i="55"/>
  <c r="O69" i="55"/>
  <c r="O317" i="55"/>
  <c r="O128" i="55"/>
  <c r="O307" i="55"/>
  <c r="O113" i="55"/>
  <c r="O371" i="55"/>
  <c r="O198" i="55"/>
  <c r="O100" i="55"/>
  <c r="O273" i="55"/>
  <c r="O74" i="55"/>
  <c r="O335" i="55"/>
  <c r="O158" i="55"/>
  <c r="O104" i="55"/>
  <c r="O386" i="55"/>
  <c r="O284" i="55"/>
  <c r="O124" i="55"/>
  <c r="O311" i="55"/>
  <c r="O105" i="55"/>
  <c r="O353" i="55"/>
  <c r="O200" i="55"/>
  <c r="O108" i="55"/>
  <c r="O271" i="55"/>
  <c r="O68" i="55"/>
  <c r="O334" i="55"/>
  <c r="O166" i="55"/>
  <c r="O112" i="55"/>
  <c r="O285" i="55"/>
  <c r="O77" i="55"/>
  <c r="O313" i="55"/>
  <c r="O258" i="55"/>
  <c r="O244" i="55"/>
  <c r="O277" i="55"/>
  <c r="O81" i="55"/>
  <c r="O196" i="55"/>
  <c r="O121" i="55"/>
  <c r="O82" i="55"/>
  <c r="O359" i="55"/>
  <c r="O182" i="55"/>
  <c r="O79" i="55"/>
  <c r="O308" i="55"/>
  <c r="O101" i="55"/>
  <c r="O361" i="55"/>
  <c r="O190" i="55"/>
  <c r="O127" i="55"/>
  <c r="O204" i="55"/>
  <c r="O66" i="55"/>
  <c r="O337" i="55"/>
  <c r="O147" i="55"/>
  <c r="O135" i="55"/>
  <c r="O176" i="55"/>
  <c r="O80" i="55"/>
  <c r="O303" i="55"/>
  <c r="O76" i="55"/>
  <c r="O363" i="55"/>
  <c r="O352" i="55"/>
  <c r="O192" i="55"/>
  <c r="O63" i="55"/>
  <c r="O210" i="55"/>
  <c r="O64" i="55"/>
  <c r="O333" i="55"/>
  <c r="O156" i="55"/>
  <c r="O376" i="55"/>
  <c r="O385" i="55"/>
  <c r="O90" i="55"/>
  <c r="O301" i="55"/>
  <c r="O103" i="55"/>
  <c r="O355" i="55"/>
  <c r="O171" i="55"/>
  <c r="O84" i="55"/>
  <c r="O154" i="55"/>
  <c r="O218" i="69"/>
  <c r="O220" i="69"/>
  <c r="O124" i="69"/>
  <c r="O262" i="68"/>
  <c r="O215" i="68"/>
  <c r="O217" i="68"/>
  <c r="O78" i="69"/>
  <c r="O180" i="69"/>
  <c r="O113" i="69"/>
  <c r="O106" i="69"/>
  <c r="O208" i="69"/>
  <c r="O209" i="69"/>
  <c r="O67" i="69"/>
  <c r="O302" i="69"/>
  <c r="O382" i="69"/>
  <c r="O333" i="69"/>
  <c r="O159" i="69"/>
  <c r="O95" i="69"/>
  <c r="O185" i="69"/>
  <c r="O202" i="69"/>
  <c r="O341" i="69"/>
  <c r="O350" i="69"/>
  <c r="O352" i="69"/>
  <c r="O94" i="69"/>
  <c r="O97" i="69"/>
  <c r="O310" i="69"/>
  <c r="O383" i="69"/>
  <c r="O324" i="69"/>
  <c r="O281" i="69"/>
  <c r="O103" i="69"/>
  <c r="O186" i="69"/>
  <c r="O105" i="69"/>
  <c r="O80" i="69"/>
  <c r="O314" i="69"/>
  <c r="O362" i="69"/>
  <c r="O344" i="69"/>
  <c r="O176" i="69"/>
  <c r="O152" i="69"/>
  <c r="O71" i="69"/>
  <c r="O74" i="69"/>
  <c r="O118" i="69"/>
  <c r="O201" i="69"/>
  <c r="O98" i="69"/>
  <c r="O154" i="69"/>
  <c r="O318" i="69"/>
  <c r="O292" i="69"/>
  <c r="O307" i="69"/>
  <c r="O282" i="69"/>
  <c r="O108" i="69"/>
  <c r="O107" i="69"/>
  <c r="O76" i="69"/>
  <c r="O374" i="69"/>
  <c r="O368" i="69"/>
  <c r="O294" i="69"/>
  <c r="O184" i="69"/>
  <c r="O167" i="69"/>
  <c r="O354" i="69"/>
  <c r="O375" i="69"/>
  <c r="O298" i="69"/>
  <c r="O370" i="69"/>
  <c r="O175" i="69"/>
  <c r="O87" i="69"/>
  <c r="O84" i="69"/>
  <c r="O79" i="69"/>
  <c r="O150" i="69"/>
  <c r="O388" i="69"/>
  <c r="O334" i="69"/>
  <c r="O386" i="69"/>
  <c r="O299" i="69"/>
  <c r="O204" i="69"/>
  <c r="O193" i="69"/>
  <c r="O89" i="69"/>
  <c r="O63" i="69"/>
  <c r="O72" i="69"/>
  <c r="O162" i="69"/>
  <c r="O70" i="69"/>
  <c r="O210" i="69"/>
  <c r="O96" i="69"/>
  <c r="O336" i="69"/>
  <c r="O300" i="69"/>
  <c r="O360" i="69"/>
  <c r="O284" i="69"/>
  <c r="O100" i="69"/>
  <c r="O82" i="69"/>
  <c r="O66" i="69"/>
  <c r="O188" i="69"/>
  <c r="O325" i="69"/>
  <c r="O290" i="69"/>
  <c r="O348" i="69"/>
  <c r="O174" i="69"/>
  <c r="O151" i="69"/>
  <c r="O92" i="69"/>
  <c r="O196" i="69"/>
  <c r="O394" i="69"/>
  <c r="O384" i="69"/>
  <c r="O376" i="69"/>
  <c r="O378" i="69"/>
  <c r="O102" i="69"/>
  <c r="O115" i="69"/>
  <c r="O178" i="69"/>
  <c r="O166" i="69"/>
  <c r="O393" i="69"/>
  <c r="O358" i="69"/>
  <c r="O340" i="69"/>
  <c r="O359" i="69"/>
  <c r="O214" i="69"/>
  <c r="O111" i="69"/>
  <c r="O104" i="69"/>
  <c r="O160" i="69"/>
  <c r="O212" i="69"/>
  <c r="O109" i="69"/>
  <c r="O69" i="69"/>
  <c r="O81" i="69"/>
  <c r="O320" i="69"/>
  <c r="O328" i="69"/>
  <c r="O342" i="69"/>
  <c r="O306" i="69"/>
  <c r="O168" i="69"/>
  <c r="O85" i="69"/>
  <c r="O194" i="69"/>
  <c r="O392" i="69"/>
  <c r="O367" i="69"/>
  <c r="O316" i="69"/>
  <c r="O308" i="69"/>
  <c r="O93" i="69"/>
  <c r="O192" i="69"/>
  <c r="O83" i="69"/>
  <c r="O291" i="69"/>
  <c r="O326" i="69"/>
  <c r="O349" i="69"/>
  <c r="O286" i="69"/>
  <c r="O68" i="69"/>
  <c r="O170" i="69"/>
  <c r="O158" i="69"/>
  <c r="O200" i="69"/>
  <c r="O77" i="69"/>
  <c r="O396" i="69"/>
  <c r="O332" i="69"/>
  <c r="O315" i="69"/>
  <c r="O366" i="69"/>
  <c r="O275" i="69"/>
  <c r="O277" i="69"/>
  <c r="O242" i="69"/>
  <c r="O241" i="69"/>
  <c r="O256" i="69"/>
  <c r="O255" i="69"/>
  <c r="O224" i="69"/>
  <c r="O248" i="69"/>
  <c r="O265" i="69"/>
  <c r="O262" i="69"/>
  <c r="O244" i="69"/>
  <c r="O258" i="69"/>
  <c r="O237" i="69"/>
  <c r="O249" i="69"/>
  <c r="O251" i="69"/>
  <c r="O72" i="67"/>
  <c r="O186" i="67"/>
  <c r="O67" i="67"/>
  <c r="O172" i="67"/>
  <c r="O339" i="67"/>
  <c r="O311" i="67"/>
  <c r="O359" i="67"/>
  <c r="O367" i="67"/>
  <c r="O127" i="67"/>
  <c r="O174" i="67"/>
  <c r="O63" i="67"/>
  <c r="O76" i="67"/>
  <c r="O194" i="67"/>
  <c r="O190" i="67"/>
  <c r="O337" i="67"/>
  <c r="O371" i="67"/>
  <c r="O318" i="67"/>
  <c r="O138" i="67"/>
  <c r="O61" i="67"/>
  <c r="O77" i="67"/>
  <c r="O180" i="67"/>
  <c r="O161" i="67"/>
  <c r="O78" i="67"/>
  <c r="O373" i="67"/>
  <c r="O329" i="67"/>
  <c r="O319" i="67"/>
  <c r="O343" i="67"/>
  <c r="O125" i="67"/>
  <c r="O97" i="67"/>
  <c r="O79" i="67"/>
  <c r="O195" i="67"/>
  <c r="O101" i="67"/>
  <c r="O154" i="67"/>
  <c r="O309" i="67"/>
  <c r="O293" i="67"/>
  <c r="O317" i="67"/>
  <c r="O122" i="67"/>
  <c r="O60" i="67"/>
  <c r="O69" i="67"/>
  <c r="O170" i="67"/>
  <c r="O202" i="67"/>
  <c r="O113" i="67"/>
  <c r="O91" i="67"/>
  <c r="O292" i="67"/>
  <c r="O335" i="67"/>
  <c r="O283" i="67"/>
  <c r="O136" i="67"/>
  <c r="O379" i="67"/>
  <c r="O106" i="67"/>
  <c r="O73" i="67"/>
  <c r="O156" i="67"/>
  <c r="O118" i="67"/>
  <c r="O303" i="67"/>
  <c r="O369" i="67"/>
  <c r="O287" i="67"/>
  <c r="O140" i="67"/>
  <c r="O86" i="67"/>
  <c r="O169" i="67"/>
  <c r="O66" i="67"/>
  <c r="O103" i="67"/>
  <c r="O148" i="67"/>
  <c r="O168" i="67"/>
  <c r="O361" i="67"/>
  <c r="O299" i="67"/>
  <c r="O333" i="67"/>
  <c r="O120" i="67"/>
  <c r="O381" i="67"/>
  <c r="O108" i="67"/>
  <c r="O90" i="67"/>
  <c r="O198" i="67"/>
  <c r="O102" i="67"/>
  <c r="O347" i="67"/>
  <c r="O291" i="67"/>
  <c r="O344" i="67"/>
  <c r="O126" i="67"/>
  <c r="O119" i="67"/>
  <c r="O208" i="67"/>
  <c r="O162" i="67"/>
  <c r="O153" i="67"/>
  <c r="O206" i="67"/>
  <c r="O65" i="67"/>
  <c r="O326" i="67"/>
  <c r="O351" i="67"/>
  <c r="O321" i="67"/>
  <c r="O132" i="67"/>
  <c r="O84" i="67"/>
  <c r="O92" i="67"/>
  <c r="O188" i="67"/>
  <c r="O71" i="67"/>
  <c r="O144" i="67"/>
  <c r="O99" i="67"/>
  <c r="O295" i="67"/>
  <c r="O279" i="67"/>
  <c r="O300" i="67"/>
  <c r="O135" i="67"/>
  <c r="O196" i="67"/>
  <c r="O82" i="67"/>
  <c r="O164" i="67"/>
  <c r="O88" i="67"/>
  <c r="O75" i="67"/>
  <c r="O276" i="67"/>
  <c r="O301" i="67"/>
  <c r="O363" i="67"/>
  <c r="O130" i="67"/>
  <c r="O64" i="67"/>
  <c r="O95" i="67"/>
  <c r="O152" i="67"/>
  <c r="O182" i="67"/>
  <c r="O305" i="67"/>
  <c r="O275" i="67"/>
  <c r="O284" i="67"/>
  <c r="O360" i="67"/>
  <c r="O133" i="67"/>
  <c r="O378" i="67"/>
  <c r="O80" i="67"/>
  <c r="O104" i="67"/>
  <c r="O178" i="67"/>
  <c r="O145" i="67"/>
  <c r="O313" i="67"/>
  <c r="O334" i="67"/>
  <c r="O310" i="67"/>
  <c r="O134" i="67"/>
  <c r="O87" i="67"/>
  <c r="O98" i="67"/>
  <c r="O187" i="67"/>
  <c r="O111" i="67"/>
  <c r="O179" i="67"/>
  <c r="O100" i="67"/>
  <c r="O352" i="67"/>
  <c r="O345" i="67"/>
  <c r="O353" i="67"/>
  <c r="O128" i="67"/>
  <c r="O377" i="67"/>
  <c r="O62" i="67"/>
  <c r="O93" i="67"/>
  <c r="O203" i="67"/>
  <c r="O204" i="67"/>
  <c r="O368" i="67"/>
  <c r="O355" i="67"/>
  <c r="O325" i="67"/>
  <c r="O124" i="67"/>
  <c r="O85" i="67"/>
  <c r="O160" i="67"/>
  <c r="O74" i="67"/>
  <c r="O146" i="67"/>
  <c r="O59" i="67"/>
  <c r="O89" i="67"/>
  <c r="O277" i="67"/>
  <c r="O327" i="67"/>
  <c r="O285" i="67"/>
  <c r="O269" i="67"/>
  <c r="O271" i="67"/>
  <c r="O243" i="67"/>
  <c r="O235" i="67"/>
  <c r="O256" i="67"/>
  <c r="O242" i="67"/>
  <c r="O249" i="67"/>
  <c r="O218" i="67"/>
  <c r="O259" i="67"/>
  <c r="O245" i="67"/>
  <c r="O231" i="67"/>
  <c r="O250" i="67"/>
  <c r="O236" i="67"/>
  <c r="O252" i="67"/>
  <c r="O238" i="67"/>
  <c r="O346" i="68"/>
  <c r="O82" i="68"/>
  <c r="O138" i="68"/>
  <c r="O185" i="68"/>
  <c r="O336" i="68"/>
  <c r="O65" i="68"/>
  <c r="O104" i="68"/>
  <c r="O137" i="68"/>
  <c r="O105" i="68"/>
  <c r="O77" i="68"/>
  <c r="O74" i="68"/>
  <c r="O324" i="68"/>
  <c r="O143" i="68"/>
  <c r="O69" i="68"/>
  <c r="O201" i="68"/>
  <c r="O72" i="68"/>
  <c r="O355" i="68"/>
  <c r="O113" i="68"/>
  <c r="O127" i="68"/>
  <c r="O313" i="68"/>
  <c r="O364" i="68"/>
  <c r="O348" i="68"/>
  <c r="O197" i="68"/>
  <c r="O80" i="68"/>
  <c r="O211" i="68"/>
  <c r="O322" i="68"/>
  <c r="O382" i="68"/>
  <c r="O66" i="68"/>
  <c r="O79" i="68"/>
  <c r="O68" i="68"/>
  <c r="O136" i="68"/>
  <c r="O354" i="68"/>
  <c r="O320" i="68"/>
  <c r="O114" i="68"/>
  <c r="O107" i="68"/>
  <c r="O157" i="68"/>
  <c r="O332" i="68"/>
  <c r="O89" i="68"/>
  <c r="O374" i="68"/>
  <c r="O372" i="68"/>
  <c r="O81" i="68"/>
  <c r="O193" i="68"/>
  <c r="O380" i="68"/>
  <c r="O286" i="68"/>
  <c r="O175" i="68"/>
  <c r="O111" i="68"/>
  <c r="O116" i="68"/>
  <c r="O165" i="68"/>
  <c r="O209" i="68"/>
  <c r="O342" i="68"/>
  <c r="O296" i="68"/>
  <c r="O64" i="68"/>
  <c r="O83" i="68"/>
  <c r="O121" i="68"/>
  <c r="O206" i="68"/>
  <c r="O278" i="68"/>
  <c r="O88" i="68"/>
  <c r="O122" i="68"/>
  <c r="O167" i="68"/>
  <c r="O91" i="68"/>
  <c r="O371" i="68"/>
  <c r="O316" i="68"/>
  <c r="O103" i="68"/>
  <c r="O98" i="68"/>
  <c r="O205" i="68"/>
  <c r="O163" i="68"/>
  <c r="O67" i="68"/>
  <c r="O376" i="68"/>
  <c r="O302" i="68"/>
  <c r="O128" i="68"/>
  <c r="O151" i="68"/>
  <c r="O133" i="68"/>
  <c r="O295" i="68"/>
  <c r="O366" i="68"/>
  <c r="O306" i="68"/>
  <c r="O287" i="68"/>
  <c r="O182" i="68"/>
  <c r="O155" i="68"/>
  <c r="O350" i="68"/>
  <c r="O314" i="68"/>
  <c r="O135" i="68"/>
  <c r="O93" i="68"/>
  <c r="O159" i="68"/>
  <c r="O62" i="68"/>
  <c r="O148" i="68"/>
  <c r="O337" i="68"/>
  <c r="O280" i="68"/>
  <c r="O131" i="68"/>
  <c r="O191" i="68"/>
  <c r="O198" i="68"/>
  <c r="O330" i="68"/>
  <c r="O304" i="68"/>
  <c r="O87" i="68"/>
  <c r="O370" i="68"/>
  <c r="O288" i="68"/>
  <c r="O362" i="68"/>
  <c r="O139" i="68"/>
  <c r="O207" i="68"/>
  <c r="O147" i="68"/>
  <c r="O298" i="68"/>
  <c r="O312" i="68"/>
  <c r="O190" i="68"/>
  <c r="O156" i="68"/>
  <c r="O96" i="68"/>
  <c r="O173" i="68"/>
  <c r="O100" i="68"/>
  <c r="O294" i="68"/>
  <c r="O63" i="68"/>
  <c r="O123" i="68"/>
  <c r="O95" i="68"/>
  <c r="O70" i="68"/>
  <c r="O329" i="68"/>
  <c r="O358" i="68"/>
  <c r="O130" i="68"/>
  <c r="O303" i="68"/>
  <c r="O85" i="68"/>
  <c r="O149" i="68"/>
  <c r="O102" i="68"/>
  <c r="O279" i="68"/>
  <c r="O340" i="68"/>
  <c r="O381" i="68"/>
  <c r="O92" i="68"/>
  <c r="O177" i="68"/>
  <c r="O189" i="68"/>
  <c r="O199" i="68"/>
  <c r="O282" i="68"/>
  <c r="O347" i="68"/>
  <c r="O125" i="68"/>
  <c r="O75" i="68"/>
  <c r="O76" i="68"/>
  <c r="O321" i="68"/>
  <c r="O290" i="68"/>
  <c r="O129" i="68"/>
  <c r="O181" i="68"/>
  <c r="O164" i="68"/>
  <c r="O106" i="68"/>
  <c r="O363" i="68"/>
  <c r="O308" i="68"/>
  <c r="O101" i="68"/>
  <c r="O172" i="68"/>
  <c r="O183" i="68"/>
  <c r="O109" i="68"/>
  <c r="O78" i="68"/>
  <c r="O338" i="68"/>
  <c r="O90" i="68"/>
  <c r="O384" i="68"/>
  <c r="O94" i="68"/>
  <c r="O171" i="68"/>
  <c r="O328" i="68"/>
  <c r="O356" i="68"/>
  <c r="O141" i="68"/>
  <c r="O272" i="68"/>
  <c r="O274" i="68"/>
  <c r="O239" i="68"/>
  <c r="O252" i="68"/>
  <c r="O221" i="68"/>
  <c r="O246" i="68"/>
  <c r="O238" i="68"/>
  <c r="O245" i="68"/>
  <c r="O253" i="68"/>
  <c r="O248" i="68"/>
  <c r="O241" i="68"/>
  <c r="O259" i="68"/>
  <c r="O234" i="68"/>
  <c r="O255" i="68"/>
</calcChain>
</file>

<file path=xl/sharedStrings.xml><?xml version="1.0" encoding="utf-8"?>
<sst xmlns="http://schemas.openxmlformats.org/spreadsheetml/2006/main" count="5680" uniqueCount="1983">
  <si>
    <t>Machinery:</t>
  </si>
  <si>
    <t>MAIN LAND USE</t>
  </si>
  <si>
    <t>Sub-Totals for Diesel Fuel</t>
  </si>
  <si>
    <t>Sub-Totals for Machinery</t>
  </si>
  <si>
    <t>Maintenance:</t>
  </si>
  <si>
    <t>Sub-Totals for Maintenance</t>
  </si>
  <si>
    <t>MJ/ha.a</t>
  </si>
  <si>
    <t>MJ/MJ</t>
  </si>
  <si>
    <t>kg CO2/MJ</t>
  </si>
  <si>
    <t>kg CH4/MJ</t>
  </si>
  <si>
    <t>kg N2O/MJ</t>
  </si>
  <si>
    <t>MJ/hr</t>
  </si>
  <si>
    <t>% of machinery</t>
  </si>
  <si>
    <t>NET TOTALS</t>
  </si>
  <si>
    <t>kg N/ha.a</t>
  </si>
  <si>
    <t>kg/ha.a</t>
  </si>
  <si>
    <t>MJ/kg</t>
  </si>
  <si>
    <t>kg CO2/kg</t>
  </si>
  <si>
    <t>MJ/t-km</t>
  </si>
  <si>
    <t>TOTALS</t>
  </si>
  <si>
    <t>CULTIVATION</t>
  </si>
  <si>
    <t>Value (%)</t>
  </si>
  <si>
    <t>Primary Energy Input</t>
  </si>
  <si>
    <t>Carbon Dioxide Emissions</t>
  </si>
  <si>
    <t>Methane Emissions</t>
  </si>
  <si>
    <t>Nitrous Oxide Emissions</t>
  </si>
  <si>
    <t>Total Greenhouse Gas Emissions</t>
  </si>
  <si>
    <t>SUB-TOTALS FOR CULTIVATION</t>
  </si>
  <si>
    <t>Notes</t>
  </si>
  <si>
    <t>References</t>
  </si>
  <si>
    <t>"Alternative Road Transport Fuels - A Preliminary life-Cycle Study for the UK" by M. P. Gover, S. A. Collings, G. S. Hitchcock, D. P. Moon and G. T. Williams, Report ETSU-R-92, Volume 2, Energy Technology Support unit, Harwell, United Kingdom, March 1996.</t>
  </si>
  <si>
    <t>"Carbon and Energy Modelling of Biomass Systems: Conversion Plant and Data Updates" by N. D. Mortimer and M. A. Elsayed, ETSU Report B/U1/00644/00/00REP, Energy Technology Support Unit, Harwell, United Kingdom, August 2001.</t>
  </si>
  <si>
    <t>"Nachwachsende Energietrager - Grundlagen, Verfaben, Okologische Bilanzierung" (Renewable Energy Sources, Basis, Processes and Ecological Balances) by M. Kaltschmitt and G. Reinhardt (editors), Vieweg, Braunschweig/Weissbaden, Germany, 1997.</t>
  </si>
  <si>
    <t>"Methodology for Environmental Profiles of Construction Materials, Components and Buildings" Centre for Sustainable Construction at the Building Research Establishment Ltd., CRC Ltd., London, United Kingdom, 2000.</t>
  </si>
  <si>
    <t>ROAD TRANSPORT TO PLANT (Stage 1)</t>
  </si>
  <si>
    <t>"Digest of United Kingdom Energy Statistics, 1999" Department of Trade and Industry, HMSO, London, United Kingdom, 2000.</t>
  </si>
  <si>
    <t>"Evaluation of the Comparative Energy, Global Warming and Social Costs and Benefits of Biodiesel" by N. D. Mortimer, P. Cormack, M. A. Elsayed and R. E. Horne, Resources Research Unit, Sheffield Hallam University, United Kingdom, January 2003.</t>
  </si>
  <si>
    <t>"Well-to-Wheels Analysis of Future Automotive Fuels and Powertrains in the European Context: Tank-to-Wheels Report (Version 1)" by R. Edwards, J.-C. Griesemann, J.-F. Larive and V. Mahieu, Institute for Environment and Sustainability, Joint Research centre, Ispra, Italy, December 2003.</t>
  </si>
  <si>
    <t>%</t>
  </si>
  <si>
    <t>Process Stage</t>
  </si>
  <si>
    <t>Carbon Dioxide</t>
  </si>
  <si>
    <t>Cultivation</t>
  </si>
  <si>
    <t>TRANSPORT TO PLANT (Stage 2)</t>
  </si>
  <si>
    <t>ROAD TRANSPORT TO PLANT (Stage 2)</t>
  </si>
  <si>
    <t>For a more detailed summary of primary energy inputs and greenhouse gas emissions see below; for detailed information on each process stage, see appropriate sheet of workbook.</t>
  </si>
  <si>
    <t>Plant Construction</t>
  </si>
  <si>
    <t>Plant Maintenance</t>
  </si>
  <si>
    <t>Plant Decommissioning</t>
  </si>
  <si>
    <t xml:space="preserve"> - Plant Construction</t>
  </si>
  <si>
    <t xml:space="preserve"> - Plant Maintenance</t>
  </si>
  <si>
    <t xml:space="preserve"> - Plant Decommissioning</t>
  </si>
  <si>
    <t>Plant</t>
  </si>
  <si>
    <t>"Comparison of Transport Fuels: Life-Cycle Emissions Analysis of Alternative Fuels for Heavy Vehicles" by T. Beer, T. Grant, G. Morgan, J. Lapszewicz, P. Anyon, J. Edwards, P. Nelson, H. Watson and D. Williams, CSIRO, Aspendale, Australia, 2002.</t>
  </si>
  <si>
    <t>"Dungemittel- Energie- und Stoffstrombilanzen" (Fertilisers - Energy and Materials Balance) by A. Patyk and G. A. Reinhardt, Vieweg Umweltwissenschaften, Braunschweig/Wiesbaden, Germany, 1997.</t>
  </si>
  <si>
    <t>"Energy Analysis of Burner Reactor Power Systems" by N. D. Mortimer, PhD Thesis, Open University, Milton Keynes, United Kingdom, 1977.</t>
  </si>
  <si>
    <t>"Energy and Carbon Analysis of Using Straw as a Fuel" by J. F. Grant, R. Hetherington, R. E. Horne and N. D. Mortimer, ETSU Report B/M4/00487/01/REP, Energy Technology Support Unit, Harwell, United Kingdom, 1995.</t>
  </si>
  <si>
    <t>"Primary Energy and Greenhouse Gas Emission Multiplier for Products and Services, United Kingdom, 2004" NF0614stat0401.xls by Nigel Mortimer, North Energy Associates for National Non-Food Cereal Crops.</t>
  </si>
  <si>
    <t>"Digest of United Kingdom Energy Statistics, 2004" Department of Trade and Industry, HMSO, London, United Kingdom.</t>
  </si>
  <si>
    <t>National Statistics Producer Price Indices Data for April 2005</t>
  </si>
  <si>
    <t>Central Science Laboratory's Pesticide Usage Statistics, http://pusstats.csl.gov.uk, accessed April 2006</t>
  </si>
  <si>
    <t>Transport References</t>
  </si>
  <si>
    <t>T1</t>
  </si>
  <si>
    <t>"Methodology for Environmental Profiles of Construction Materials, Components and Buildings" Centre for Sustainable Construction at the Building Research Establishment Ltd., United Kingdom, 2000.</t>
  </si>
  <si>
    <t>T2</t>
  </si>
  <si>
    <t>"The Energy Costs of Road and Rail Freight Transport, UK 1968" by N. D. Mortimer, Report ERG004, The Open University, Milton Keynes, United Kingdom, February 1974.</t>
  </si>
  <si>
    <t>T3</t>
  </si>
  <si>
    <t>T4</t>
  </si>
  <si>
    <t>T5</t>
  </si>
  <si>
    <t>"Guidelines for Company Reporting on Greenhouse Gas Emissions", www.defra.gov.uk/environment/envrp/gas/05.htm, accessed 20 August 2004.</t>
  </si>
  <si>
    <t>T6</t>
  </si>
  <si>
    <t>"Gross Energy Requirements of Marine Transport" by N. D. Mortimer, ERG Report 007, Energy Research Group, Open University, Milton Keynes, United Kingdom, November 1974.</t>
  </si>
  <si>
    <t>T7</t>
  </si>
  <si>
    <t>"An Input-Output Analysis of Carbon Dioxide Emissions for the United Kingdom" by R. Hetherington, Energy Conversion and Management, Vol. 37, Nos. 6 - 8, pp. 979 -984, 1996.</t>
  </si>
  <si>
    <t>T8</t>
  </si>
  <si>
    <t>"Comparison of Greenhouse Gas Emissions from Forest Operations in Finland and Sweden" by S. Berg and T. Karjalainen, Forestry, Vol. 76, No. 3, 2003.</t>
  </si>
  <si>
    <t>T9</t>
  </si>
  <si>
    <t>Power References</t>
  </si>
  <si>
    <t>P1</t>
  </si>
  <si>
    <t>"Energy and Greenhouse Gas Emissions for Bioethanol Production from Wheat Grain and Sugar Beet" by N. D. Mortimer, M. A. Elsayed and R. E. Horne, Final Report for British Sugar by the Resources Research Unit, Sheffield Hallam University, United Kingdom, January 2004.</t>
  </si>
  <si>
    <t>P2</t>
  </si>
  <si>
    <t>P3</t>
  </si>
  <si>
    <t>P4</t>
  </si>
  <si>
    <t>P5</t>
  </si>
  <si>
    <t>kg CO2/kg N</t>
  </si>
  <si>
    <t>kg CO2/kg P2O5</t>
  </si>
  <si>
    <t>Ammonium Nitrate spreadsheet; NF0614NFert01.xls from the "Environmental Assessment Tool for Biomaterials" by North Energy Associates Ltd., Contract No. NF0614 for the Department for Environment, Food and Rural Affairs, London, United Kingdom, 2006.</t>
  </si>
  <si>
    <t>Phosphate spreadsheet; NF0614PFert01.xls from the "Environmental Assessment Tool for Biomaterials" by North Energy Associates Ltd., Contract No. NF0614 for the Department for Environment, Food and Rural Affairs, London, United Kingdom, 2006.</t>
  </si>
  <si>
    <t>Potash spreadsheet; NF0614KFert01.xls from the "Environmental Assessment Tool for Biomaterials" by North Energy Associates Ltd., Contract No. NF0614 for the Department for Environment, Food and Rural Affairs, London, United Kingdom, 2006.</t>
  </si>
  <si>
    <t>Boiler</t>
  </si>
  <si>
    <t>"Energy and Greenhouse Gas Emissions for Bioethanol Production from Wheat Grain and Sugar Beet" by N. D. Mortimer, M. A. Elsayed and R. E. Horne, Report No. 23/1 for British Sugar plc, Peterborough, United Kingdom, January 2004.</t>
  </si>
  <si>
    <t>"Carbon and Energy Balances for a Range of Biofuels Options" by M. A. Elsayed, R. Matthews and N. D. Mortimer, Report B/B6/00784/REP, Energy Technology Support Unit, Harwell, United Kingdom, March 2003.</t>
  </si>
  <si>
    <t>"Handbook of Industrial Energy Analysis" by I. Boustead and G. Hancock, Ellis Horwood, Chichester, United Kingdom, 1979.</t>
  </si>
  <si>
    <t>Primary Energy Input (MJ/t-km)</t>
  </si>
  <si>
    <t>Road Transport</t>
  </si>
  <si>
    <t>Diesel fuel consumption of bulk freight road transport (Ref. T3)</t>
  </si>
  <si>
    <t>Total energy requirement of vehicle manufacture for bulk freight road transport (Ref. T3)</t>
  </si>
  <si>
    <t>Carbon requirement of vehicle manufacture for bulk freight road transport (Ref. T3 and T7)</t>
  </si>
  <si>
    <t>Methane requirement of vehicle manufacture for bulk freight road transport (Ref. T3 and T7)</t>
  </si>
  <si>
    <t>Nitrous oxide requirement of vehicle manufacture for bulk freight road transport (Ref. T3 and T7)</t>
  </si>
  <si>
    <t>Based on 2% of the carbon requirement of vehicle manufacture for bulk freight road transport (Ref. T3 and T7)</t>
  </si>
  <si>
    <t>Reference System References</t>
  </si>
  <si>
    <t>R1</t>
  </si>
  <si>
    <t>"Comparative Life-Cycle Assessment of Diesel and Biodiesel" by C. Spirinckx and D. Ceuterick, VITO (Flemish Institute for Technological Research, Mol, Belgium, 1996.</t>
  </si>
  <si>
    <t>R2</t>
  </si>
  <si>
    <t>"Farm Management Pocketbook" by J. Nix with P. Hill, 36th Edition, Wye College, University of London, London, United Kingdom, September 2005.</t>
  </si>
  <si>
    <t>R3</t>
  </si>
  <si>
    <t>R4</t>
  </si>
  <si>
    <t>R5</t>
  </si>
  <si>
    <t>R6</t>
  </si>
  <si>
    <t>R7</t>
  </si>
  <si>
    <t>"UK Case Study: The Greenhouse Gas and Energy Benefits of a Miscanthus and a Wood-fuelled Heating System" ADAS Bio-Renewables Ltd., Aberystwyth, United Kingdom, June 2004.</t>
  </si>
  <si>
    <t>R8</t>
  </si>
  <si>
    <t>R9</t>
  </si>
  <si>
    <t>Version</t>
  </si>
  <si>
    <t>Description</t>
  </si>
  <si>
    <t>Person</t>
  </si>
  <si>
    <t>Date</t>
  </si>
  <si>
    <t>Sent To</t>
  </si>
  <si>
    <t>Based on 2% of the methane requirement of vehicle manufacture for bulk freight road transport (Ref. T3 and T7)</t>
  </si>
  <si>
    <t>Based on 2% of the nitrous oxide requirement of vehicle manufacture for bulk freight road transport (Ref. T3 and T7)</t>
  </si>
  <si>
    <t>Gas Boiler Heat Supply</t>
  </si>
  <si>
    <t>Grid Electricity Supply</t>
  </si>
  <si>
    <t>CHP Heat Supply</t>
  </si>
  <si>
    <t>Electricity Input</t>
  </si>
  <si>
    <t>Heat Input</t>
  </si>
  <si>
    <t xml:space="preserve">                         Boiler Thermal Input Rating =</t>
  </si>
  <si>
    <t xml:space="preserve">     Boiler Thermal Efficiency =</t>
  </si>
  <si>
    <t xml:space="preserve">      Boiler Load Factor =</t>
  </si>
  <si>
    <t xml:space="preserve">   Boiler Life =</t>
  </si>
  <si>
    <t>(one selection only)</t>
  </si>
  <si>
    <t>Stage</t>
  </si>
  <si>
    <t>Parameter</t>
  </si>
  <si>
    <t>Data entry</t>
  </si>
  <si>
    <t>Choice/units</t>
  </si>
  <si>
    <t>Parameter name</t>
  </si>
  <si>
    <t>yes/no</t>
  </si>
  <si>
    <t>Pick list</t>
  </si>
  <si>
    <t>road/rail/barge/ship</t>
  </si>
  <si>
    <t>tr_f_pl_1_mode</t>
  </si>
  <si>
    <t>road</t>
  </si>
  <si>
    <t>Average round trip distance</t>
  </si>
  <si>
    <t>tr_f_pl_1_km</t>
  </si>
  <si>
    <t>Losses</t>
  </si>
  <si>
    <t>tr_f_pl_1_loss</t>
  </si>
  <si>
    <t>tr_f_pl_2_mode</t>
  </si>
  <si>
    <t>tr_f_pl_2_km</t>
  </si>
  <si>
    <t>tr_f_pl_2_loss</t>
  </si>
  <si>
    <t>tr_pl_dtb_1_mode</t>
  </si>
  <si>
    <t>tr_pl_dtb_1_km</t>
  </si>
  <si>
    <t>tr_pl_dtb_1_loss</t>
  </si>
  <si>
    <t>tr_pl_dtb_2_mode</t>
  </si>
  <si>
    <t>tr_pl_dtb_2_km</t>
  </si>
  <si>
    <t>tr_pl_dtb_2_loss</t>
  </si>
  <si>
    <t>Losses in processing</t>
  </si>
  <si>
    <t>Production plant</t>
  </si>
  <si>
    <t>func_unit</t>
  </si>
  <si>
    <t>value</t>
  </si>
  <si>
    <t>CHP unit</t>
  </si>
  <si>
    <t xml:space="preserve">   Boiler Heat Output Rating =</t>
  </si>
  <si>
    <t>Summary of Primary Energy Inputs and Greenhouse Gas Emissions Ranges</t>
  </si>
  <si>
    <t xml:space="preserve"> </t>
  </si>
  <si>
    <t xml:space="preserve">  </t>
  </si>
  <si>
    <t xml:space="preserve">  %</t>
  </si>
  <si>
    <t>TRANSPORT TO PLANT (Stage 1)</t>
  </si>
  <si>
    <t>(one mode only)</t>
  </si>
  <si>
    <t xml:space="preserve">         Losses =</t>
  </si>
  <si>
    <t>TRANSPORT TO DISTRIBUTION POINT (Stage 1)</t>
  </si>
  <si>
    <t>TRANSPORT TO DISTRIBUTION POINT (Stage 2)</t>
  </si>
  <si>
    <t>1 tonne-kilometre (round trip; full outward and empty return)</t>
  </si>
  <si>
    <t>UK</t>
  </si>
  <si>
    <t>Bulk freight rail transport</t>
  </si>
  <si>
    <t>Primary Energy Input (MJ/t-km round trip)</t>
  </si>
  <si>
    <t>Carbon Dioxide Emissions (kg CO2/t-km round trip)</t>
  </si>
  <si>
    <t>Methane Emissions (kg CH4/t-km round trip)</t>
  </si>
  <si>
    <t>Nitrous Oxide Emissions (kg N2O/t-km round trip)</t>
  </si>
  <si>
    <t>Bulk Freight Rail Transport</t>
  </si>
  <si>
    <t xml:space="preserve"> - Gas Oil</t>
  </si>
  <si>
    <t>MJ/t-km (round trip)</t>
  </si>
  <si>
    <t>Boiler Thermal Input Rating (MW)</t>
  </si>
  <si>
    <t>Primary Energy Input (MJ/t)</t>
  </si>
  <si>
    <t>Carbon Dioxide Emissions (kg CO2/t)</t>
  </si>
  <si>
    <t>Methane Emissions (kg CH4/t)</t>
  </si>
  <si>
    <t>Heat Boiler and Grid Electricity</t>
  </si>
  <si>
    <t>MJ/t</t>
  </si>
  <si>
    <t>Electricity</t>
  </si>
  <si>
    <t>MJ/kWh</t>
  </si>
  <si>
    <t>kg CO2/kWh</t>
  </si>
  <si>
    <t>kg CH4/kWh</t>
  </si>
  <si>
    <t>kg N2O/kWh</t>
  </si>
  <si>
    <t>MJ/£</t>
  </si>
  <si>
    <t>kg CO2/£</t>
  </si>
  <si>
    <t>kg CH4/£</t>
  </si>
  <si>
    <t>kg N2O/£</t>
  </si>
  <si>
    <t>Assuming annual plant maintenance as a percentage of the primary energy input to plant construction (Ref. P5)</t>
  </si>
  <si>
    <t>Nitrous Oxide Emissions (kg N2O/t)</t>
  </si>
  <si>
    <t>Combined Heat and Power</t>
  </si>
  <si>
    <t>1 kWh of heat or electricity (net)</t>
  </si>
  <si>
    <t>Means of Supply</t>
  </si>
  <si>
    <t>Value (kWh/kWh)</t>
  </si>
  <si>
    <t>Value (kg CO2/kWh)</t>
  </si>
  <si>
    <t>Range +/- (kg CO2/kWh)</t>
  </si>
  <si>
    <t>Value (kg CH4/kWh)</t>
  </si>
  <si>
    <t>Range +/- (kg CH4/kWh)</t>
  </si>
  <si>
    <t>Value (kg N2O/kWh)</t>
  </si>
  <si>
    <t>Range +/- (kg N2O/kWh)</t>
  </si>
  <si>
    <t>Boiler and Grid Electricity</t>
  </si>
  <si>
    <t>Heat Supply</t>
  </si>
  <si>
    <t>Electricity Supply</t>
  </si>
  <si>
    <t>Electricity Internal Supply</t>
  </si>
  <si>
    <t>Electricity Surplus (Credit)</t>
  </si>
  <si>
    <t>Range+/-</t>
  </si>
  <si>
    <t xml:space="preserve">Range +/- </t>
  </si>
  <si>
    <t>CHP Electricity Surplus (Credit)</t>
  </si>
  <si>
    <t>Electricity Sales</t>
  </si>
  <si>
    <t>Electricity Credit</t>
  </si>
  <si>
    <t>Unit electricity surplus specified in "Unit Flow Chart" worksheet.</t>
  </si>
  <si>
    <t>"Well-to-Wheel Evaluation for Production of Ethanol from Wheat" by G. Punter, D. Rickeard, J.-F. Larive, R. Edwards, N. D. Mortimer, R. E. Horne, A. Bauen and J. Woods, Report by the LowCVP Fuels Working Group, WTW Sub-Group, FWG-P-04-024, Low Carbon Vehicle Partnership, London, United Kingdom, October 2004.</t>
  </si>
  <si>
    <t xml:space="preserve"> - Capital Equipment</t>
  </si>
  <si>
    <t>kg CO2/t-km (round trip)</t>
  </si>
  <si>
    <t>kg CH4/t-km (round trip)</t>
  </si>
  <si>
    <t>kg N2O/t-km (round trip)</t>
  </si>
  <si>
    <t xml:space="preserve"> - Maintenance</t>
  </si>
  <si>
    <t>% of capital equipment</t>
  </si>
  <si>
    <t>Bulk freight barge transport</t>
  </si>
  <si>
    <t>Bulk Freight Barge Transport</t>
  </si>
  <si>
    <t xml:space="preserve"> - Marine Diesel</t>
  </si>
  <si>
    <t xml:space="preserve"> - Barge Construction</t>
  </si>
  <si>
    <t xml:space="preserve"> - Barge Maintenance</t>
  </si>
  <si>
    <t>Bulk Freight Ship Transport</t>
  </si>
  <si>
    <t xml:space="preserve"> - Ship Construction</t>
  </si>
  <si>
    <t xml:space="preserve"> - Ship Maintenance</t>
  </si>
  <si>
    <t>£/t</t>
  </si>
  <si>
    <t>Allocation Parameters</t>
  </si>
  <si>
    <t>Allocation %</t>
  </si>
  <si>
    <t>"Advances in Wafering Technology" by R. J. Bass, P. G. Williams and D. A. G. Brown, Stamford Consulting Group, TSU B/SF/00202/REP, 1993</t>
  </si>
  <si>
    <t>Data from Reference System of Workbook for On-Farm Anaerobic Digestion of Dairy Manure with Combined Heat and Power Generation, dm_of_chp.xls, 21 June 2007.</t>
  </si>
  <si>
    <t>"Facilitating Carbon Assurance Schemes: Feedstock Production" by D. Kindred, ADAS, Draft Final Report on HGCA Project MD-0607-0033, April 2007.</t>
  </si>
  <si>
    <r>
      <t>"IPCC Guidelines for National Greenhouse Gas Inventories: Volume 4: Agriculture, Forestry and Other Land Use - Chapter 11: N</t>
    </r>
    <r>
      <rPr>
        <vertAlign val="subscript"/>
        <sz val="10"/>
        <rFont val="Arial"/>
        <family val="2"/>
      </rPr>
      <t>2</t>
    </r>
    <r>
      <rPr>
        <sz val="10"/>
        <rFont val="Arial"/>
        <family val="2"/>
      </rPr>
      <t>O Emissions from Managed Soils, and CO</t>
    </r>
    <r>
      <rPr>
        <vertAlign val="subscript"/>
        <sz val="10"/>
        <rFont val="Arial"/>
        <family val="2"/>
      </rPr>
      <t>2</t>
    </r>
    <r>
      <rPr>
        <sz val="10"/>
        <rFont val="Arial"/>
        <family val="2"/>
      </rPr>
      <t xml:space="preserve"> Emissions from Lime and Urea Production" Inter-governmental Panel on Climate Change, 2006.</t>
    </r>
  </si>
  <si>
    <t>Description of Functional Unit:</t>
  </si>
  <si>
    <t>Relevant Location:</t>
  </si>
  <si>
    <t>Relevant Period:</t>
  </si>
  <si>
    <t>Final Unit of Measurement:</t>
  </si>
  <si>
    <t>Input</t>
  </si>
  <si>
    <t>Contribution</t>
  </si>
  <si>
    <t>Units</t>
  </si>
  <si>
    <t>Primary Energy Multiplier</t>
  </si>
  <si>
    <t>Value</t>
  </si>
  <si>
    <t>Range +/-</t>
  </si>
  <si>
    <t>Primary Energy Input (MJ/ha.a)</t>
  </si>
  <si>
    <t>Carbon Dioxide Multiplier</t>
  </si>
  <si>
    <t>Carbon Dioxide Emissions (kg CO2/ha.a)</t>
  </si>
  <si>
    <t>Methane Multiplier</t>
  </si>
  <si>
    <t>Methane Emissions (kg CH4/ha.a)</t>
  </si>
  <si>
    <t>Nitrous Oxide Multiplier</t>
  </si>
  <si>
    <t>Nitrous Oxide Emissions (kg N2O/ha.a)</t>
  </si>
  <si>
    <t>Global Warming Potentials</t>
  </si>
  <si>
    <t>Variable input</t>
  </si>
  <si>
    <t>Replacement Generation</t>
  </si>
  <si>
    <t>LCA Options</t>
  </si>
  <si>
    <t>Net Grid</t>
  </si>
  <si>
    <t>Yes/No</t>
  </si>
  <si>
    <t>Yes =1, No = 0</t>
  </si>
  <si>
    <t>Gross Grid</t>
  </si>
  <si>
    <t>Pick List</t>
  </si>
  <si>
    <t>Allocation</t>
  </si>
  <si>
    <t>Replacement Generation/Net Grid/Gross Grid</t>
  </si>
  <si>
    <t>Credit</t>
  </si>
  <si>
    <t>Default surplus electricity credit procedure applied involves the use of the CHP fuel to generate electricity only, as specified in the EC Renewable Energy Directive methodology (Ref. ASC3).  The use of credits based on net grid electricity displacement reflects the approach used in the BEAT (Ref. ASC5).  The use of credits based on gross grid electricity displacement reflects the approach used in PAS 2050 (Ref. ASC4, p. 22).</t>
  </si>
  <si>
    <t>CHP plant</t>
  </si>
  <si>
    <t>Default values based on a conventional natural gas-fired boiler (Ref. 22).</t>
  </si>
  <si>
    <t>Bioethanol Production</t>
  </si>
  <si>
    <t>Price used for allocation</t>
  </si>
  <si>
    <t>Substitution credit used for allocation</t>
  </si>
  <si>
    <t>Anaerobic digestion</t>
  </si>
  <si>
    <t>Anaerobic Digestion</t>
  </si>
  <si>
    <t>biogas_gen</t>
  </si>
  <si>
    <t>biogas_ch4</t>
  </si>
  <si>
    <t>wwt_elec</t>
  </si>
  <si>
    <t>vinasse_loss</t>
  </si>
  <si>
    <t>vinasse_COD</t>
  </si>
  <si>
    <t xml:space="preserve">Biomass/Natural Gas-fired Boiler and Grid Electricity = </t>
  </si>
  <si>
    <t xml:space="preserve">           Biomass/Natural Gas-fired Combined Heat and Power Plant = </t>
  </si>
  <si>
    <t>FERMENTATION</t>
  </si>
  <si>
    <t xml:space="preserve"> %</t>
  </si>
  <si>
    <t xml:space="preserve">Carbon Dioxide = </t>
  </si>
  <si>
    <t>Water</t>
  </si>
  <si>
    <t xml:space="preserve">Total Volume of Fermentation Broth = </t>
  </si>
  <si>
    <t>http://www.andrew.cmu.edu/user/jitkangl/Fermentation%20of%20Ethanol/Fermentation%20of%20Ethanol.htm</t>
  </si>
  <si>
    <t>ferment_heat</t>
  </si>
  <si>
    <t>ferment_elec</t>
  </si>
  <si>
    <t>carbondioxide_emit</t>
  </si>
  <si>
    <t>h_req_ws</t>
  </si>
  <si>
    <t>e_req_ws</t>
  </si>
  <si>
    <t>"Simulation of ethanol production from sugarcane in Brazil: economic study of an autonomous distillery", 20th European Symposium on Computer Aided Process Engineering – ESCAPE20 S. Pierucci and G. Buzzi Ferraris (Editors) Marina O.S. Diasa,b, Marcelo P. Cunhaa, Charles D.F. Jesusa, Mirna I.G.
Scandiffioa, Carlos E.V. Rossella,b, Rubens Maciel Filhob, Antonio Bonomia, 2010</t>
  </si>
  <si>
    <t>"Phyllis Database for Biomass and Waste" www.ecn.nl/phyllis, Energy Research Centre of the Netherlands</t>
  </si>
  <si>
    <t>Waste Water Treatment - Vinasses</t>
  </si>
  <si>
    <t>"Vinasses Biological Treatment by Anaerobic and Aerobic Processes: Laboratory and Pilot-Plant Tests," C. D. de Baztia, M. A. Cabrero and H. M. Poggi, Bioresource Technology, 1991.</t>
  </si>
  <si>
    <t>CV_biogas</t>
  </si>
  <si>
    <t>Baltic biogas bus source http://www.balticbiogasbus.eu/web/about-biogas.aspx (accessed 15/02/2011)</t>
  </si>
  <si>
    <t>total_solids</t>
  </si>
  <si>
    <r>
      <rPr>
        <i/>
        <sz val="10"/>
        <rFont val="Arial"/>
        <family val="2"/>
      </rPr>
      <t>"</t>
    </r>
    <r>
      <rPr>
        <sz val="10"/>
        <rFont val="Arial"/>
        <family val="2"/>
      </rPr>
      <t>Handbook of transport and the environment</t>
    </r>
    <r>
      <rPr>
        <i/>
        <sz val="10"/>
        <rFont val="Arial"/>
        <family val="2"/>
      </rPr>
      <t xml:space="preserve">" </t>
    </r>
    <r>
      <rPr>
        <sz val="10"/>
        <rFont val="Arial"/>
        <family val="2"/>
      </rPr>
      <t xml:space="preserve">by David A. Hensher, Kenneth J. Button, Emerald Group Publishing, page 168, 2003.  ISBN 0080441033. </t>
    </r>
  </si>
  <si>
    <t>"Energy and commodity balances, conversion factors and calorific values," Annex A.1,  Digest of United Kingdom energy statistics (DUKES), 2010 [http://www.decc.gov.uk/assets/decc/Statistics/publications/dukes/314-dukes-2010-ann-a.pdf, accessed 20/04/11]</t>
  </si>
  <si>
    <t>CV_methane</t>
  </si>
  <si>
    <t>MJ/kg steam</t>
  </si>
  <si>
    <t>steam_heat</t>
  </si>
  <si>
    <t>"Variations of Solvent Yield in Acetone-Butanol Fermentation" by L Yerushalmi, B Volesky, WK Leung and RJ Neufeld, Eur J Appl Microbiol Biotechnol Vol 18, pp 279-286 1983</t>
  </si>
  <si>
    <t>" Cogeneration - A New Source of Income for Sugar and Ethanol Mills or Bioelectricity - A New Business" by Jose Luiz Oliverio and Flavio Maltempi Ferreira, Proc. Int. Soc. Sugar Cane Technol., Vol. 27, 2010</t>
  </si>
  <si>
    <t>"Expansion of Sugacane Ethanol production in Brazil: Environmental and Social Challenges" by Luiz A. Martinelli and Solange Filoso, Ecological Applications, 18(4), 2008, pp. 885–898</t>
  </si>
  <si>
    <t>prod_pl_life_sc</t>
  </si>
  <si>
    <t>prod_pl_op_time_sc</t>
  </si>
  <si>
    <t>use_chp_sc</t>
  </si>
  <si>
    <t>chp_weight_sc</t>
  </si>
  <si>
    <t>boiler_eff_sc</t>
  </si>
  <si>
    <t>chp_eff_sc</t>
  </si>
  <si>
    <t>chp_h_to_p_sc</t>
  </si>
  <si>
    <t>distil_heat</t>
  </si>
  <si>
    <t>distil_elec</t>
  </si>
  <si>
    <t>Default value assumed to be £494 per tonne</t>
  </si>
  <si>
    <t>ferm_loss</t>
  </si>
  <si>
    <t>distil_loss</t>
  </si>
  <si>
    <t>price_be_sc</t>
  </si>
  <si>
    <t>CV_be</t>
  </si>
  <si>
    <t>Greenhouse Gas Balance for the German Biofuels Quota Legislation - Methodology, Guidance and Default Values - Prepared for the Federal Environment Agency Germany" by Horst Fehrenbach, Jugen Giegrich, Sven Gartner, Guildo Reinhardt and Nils Rettenmaier, December 2007.</t>
  </si>
  <si>
    <t>Default assumes net calorific value of 26700 MJ/t for bioethanol (Ref 45)</t>
  </si>
  <si>
    <t>http://www.sugarcanecrops.com/agronomic_practices/harvesting_management accessed 04/05/11</t>
  </si>
  <si>
    <t>"Synthesis and parameter optimization of a combined sugar and ethanol production process integrated with CHP system" by Matteo Morandin, Andrea Toffolo, Andrea Lazzaretto, François Maréchal, Adriano V. Ensinas and Silvia A. Nebra, Journal of Energy (Article in Press), 2010.</t>
  </si>
  <si>
    <t>http://en.wikipedia.org/wiki/Sugarcane accessed 06/05/11</t>
  </si>
  <si>
    <t>T10</t>
  </si>
  <si>
    <t>Transport</t>
  </si>
  <si>
    <t>To Distribution</t>
  </si>
  <si>
    <t>tr_f_pl_1_truck</t>
  </si>
  <si>
    <t>tr_f_pl_2_truck</t>
  </si>
  <si>
    <t>tr_pl_dtb_1_truck</t>
  </si>
  <si>
    <t>tr_pl_dtb_2_truck</t>
  </si>
  <si>
    <t>http://www.renewablefuelsagency.gov.uk/carboncalculator - Default values accessed 09/05/11</t>
  </si>
  <si>
    <t>http://www.portworld.com/map/ accessed 09/05/11</t>
  </si>
  <si>
    <t>Allocation and Substitution Credit References</t>
  </si>
  <si>
    <t>ASC1</t>
  </si>
  <si>
    <t>"Carbon and Sustainability Reporting within the Renewable Transport Fuel Obligation: Technical Guidance part Two - Carbon Reporting - Default Values and Fuel Chains, v1.2, Office of the Renewable Fuels Agency, 1st April 2008</t>
  </si>
  <si>
    <t>ASC2</t>
  </si>
  <si>
    <t>"Energy Requirement and GHG Emissions for Marginal Gasoline and Diesel Fuel Production" Appendix 3 Well-to-Wheels analysis of future automotive fuels and powertrains in the European context WELL-TO-TANK Report Version 2c, Institute for Environment and Sustainability, March 2007</t>
  </si>
  <si>
    <t>ASC3</t>
  </si>
  <si>
    <t>"Directive 2009/28/EC of the European Parliament and of the Council of 23 April 2009 on the promotion of the use of energy from renewable sources and amending and subsequently repealing Directives 2001/77/EC and 2003/30/EC", Official Journal of the European Union, April 2009.</t>
  </si>
  <si>
    <t>ASC4</t>
  </si>
  <si>
    <t>“Climate Change 2001: The Scientific Basis; Contribution of Working Group 1 to the Third Assessment Report of the IPCC” Inter-governmental Panel on Climate Change, Cambridge University Press, Cambridge, United Kingdom, www.ipcc.ch/ipccreports/assessment-reports.php.</t>
  </si>
  <si>
    <t>Renewable Energy Directive or PAS 2050</t>
  </si>
  <si>
    <t>method</t>
  </si>
  <si>
    <t>Renewable Energy Directive</t>
  </si>
  <si>
    <t>Calculation Methodology</t>
  </si>
  <si>
    <t>PAS 2050</t>
  </si>
  <si>
    <t>100 Year Time Horizon Global Warming Potential</t>
  </si>
  <si>
    <r>
      <t>Methane (kg eq. CO</t>
    </r>
    <r>
      <rPr>
        <vertAlign val="subscript"/>
        <sz val="10"/>
        <rFont val="Arial"/>
        <family val="2"/>
      </rPr>
      <t>2</t>
    </r>
    <r>
      <rPr>
        <sz val="10"/>
        <rFont val="Arial"/>
        <family val="2"/>
      </rPr>
      <t>/kg CH</t>
    </r>
    <r>
      <rPr>
        <vertAlign val="subscript"/>
        <sz val="10"/>
        <rFont val="Arial"/>
        <family val="2"/>
      </rPr>
      <t>4</t>
    </r>
    <r>
      <rPr>
        <sz val="10"/>
        <rFont val="Arial"/>
        <family val="2"/>
      </rPr>
      <t>)</t>
    </r>
  </si>
  <si>
    <r>
      <t>Nitrous Oxide (kg eq. CO</t>
    </r>
    <r>
      <rPr>
        <vertAlign val="subscript"/>
        <sz val="10"/>
        <rFont val="Arial"/>
        <family val="2"/>
      </rPr>
      <t>2</t>
    </r>
    <r>
      <rPr>
        <sz val="10"/>
        <rFont val="Arial"/>
        <family val="2"/>
      </rPr>
      <t>/kg N</t>
    </r>
    <r>
      <rPr>
        <vertAlign val="subscript"/>
        <sz val="10"/>
        <rFont val="Arial"/>
        <family val="2"/>
      </rPr>
      <t>2</t>
    </r>
    <r>
      <rPr>
        <sz val="10"/>
        <rFont val="Arial"/>
        <family val="2"/>
      </rPr>
      <t>O)</t>
    </r>
  </si>
  <si>
    <t>Values Specified for GWPs</t>
  </si>
  <si>
    <r>
      <t>“Climate Change 2001: The Scientific Basis; Contribution of Working Group 1 to the Third Assessment Report of the IPCC” Inter-governmental Panel on Climate Change, Cambridge University Press, Cambridge, United Kingdom, 2001,</t>
    </r>
    <r>
      <rPr>
        <u/>
        <sz val="10"/>
        <color indexed="12"/>
        <rFont val="Arial"/>
        <family val="2"/>
      </rPr>
      <t xml:space="preserve"> www.ipcc.ch/ipccreports/assessment-reports.php.</t>
    </r>
  </si>
  <si>
    <r>
      <t>"IPCC Fourth Assessment Report (AR4)</t>
    </r>
    <r>
      <rPr>
        <sz val="10"/>
        <rFont val="Arial"/>
        <family val="2"/>
      </rPr>
      <t>" Inter-governmental Panel on Climate Change, 2007.</t>
    </r>
  </si>
  <si>
    <t>IPCC Third Assessment Report (Ref. 51)</t>
  </si>
  <si>
    <t>IPCC Fourth Assessment Report (Ref. 52)</t>
  </si>
  <si>
    <t>Allocation by Price at Points of Separation of Co-Products</t>
  </si>
  <si>
    <t>Ethanol</t>
  </si>
  <si>
    <t>http://www.xe.com/ucc/ accessed 16/05/11</t>
  </si>
  <si>
    <t>http://en.wikipedia.org/wiki/Heat_of_combustion accessed 16/05/11</t>
  </si>
  <si>
    <t>Price of Carbon Dioxide</t>
  </si>
  <si>
    <t>price_carbondioxide</t>
  </si>
  <si>
    <t xml:space="preserve">Losses = </t>
  </si>
  <si>
    <t>http://www.inflationdata.com/inflation/Inflation_Calculators/Inflation_Rate_Calculator.asp#calcresults accessed 19/05/11</t>
  </si>
  <si>
    <t>"The European Hydrogen Roadmap (HyWays)", http://www.hyways.de/docs/Brochures_and_Flyers/HyWays_Roadmap_FINAL_22FEB2008.pdf accessed 19/05/11</t>
  </si>
  <si>
    <t>Price of carbon dioxide taken from the Brew report, table A1.2 (Ref 37) and converted from Euro's to £'s using the average exchange rate for 2006 (€1 = £0.68) (Ref 53) brought up to 2011 price assuming inflation of 11.06% since 2006 (Ref 56).</t>
  </si>
  <si>
    <t>"Nutritional and Health Benefits of Inulin and Oligofructose - Caloric Value of Inulin and Oligofructose", Marcel B. Roberfroid, American Society for Nutritional Sciences, 1999</t>
  </si>
  <si>
    <t xml:space="preserve">Include Machinery and Equipment Manufacture? </t>
  </si>
  <si>
    <t>Yes= 1, No= 0</t>
  </si>
  <si>
    <t>Carbon Dioxide Emissions (kg CO2/t-km)</t>
  </si>
  <si>
    <t>Methane Emissions (kg CH4/t-km)</t>
  </si>
  <si>
    <t>Nitrous Oxide Emissions (kg N2O/t-km)</t>
  </si>
  <si>
    <t>Values for Specified Lorry Size</t>
  </si>
  <si>
    <t>Totals</t>
  </si>
  <si>
    <t>"BIOGRACE Standard Emissions Factors version2.xls" BIOGRACE Project, Harmonised Calculations of Biofuel Greenhouse Gas Emissions in Europe, www.biograce.net, 2010.</t>
  </si>
  <si>
    <t>Yes = 1, No = 0</t>
  </si>
  <si>
    <r>
      <t>"Chapter 11: N</t>
    </r>
    <r>
      <rPr>
        <vertAlign val="subscript"/>
        <sz val="10"/>
        <color indexed="8"/>
        <rFont val="Arial"/>
        <family val="2"/>
      </rPr>
      <t>2</t>
    </r>
    <r>
      <rPr>
        <sz val="10"/>
        <color indexed="8"/>
        <rFont val="Arial"/>
        <family val="2"/>
      </rPr>
      <t>O Emissions from Managed Soils, and CO</t>
    </r>
    <r>
      <rPr>
        <vertAlign val="subscript"/>
        <sz val="10"/>
        <color indexed="8"/>
        <rFont val="Arial"/>
        <family val="2"/>
      </rPr>
      <t>2</t>
    </r>
    <r>
      <rPr>
        <sz val="10"/>
        <color indexed="8"/>
        <rFont val="Arial"/>
        <family val="2"/>
      </rPr>
      <t xml:space="preserve"> Emissions from Lime and Urea Applications", C. De Klein, R. S. A Novoa, S. Ogle, K. A. Smith, P. Rochette, T. C. Wirth. IPCC Guidelines for National Greenhouse Gas Inventories, Vol. 4 2006</t>
    </r>
  </si>
  <si>
    <t>"Carbon Sequestration and Land Degradation" by A. J. Franzluebbers and P.C. Doriaswamy in 'Climate and Land Degradation' edited by M. V. K. Sivakumi and N. Ndiangui, Springer Verlag, Berlin, Germany, 2007.</t>
  </si>
  <si>
    <t>1 kilogram of N in fertiliser</t>
  </si>
  <si>
    <t>see below</t>
  </si>
  <si>
    <t>Type of N Fertiliser</t>
  </si>
  <si>
    <t>N Fertiliser</t>
  </si>
  <si>
    <t>Carbon Dioxide Emissions Factor</t>
  </si>
  <si>
    <t>Methane Emissions Factor</t>
  </si>
  <si>
    <t>Nitrous Oxide Emissions Factor</t>
  </si>
  <si>
    <t>MJ/kg N</t>
  </si>
  <si>
    <r>
      <t>kg CO</t>
    </r>
    <r>
      <rPr>
        <vertAlign val="subscript"/>
        <sz val="10"/>
        <rFont val="Arial"/>
        <family val="2"/>
      </rPr>
      <t>2</t>
    </r>
    <r>
      <rPr>
        <sz val="10"/>
        <rFont val="Arial"/>
        <family val="2"/>
      </rPr>
      <t>/kg N</t>
    </r>
  </si>
  <si>
    <r>
      <t>kg CH</t>
    </r>
    <r>
      <rPr>
        <vertAlign val="subscript"/>
        <sz val="10"/>
        <rFont val="Arial"/>
        <family val="2"/>
      </rPr>
      <t>4</t>
    </r>
    <r>
      <rPr>
        <sz val="10"/>
        <rFont val="Arial"/>
        <family val="2"/>
      </rPr>
      <t>/kg N</t>
    </r>
  </si>
  <si>
    <r>
      <t>kg N</t>
    </r>
    <r>
      <rPr>
        <vertAlign val="subscript"/>
        <sz val="10"/>
        <rFont val="Arial"/>
        <family val="2"/>
      </rPr>
      <t>2</t>
    </r>
    <r>
      <rPr>
        <sz val="10"/>
        <rFont val="Arial"/>
        <family val="2"/>
      </rPr>
      <t>O/kg N</t>
    </r>
  </si>
  <si>
    <t xml:space="preserve"> - EFMA European Union, 2006</t>
  </si>
  <si>
    <t>vinasse</t>
  </si>
  <si>
    <t>T11</t>
  </si>
  <si>
    <t>"Farm Management Pocketbook" by J. Nix with P. Hill, 37th Edition, Wye College, University of London, London, United Kingdom, September 2010.</t>
  </si>
  <si>
    <t>T12</t>
  </si>
  <si>
    <t>T13</t>
  </si>
  <si>
    <t>broth_conc</t>
  </si>
  <si>
    <t>vol_ws</t>
  </si>
  <si>
    <t>moist_ws</t>
  </si>
  <si>
    <t>moist_dry_feed</t>
  </si>
  <si>
    <t>CV_ws</t>
  </si>
  <si>
    <t xml:space="preserve">Fermentation </t>
  </si>
  <si>
    <t>"Digest of United Kingdom Energy Statistics, 2010" Department of Trade and Industry, HMSO, London, United Kingdom.</t>
  </si>
  <si>
    <t>Direct methane emissions per MJ of energy in biomass (Ref. 9)</t>
  </si>
  <si>
    <t>Direct nitrous oxide emissions per MJ of energy in biomass (Ref. 9).</t>
  </si>
  <si>
    <t>gas_capt</t>
  </si>
  <si>
    <t>Allocation by Mass at Points of Separation of Co-Products</t>
  </si>
  <si>
    <t>Allocation by Energy Content at Points of Separation of Co-Products</t>
  </si>
  <si>
    <t>Allocation by Substitution Credit</t>
  </si>
  <si>
    <t>subs_cred_carb_diox</t>
  </si>
  <si>
    <t>Fermentation</t>
  </si>
  <si>
    <t>R10</t>
  </si>
  <si>
    <t>"Biofuels Pathways", JEC WTW study, V3b, April 2010</t>
  </si>
  <si>
    <t>Assuming allocation based on relative value of all outputs from processing</t>
  </si>
  <si>
    <t>Linked Data:</t>
  </si>
  <si>
    <t xml:space="preserve">Evaluation Procedure for Surplus Electricity Credit </t>
  </si>
  <si>
    <t>Primary Energy Input (kWh/kWh)</t>
  </si>
  <si>
    <t>Carbon Dioxide Emissions (kg CO2/kWh)</t>
  </si>
  <si>
    <t>Methane Emissions (kg CH4/kWh)</t>
  </si>
  <si>
    <t>Nitrous Oxide Emissions (kg N2O/kWh)</t>
  </si>
  <si>
    <t>kWh/kWh</t>
  </si>
  <si>
    <t>ROAD TRANSPORT TO DISTRIBUTION POINT (Stage 1)</t>
  </si>
  <si>
    <t>ROAD TRANSPORT TO DISTRIBUTION POINT (Stage 2)</t>
  </si>
  <si>
    <t>GRAND TOTALS</t>
  </si>
  <si>
    <t>Summary of Primary Energy Inputs and Greenhouse Gas Emissions</t>
  </si>
  <si>
    <t>P6</t>
  </si>
  <si>
    <t>Version 1</t>
  </si>
  <si>
    <t xml:space="preserve"> a</t>
  </si>
  <si>
    <t>"Greenhouse Gas Emissions in the Production and Use of Ethanol from Sugar Cane in Brazil: the 2005/2006 averages and a prediction for 2020" by Isaias C. Macedo, Joaquim E.A. Seabra, Joao E.A.R. Silva, Biomass and Bioenergy, Issue 32, pages, 582-595, 2008.</t>
  </si>
  <si>
    <t>a</t>
  </si>
  <si>
    <t xml:space="preserve"> MJ/t</t>
  </si>
  <si>
    <t>Net Calorific Value (MJ/t)</t>
  </si>
  <si>
    <t>Cumulative Percentage Allocation to Ethanol</t>
  </si>
  <si>
    <t xml:space="preserve">Unit Heat Requirement for Fermentation = </t>
  </si>
  <si>
    <t xml:space="preserve">Unit Electricity Requirement for Fermentation = </t>
  </si>
  <si>
    <t xml:space="preserve"> km</t>
  </si>
  <si>
    <t xml:space="preserve">Ship Transport Round Trip Distance = </t>
  </si>
  <si>
    <t xml:space="preserve">Barge Transport Round Trip Distance = </t>
  </si>
  <si>
    <t xml:space="preserve">Road Transport Round Trip Distance = </t>
  </si>
  <si>
    <t>t GVW</t>
  </si>
  <si>
    <t xml:space="preserve"> t et</t>
  </si>
  <si>
    <t xml:space="preserve">Distributed Ethanol = </t>
  </si>
  <si>
    <t xml:space="preserve">Price of Ethanol = </t>
  </si>
  <si>
    <t xml:space="preserve">Net Calorific Value of Ethanol = </t>
  </si>
  <si>
    <t xml:space="preserve">Ethanol Available at Biorefinery = </t>
  </si>
  <si>
    <t xml:space="preserve"> MJ/t et</t>
  </si>
  <si>
    <t xml:space="preserve"> £/t et</t>
  </si>
  <si>
    <t xml:space="preserve">Broth Concentration = </t>
  </si>
  <si>
    <t>Broth Concentration</t>
  </si>
  <si>
    <t>1 tonne of ethanol (et)</t>
  </si>
  <si>
    <t>MJ/t et</t>
  </si>
  <si>
    <r>
      <t>kg eq CO</t>
    </r>
    <r>
      <rPr>
        <i/>
        <vertAlign val="subscript"/>
        <sz val="10"/>
        <rFont val="Arial"/>
        <family val="2"/>
      </rPr>
      <t>2</t>
    </r>
    <r>
      <rPr>
        <i/>
        <sz val="10"/>
        <rFont val="Arial"/>
        <family val="2"/>
      </rPr>
      <t>/t et</t>
    </r>
  </si>
  <si>
    <t>MJ/t et (range +/-)</t>
  </si>
  <si>
    <r>
      <t>kg eq CO</t>
    </r>
    <r>
      <rPr>
        <i/>
        <vertAlign val="subscript"/>
        <sz val="10"/>
        <rFont val="Arial"/>
        <family val="2"/>
      </rPr>
      <t>2</t>
    </r>
    <r>
      <rPr>
        <i/>
        <sz val="10"/>
        <rFont val="Arial"/>
        <family val="2"/>
      </rPr>
      <t>/t et (range +/-)</t>
    </r>
  </si>
  <si>
    <t xml:space="preserve">1 tonne of ethanol </t>
  </si>
  <si>
    <t>Choice of Calculation Methodology</t>
  </si>
  <si>
    <t>Option to Include Machinery and Equipment Manufacture</t>
  </si>
  <si>
    <t>Option for Surplus Electricity Credit from Combined Heat and Power Plant (used in processing)</t>
  </si>
  <si>
    <t>Functional Unit</t>
  </si>
  <si>
    <t>Transport Mode</t>
  </si>
  <si>
    <t>Average Round Trip Distance</t>
  </si>
  <si>
    <t>Does the Production Plant have its Own CHP Plant?</t>
  </si>
  <si>
    <t>Heat to Power Ratio</t>
  </si>
  <si>
    <t>Yield of Carbon Dioxide</t>
  </si>
  <si>
    <t>Methane Content of Biogas</t>
  </si>
  <si>
    <t>Price of Ethanol</t>
  </si>
  <si>
    <t>Energy content used for allocation</t>
  </si>
  <si>
    <t>The default methodology is the "Renewable Energy Directive".</t>
  </si>
  <si>
    <t>Options for Calculation Methodology</t>
  </si>
  <si>
    <t>Options for Surplus Electricity Credit</t>
  </si>
  <si>
    <t>"Assessment of Greenhouse Gas Emissions in the Production and Use of Fuel Ethanol in Brazil" by I. de Carvelho Macedo, M. R. L. V. Leal and J. E. A. Ramos da Silva, Government of the State of São Paulo, Brazil, March 2004.</t>
  </si>
  <si>
    <t>Ammonium Sulphate (AS; 21.0% N)</t>
  </si>
  <si>
    <t xml:space="preserve"> - IFS European Average, 2002</t>
  </si>
  <si>
    <t xml:space="preserve"> - IFS Modern Technology</t>
  </si>
  <si>
    <t>Calcium Ammonium Nitrate (CAN; 26.5% N)</t>
  </si>
  <si>
    <t>Carbon dioxide emissions factor for calcium ammonium nitrate fertiliser, European average, 2006 (Ref. 5, Page 21).</t>
  </si>
  <si>
    <t xml:space="preserve"> - EFMA European Union, Best Available Technology</t>
  </si>
  <si>
    <t>Carbon dioxide emissions factor for calcium ammonium nitrate fertiliser, Best Available Technology (Ref. 5, Page 21).</t>
  </si>
  <si>
    <t>Ammonium Nitrate (AN; 35.0% N))</t>
  </si>
  <si>
    <t>Urea (46.4% N)</t>
  </si>
  <si>
    <t>kg N/ha</t>
  </si>
  <si>
    <t>Phosphate Rock</t>
  </si>
  <si>
    <r>
      <t>1 kilogram of P</t>
    </r>
    <r>
      <rPr>
        <vertAlign val="subscript"/>
        <sz val="10"/>
        <rFont val="Arial"/>
        <family val="2"/>
      </rPr>
      <t>2</t>
    </r>
    <r>
      <rPr>
        <sz val="10"/>
        <rFont val="Arial"/>
        <family val="2"/>
      </rPr>
      <t>O</t>
    </r>
    <r>
      <rPr>
        <vertAlign val="subscript"/>
        <sz val="10"/>
        <rFont val="Arial"/>
        <family val="2"/>
      </rPr>
      <t>5</t>
    </r>
    <r>
      <rPr>
        <sz val="10"/>
        <rFont val="Arial"/>
        <family val="2"/>
      </rPr>
      <t xml:space="preserve"> in fertiliser</t>
    </r>
  </si>
  <si>
    <t>P Fertiliser</t>
  </si>
  <si>
    <t>Triple Superphosphate (TSP)</t>
  </si>
  <si>
    <r>
      <t>MJ/kg P</t>
    </r>
    <r>
      <rPr>
        <vertAlign val="subscript"/>
        <sz val="10"/>
        <rFont val="Arial"/>
        <family val="2"/>
      </rPr>
      <t>2</t>
    </r>
    <r>
      <rPr>
        <sz val="10"/>
        <rFont val="Arial"/>
        <family val="2"/>
      </rPr>
      <t>O</t>
    </r>
    <r>
      <rPr>
        <vertAlign val="subscript"/>
        <sz val="10"/>
        <rFont val="Arial"/>
        <family val="2"/>
      </rPr>
      <t>5</t>
    </r>
  </si>
  <si>
    <t>Single Superphosphate (SSP)</t>
  </si>
  <si>
    <r>
      <t>kg CO</t>
    </r>
    <r>
      <rPr>
        <vertAlign val="subscript"/>
        <sz val="10"/>
        <rFont val="Arial"/>
        <family val="2"/>
      </rPr>
      <t>2</t>
    </r>
    <r>
      <rPr>
        <sz val="10"/>
        <color indexed="8"/>
        <rFont val="Arial"/>
        <family val="2"/>
      </rPr>
      <t>/kg P</t>
    </r>
    <r>
      <rPr>
        <vertAlign val="subscript"/>
        <sz val="10"/>
        <color indexed="8"/>
        <rFont val="Arial"/>
        <family val="2"/>
      </rPr>
      <t>2</t>
    </r>
    <r>
      <rPr>
        <sz val="10"/>
        <color indexed="8"/>
        <rFont val="Arial"/>
        <family val="2"/>
      </rPr>
      <t>O</t>
    </r>
    <r>
      <rPr>
        <vertAlign val="subscript"/>
        <sz val="10"/>
        <color indexed="8"/>
        <rFont val="Arial"/>
        <family val="2"/>
      </rPr>
      <t>5</t>
    </r>
  </si>
  <si>
    <r>
      <t>kg CH</t>
    </r>
    <r>
      <rPr>
        <vertAlign val="subscript"/>
        <sz val="10"/>
        <rFont val="Arial"/>
        <family val="2"/>
      </rPr>
      <t>4</t>
    </r>
    <r>
      <rPr>
        <sz val="10"/>
        <color indexed="8"/>
        <rFont val="Arial"/>
        <family val="2"/>
      </rPr>
      <t>/kg P</t>
    </r>
    <r>
      <rPr>
        <vertAlign val="subscript"/>
        <sz val="10"/>
        <rFont val="Arial"/>
        <family val="2"/>
      </rPr>
      <t>2</t>
    </r>
    <r>
      <rPr>
        <sz val="10"/>
        <rFont val="Arial"/>
        <family val="2"/>
      </rPr>
      <t>O</t>
    </r>
    <r>
      <rPr>
        <vertAlign val="subscript"/>
        <sz val="10"/>
        <rFont val="Arial"/>
        <family val="2"/>
      </rPr>
      <t>5</t>
    </r>
  </si>
  <si>
    <r>
      <t>kg N</t>
    </r>
    <r>
      <rPr>
        <vertAlign val="subscript"/>
        <sz val="10"/>
        <rFont val="Arial"/>
        <family val="2"/>
      </rPr>
      <t>2</t>
    </r>
    <r>
      <rPr>
        <sz val="10"/>
        <color indexed="8"/>
        <rFont val="Arial"/>
        <family val="2"/>
      </rPr>
      <t>O/kg P</t>
    </r>
    <r>
      <rPr>
        <vertAlign val="subscript"/>
        <sz val="10"/>
        <rFont val="Arial"/>
        <family val="2"/>
      </rPr>
      <t>2</t>
    </r>
    <r>
      <rPr>
        <sz val="10"/>
        <rFont val="Arial"/>
        <family val="2"/>
      </rPr>
      <t>O</t>
    </r>
    <r>
      <rPr>
        <vertAlign val="subscript"/>
        <sz val="10"/>
        <rFont val="Arial"/>
        <family val="2"/>
      </rPr>
      <t>5</t>
    </r>
  </si>
  <si>
    <t>Nitrogen Fertiliser</t>
  </si>
  <si>
    <t>Phosphate Fertiliser</t>
  </si>
  <si>
    <t>"Energy Consumption and Greenhouse Gas Emissions in Fertiliser Production" by T. K. Jenssen and G. Kongshaug, Proceedings of the International Fertiliser Society, No. 509, York, United Kingdom, April 2003.</t>
  </si>
  <si>
    <r>
      <t>“GHG Emissions and Energy Efficiency in European Nitrogen Fertiliser Production and Use” by F. Brentrup and C. Palli</t>
    </r>
    <r>
      <rPr>
        <sz val="10"/>
        <rFont val="Arial"/>
        <family val="2"/>
      </rPr>
      <t>é</t>
    </r>
    <r>
      <rPr>
        <sz val="10"/>
        <rFont val="Arial"/>
        <family val="2"/>
      </rPr>
      <t>re, Proceedings of the International Fertiliser Society, No. 639, York, United Kingdom, 2008.</t>
    </r>
  </si>
  <si>
    <t>Primary energy multiplier of ammonium nitrate fertiliser, European average, 2006 (Ref. 68, Page 21).</t>
  </si>
  <si>
    <t>Primary energy multiplier of ammonium nitrate fertiliser, Best Available Technology (Ref. 68, Page 21).</t>
  </si>
  <si>
    <t>Primary energy multiplier of urea fertiliser, European Union, 2006 (Ref. 68, Page 21).</t>
  </si>
  <si>
    <t>Primary energy multiplier of urea fertiliser, Best Available Technology (Ref. 68, Page 21).</t>
  </si>
  <si>
    <t>Primary energy multiplier of ammonium sulphate fertiliser, European average, 2002 (Ref. 67, Page 22).</t>
  </si>
  <si>
    <t>Primary energy multiplier of ammonium sulphate fertiliser, Modern Technology (Ref. 67, Page 22).</t>
  </si>
  <si>
    <t>Primary energy multiplier of calcium ammonium nitrate fertiliser, European Union, 2006 (Ref. 68, Page 21).</t>
  </si>
  <si>
    <t>Primary energy multiplier of calcium ammonium nitrate fertiliser, Best Available Technology (Ref. 68, Page 21).</t>
  </si>
  <si>
    <t>Carbon dioxide emissions factor for ammonium nitrate fertiliser, European average, 2006 (Ref. 68, Page 21).</t>
  </si>
  <si>
    <t>Carbon dioxide emissions factor for ammonium nitrate fertiliser, Best Available Technology (Ref. 68, Page 21).</t>
  </si>
  <si>
    <t>Carbon dioxide emissions factor for urea fertiliser, European average, 2006 (Ref. 68, Page 21).</t>
  </si>
  <si>
    <t>Carbon dioxide emissions factor for urea fertiliser, Best Available Technology (Ref. 68, Page 21).</t>
  </si>
  <si>
    <t>Carbon dioxide emissions factor for ammonium sulphate fertiliser, European average, 2002; equal to total greenhouse gas emissions as no breakdown provided in original source (Ref. 67, Page 22).</t>
  </si>
  <si>
    <t>Carbon dioxide emissions factor for ammonium sulphate fertiliser, Modern Technology; equal to total greenhouse gas emissions as no breakdown provided in original source (Ref. 67, Page 22).</t>
  </si>
  <si>
    <r>
      <t>Methane emissions factor of ammonium nitrate fertiliser, European average, 2006, based on "other GHG emissions" of 0.143 kg eq. CO</t>
    </r>
    <r>
      <rPr>
        <vertAlign val="subscript"/>
        <sz val="10"/>
        <rFont val="Arial"/>
        <family val="2"/>
      </rPr>
      <t>2</t>
    </r>
    <r>
      <rPr>
        <sz val="10"/>
        <rFont val="Arial"/>
        <family val="2"/>
      </rPr>
      <t>/kg N</t>
    </r>
    <r>
      <rPr>
        <sz val="10"/>
        <rFont val="Arial"/>
        <family val="2"/>
      </rPr>
      <t xml:space="preserve"> (Ref. 68, Page 21), assumed to be all methane converted with a Global Warming Potential of 23 kg eq. CO</t>
    </r>
    <r>
      <rPr>
        <vertAlign val="subscript"/>
        <sz val="10"/>
        <rFont val="Arial"/>
        <family val="2"/>
      </rPr>
      <t>2</t>
    </r>
    <r>
      <rPr>
        <sz val="10"/>
        <rFont val="Arial"/>
        <family val="2"/>
      </rPr>
      <t>/kg CH</t>
    </r>
    <r>
      <rPr>
        <vertAlign val="subscript"/>
        <sz val="10"/>
        <rFont val="Arial"/>
        <family val="2"/>
      </rPr>
      <t>4</t>
    </r>
    <r>
      <rPr>
        <sz val="10"/>
        <rFont val="Arial"/>
        <family val="2"/>
      </rPr>
      <t xml:space="preserve"> (Ref. 51).</t>
    </r>
  </si>
  <si>
    <r>
      <t>Methane emissions factor of ammonium nitrate fertiliser, Best Available Technology, based on "other GHG emissions" of 0.114 kg eq. CO</t>
    </r>
    <r>
      <rPr>
        <vertAlign val="subscript"/>
        <sz val="10"/>
        <rFont val="Arial"/>
        <family val="2"/>
      </rPr>
      <t>2</t>
    </r>
    <r>
      <rPr>
        <sz val="10"/>
        <rFont val="Arial"/>
        <family val="2"/>
      </rPr>
      <t>/kg N</t>
    </r>
    <r>
      <rPr>
        <sz val="10"/>
        <rFont val="Arial"/>
        <family val="2"/>
      </rPr>
      <t xml:space="preserve"> (Ref. 68, Page 21), assumed to be all methane converted with a Global Warming Potential of 23 kg eq. CO</t>
    </r>
    <r>
      <rPr>
        <vertAlign val="subscript"/>
        <sz val="10"/>
        <rFont val="Arial"/>
        <family val="2"/>
      </rPr>
      <t>2</t>
    </r>
    <r>
      <rPr>
        <sz val="10"/>
        <rFont val="Arial"/>
        <family val="2"/>
      </rPr>
      <t>/kg CH</t>
    </r>
    <r>
      <rPr>
        <vertAlign val="subscript"/>
        <sz val="10"/>
        <rFont val="Arial"/>
        <family val="2"/>
      </rPr>
      <t>4</t>
    </r>
    <r>
      <rPr>
        <sz val="10"/>
        <rFont val="Arial"/>
        <family val="2"/>
      </rPr>
      <t xml:space="preserve"> (Ref. 51).</t>
    </r>
  </si>
  <si>
    <r>
      <t>Methane emissions factor of urea fertiliser, European average, 2006, based on "other GHG emissions" of 0.174 kg eq. CO</t>
    </r>
    <r>
      <rPr>
        <vertAlign val="subscript"/>
        <sz val="10"/>
        <rFont val="Arial"/>
        <family val="2"/>
      </rPr>
      <t>2</t>
    </r>
    <r>
      <rPr>
        <sz val="10"/>
        <rFont val="Arial"/>
        <family val="2"/>
      </rPr>
      <t>/kg N</t>
    </r>
    <r>
      <rPr>
        <sz val="10"/>
        <rFont val="Arial"/>
        <family val="2"/>
      </rPr>
      <t xml:space="preserve"> (Ref. 68, Page 21), assumed to be all methane converted with a Global Warming Potential of 23 kg eq. CO</t>
    </r>
    <r>
      <rPr>
        <vertAlign val="subscript"/>
        <sz val="10"/>
        <rFont val="Arial"/>
        <family val="2"/>
      </rPr>
      <t>2</t>
    </r>
    <r>
      <rPr>
        <sz val="10"/>
        <rFont val="Arial"/>
        <family val="2"/>
      </rPr>
      <t>/kg CH</t>
    </r>
    <r>
      <rPr>
        <vertAlign val="subscript"/>
        <sz val="10"/>
        <rFont val="Arial"/>
        <family val="2"/>
      </rPr>
      <t>4</t>
    </r>
    <r>
      <rPr>
        <sz val="10"/>
        <rFont val="Arial"/>
        <family val="2"/>
      </rPr>
      <t xml:space="preserve"> (Ref. 51).</t>
    </r>
  </si>
  <si>
    <r>
      <t>Methane emissions factor of urea fertiliser, Best Available Technology, based on "other GHG emissions" of 0.152 kg eq. CO</t>
    </r>
    <r>
      <rPr>
        <vertAlign val="subscript"/>
        <sz val="10"/>
        <rFont val="Arial"/>
        <family val="2"/>
      </rPr>
      <t>2</t>
    </r>
    <r>
      <rPr>
        <sz val="10"/>
        <rFont val="Arial"/>
        <family val="2"/>
      </rPr>
      <t>/kg N</t>
    </r>
    <r>
      <rPr>
        <sz val="10"/>
        <rFont val="Arial"/>
        <family val="2"/>
      </rPr>
      <t xml:space="preserve"> (Ref. 68, Page 21), assumed to be all methane converted with a Global Warming Potential of 23 kg eq. CO</t>
    </r>
    <r>
      <rPr>
        <vertAlign val="subscript"/>
        <sz val="10"/>
        <rFont val="Arial"/>
        <family val="2"/>
      </rPr>
      <t>2</t>
    </r>
    <r>
      <rPr>
        <sz val="10"/>
        <rFont val="Arial"/>
        <family val="2"/>
      </rPr>
      <t>/kg CH</t>
    </r>
    <r>
      <rPr>
        <vertAlign val="subscript"/>
        <sz val="10"/>
        <rFont val="Arial"/>
        <family val="2"/>
      </rPr>
      <t>4</t>
    </r>
    <r>
      <rPr>
        <sz val="10"/>
        <rFont val="Arial"/>
        <family val="2"/>
      </rPr>
      <t xml:space="preserve"> (Ref. 51).</t>
    </r>
  </si>
  <si>
    <t>Methane emissions factor for ammonium sulphate fertiliser, European average, 2002; assumed to be zero as no breakdown provided in original source (Ref. 67, Page 22).</t>
  </si>
  <si>
    <t>Methane emissions factor for ammonium sulphate fertiliser, Modern Technology; assumed to be zero as no breakdown provided in original source (Ref. 67, Page 22).</t>
  </si>
  <si>
    <r>
      <t>Methane emissions factor of calcium ammonium nitrate fertiliser, European average, 2006, based on "other GHG emissions" of 0.174 kg eq. CO</t>
    </r>
    <r>
      <rPr>
        <vertAlign val="subscript"/>
        <sz val="10"/>
        <rFont val="Arial"/>
        <family val="2"/>
      </rPr>
      <t>2</t>
    </r>
    <r>
      <rPr>
        <sz val="10"/>
        <rFont val="Arial"/>
        <family val="2"/>
      </rPr>
      <t>/kg N</t>
    </r>
    <r>
      <rPr>
        <sz val="10"/>
        <rFont val="Arial"/>
        <family val="2"/>
      </rPr>
      <t xml:space="preserve"> (Ref. 68, Page 21), assumed to be all methane converted with a Global Warming Potential of 23 kg eq. CO</t>
    </r>
    <r>
      <rPr>
        <vertAlign val="subscript"/>
        <sz val="10"/>
        <rFont val="Arial"/>
        <family val="2"/>
      </rPr>
      <t>2</t>
    </r>
    <r>
      <rPr>
        <sz val="10"/>
        <rFont val="Arial"/>
        <family val="2"/>
      </rPr>
      <t>/kg CH</t>
    </r>
    <r>
      <rPr>
        <vertAlign val="subscript"/>
        <sz val="10"/>
        <rFont val="Arial"/>
        <family val="2"/>
      </rPr>
      <t>4</t>
    </r>
    <r>
      <rPr>
        <sz val="10"/>
        <rFont val="Arial"/>
        <family val="2"/>
      </rPr>
      <t xml:space="preserve"> (Ref. 51).</t>
    </r>
  </si>
  <si>
    <r>
      <t>Methane emissions factor of calcium ammonium nitrate fertiliser, Best Available Technology, based on "other GHG emissions" of 0.174 kg eq. CO</t>
    </r>
    <r>
      <rPr>
        <vertAlign val="subscript"/>
        <sz val="10"/>
        <rFont val="Arial"/>
        <family val="2"/>
      </rPr>
      <t>2</t>
    </r>
    <r>
      <rPr>
        <sz val="10"/>
        <rFont val="Arial"/>
        <family val="2"/>
      </rPr>
      <t>/kg N</t>
    </r>
    <r>
      <rPr>
        <sz val="10"/>
        <rFont val="Arial"/>
        <family val="2"/>
      </rPr>
      <t xml:space="preserve"> (Ref. 68, Page 21), assumed to be all methane converted with a Global Warming Potential of 23 kg eq. CO</t>
    </r>
    <r>
      <rPr>
        <vertAlign val="subscript"/>
        <sz val="10"/>
        <rFont val="Arial"/>
        <family val="2"/>
      </rPr>
      <t>2</t>
    </r>
    <r>
      <rPr>
        <sz val="10"/>
        <rFont val="Arial"/>
        <family val="2"/>
      </rPr>
      <t>/kg CH</t>
    </r>
    <r>
      <rPr>
        <vertAlign val="subscript"/>
        <sz val="10"/>
        <rFont val="Arial"/>
        <family val="2"/>
      </rPr>
      <t>4</t>
    </r>
    <r>
      <rPr>
        <sz val="10"/>
        <rFont val="Arial"/>
        <family val="2"/>
      </rPr>
      <t xml:space="preserve"> (Ref. 51).</t>
    </r>
  </si>
  <si>
    <r>
      <t>Nitrous oxide emissions factor of ammonium nitrate fertiliser, European average, 2006, based on "nitrous oxide" of 3.686 kg eq. CO</t>
    </r>
    <r>
      <rPr>
        <vertAlign val="subscript"/>
        <sz val="10"/>
        <rFont val="Arial"/>
        <family val="2"/>
      </rPr>
      <t>2</t>
    </r>
    <r>
      <rPr>
        <sz val="10"/>
        <rFont val="Arial"/>
        <family val="2"/>
      </rPr>
      <t>/kg N</t>
    </r>
    <r>
      <rPr>
        <sz val="10"/>
        <rFont val="Arial"/>
        <family val="2"/>
      </rPr>
      <t xml:space="preserve"> (Ref. 68, Page 21), assumed converted with a Global Warming Potential of 296 kg eq. CO</t>
    </r>
    <r>
      <rPr>
        <vertAlign val="subscript"/>
        <sz val="10"/>
        <rFont val="Arial"/>
        <family val="2"/>
      </rPr>
      <t>2</t>
    </r>
    <r>
      <rPr>
        <sz val="10"/>
        <rFont val="Arial"/>
        <family val="2"/>
      </rPr>
      <t>/kg N</t>
    </r>
    <r>
      <rPr>
        <vertAlign val="subscript"/>
        <sz val="10"/>
        <rFont val="Arial"/>
        <family val="2"/>
      </rPr>
      <t>2</t>
    </r>
    <r>
      <rPr>
        <sz val="10"/>
        <rFont val="Arial"/>
        <family val="2"/>
      </rPr>
      <t>O (Ref. 51).</t>
    </r>
  </si>
  <si>
    <r>
      <t>Nitrous oxide emissions factor of ammonium nitrate fertiliser, Best Available Technology, based on "nitrous oxide" of 0.829 kg eq. CO</t>
    </r>
    <r>
      <rPr>
        <vertAlign val="subscript"/>
        <sz val="10"/>
        <rFont val="Arial"/>
        <family val="2"/>
      </rPr>
      <t>2</t>
    </r>
    <r>
      <rPr>
        <sz val="10"/>
        <rFont val="Arial"/>
        <family val="2"/>
      </rPr>
      <t>/kg N</t>
    </r>
    <r>
      <rPr>
        <sz val="10"/>
        <rFont val="Arial"/>
        <family val="2"/>
      </rPr>
      <t xml:space="preserve"> (Ref. 68, Page 21), assumed converted with a Global Warming Potential of 296 kg eq. CO</t>
    </r>
    <r>
      <rPr>
        <vertAlign val="subscript"/>
        <sz val="10"/>
        <rFont val="Arial"/>
        <family val="2"/>
      </rPr>
      <t>2</t>
    </r>
    <r>
      <rPr>
        <sz val="10"/>
        <rFont val="Arial"/>
        <family val="2"/>
      </rPr>
      <t>/kg N</t>
    </r>
    <r>
      <rPr>
        <vertAlign val="subscript"/>
        <sz val="10"/>
        <rFont val="Arial"/>
        <family val="2"/>
      </rPr>
      <t>2</t>
    </r>
    <r>
      <rPr>
        <sz val="10"/>
        <rFont val="Arial"/>
        <family val="2"/>
      </rPr>
      <t>O (Ref. 51).</t>
    </r>
  </si>
  <si>
    <r>
      <t>Nitrous oxide emissions factor of urea fertiliser, European average, 2006, based on "nitrous oxide" of 0.00 kg eq. CO</t>
    </r>
    <r>
      <rPr>
        <vertAlign val="subscript"/>
        <sz val="10"/>
        <rFont val="Arial"/>
        <family val="2"/>
      </rPr>
      <t>2</t>
    </r>
    <r>
      <rPr>
        <sz val="10"/>
        <rFont val="Arial"/>
        <family val="2"/>
      </rPr>
      <t>/kg N</t>
    </r>
    <r>
      <rPr>
        <sz val="10"/>
        <rFont val="Arial"/>
        <family val="2"/>
      </rPr>
      <t xml:space="preserve"> (Ref. 68, Page 21).</t>
    </r>
  </si>
  <si>
    <r>
      <t>Nitrous oxide emissions factor of ammonium nitrate fertiliser, Best Available Technology, based on "nitrous oxide" of 0.00 kg eq. CO</t>
    </r>
    <r>
      <rPr>
        <vertAlign val="subscript"/>
        <sz val="10"/>
        <rFont val="Arial"/>
        <family val="2"/>
      </rPr>
      <t>2</t>
    </r>
    <r>
      <rPr>
        <sz val="10"/>
        <rFont val="Arial"/>
        <family val="2"/>
      </rPr>
      <t>/kg N</t>
    </r>
    <r>
      <rPr>
        <sz val="10"/>
        <rFont val="Arial"/>
        <family val="2"/>
      </rPr>
      <t xml:space="preserve"> (Ref. 68, Page 21).</t>
    </r>
  </si>
  <si>
    <t>Nitrous oxide emissions factor for ammonium sulphate fertiliser, European average, 2002; assumed to be zero as no breakdown provided in original source (Ref. 68, Page 22).</t>
  </si>
  <si>
    <t>Nitrous oxide emissions factor for ammonium sulphate fertiliser, Modern Technology; assumed to be zero as no breakdown provided in original source (Ref. 68, Page 22).</t>
  </si>
  <si>
    <r>
      <t>Nitrous oxide emissions factor of calcium ammonium nitrate fertiliser, European average, 2006, based on "nitrous oxide" of 0.00 kg eq. CO</t>
    </r>
    <r>
      <rPr>
        <vertAlign val="subscript"/>
        <sz val="10"/>
        <rFont val="Arial"/>
        <family val="2"/>
      </rPr>
      <t>2</t>
    </r>
    <r>
      <rPr>
        <sz val="10"/>
        <rFont val="Arial"/>
        <family val="2"/>
      </rPr>
      <t>/kg N</t>
    </r>
    <r>
      <rPr>
        <sz val="10"/>
        <rFont val="Arial"/>
        <family val="2"/>
      </rPr>
      <t xml:space="preserve"> (Ref. 68, Page 21).</t>
    </r>
  </si>
  <si>
    <r>
      <t>Nitrous oxide emissions factor of calcium ammonium nitrate fertiliser, Best Available Technology, based on "nitrous oxide" of 0.00 kg eq. CO</t>
    </r>
    <r>
      <rPr>
        <vertAlign val="subscript"/>
        <sz val="10"/>
        <rFont val="Arial"/>
        <family val="2"/>
      </rPr>
      <t>2</t>
    </r>
    <r>
      <rPr>
        <sz val="10"/>
        <rFont val="Arial"/>
        <family val="2"/>
      </rPr>
      <t>/kg N</t>
    </r>
    <r>
      <rPr>
        <sz val="10"/>
        <rFont val="Arial"/>
        <family val="2"/>
      </rPr>
      <t xml:space="preserve"> (Ref. 68, Page 21).</t>
    </r>
  </si>
  <si>
    <t>Primary energy multiplier of monoammonium phosphate fertiliser, European average, 2002 (Ref. 67, Page 22).</t>
  </si>
  <si>
    <t>Carbon dioxide emissions factor for monoammonium phosphate fertiliser, European average, 2002; equal to total greenhouse gas emissions as no breakdown provided in original source (Ref. 67, Page 22).</t>
  </si>
  <si>
    <t>Methane emissions factor for monoammonium phosphate fertiliser, European average, 2002; assumed to be zero as no breakdown provided in original source (Ref. 67, Page 22).</t>
  </si>
  <si>
    <t>Nitrous oxide emissions factor for monoammonium phosphate fertiliser, European average, 2002; assumed to be zero as no breakdown provided in original source (Ref. 67, Page 22).</t>
  </si>
  <si>
    <t>Primary energy multiplier of diammonium phosphate fertiliser, European Union, 2006 (Ref. 68, Page 21).</t>
  </si>
  <si>
    <t>Carbon dioxide emissions factor for diammonium phosphate fertiliser, European average, 2006 (Ref. 68, Page 21).</t>
  </si>
  <si>
    <r>
      <t>Methane emissions factor of diammonium phosphate fertiliser, European average, 2006, based on "other GHG emissions" of 0.174 kg eq. CO</t>
    </r>
    <r>
      <rPr>
        <vertAlign val="subscript"/>
        <sz val="10"/>
        <rFont val="Arial"/>
        <family val="2"/>
      </rPr>
      <t>2</t>
    </r>
    <r>
      <rPr>
        <sz val="10"/>
        <rFont val="Arial"/>
        <family val="2"/>
      </rPr>
      <t>/kg N</t>
    </r>
    <r>
      <rPr>
        <sz val="10"/>
        <rFont val="Arial"/>
        <family val="2"/>
      </rPr>
      <t xml:space="preserve"> (Ref. 68, Page 21), assumed to be all methane converted with a Global Warming Potential of 23 kg eq. CO</t>
    </r>
    <r>
      <rPr>
        <vertAlign val="subscript"/>
        <sz val="10"/>
        <rFont val="Arial"/>
        <family val="2"/>
      </rPr>
      <t>2</t>
    </r>
    <r>
      <rPr>
        <sz val="10"/>
        <rFont val="Arial"/>
        <family val="2"/>
      </rPr>
      <t>/kg CH</t>
    </r>
    <r>
      <rPr>
        <vertAlign val="subscript"/>
        <sz val="10"/>
        <rFont val="Arial"/>
        <family val="2"/>
      </rPr>
      <t>4</t>
    </r>
    <r>
      <rPr>
        <sz val="10"/>
        <rFont val="Arial"/>
        <family val="2"/>
      </rPr>
      <t xml:space="preserve"> (Ref. 51).</t>
    </r>
  </si>
  <si>
    <r>
      <t>Nitrous oxide emissions factor of diammonium phosphate fertiliser, European average, 2006, based on "nitrous oxide" of 0.00 kg eq. CO</t>
    </r>
    <r>
      <rPr>
        <vertAlign val="subscript"/>
        <sz val="10"/>
        <rFont val="Arial"/>
        <family val="2"/>
      </rPr>
      <t>2</t>
    </r>
    <r>
      <rPr>
        <sz val="10"/>
        <rFont val="Arial"/>
        <family val="2"/>
      </rPr>
      <t>/kg N</t>
    </r>
    <r>
      <rPr>
        <sz val="10"/>
        <rFont val="Arial"/>
        <family val="2"/>
      </rPr>
      <t xml:space="preserve"> (Ref. 68, Page 21).</t>
    </r>
  </si>
  <si>
    <t>Primary energy multiplier for single superphosphate fertiliser, European average, 2002 (Ref. 67, Page 22).</t>
  </si>
  <si>
    <t>Carbon dioxide emissions factor for single superphosphate fertiliser, European average, 2002 (Ref. 67, Page 22).</t>
  </si>
  <si>
    <t>Methane emissions factor for single superphosphate not known, included in carbon dioxide emissions factor (Ref. 67, Page 22).</t>
  </si>
  <si>
    <t>Nitrous oxide emissions factor for single superphosphate not known, included in carbon dioxide emissions factor (Ref. 67, Page 22).</t>
  </si>
  <si>
    <t>Primary energy multiplier for triple superphosphate fertiliser, European Union average, 2006 (Ref. 68, Page 21).</t>
  </si>
  <si>
    <t>Carbon dioxide emissions factor for triple superphosphate fertiliser, European Union average, 2006 (Ref. 68, Page 21).</t>
  </si>
  <si>
    <r>
      <t>Methane emissions factor of triple superphosphate fertiliser, European Union average, 2006, based on "other GHG emissions" of 0.02083 kg eq. CO</t>
    </r>
    <r>
      <rPr>
        <vertAlign val="subscript"/>
        <sz val="10"/>
        <rFont val="Arial"/>
        <family val="2"/>
      </rPr>
      <t>2</t>
    </r>
    <r>
      <rPr>
        <sz val="10"/>
        <rFont val="Arial"/>
        <family val="2"/>
      </rPr>
      <t>/kg P2O5</t>
    </r>
    <r>
      <rPr>
        <sz val="10"/>
        <color indexed="8"/>
        <rFont val="Arial"/>
        <family val="2"/>
      </rPr>
      <t xml:space="preserve"> (Ref. 68, Page 21), assumed to be all methane converted with a Global Warming Potential of 23 kg eq. CO</t>
    </r>
    <r>
      <rPr>
        <vertAlign val="subscript"/>
        <sz val="10"/>
        <rFont val="Arial"/>
        <family val="2"/>
      </rPr>
      <t>2</t>
    </r>
    <r>
      <rPr>
        <sz val="10"/>
        <rFont val="Arial"/>
        <family val="2"/>
      </rPr>
      <t>/kg CH</t>
    </r>
    <r>
      <rPr>
        <vertAlign val="subscript"/>
        <sz val="10"/>
        <rFont val="Arial"/>
        <family val="2"/>
      </rPr>
      <t>4 (Ref. 51).</t>
    </r>
  </si>
  <si>
    <r>
      <t>Nitrous oxide emissions factor of triple superphosphate fertiliser, European Union average, 2006, based on "nitrous oxide" of 0 kg eq. CO</t>
    </r>
    <r>
      <rPr>
        <vertAlign val="subscript"/>
        <sz val="10"/>
        <rFont val="Arial"/>
        <family val="2"/>
      </rPr>
      <t>2</t>
    </r>
    <r>
      <rPr>
        <sz val="10"/>
        <rFont val="Arial"/>
        <family val="2"/>
      </rPr>
      <t>/kg P</t>
    </r>
    <r>
      <rPr>
        <vertAlign val="subscript"/>
        <sz val="10"/>
        <rFont val="Arial"/>
        <family val="2"/>
      </rPr>
      <t>2</t>
    </r>
    <r>
      <rPr>
        <sz val="10"/>
        <rFont val="Arial"/>
        <family val="2"/>
      </rPr>
      <t>O</t>
    </r>
    <r>
      <rPr>
        <vertAlign val="subscript"/>
        <sz val="10"/>
        <rFont val="Arial"/>
        <family val="2"/>
      </rPr>
      <t>5</t>
    </r>
    <r>
      <rPr>
        <sz val="10"/>
        <color indexed="8"/>
        <rFont val="Arial"/>
        <family val="2"/>
      </rPr>
      <t xml:space="preserve"> (Ref. 68, Page 21)</t>
    </r>
    <r>
      <rPr>
        <sz val="10"/>
        <rFont val="Arial"/>
        <family val="2"/>
      </rPr>
      <t>.</t>
    </r>
  </si>
  <si>
    <t>Primary energy multiplier for phosphate rock fertiliser, European average, 2002 (Ref. 67, Page 14).</t>
  </si>
  <si>
    <t>Carbon dioxide emissions factor derived from primary energy multiplier for phosphate rock, European average 2002 (Ref. 67, Page 14), and assuming emissions due to diesel fuel consumption and carbon dioxide emissions factor for diesel fuel, United Kingdom 2004 (Ref. 15).</t>
  </si>
  <si>
    <t>Methane emissions factor derived from primary energy multiplier for phosphate rock, European average 2002 (Ref. 67, Page 14), and assuming emissions due to diesel fuel consumption and methane emissions factor for diesel fuel, United Kingdom 2004 (Ref. 15).</t>
  </si>
  <si>
    <t>Nitrous oxide emissions factor derived from primary energy multiplier for phosphate rock, European average 2002 (Ref. 67, Page 14), and assuming emissions due to diesel fuel consumption and nitrous oxide emissions factor for diesel fuel, United Kingdom 2004 (Ref. 15).</t>
  </si>
  <si>
    <t>Type of Phopshate Fertiliser</t>
  </si>
  <si>
    <t>Values for Specified N Fertiliser</t>
  </si>
  <si>
    <t>Values for Specified P Fertiliser</t>
  </si>
  <si>
    <t>Source of Ammonium Nitrate Manufacture Emissions Factor</t>
  </si>
  <si>
    <t>Source of Urea Manufacture Emissions Factor</t>
  </si>
  <si>
    <t>Source of Ammonium Sulphate Manufacture Emissions Factor</t>
  </si>
  <si>
    <t>Source of Calcium Ammonium Nitrate Manufacture Emissions Factor</t>
  </si>
  <si>
    <t xml:space="preserve"> Yes = 1, No = 0</t>
  </si>
  <si>
    <t>"Primary Energy and Greenhouse Gas Emission Multiplier for Products and Services, United Kingdom, 2004" NF0614stat0402.xls by Nigel Mortimer, North Energy Associates for National Non-Food Cereal Crops.</t>
  </si>
  <si>
    <t>Electricity emissions factors estimated from energy statistics for Brazil 2009 from International Energy Agency - www.iea.org/stats Accessed 09 March 2012.</t>
  </si>
  <si>
    <r>
      <t>Monoammonium Phosphate (MAP; 52% P</t>
    </r>
    <r>
      <rPr>
        <vertAlign val="subscript"/>
        <sz val="10"/>
        <rFont val="Arial"/>
        <family val="2"/>
      </rPr>
      <t>2</t>
    </r>
    <r>
      <rPr>
        <sz val="10"/>
        <rFont val="Arial"/>
        <family val="2"/>
      </rPr>
      <t>O</t>
    </r>
    <r>
      <rPr>
        <vertAlign val="subscript"/>
        <sz val="10"/>
        <rFont val="Arial"/>
        <family val="2"/>
      </rPr>
      <t>5</t>
    </r>
    <r>
      <rPr>
        <sz val="10"/>
        <rFont val="Arial"/>
        <family val="2"/>
      </rPr>
      <t>,</t>
    </r>
    <r>
      <rPr>
        <vertAlign val="subscript"/>
        <sz val="10"/>
        <rFont val="Arial"/>
        <family val="2"/>
      </rPr>
      <t xml:space="preserve"> </t>
    </r>
    <r>
      <rPr>
        <sz val="10"/>
        <rFont val="Arial"/>
        <family val="2"/>
      </rPr>
      <t>11.0% N)</t>
    </r>
  </si>
  <si>
    <r>
      <t>Diammonium Phosphate (DAP; 46% P</t>
    </r>
    <r>
      <rPr>
        <vertAlign val="subscript"/>
        <sz val="10"/>
        <rFont val="Arial"/>
        <family val="2"/>
      </rPr>
      <t>2</t>
    </r>
    <r>
      <rPr>
        <sz val="10"/>
        <rFont val="Arial"/>
        <family val="2"/>
      </rPr>
      <t>O</t>
    </r>
    <r>
      <rPr>
        <vertAlign val="subscript"/>
        <sz val="10"/>
        <rFont val="Arial"/>
        <family val="2"/>
      </rPr>
      <t>5</t>
    </r>
    <r>
      <rPr>
        <sz val="10"/>
        <rFont val="Arial"/>
        <family val="2"/>
      </rPr>
      <t>,</t>
    </r>
    <r>
      <rPr>
        <sz val="10"/>
        <rFont val="Arial"/>
        <family val="2"/>
      </rPr>
      <t xml:space="preserve"> 18.0% N)</t>
    </r>
  </si>
  <si>
    <t>"Process Design and Evaluation of Butanol Production from Lignocellulosic Biomass" by C.M. Daza Montaño, Presented at Bioenergy2009 4th International Bioenergy Conference and Exibition on 31st August to 4th September 2009 Jyväskylä - Finland, ECN-L--09-117.</t>
  </si>
  <si>
    <t>"Experiences on Vinasse Disposal Part III: Combustion of Vinasses - Fuel Oil Emulsion" by L.A.B Cortez and L.E. Brossard Perez, Brazilian Journal of Chemical Engineering, vol 14, issue No. 1, March 1997.</t>
  </si>
  <si>
    <t>"Production of Bioethanol and Other Bio-based Materials from Sugarcane Bagasse: Integration to Conventional Bioethanol Production Process" by Marina O.S. Dias, Adriano V. Ensinas, Silvia A. Nebra, Rubens Maciel Filho, Carlos E.V. Rossell, Maria Regina Wolf Maciel, Chemical Engineering Research and Design vol 87, pages 1206-1216, 2009.</t>
  </si>
  <si>
    <t>"Improving Filter Mud Cake with Rock Phosphate and Biofertilisers for Exporting Organic Onion Production in Newly Cultivated Land at South Valley Area" by A. A. Abo-Baker Basha, Australian Journal of Basic and Applied Sciences, Vol. 5, No. 8, p. 1354 - 1361, 2011.</t>
  </si>
  <si>
    <t>"A Comparison of Treatments for High Strength Distillery Slops from the Sugar Cane Industry" by H. M. Poggi-Varaldo, Proceedings of the 47th Purdue University Industrial Waste Conference, Lewis Publishers Inc., Michigan, United States of America, 1992.</t>
  </si>
  <si>
    <t>"Chapter 4 Mitigation of GHG Emissions Using Sugarcane Bioethanol" by Isaias C. Macedo and Joaquim E.A. Seabra in Sugarcane Ethanol - Contributions to climate change mitigation and the environment, edited by Peter Zuurbier and Jos van de Vooren, Wageningen Academic publishers, The Netherlands, 2008.</t>
  </si>
  <si>
    <t>kg CO2/kg CaO</t>
  </si>
  <si>
    <t xml:space="preserve">Unit Volume of Permeate = </t>
  </si>
  <si>
    <t xml:space="preserve"> kWh/t et</t>
  </si>
  <si>
    <t>"Medium and Long-term Opportunities and Risks of the Biotechnological Production of Bulk Chemicals from Renewable Resources - The Potential of white Biology, The BREW Project" Final report prepared under the European Commission's GROWTH Programme (DG Research), Utrecht, Netherlands, September 2006</t>
  </si>
  <si>
    <t>Heat Content of Steam</t>
  </si>
  <si>
    <t>Default value for heat content of steam of 2.73 MJ/kg (Table A2.5 Ref. 37).</t>
  </si>
  <si>
    <t>Unit Electricity Requirement for Fermentation</t>
  </si>
  <si>
    <t>Unit Steam Requirement for Fermentation</t>
  </si>
  <si>
    <t>kg/t et</t>
  </si>
  <si>
    <t>Ethanol Dispatched from Biorefinery =</t>
  </si>
  <si>
    <t xml:space="preserve">Unit Total Heat Requirement = </t>
  </si>
  <si>
    <t xml:space="preserve">Unit Total Electricity Requirement = </t>
  </si>
  <si>
    <t xml:space="preserve">Unit Electricity Requirement = </t>
  </si>
  <si>
    <t xml:space="preserve">Unit Heat Requirement = </t>
  </si>
  <si>
    <t>WASTE WATER TREATMENT PLANT</t>
  </si>
  <si>
    <t>ENERGY REQUIREMENTS OF BIOREFINERY</t>
  </si>
  <si>
    <t>SOURCE OF HEAT AND ELECTRICITY FOR BIOREFINERY</t>
  </si>
  <si>
    <t>BIOREFINERY</t>
  </si>
  <si>
    <t xml:space="preserve"> h/a</t>
  </si>
  <si>
    <t>Lifetime of Biorefinery</t>
  </si>
  <si>
    <t>h/a</t>
  </si>
  <si>
    <t>Annual Operating Time of Biorefinery</t>
  </si>
  <si>
    <t>Default value for plant life of 20 years (Ref. 22).</t>
  </si>
  <si>
    <t xml:space="preserve"> t GVW</t>
  </si>
  <si>
    <t>Lorry Size</t>
  </si>
  <si>
    <t xml:space="preserve"> ha.a</t>
  </si>
  <si>
    <t>Default value assumes no losses during fermentation.</t>
  </si>
  <si>
    <t xml:space="preserve">Pentose Liquor = </t>
  </si>
  <si>
    <t xml:space="preserve">Net Calorific Value of Pentose Liquor = </t>
  </si>
  <si>
    <t xml:space="preserve">Price of Pentose Liquor = </t>
  </si>
  <si>
    <t xml:space="preserve">Lignin = </t>
  </si>
  <si>
    <t xml:space="preserve">Net Calorific Value of Lignin = </t>
  </si>
  <si>
    <t xml:space="preserve">Lignin Used as Fuel? = </t>
  </si>
  <si>
    <t>pentose</t>
  </si>
  <si>
    <t>lignin</t>
  </si>
  <si>
    <t>Default value for unit lignin production of 0.207 t/t wet bagasse based on output rate for lignin of 22 t/h and wet bagasse input rate of 90% of 118.32 t/h (Ref. 57).</t>
  </si>
  <si>
    <t>Lignin Used in Energy Supply for Biorefinery?</t>
  </si>
  <si>
    <t>lignin_energy_source</t>
  </si>
  <si>
    <t>Default value assumes lignin is used for energy supply in the biorefinery.</t>
  </si>
  <si>
    <t>hexoses</t>
  </si>
  <si>
    <t xml:space="preserve">Hexoses Liquor  = </t>
  </si>
  <si>
    <t>Default value of unit hexoses liquor (9% wt) production of 0.160 t/t wet bagasse based on output rate for hexoses of 17 t/h and wet bagasse input rate of 90% of 118.32 t/h (Ref. 57).</t>
  </si>
  <si>
    <t xml:space="preserve"> t fermentable sugar</t>
  </si>
  <si>
    <t xml:space="preserve">Total Available Fermentable Sugar = </t>
  </si>
  <si>
    <t xml:space="preserve">Price of Carbon Dioxide = </t>
  </si>
  <si>
    <r>
      <t xml:space="preserve"> t CO</t>
    </r>
    <r>
      <rPr>
        <vertAlign val="subscript"/>
        <sz val="10"/>
        <rFont val="Arial"/>
        <family val="2"/>
      </rPr>
      <t>2</t>
    </r>
  </si>
  <si>
    <r>
      <t xml:space="preserve"> £/t CO</t>
    </r>
    <r>
      <rPr>
        <vertAlign val="subscript"/>
        <sz val="10"/>
        <rFont val="Arial"/>
        <family val="2"/>
      </rPr>
      <t>2</t>
    </r>
  </si>
  <si>
    <t xml:space="preserve">Substitution Credit for Carbon Dioxide = </t>
  </si>
  <si>
    <r>
      <t xml:space="preserve"> kg eq. CO</t>
    </r>
    <r>
      <rPr>
        <vertAlign val="subscript"/>
        <sz val="10"/>
        <rFont val="Arial"/>
        <family val="2"/>
      </rPr>
      <t>2</t>
    </r>
    <r>
      <rPr>
        <sz val="10"/>
        <rFont val="Arial"/>
        <family val="2"/>
      </rPr>
      <t>/t CO</t>
    </r>
    <r>
      <rPr>
        <vertAlign val="subscript"/>
        <sz val="10"/>
        <rFont val="Arial"/>
        <family val="2"/>
      </rPr>
      <t>2</t>
    </r>
  </si>
  <si>
    <t>Substitution Credit for Carbon Dioxide</t>
  </si>
  <si>
    <t xml:space="preserve">Fermentation Gases Captured? = </t>
  </si>
  <si>
    <t xml:space="preserve">Proportion of Waste Solids in Fermentation Broth = </t>
  </si>
  <si>
    <t xml:space="preserve"> % by volume</t>
  </si>
  <si>
    <t xml:space="preserve">Default value for waste solids in fermentation broth of 10% by volume (nominal). </t>
  </si>
  <si>
    <t>Nominal default value for moisture content for waste solids of 85%.</t>
  </si>
  <si>
    <t xml:space="preserve"> MJ/t dws</t>
  </si>
  <si>
    <t>Lime spreadsheet; NF0614Lime02.xls from the "Environmental Assessment Tool for Biomaterials" by North Energy Associates Ltd., Contract No. NF0614 for the Department for Environment, Food and Rural Affairs, London, United Kingdom, 2006.</t>
  </si>
  <si>
    <t>t/t et</t>
  </si>
  <si>
    <t>Net Calorific Value of Biogas</t>
  </si>
  <si>
    <t>Default value for total solids content of vinasses of 63000 mg/l (Ref. 36).</t>
  </si>
  <si>
    <t>Unit Electricity Requirement for Waste Water Treatment</t>
  </si>
  <si>
    <t xml:space="preserve">Unit Electricity Requirement for Waste Water Treatment = </t>
  </si>
  <si>
    <t xml:space="preserve">Biogas Generation from Anaerobic Digestion = </t>
  </si>
  <si>
    <t xml:space="preserve">Methane Content of Biogas = </t>
  </si>
  <si>
    <t>Net Calorific Value of Methane</t>
  </si>
  <si>
    <t>Default value for methane content of biogas of 78.2% (Ref. 36).</t>
  </si>
  <si>
    <t>"An Engineering Data Book" edited by A. J. Munday and R. A. Farrar, The Macmillan Press Ltd., London, United Kingdom, 1979.</t>
  </si>
  <si>
    <t xml:space="preserve">Net Calorific Value of Methane = </t>
  </si>
  <si>
    <r>
      <t xml:space="preserve"> MJ/m</t>
    </r>
    <r>
      <rPr>
        <vertAlign val="superscript"/>
        <sz val="10"/>
        <rFont val="Arial"/>
        <family val="2"/>
      </rPr>
      <t>3</t>
    </r>
  </si>
  <si>
    <t xml:space="preserve">Net Calorific Value of Biogas = </t>
  </si>
  <si>
    <t xml:space="preserve"> t wsb</t>
  </si>
  <si>
    <t xml:space="preserve">Waste Solids from Fermentation Broth = </t>
  </si>
  <si>
    <t>Moisture Content of Waste Solids from Fermentation Broth =</t>
  </si>
  <si>
    <t xml:space="preserve"> t wsf</t>
  </si>
  <si>
    <t xml:space="preserve">Combined Waste Solids for Drying = </t>
  </si>
  <si>
    <t xml:space="preserve">Combined Moisture Content of Waste Solids for Drying = </t>
  </si>
  <si>
    <t xml:space="preserve"> t cws</t>
  </si>
  <si>
    <r>
      <t xml:space="preserve"> m</t>
    </r>
    <r>
      <rPr>
        <vertAlign val="superscript"/>
        <sz val="10"/>
        <rFont val="Arial"/>
        <family val="2"/>
      </rPr>
      <t>3</t>
    </r>
  </si>
  <si>
    <t>CV_ln</t>
  </si>
  <si>
    <t>"The Lignoboost Process" by P. Tomani, Cellolose Chemistry and Technology, Vol. 44, Nos. 1 -2, pp. 53 - 58, 2010.</t>
  </si>
  <si>
    <t xml:space="preserve">Unit Heat Available from Lignin = </t>
  </si>
  <si>
    <t xml:space="preserve">Unit Heat Available from Biogas  = </t>
  </si>
  <si>
    <t>t csc/a</t>
  </si>
  <si>
    <t>prod_pl_input_sc</t>
  </si>
  <si>
    <t xml:space="preserve"> MW</t>
  </si>
  <si>
    <t>Unit Biomass Consumption of Boiler =</t>
  </si>
  <si>
    <t>Overall Thermal Efficiency of CHP Plant</t>
  </si>
  <si>
    <t>Thermal Efficiency of Boiler</t>
  </si>
  <si>
    <t>Weighting Value of Electricity Relative to Heat in CHP Plant (for allocation of emissions)</t>
  </si>
  <si>
    <t>1 tonne ethanol</t>
  </si>
  <si>
    <t>Unit Biomass Consumption of Combined Heat and Power Plant (MJ/t et)</t>
  </si>
  <si>
    <t>Unit Electricity Consumption from Grid (kWh/t et)</t>
  </si>
  <si>
    <t>Unit Biomass Consumption of Boiler (MJ/t et)</t>
  </si>
  <si>
    <t>Boiler Life (a)</t>
  </si>
  <si>
    <t>CHP Plant Life (a)</t>
  </si>
  <si>
    <t xml:space="preserve">Unit Biomass Consumption of Combined Heat and Power Plant = </t>
  </si>
  <si>
    <t xml:space="preserve">Combined Heat and Power Plant Thermal Input Rating = </t>
  </si>
  <si>
    <t xml:space="preserve">Combined Heat and Power Plant Overall Thermal Efficiency = </t>
  </si>
  <si>
    <t xml:space="preserve">Combined Heat and Power Plant Heat to Power Ratio = </t>
  </si>
  <si>
    <t xml:space="preserve">Combined Heat and Power Plant Heat Output Rating = </t>
  </si>
  <si>
    <t xml:space="preserve">Combined Heat and Power Plant Net Electrical Output Rating = </t>
  </si>
  <si>
    <t xml:space="preserve">Combined Heat and Power Plant Life = </t>
  </si>
  <si>
    <t xml:space="preserve">Weighting of Value of Electricity to Value of Heat = </t>
  </si>
  <si>
    <t xml:space="preserve">Combined Heat and Power Plant Load Factor = </t>
  </si>
  <si>
    <t xml:space="preserve">Unit Electricity Export to Grid = </t>
  </si>
  <si>
    <t xml:space="preserve">Unit Electricity Import from Grid = </t>
  </si>
  <si>
    <t>Include Machinery and Equipment Manufacture?</t>
  </si>
  <si>
    <t>Fermentation in Biorefinery</t>
  </si>
  <si>
    <t>Sale of Surplus Electricity from Oil/Biomass-fired Combined Heat and Power Plant</t>
  </si>
  <si>
    <t>Biorefinery</t>
  </si>
  <si>
    <t>t/a</t>
  </si>
  <si>
    <t>Annual Ethanol Output Capacity</t>
  </si>
  <si>
    <t>Life of Biorefinery</t>
  </si>
  <si>
    <t>Biorefinery Construction, Maintenance and Decomissioning</t>
  </si>
  <si>
    <t xml:space="preserve">Lorry Size = </t>
  </si>
  <si>
    <t>rail</t>
  </si>
  <si>
    <t>barge</t>
  </si>
  <si>
    <t>ship</t>
  </si>
  <si>
    <t>Transport Mode Options</t>
  </si>
  <si>
    <t>To Biorefinery</t>
  </si>
  <si>
    <t>44 Tonne Truck: 29 m3 Capacity</t>
  </si>
  <si>
    <t>Average maintenance contribution of 2% (Ref. T3)</t>
  </si>
  <si>
    <t>40 Tonne Truck: 26 m3 Capacity</t>
  </si>
  <si>
    <t>32 Tonne Truck: 21 m3 Capacity</t>
  </si>
  <si>
    <t>26 Tonne Truck: 17m3 Capacity</t>
  </si>
  <si>
    <t>Bulk Freight Road Transport (ethanol from biorefinery to distribution point, stage 1)</t>
  </si>
  <si>
    <t>Product Lorry Size Options</t>
  </si>
  <si>
    <t>44/40/32/26 t GVW</t>
  </si>
  <si>
    <t>Ethanol from biorefinery to distribution point (Stage 1)</t>
  </si>
  <si>
    <t>Ethanol from biorefinery to distribution point (Stage 2)</t>
  </si>
  <si>
    <t xml:space="preserve">Default setting for ethanol transport (stage 1) from biorefinery to distribution point of road transport. </t>
  </si>
  <si>
    <t>Default value for lorry size of 44 t GVW for ethanol transport (stage 1) from biorefinery to distribution point.</t>
  </si>
  <si>
    <t>Default assumes no losses during ethanol transport (stage 1) from biorefinery to distribution point.</t>
  </si>
  <si>
    <t xml:space="preserve">Default setting for ethanol transport (stage 2) from biorefinery to distribution point of ship transport. </t>
  </si>
  <si>
    <t>Default value for lorry size of 44 t GVW for ethanol transport (stage 2) from biorefinery to distribution point.</t>
  </si>
  <si>
    <t>Default assumes no losses during ethanol transport (stage 2) from biorefinery to distribution point.</t>
  </si>
  <si>
    <t>Ethanol from biorefinery to distribution point (Stage 3)</t>
  </si>
  <si>
    <t>tr_pl_dtb_3_truck</t>
  </si>
  <si>
    <t>tr_pl_dtb_3_mode</t>
  </si>
  <si>
    <t>tr_pl_dtb_3_km</t>
  </si>
  <si>
    <t>tr_pl_dtb_3_loss</t>
  </si>
  <si>
    <t>Default value for lorry size of 44 t GVW for ethanol transport (stage 3) from biorefinery to distribution point.</t>
  </si>
  <si>
    <t xml:space="preserve">Default setting for ethanol transport (stage 3) from biorefinery to distribution point of rail transport. </t>
  </si>
  <si>
    <t xml:space="preserve">Transported Ethanol (stage 1) = </t>
  </si>
  <si>
    <t xml:space="preserve">Transported Ethanol (stage 2) = </t>
  </si>
  <si>
    <t>TRANSPORT TO DISTRIBUTION POINT (Stage 3)</t>
  </si>
  <si>
    <t>Acetone from biorefinery to distribution point (Stage 1)</t>
  </si>
  <si>
    <t>Acetone from biorefinery to distribution point (Stage 2)</t>
  </si>
  <si>
    <t>Acetone from biorefinery to distribution point (Stage 3)</t>
  </si>
  <si>
    <t>tr_pl_dtb_1_truck_ace</t>
  </si>
  <si>
    <t>tr_pl_dtb_1_mode_ace</t>
  </si>
  <si>
    <t>tr_pl_dtb_1_km_ace</t>
  </si>
  <si>
    <t>tr_pl_dtb_1_loss_ace</t>
  </si>
  <si>
    <t>tr_pl_dtb_2_truck_ace</t>
  </si>
  <si>
    <t>tr_pl_dtb_2_mode_ace</t>
  </si>
  <si>
    <t>tr_pl_dtb_2_km_ace</t>
  </si>
  <si>
    <t>tr_pl_dtb_2_loss_ace</t>
  </si>
  <si>
    <t>tr_pl_dtb_3_truck_ace</t>
  </si>
  <si>
    <t>tr_pl_dtb_3_mode_ace</t>
  </si>
  <si>
    <t>tr_pl_dtb_3_km_ace</t>
  </si>
  <si>
    <t>tr_pl_dtb_3_loss_ace</t>
  </si>
  <si>
    <t xml:space="preserve">Default setting for acteone transport (stage 1) from biorefinery to distribution point of road transport. </t>
  </si>
  <si>
    <t>Default assumes no losses during acetone transport (stage 1) from biorefinery to distribution point.</t>
  </si>
  <si>
    <t>Default assumes no losses during ethanol transport (stage 3) from biorefinery to distribution point.</t>
  </si>
  <si>
    <t>Default value for lorry size of 44 t GVW for acetone transport (stage 2) from biorefinery to distribution point.</t>
  </si>
  <si>
    <t xml:space="preserve">Default setting for acetone transport (stage 2) from biorefinery to distribution point of ship transport. </t>
  </si>
  <si>
    <t>Default assumes no losses during acetone transport (stage 2) from biorefinery to distribution point.</t>
  </si>
  <si>
    <t>Default value for lorry size of 44 t GVW for acetone transport (stage 3) from biorefinery to distribution point.</t>
  </si>
  <si>
    <t xml:space="preserve">Default setting for acetone transport (stage 3) from biorefinery to distribution point of rail transport. </t>
  </si>
  <si>
    <t>Default assumes no losses during acetone transport (stage 3) from biorefinery to distribution point.</t>
  </si>
  <si>
    <t xml:space="preserve"> Road Transport Round Trip Distance = </t>
  </si>
  <si>
    <t xml:space="preserve"> Rail Transport Round Trip Distance = </t>
  </si>
  <si>
    <t xml:space="preserve"> Barge Transport Round Trip Distance = </t>
  </si>
  <si>
    <t xml:space="preserve"> Ship Transport Round Trip Distance = </t>
  </si>
  <si>
    <t xml:space="preserve">Rail Transport Round Trip Distance = </t>
  </si>
  <si>
    <t>Butanol from biorefinery to distribution point (Stage 1)</t>
  </si>
  <si>
    <t>Butanol from biorefinery to distribution point (Stage 2)</t>
  </si>
  <si>
    <t>Butanol from biorefinery to distribution point (Stage 3)</t>
  </si>
  <si>
    <t>tr_pl_dtb_1_truck_but</t>
  </si>
  <si>
    <t>tr_pl_dtb_1_mode_but</t>
  </si>
  <si>
    <t>tr_pl_dtb_1_km_but</t>
  </si>
  <si>
    <t>tr_pl_dtb_1_loss_but</t>
  </si>
  <si>
    <t>tr_pl_dtb_2_mode_but</t>
  </si>
  <si>
    <t>tr_pl_dtb_2_truck_but</t>
  </si>
  <si>
    <t>tr_pl_dtb_2_km_but</t>
  </si>
  <si>
    <t>tr_pl_dtb_2_loss_but</t>
  </si>
  <si>
    <t>tr_pl_dtb_3_truck_but</t>
  </si>
  <si>
    <t>tr_pl_dtb_3_mode_but</t>
  </si>
  <si>
    <t>tr_pl_dtb_3_km_but</t>
  </si>
  <si>
    <t>tr_pl_dtb_3_loss_but</t>
  </si>
  <si>
    <t>Default value for lorry size of 44 t GVW for butanol transport (stage 1) from biorefinery to distribution point.</t>
  </si>
  <si>
    <t xml:space="preserve">Default setting for butanol transport (stage 1) from biorefinery to distribution point of road transport. </t>
  </si>
  <si>
    <t>Default assumes no losses during butanol transport (stage 1) from biorefinery to distribution point.</t>
  </si>
  <si>
    <t>Default value for lorry size of 44 t GVW for butanol transport (stage 2) from biorefinery to distribution point.</t>
  </si>
  <si>
    <t xml:space="preserve">Default setting for butanol transport (stage 2) from biorefinery to distribution point of ship transport. </t>
  </si>
  <si>
    <t>Default assumes no losses during butanol transport (stage 2) from biorefinery to distribution point.</t>
  </si>
  <si>
    <t>Default value for lorry size of 44 t GVW for butanol transport (stage 3) from biorefinery to distribution point.</t>
  </si>
  <si>
    <t xml:space="preserve">Default setting for butanol transport (stage 3) from biorefinery to distribution point of rail transport. </t>
  </si>
  <si>
    <t>Default assumes no losses during butanol transport (stage 3) from biorefinery to distribution point.</t>
  </si>
  <si>
    <t>Bulk Freight Road Transport (ethanol from biorefinery to distribution point, stage 2)</t>
  </si>
  <si>
    <t>Bulk Freight Road Transport (ethanol from biorefinery to distribution point, stage 3)</t>
  </si>
  <si>
    <t>Annual Ethanol Output Capacity (t et/a)</t>
  </si>
  <si>
    <t>kWh/t et</t>
  </si>
  <si>
    <t>£/t et</t>
  </si>
  <si>
    <t>P7</t>
  </si>
  <si>
    <t>"Modelling of Carbon and Energy Budgets of Wood Fuel Coppice Systems ” by Matthews, R., Robinson, R., Abbott, S., and Fearis, N. (1994), Report ETSU B/ W5/ 00337/ REP, Energy Technology Support Unit, Harwell, UK.</t>
  </si>
  <si>
    <t>"Primary Energy and Greenhouse Gas Multipliers for Fuels and Electricity, United Kingdom, 2004" NF0614Energy0402.xls from the "Environmental Assessment Tool for Biomaterials" by North Energy Associates Ltd., Contract No. NF0614 for the Department for Environment, Food and Rural Affairs, London, United Kingdom, 2004.</t>
  </si>
  <si>
    <t>"Primary Energy and Greenhouse Gas Multipliers for Products and Services, United Kingdom, 2004" NF0614Stat0402.xlsfrom the "Environmental Assessment Tool for Biomaterials" by North Energy Associates Ltd., Contract No. NF0614 for the Department for Environment, Food and Rural Affairs, London, United Kingdom, 2004.</t>
  </si>
  <si>
    <t>T14</t>
  </si>
  <si>
    <t>Marine diesel consumption of an inland waterway barge (Ref. T8).</t>
  </si>
  <si>
    <t>Energy requirement for construction of an inland waterway barge assumed similar to a bulk carrier ship of deadweight of 22,000 tonnes (Ref. T6).</t>
  </si>
  <si>
    <t>Average maintenance contribution (Ref. T6).</t>
  </si>
  <si>
    <t xml:space="preserve">Primary energy multiplier of marine diesel for the United Kingdom in 2004 (Ref. T13). </t>
  </si>
  <si>
    <t xml:space="preserve">Carbon dioxide emissions factor of marine diesel for the United Kingdom in 2004 (Ref. T13). </t>
  </si>
  <si>
    <t>Carbon dioxide emissions for construction of an inland waterway barge assumed similar to a bulk carrier ship of deadweight of 22,000 tonnes (Refs. T6 and T7).</t>
  </si>
  <si>
    <t xml:space="preserve">Methane emissions factor of marine diesel for the United Kingdom in 2004 (Ref. T13). </t>
  </si>
  <si>
    <t>Methane emissions for construction of an inland waterway barge assumed similar to a bulk carrier ship of deadweight of 22,000 tonnes (Refs. T6 and T7).</t>
  </si>
  <si>
    <t xml:space="preserve">Nitrous oxide emissions factor of marine diesel for the United Kingdom in 2004 (Ref. T13). </t>
  </si>
  <si>
    <t>Nitrous oxide emissions for construction of an inland waterway barge assumed similar to a bulk carrier ship of deadweight of 22,000 tonnes (Refs. T6 and T7).</t>
  </si>
  <si>
    <t>Average maintenance contribution (Ref. T2).</t>
  </si>
  <si>
    <t>Gas oil consumption of bulk freight rail transport (Ref. T5).</t>
  </si>
  <si>
    <t>Primary energy input of capital equipment for bulk freight rail transport (Ref. T2).</t>
  </si>
  <si>
    <t xml:space="preserve">Primary energy multiplier of gas oil for the United Kingdom in 2004 (Ref. T13). </t>
  </si>
  <si>
    <t xml:space="preserve">Carbon dioxide emissions factor of gas oil for the United Kingdom in 2004 (Ref. T13). </t>
  </si>
  <si>
    <t>Nitrous oxide emissions of capital equipment for bulk freight rail transport (Ref. T2 and T4).</t>
  </si>
  <si>
    <t>Methane emissions of capital equipment for bulk freight rail transport (Ref. T2 and T4).</t>
  </si>
  <si>
    <t>Carbon dioxide emissions of capital equipment for bulk freight rail transport (Refs. T2 and T7).</t>
  </si>
  <si>
    <t>Marine diesel consumption of a large bulk carrier ship with a deadweight of 14,201 tonnes and a maximum speed of 11.2 knots (Refs. T5 and T6).</t>
  </si>
  <si>
    <t>Energy requirement for construction of a large bulk carrier with deadweight of 14,201 tonnes and maximum speed of 11.2 knots (Ref. T6).</t>
  </si>
  <si>
    <t>Carbon dioxide emissions for construction of a large bulk carrier with deadweight of 14,201 tonnes and maximum speed of 11.2 knots (Refs. T6 and T7).</t>
  </si>
  <si>
    <t>Methane emissions for construction of a large bulk carrier with deadweight of 14,201 tonnes and maximum speed of 11.2 knots (Refs. T6 and T7).</t>
  </si>
  <si>
    <t>Nitrous oxide emissions for construction of a large bulk carrier with deadweight of 14,201 tonnes and maximum speed of 11.2 knots (Refs. T4, T6 and T7).</t>
  </si>
  <si>
    <t>Direct methane emissions per MJ of energy in biomass (Ref. 9).</t>
  </si>
  <si>
    <t>Data on cost of natural gas-fired boiler based on £405777 for actual boiler, representing 30% of total cost of £1352590 (used to calculate value for the constant of 1900, using 2/3 power law)</t>
  </si>
  <si>
    <t>Average primary energy multiplier for "Machinery and Equipment", "Electrical machinery and apparatus", "Electricity production and distribution ", and "Construction" for the United Kingdom in 2004 (Ref. P4).</t>
  </si>
  <si>
    <t>Assuming plant decommissioning as a percentage of the primary energy input to plant construction (Ref. P5).</t>
  </si>
  <si>
    <t>Average carbon dioxide emissions factor for "Machinery and Equipment", "Electrical machinery and apparatus", "Electricity production and distribution ", and "Construction" for the United Kingdom in 2004 (Ref. P4).</t>
  </si>
  <si>
    <t>Assuming annual plant maintenance as a percentage of the carbon dioxide emissions from plant construction (Ref. P5).</t>
  </si>
  <si>
    <t>Assuming plant decommissioning as a percentage of the carbon dioxide emissions from plant construction (Ref. P5).</t>
  </si>
  <si>
    <t>Average methane emissions factor for "Machinery and Equipment", "Electrical machinery and apparatus", "Electricity production and distribution ", and "Construction" for the United Kingdom in 2004 (Ref. P4).</t>
  </si>
  <si>
    <t>Assuming annual plant maintenance as a percentage of the methane emissions from plant construction (Ref. P5).</t>
  </si>
  <si>
    <t>Assuming plant decommissioning as a percentage of the methane emissions from plant construction (Ref. P5).</t>
  </si>
  <si>
    <t>Average nitrous oxide emissions factor for "Machinery and Equipment", "Electrical machinery and apparatus", "Electricity production and distribution ", and "Construction" for the United Kingdom in 2004 (Ref. P4).</t>
  </si>
  <si>
    <t>Assuming annual plant maintenance as a percentage of the nitrous oxide emissions from plant construction (Ref. P5).</t>
  </si>
  <si>
    <t>Assuming plant decommissioning as a percentage of the nitrous oxide emissions from plant construction (Ref. P5).</t>
  </si>
  <si>
    <t>Data on cost of 10 MWe natural gas-fired CHP system based on £5.43m (used to calculate value for the constant of 11698, using 2/3 power law).</t>
  </si>
  <si>
    <t>CHP Electricity Output Rating (MW)</t>
  </si>
  <si>
    <t>Biomass</t>
  </si>
  <si>
    <t>Average primary energy multiplier for "Machinery and Equipment", "Electrical machinery and apparatus", "Electricity production and distribution ", and "Construction" for the United Kingdom in 2004 (Ref. P4)</t>
  </si>
  <si>
    <t>Average carbon dioxide emissions factor for "Machinery and Equipment", "Electrical machinery and apparatus", "Electricity production and distribution ", and "Construction" for the United Kingdom in 2004 (Ref. P4)</t>
  </si>
  <si>
    <t>Average methane emissions factor for "Machinery and Equipment", "Electrical machinery and apparatus", "Electricity production and distribution ", and "Construction" for the United Kingdom in 2004 (Ref. P4)</t>
  </si>
  <si>
    <t>Average nitrous oxide emissions factor for "Machinery and Equipment", "Electrical machinery and apparatus", "Electricity production and distribution ", and "Construction" for the United Kingdom in 2004 (Ref. P4)</t>
  </si>
  <si>
    <t>Assuming annual plant maintenance as a percentage of the primary energy input to plant construction (Ref. P5).</t>
  </si>
  <si>
    <t>Replacement Generation for Surplus Electrcity from Biorefinery CHP Unit</t>
  </si>
  <si>
    <t>Contribution of Biomass Consumption</t>
  </si>
  <si>
    <t>Assuming carbon dioxide emissions from combustion of biomass is carbon neutral.</t>
  </si>
  <si>
    <t>Electricity Aggregated Supply</t>
  </si>
  <si>
    <t>Electricity Generation from CHP</t>
  </si>
  <si>
    <t>Total Electricity with CHP and Imports (if any)</t>
  </si>
  <si>
    <t>Electricity Imports (if any) with CHP</t>
  </si>
  <si>
    <t>Proportion of Electricity Supply from CHP</t>
  </si>
  <si>
    <t>Proportion of Electricity Imports (if any) with CHP</t>
  </si>
  <si>
    <t>Electricity Imported Supply (if any)</t>
  </si>
  <si>
    <t>CHP and Imported (if any) Electricity Supply</t>
  </si>
  <si>
    <t>Primary energy multiplier for heat derived from "Energy Supply" worksheet.</t>
  </si>
  <si>
    <t>Carbon dioxide emissions factor for heat derived from "Energy Supply" worksheet.</t>
  </si>
  <si>
    <t>Carbon dioxide emissions factor for electricity derived from "Energy Supply" worksheet.</t>
  </si>
  <si>
    <t>Methane emissions factor for heat derived from "Energy Supply" worksheet.</t>
  </si>
  <si>
    <t>Methane emissions factor for electricity derived from "Energy Supply" worksheet.</t>
  </si>
  <si>
    <t>Nitrous oxide emissions factor for heat derived from "Energy Supply" worksheet.</t>
  </si>
  <si>
    <t>Nitrous oxide emissions factor for electricity derived from "Energy Supply" worksheet.</t>
  </si>
  <si>
    <t>Primary energy multiplier for electricity derived from "Energy Supply" worksheet.</t>
  </si>
  <si>
    <t>Unit heat input to fermentation specified in "Unit Flow Chart" worksheet.</t>
  </si>
  <si>
    <t>Unit electricity input to fermentation specified in "Unit Flow Chart" worksheet.</t>
  </si>
  <si>
    <t>Primary Energy Input (MJ/t et)</t>
  </si>
  <si>
    <t>Carbon Dioxide Emissions (kg CO2/t et)</t>
  </si>
  <si>
    <t>Methane emissions factor for heat derived from "Energy Supply" worksheet..</t>
  </si>
  <si>
    <t>Methane Emissions (kg CH4/t et)</t>
  </si>
  <si>
    <t>Nitrous Oxide Emissions (kg N2O/t et)</t>
  </si>
  <si>
    <t>Unit Heat Input to Fermentation (MJ/t et)</t>
  </si>
  <si>
    <t>Unit Electricity Input to Fermentation (kWh/t et)</t>
  </si>
  <si>
    <t>Waste Water Treatment (AD) in Biorefinery</t>
  </si>
  <si>
    <t>Unit Electricity Input to Waste Water Treatment (AD) (kWh/t et)</t>
  </si>
  <si>
    <t>Waste Water Treament (anaerobic digestion)</t>
  </si>
  <si>
    <t>Unit electricity input to waste water treatment (AD) specified in "Unit Flow Chart" worksheet.</t>
  </si>
  <si>
    <t>Unit Electricity Surplus (kWh/t et)</t>
  </si>
  <si>
    <t>Primary energy multiplier for electricity credit from "Energy Supply" worksheet.</t>
  </si>
  <si>
    <t>Carbon dioxide emissions factor for electricity credit from "Energy Supply" worksheet.</t>
  </si>
  <si>
    <t>Methane emissions factor for electricity credit from "Energy Supply" worksheet.</t>
  </si>
  <si>
    <t>Nitrous oxide emissions factor for electricity credit from "Energy Supply" worksheet.</t>
  </si>
  <si>
    <t>Nitrous Oxide Emissions (kg N2O/et)</t>
  </si>
  <si>
    <t>Net Calorific Value of Ethanol</t>
  </si>
  <si>
    <t>Net Calorific Value of Lignin (50% moisture content)</t>
  </si>
  <si>
    <t>CV_pen</t>
  </si>
  <si>
    <t>Default value for net calorific value of lignin (50% moisture content) of 12360 MJ/t (Ref. 57).</t>
  </si>
  <si>
    <t xml:space="preserve">Price of Lignin = </t>
  </si>
  <si>
    <t xml:space="preserve">Default value for net calorific value of 7600 MJ/t for waste solids based on vinasses. </t>
  </si>
  <si>
    <t>Lignin (50% moisture content) - not used as fuel</t>
  </si>
  <si>
    <t>Default value for overall thermal efficiency of CHP Plant of 85%.</t>
  </si>
  <si>
    <t>RAIL TRANSPORT TO PLANT (Stage 1)</t>
  </si>
  <si>
    <t xml:space="preserve"> - Diesel Fuel</t>
  </si>
  <si>
    <t xml:space="preserve"> - Vehicle</t>
  </si>
  <si>
    <t xml:space="preserve"> - Vehicle </t>
  </si>
  <si>
    <t>SUB-TOTALS FOR ROAD TRANSPORT (Stage 1)</t>
  </si>
  <si>
    <t>SUB-TOTALS FOR RAIL TRANSPORT (Stage 1)</t>
  </si>
  <si>
    <t>SUB-TOTALS FOR ROAD TRANSPORT (Stage 2)</t>
  </si>
  <si>
    <t>SUB-TOTALS FOR TRANSPORT TO PLANT (Stage 2)</t>
  </si>
  <si>
    <t>BARGE TRANSPORT TO PLANT (Stage 1)</t>
  </si>
  <si>
    <t>SUB-TOTALS FOR BARGE TRANSPORT (Stage 1)</t>
  </si>
  <si>
    <t>SHIP TRANSPORT TO PLANT (Stage 1)</t>
  </si>
  <si>
    <t>SUB-TOTALS FOR SHIP TRANSPORT (Stage 1)</t>
  </si>
  <si>
    <t>Include Equipment and Machinery Manufacture?</t>
  </si>
  <si>
    <t>SUB-TOTALS FOR TRANSPORT TO PLANT (Stage 1)</t>
  </si>
  <si>
    <t>Transport to Plant (Stage 1)</t>
  </si>
  <si>
    <t>Transport to Plant (Stage 2)</t>
  </si>
  <si>
    <t>BIOREFINERY PLANT</t>
  </si>
  <si>
    <t>Biorefinery Plant</t>
  </si>
  <si>
    <t>Value (MJ/t et)</t>
  </si>
  <si>
    <t>Range+/- (MJ/t et)</t>
  </si>
  <si>
    <r>
      <t>Value (kg CO</t>
    </r>
    <r>
      <rPr>
        <b/>
        <i/>
        <vertAlign val="subscript"/>
        <sz val="10"/>
        <rFont val="Arial"/>
        <family val="2"/>
      </rPr>
      <t>2</t>
    </r>
    <r>
      <rPr>
        <b/>
        <i/>
        <sz val="10"/>
        <rFont val="Arial"/>
        <family val="2"/>
      </rPr>
      <t>/t et)</t>
    </r>
  </si>
  <si>
    <r>
      <t>Range +/- (kg CO</t>
    </r>
    <r>
      <rPr>
        <b/>
        <i/>
        <vertAlign val="subscript"/>
        <sz val="10"/>
        <rFont val="Arial"/>
        <family val="2"/>
      </rPr>
      <t>2</t>
    </r>
    <r>
      <rPr>
        <b/>
        <i/>
        <sz val="10"/>
        <rFont val="Arial"/>
        <family val="2"/>
      </rPr>
      <t>/t et)</t>
    </r>
  </si>
  <si>
    <r>
      <t>Value (kg CH</t>
    </r>
    <r>
      <rPr>
        <b/>
        <i/>
        <vertAlign val="subscript"/>
        <sz val="10"/>
        <rFont val="Arial"/>
        <family val="2"/>
      </rPr>
      <t>4</t>
    </r>
    <r>
      <rPr>
        <b/>
        <i/>
        <sz val="10"/>
        <rFont val="Arial"/>
        <family val="2"/>
      </rPr>
      <t>/t et)</t>
    </r>
  </si>
  <si>
    <r>
      <t>Range +/- (kg CH</t>
    </r>
    <r>
      <rPr>
        <b/>
        <i/>
        <vertAlign val="subscript"/>
        <sz val="10"/>
        <rFont val="Arial"/>
        <family val="2"/>
      </rPr>
      <t>4</t>
    </r>
    <r>
      <rPr>
        <b/>
        <i/>
        <sz val="10"/>
        <rFont val="Arial"/>
        <family val="2"/>
      </rPr>
      <t>/t et)</t>
    </r>
  </si>
  <si>
    <r>
      <t>Value (kg N</t>
    </r>
    <r>
      <rPr>
        <b/>
        <i/>
        <vertAlign val="subscript"/>
        <sz val="10"/>
        <rFont val="Arial"/>
        <family val="2"/>
      </rPr>
      <t>2</t>
    </r>
    <r>
      <rPr>
        <b/>
        <i/>
        <sz val="10"/>
        <rFont val="Arial"/>
        <family val="2"/>
      </rPr>
      <t>O/t et)</t>
    </r>
  </si>
  <si>
    <r>
      <t>Range +/- (kg N</t>
    </r>
    <r>
      <rPr>
        <b/>
        <i/>
        <vertAlign val="subscript"/>
        <sz val="10"/>
        <rFont val="Arial"/>
        <family val="2"/>
      </rPr>
      <t>2</t>
    </r>
    <r>
      <rPr>
        <b/>
        <i/>
        <sz val="10"/>
        <rFont val="Arial"/>
        <family val="2"/>
      </rPr>
      <t>O/t et)</t>
    </r>
  </si>
  <si>
    <r>
      <t>Value (kg eq CO</t>
    </r>
    <r>
      <rPr>
        <b/>
        <i/>
        <vertAlign val="subscript"/>
        <sz val="10"/>
        <rFont val="Arial"/>
        <family val="2"/>
      </rPr>
      <t>2</t>
    </r>
    <r>
      <rPr>
        <b/>
        <i/>
        <sz val="10"/>
        <rFont val="Arial"/>
        <family val="2"/>
      </rPr>
      <t>/t et)</t>
    </r>
  </si>
  <si>
    <r>
      <t>Range +/- (kg eq CO</t>
    </r>
    <r>
      <rPr>
        <b/>
        <i/>
        <vertAlign val="subscript"/>
        <sz val="10"/>
        <rFont val="Arial"/>
        <family val="2"/>
      </rPr>
      <t>2</t>
    </r>
    <r>
      <rPr>
        <b/>
        <i/>
        <sz val="10"/>
        <rFont val="Arial"/>
        <family val="2"/>
      </rPr>
      <t>/t et)</t>
    </r>
  </si>
  <si>
    <t>RAIL TRANSPORT TO PLANT (Stage 2)</t>
  </si>
  <si>
    <t>SUB-TOTALS FOR RAIL TRANSPORT (Stage 2)</t>
  </si>
  <si>
    <t>BARGE TRANSPORT TO PLANT (Stage 2)</t>
  </si>
  <si>
    <t>SUB-TOTALS FOR BARGE TRANSPORT (Stage 2)</t>
  </si>
  <si>
    <t>SHIP TRANSPORT TO PLANT (Stage 2)</t>
  </si>
  <si>
    <t>SUB-TOTALS FOR SHIP TRANSPORT (Stage 2)</t>
  </si>
  <si>
    <t>CARBON DIOXIDE CREDIT</t>
  </si>
  <si>
    <t>Carbon Dioxide Recovered from Fermentation</t>
  </si>
  <si>
    <t>SUB-TOTALS FOR CARBON DIOXIDE CREDIT</t>
  </si>
  <si>
    <t>Option for Credit for Carbon Dioxide Recovery from Fermentation</t>
  </si>
  <si>
    <t>gas_credit</t>
  </si>
  <si>
    <t>Default carbon dioxide credit with the Renewable Energy Directive (but excluded if co-product allocation by economic value applied).</t>
  </si>
  <si>
    <t>Carbon Dioxide Recovered (Credit)</t>
  </si>
  <si>
    <t>Electricity Sales (Credit)</t>
  </si>
  <si>
    <t>Are Fermentation Gases Recovered?</t>
  </si>
  <si>
    <t>WASTE WATER TREATMENT (AD)</t>
  </si>
  <si>
    <t>ELECTRICITY SALES CREDIT</t>
  </si>
  <si>
    <t>Waste Water Treatment (AD)</t>
  </si>
  <si>
    <t>Transport to Distribution Point (Stage 1)</t>
  </si>
  <si>
    <t>Assuming allocation based on relative value of all outputs from biorefinery</t>
  </si>
  <si>
    <t>SUB-TOTALS FOR TRANSPORT TO DISTRIBUTION POINT (Stage 1)</t>
  </si>
  <si>
    <t>Transport to Distribution Point (Stage 2)</t>
  </si>
  <si>
    <t>Transport to Distribution Point (Stage 3)</t>
  </si>
  <si>
    <t xml:space="preserve">SUB-TOTALS FOR FERMENTATION </t>
  </si>
  <si>
    <t>SUB-TOTALS FOR WASTE WATER TREATMENT (AD)</t>
  </si>
  <si>
    <t>SUB-TOTALS FOR ELECTRICITY SALES CREDIT</t>
  </si>
  <si>
    <t xml:space="preserve">SUB-TOTALS FOR BIOREFINERY PLANT </t>
  </si>
  <si>
    <t>RAIL TRANSPORT TO DISTRIBUTION POINT (Stage 1)</t>
  </si>
  <si>
    <t>BARGE TRANSPORT TO DISTRIBUTION POINT (Stage 1)</t>
  </si>
  <si>
    <t>SHIP TRANSPORT TO DISTRIBUTION POINT (Stage 1)</t>
  </si>
  <si>
    <t>SUB-TOTALS FOR TRANSPORT TO DISTRIBUTION POINT (Stage 3)</t>
  </si>
  <si>
    <t>RAIL TRANSPORT TO DISTRIBUTION POINT (Stage 2)</t>
  </si>
  <si>
    <t>BARGE TRANSPORT TO DISTRIBUTION POINT (Stage 2)</t>
  </si>
  <si>
    <t>SHIP TRANSPORT TO DISTRIBUTION POINT (Stage 2)</t>
  </si>
  <si>
    <t>ROAD TRANSPORT TO DISTRIBUTION POINT (Stage 3)</t>
  </si>
  <si>
    <t>RAIL TRANSPORT TO DISTRIBUTION POINT (Stage 3)</t>
  </si>
  <si>
    <t>SUB-TOTALS FOR RAIL TRANSPORT (Stage 3)</t>
  </si>
  <si>
    <t>SUB-TOTALS FOR ROAD TRANSPORT (Stage 3)</t>
  </si>
  <si>
    <t>BARGE TRANSPORT TO DISTRIBUTION POINT (Stage 3)</t>
  </si>
  <si>
    <t>SUB-TOTALS FOR BARGE TRANSPORT (Stage 3)</t>
  </si>
  <si>
    <t>SHIP TRANSPORT TO DISTRIBUTION POINT (Stage 3)</t>
  </si>
  <si>
    <t>SUB-TOTALS FOR SHIP TRANSPORT (Stage 3)</t>
  </si>
  <si>
    <t>SUB-TOTALS FOR TRANSPORT TO DISTRIBUTION POINT (Stage 2)</t>
  </si>
  <si>
    <t>Primary Energy Inputs</t>
  </si>
  <si>
    <t>Yield (t/t et)</t>
  </si>
  <si>
    <t>Energy Content (MJ/t et)</t>
  </si>
  <si>
    <t>Average Price (£/t)</t>
  </si>
  <si>
    <t>Value £/t (et)</t>
  </si>
  <si>
    <t>Price of Lignin (50% moisture content)</t>
  </si>
  <si>
    <t>price_ln</t>
  </si>
  <si>
    <t>price_pen</t>
  </si>
  <si>
    <t>"Forest Biorefineries: Current Status and Outlook" by L. Ketemäki, IUFRO Division VI Symposium, Saariselikä, Finland, 14 - 20 August 2007.</t>
  </si>
  <si>
    <t>"Energy Value of Foods: Basis and Derivation" by A. L. Merrill and B. H. Watt, Agricultural Handbook No. 74, Agricultural Research Service, United States Department of Agriculture, Washington DC, United States of America, February 1973.</t>
  </si>
  <si>
    <t xml:space="preserve">Default value assumed to be £ 50 per tonne of lignin (50% moisture content) based on a price of € 150 per tonne of lignin (dry) and an exchange rate of € 1.488  per £ (Ref. 5). </t>
  </si>
  <si>
    <t>Price of Pentose Liquor (91% moisture content)</t>
  </si>
  <si>
    <t>Net Calorific Value of Pentose Liquor (91% moisture content)</t>
  </si>
  <si>
    <t xml:space="preserve">Default value assumed to be £ 19 per tonne of pentose liquor (91% moisture content) based on a price of € 310 per tonne of sucrose (dry) and an exchange rate of € 1.481  per £ (Ref. 6). </t>
  </si>
  <si>
    <t>"Production of Surfactants from Cereal Co-Products by Green Chemistry" by B.Estrine, ARD, Renewable Resources and Biorefineries Conference, Gent, Belgium, 19 - 21 September 2005.</t>
  </si>
  <si>
    <t>Yield t/t et</t>
  </si>
  <si>
    <t>Substitution Credit for Lignin (50% moisture content)</t>
  </si>
  <si>
    <t>sub_cred_ln</t>
  </si>
  <si>
    <t>ASC5</t>
  </si>
  <si>
    <t xml:space="preserve">"Analysis of the Greenhouse Gas Emissions for Thermochemical BioSNG Production and Use in the United Kingdom" by N. D. Mortimer, A. K. F. Evans, O. Mwabonje, C. L. Whittaker and A. J. Hunter, North Energy Associates Ltd., Report NNFCC 10-009 for the National Non-Food Crops Centre, funded by the Department of Energy and Climate Change, London, United Kingdom, June 2009. </t>
  </si>
  <si>
    <t>ASC6</t>
  </si>
  <si>
    <t>"Ecoprofiles for the European Plastics Industry: Phenol" by I. Boustead, PlasticsEurope, Brussels, Belgium, March 2005.</t>
  </si>
  <si>
    <t xml:space="preserve">Substitution Credit for Lignin = </t>
  </si>
  <si>
    <t xml:space="preserve">Substitution Credit for Pentose Liquor = </t>
  </si>
  <si>
    <t>Substitution Credit for Pentose Liquor (91% moisture content)</t>
  </si>
  <si>
    <t>sub_cred_pen</t>
  </si>
  <si>
    <t>"Ecoprofiles for the European Plastics Industry: Reformer Hydrogen" by I. Boustead, PlasticsEurope, Brussels, Belgium, March 2005.</t>
  </si>
  <si>
    <t>"Ecoprofiles for the European Plastics Industry: Acetone" by  I. Boustead, PlasticsEurope, Brussels, Belgium, March 2005.</t>
  </si>
  <si>
    <t>ASC7</t>
  </si>
  <si>
    <t>ASC8</t>
  </si>
  <si>
    <t>"RSB GHG Calculation Methodology: Ecoinvent Database" Roundtable on Sustainable Biofuels, RSB-STD-01-003-01 (Version 2.0), Lausanne, Switzerland, 2011.</t>
  </si>
  <si>
    <t xml:space="preserve">"The Product Carbon Footprint of EU Sugar Beet: Summary of Key Findings" by I. Klenk, B. Landquist and O. Ruiz de Imana, Sugar Industry Journal, Issue 137 (62), March - April 2012. </t>
  </si>
  <si>
    <r>
      <t>kg eq. CO</t>
    </r>
    <r>
      <rPr>
        <vertAlign val="subscript"/>
        <sz val="10"/>
        <rFont val="Arial"/>
        <family val="2"/>
      </rPr>
      <t>2</t>
    </r>
    <r>
      <rPr>
        <sz val="10"/>
        <rFont val="Arial"/>
        <family val="2"/>
      </rPr>
      <t>/t</t>
    </r>
  </si>
  <si>
    <r>
      <t>Substitution Credit (kg eq. CO</t>
    </r>
    <r>
      <rPr>
        <b/>
        <vertAlign val="subscript"/>
        <sz val="10"/>
        <rFont val="Arial"/>
        <family val="2"/>
      </rPr>
      <t>2</t>
    </r>
    <r>
      <rPr>
        <b/>
        <sz val="10"/>
        <rFont val="Arial"/>
        <family val="2"/>
      </rPr>
      <t xml:space="preserve">/t) </t>
    </r>
  </si>
  <si>
    <r>
      <t>Value (kg eq. CO</t>
    </r>
    <r>
      <rPr>
        <b/>
        <vertAlign val="subscript"/>
        <sz val="10"/>
        <rFont val="Arial"/>
        <family val="2"/>
      </rPr>
      <t>2</t>
    </r>
    <r>
      <rPr>
        <b/>
        <sz val="10"/>
        <rFont val="Arial"/>
        <family val="2"/>
      </rPr>
      <t>/t et)</t>
    </r>
  </si>
  <si>
    <t>Lignin (50% moisture content)</t>
  </si>
  <si>
    <t>Pentose Liquor (91% moisture content)</t>
  </si>
  <si>
    <t>CO-PRODUCT SUBSTITUTION CREDITS</t>
  </si>
  <si>
    <t>SUB-TOTALS FOR CO-PRODUCT SUBSTITUTION CREDITS</t>
  </si>
  <si>
    <t>Co-Product Substitution Credits</t>
  </si>
  <si>
    <t>Not Relevant</t>
  </si>
  <si>
    <t>SUSTAINABLE LIQUID BIOFUELS FROM BIOMASS BIOREFINING (SUNLIBB) PROJECT</t>
  </si>
  <si>
    <r>
      <rPr>
        <b/>
        <sz val="10"/>
        <rFont val="Arial"/>
        <family val="2"/>
      </rPr>
      <t>Project No:</t>
    </r>
    <r>
      <rPr>
        <sz val="10"/>
        <rFont val="Arial"/>
        <family val="2"/>
      </rPr>
      <t xml:space="preserve"> 251132</t>
    </r>
  </si>
  <si>
    <r>
      <t>Work Package:</t>
    </r>
    <r>
      <rPr>
        <sz val="10"/>
        <rFont val="Arial"/>
        <family val="2"/>
      </rPr>
      <t xml:space="preserve">  8  - Sustainability Assessment</t>
    </r>
  </si>
  <si>
    <r>
      <t>Partner:</t>
    </r>
    <r>
      <rPr>
        <sz val="10"/>
        <rFont val="Arial"/>
        <family val="2"/>
      </rPr>
      <t xml:space="preserve">  7 - North Energy Associates Ltd</t>
    </r>
  </si>
  <si>
    <t>Acknowledgements</t>
  </si>
  <si>
    <t>Instructions</t>
  </si>
  <si>
    <t>Version Control Notes</t>
  </si>
  <si>
    <t>This work was performed by North Energy Associates Ltd with funding support from the Directorate General for Energy of the European Commission as part of the 7th Framework Programme.</t>
  </si>
  <si>
    <t>Relevant values for specified data are entered in Column F of the Input worksheet.  This is currently populated with default values.</t>
  </si>
  <si>
    <t xml:space="preserve">Basic calculations are performed automatically in the individual specified process stage worksheets which contain notes on the details of these calculations, their assumptions and sources which are documented in the Reference worksheet. </t>
  </si>
  <si>
    <t>The main results are presented in the Summary worksheets which reflect the application of calculation methodologies based on co-product allocation by energy content (consistent with the European Commission's Renewable Energy Directive), by price/economic value (consistent with the British Standards Institution's PAS 2050), by mass and by substitution credits (for overall policy analysis by means of consequential life cycle assessment).</t>
  </si>
  <si>
    <t>Charlotte Hatto</t>
  </si>
  <si>
    <t>Input Sheet for Biorefinery Production with Miscanthus</t>
  </si>
  <si>
    <t xml:space="preserve">Miscanthus Lorry Size Options </t>
  </si>
  <si>
    <t>Miscanthus from field to biorefinery (Stage 1)</t>
  </si>
  <si>
    <t xml:space="preserve">Default setting for Miscanthus transport (stage 1) from field to biorefinery of road transport. </t>
  </si>
  <si>
    <t>Default value for the round trip distance of 40 km by road for Miscanthus transport (stage 1) from field to biorefinery (Ref. 48).</t>
  </si>
  <si>
    <t xml:space="preserve">Default value assumes no losses during Miscanthus transport (stage 1) from field to biorefinery. </t>
  </si>
  <si>
    <t>Miscanthus from field to biorefinery (Stage 2)</t>
  </si>
  <si>
    <t xml:space="preserve">Default setting for Miscanthus transport (stage 2) from field to biorefinery of road transport. </t>
  </si>
  <si>
    <t>Default value for the round trip distance of 0 km by road for Miscanthus transport (stage 2) from field to biorefinery.</t>
  </si>
  <si>
    <t xml:space="preserve">Default value assumes no losses during Miscanthus transport (stage 2) from field to biorefinery. </t>
  </si>
  <si>
    <t>Annual Miscanthus Input Capacity of Biorefinery</t>
  </si>
  <si>
    <t>Price of Miscanthus</t>
  </si>
  <si>
    <t>Net Calorific Value of Miscanthus</t>
  </si>
  <si>
    <t>Cultivation and harvesting</t>
  </si>
  <si>
    <t>rhizomes/ha</t>
  </si>
  <si>
    <t>plant_dens</t>
  </si>
  <si>
    <t>years</t>
  </si>
  <si>
    <t>prod_cyc_length</t>
  </si>
  <si>
    <t>yield</t>
  </si>
  <si>
    <t>n_fert</t>
  </si>
  <si>
    <t>Reference system</t>
  </si>
  <si>
    <t>Include reference land use (fallow set aside)</t>
  </si>
  <si>
    <t>yes=1, no=0</t>
  </si>
  <si>
    <t>ref_sys</t>
  </si>
  <si>
    <t xml:space="preserve">If the reference land use is included then an allowance is made for the fact that the land used to grow miscanthus is no longer put to another use.  The emissions associated with this other use of the land are now avoided so they are 'credited' to the biomass plant. </t>
  </si>
  <si>
    <t xml:space="preserve">Length of Production Cycle = </t>
  </si>
  <si>
    <t xml:space="preserve">Cultivated Land Area = </t>
  </si>
  <si>
    <t xml:space="preserve">Yield = </t>
  </si>
  <si>
    <t>Moisture Content =</t>
  </si>
  <si>
    <t>Annuualised yield in oven dried tonnes harvested each year per ha; (10-12odt/ha/a - private communication Rachel Hughes, ADAS UK Ltd)</t>
  </si>
  <si>
    <t>Tonnes nitrogenous fertiliser (expressed as t N) applied per ha when establishing the miscanthus. Assumed to be 0t/ha/a although some farmers might apply approximately 40kgN every 4 years or so - private communication Rachel Hughes, ADAS UK Ltd.</t>
  </si>
  <si>
    <t>CV_misc</t>
  </si>
  <si>
    <t>Number of miscanthus rhizomes planted per ha. 15000 - 2500 rhizomes/ha. (Ref - "Planting and Growing Miscanthus - Best Practice Guidelines for Applications to DEFRA's Energy Crops Scheme" DEFRA 2004 www.defra.org.uk accessed 7th May 2007)</t>
  </si>
  <si>
    <t>Default assumes net calorific value of 17000 MJ/t for miscanthus (Ref - "Planting and Growing Miscanthus - Best Practice Guidelines for Applications to DEFRA's Energy Crops Scheme" DEFRA 2004 www.defra.org.uk accessed 7th May 2007)</t>
  </si>
  <si>
    <t>Default value for unit pentose (9% wt) liquor production of 1.345 t/t wet bagasse based on pentose liquor output rate of 143.2 t/h and wet bagasse input rate of 90% of 118.32 t/h (Ref. 57).</t>
  </si>
  <si>
    <t xml:space="preserve">Waste Solids from Miscanthus = </t>
  </si>
  <si>
    <t xml:space="preserve">Moisture Content of Waste Solids from Miscanthus = </t>
  </si>
  <si>
    <t>Default value of moisture content of miscanthus when harvested (Range 15 - 40%). (Ref "Planting and Growing Miscanthus, Best Practice Guidelines for Applicants to DEFRA's Energy Crops Scheme" July 2007)</t>
  </si>
  <si>
    <t>odt/ha per year</t>
  </si>
  <si>
    <t>Net Calorific Value of Waste Solids from Fermentation Broth and Miscanthus Treatment</t>
  </si>
  <si>
    <t>Chipping losses at harvest</t>
  </si>
  <si>
    <t>harvest_chip_loss</t>
  </si>
  <si>
    <t>price_miscanthus</t>
  </si>
  <si>
    <t>miscanthus_process_steam</t>
  </si>
  <si>
    <t>include_machinery</t>
  </si>
  <si>
    <t>waste_solid_miscanthus_mois</t>
  </si>
  <si>
    <t>Ref Bullard and Metcalfe</t>
  </si>
  <si>
    <t xml:space="preserve">Default value assumes same for annual input of miscanthus of 500,000 t/a as sugar cane input capacity based on typical sugar cane mill (Ref. 48). </t>
  </si>
  <si>
    <t>Overall Percentage Allocation for Drying Miscanthus, Drying Waste Solids, Waste Water Treatment, Recovered Carbon Dioxide Credit, Surplus Electricity Sales Credit and Biorefinery Plant to Ethanol</t>
  </si>
  <si>
    <t>Default value assumes same price for miscanthus as bagasse i.e.£10.34 per tonne of bagasse, similar to the price of sugarcane (Ref. 32)</t>
  </si>
  <si>
    <t>Default value for substitution credit for pentose liquor (91% moisture content) of 63.1 kg eq. CO2/t based on displacement of sugar derived from sugar cane (Ref. ASC7).</t>
  </si>
  <si>
    <t>Default value for annual operating time of 4320 h/a based on 180 d/a for a typical sugar cane mill (Ref. 48). Assumed to be the same for a miscanthus biorefinery.</t>
  </si>
  <si>
    <t>Land used for the production of miscanthus available at the plantation gate</t>
  </si>
  <si>
    <t>1 hectare of land</t>
  </si>
  <si>
    <t>United Kingdom</t>
  </si>
  <si>
    <t>Length of Production Cycle</t>
  </si>
  <si>
    <t>Rhizomes</t>
  </si>
  <si>
    <t>Establishment Nitrogen Fertiliser Application</t>
  </si>
  <si>
    <t>Include plant and machinery</t>
  </si>
  <si>
    <r>
      <t>kg CO</t>
    </r>
    <r>
      <rPr>
        <vertAlign val="subscript"/>
        <sz val="10"/>
        <rFont val="Arial"/>
        <family val="2"/>
      </rPr>
      <t>2</t>
    </r>
    <r>
      <rPr>
        <sz val="10"/>
        <rFont val="Arial"/>
        <family val="2"/>
      </rPr>
      <t>/MJ</t>
    </r>
  </si>
  <si>
    <r>
      <t>kg CH</t>
    </r>
    <r>
      <rPr>
        <vertAlign val="subscript"/>
        <sz val="10"/>
        <rFont val="Arial"/>
        <family val="2"/>
      </rPr>
      <t>4</t>
    </r>
    <r>
      <rPr>
        <sz val="10"/>
        <rFont val="Arial"/>
        <family val="2"/>
      </rPr>
      <t>/MJ</t>
    </r>
  </si>
  <si>
    <r>
      <t>kg N</t>
    </r>
    <r>
      <rPr>
        <vertAlign val="subscript"/>
        <sz val="10"/>
        <rFont val="Arial"/>
        <family val="2"/>
      </rPr>
      <t>2</t>
    </r>
    <r>
      <rPr>
        <sz val="10"/>
        <rFont val="Arial"/>
        <family val="2"/>
      </rPr>
      <t>O/MJ</t>
    </r>
  </si>
  <si>
    <t xml:space="preserve"> - subsoiling</t>
  </si>
  <si>
    <t>hr/ha.a</t>
  </si>
  <si>
    <t>General agricultural data assuming only done once during production cycle (Ref. 22)</t>
  </si>
  <si>
    <t>Energy requirement for (i) A tractor 100/120hp with a capital cost of £35,000, a useful life of 11,000h and an energy intensity of 16.50MJ/£ and (ii) A 2-3 leg subsoiler with a capital cost of £2,250, a useful life of 2700h and an energy intensity of 16.50MJ/£ (Ref. 22,23,24) using methodology for calculation in Ref. 26 for 2004</t>
  </si>
  <si>
    <r>
      <t>kg CO</t>
    </r>
    <r>
      <rPr>
        <vertAlign val="subscript"/>
        <sz val="10"/>
        <rFont val="Arial"/>
        <family val="2"/>
      </rPr>
      <t>2</t>
    </r>
    <r>
      <rPr>
        <sz val="10"/>
        <rFont val="Arial"/>
        <family val="2"/>
      </rPr>
      <t>/hr</t>
    </r>
  </si>
  <si>
    <t>Carbon requirement for tractor (3.47kg/hr) and subsoiler manufacture (0.91kg/hr) (Ref. 22,23,24) using methodology for calculation in Ref. 26 for 2004</t>
  </si>
  <si>
    <r>
      <t>kg CH</t>
    </r>
    <r>
      <rPr>
        <vertAlign val="subscript"/>
        <sz val="10"/>
        <rFont val="Arial"/>
        <family val="2"/>
      </rPr>
      <t>4</t>
    </r>
    <r>
      <rPr>
        <sz val="10"/>
        <rFont val="Arial"/>
        <family val="2"/>
      </rPr>
      <t>/hr</t>
    </r>
  </si>
  <si>
    <t>Methane requirement for tractor (0.0051kg/hr) and subsoiler manufacture (0.00134kg/hr) (Ref. 22,23,24) using methodology for calculation in Ref. 26 for 2004</t>
  </si>
  <si>
    <r>
      <t>kgN</t>
    </r>
    <r>
      <rPr>
        <vertAlign val="subscript"/>
        <sz val="10"/>
        <rFont val="Arial"/>
        <family val="2"/>
      </rPr>
      <t>2</t>
    </r>
    <r>
      <rPr>
        <sz val="10"/>
        <rFont val="Arial"/>
        <family val="2"/>
      </rPr>
      <t>O/hr</t>
    </r>
  </si>
  <si>
    <t>Nitrous oxide requirement for tractor (0.0002kg/hr) and subsoiler manufacture (0.00005kg/hr) (Ref. 22,23,24) using methodology for calculation in Ref. 26 for 2004</t>
  </si>
  <si>
    <t xml:space="preserve"> - ploughing</t>
  </si>
  <si>
    <t>Carbon requirement for tractor (3.47kg/hr) and plough manufacture (6.03kg/hr) (Ref. 22,23,24) using methodology for calculation in Ref. 26 for 2004</t>
  </si>
  <si>
    <t>Methane requirement for tractor (0.0051kg/hr) and plough manufacture (0.00885kg/hr) (Ref. 22,23,24) using methodology for calculation in Ref. 26 for 2004</t>
  </si>
  <si>
    <t>Nitrous oxide requirement for tractor (0.0002kg/hr) and power harrow manufacture (0.00035kg/hr) (Ref. 22,23,24) using methodology for calculation in Ref. 26 for 2004</t>
  </si>
  <si>
    <t xml:space="preserve"> - rotavating/power harrowing</t>
  </si>
  <si>
    <t>Carbon requirement for tractor (3.47kg/hr) and power harrow manufacture (6.67kg/hr) (Ref. 22,23,24) using methodology for calculation in Ref. 26 for 2004</t>
  </si>
  <si>
    <t>Methane requirement for tractor (0.0051kg/hr) and power harrow manufacture (0.0098kg/hr) (Ref. 22,23,24) using methodology for calculation in Ref. 26 for 2004</t>
  </si>
  <si>
    <t>Nitrous oxide requirement for tractor (0.0002kg/hr) and power harrow manufacture (0.00039kg/hr) (Ref. 22,23,24) using methodology for calculation in Ref. 26 for 2004</t>
  </si>
  <si>
    <t xml:space="preserve"> - planting </t>
  </si>
  <si>
    <t>Carbon requirement for tractor (3.47kg/hr) and planter (15.42kg/hr) (Ref. 22,23,24) using methodology for calculation in Ref. 26 for 2004</t>
  </si>
  <si>
    <t>Methane requirement for tractor (0.0051kg/hr) and planter (0.02263kg/hr) (Ref. 22,23,24) using methodology for calculation in Ref. 26 for 2004</t>
  </si>
  <si>
    <t>Nitrous oxide requirement for tractor (0.0002kg/hr) and planter (0.00090kg/hr) (Ref. 22,23,24) using methodology for calculation in Ref. 26 for 2004</t>
  </si>
  <si>
    <t xml:space="preserve"> - rolling</t>
  </si>
  <si>
    <t>Carbon requirement for tractor (3.47kg/hr) and roller manufacture (0.51kg/hr) (Ref. 22,23,24) using methodology for calculation in Ref. 26 for 2004</t>
  </si>
  <si>
    <t>Methane requirement for tractor (0.0051kg/hr) and roller manufacture (0.00434kg/hr) (Ref. 22,23,24) using methodology for calculation in Ref. 26 for 2004</t>
  </si>
  <si>
    <t>Nitrous oxide requirement for tractor (0.0002kg/hr) and roller manufacture (0.0000372kg/hr) (Ref. 22,23,24) using methodology for calculation in Ref. 26 for 2004</t>
  </si>
  <si>
    <t xml:space="preserve"> - fertilizer application</t>
  </si>
  <si>
    <t>Carbon requirement for tractor (3.47kg/hr) and fertilizer distributor manufacture (2.7kg/hr) (Ref. 22,23,24) using methodology for calculation in Ref. 26 for 2004</t>
  </si>
  <si>
    <t>Methane requirement for tractor (0.0051kg/hr) and fertilizer distributor manufacture (0.00396kg/hr) (Ref. 22,23,24) using methodology for calculation in Ref. 26 for 2004</t>
  </si>
  <si>
    <t>Nitrous oxide requirement for tractor (0.0002kg/hr) and fertilizer distributor manufacture (0.00016kg/hr) (Ref. 22,23,24) using methodology for calculation in Ref. 26 for 2004</t>
  </si>
  <si>
    <t>Carbon requirement for tractor (3.47kg/hr) and sprayer manufacture (16.32kg/hr) (Ref. 22,23,24) using methodology for calculation in Ref. 26 for 2004</t>
  </si>
  <si>
    <t>Methane requirement for tractor (0.0052kg/hr) and sprayer manufacture (0.02395kg/hr) (Ref. 22,23,24) using methodology for calculation in Ref. 26 for 2005</t>
  </si>
  <si>
    <t>Nitrous oxide requirement for tractor (0.0002kg/hr) and spayer manufacture (0.00096kg/hr) (Ref. 22,23,24) using methodology for calculation in Ref. 26 for 2004</t>
  </si>
  <si>
    <t>General assumption for agricultural machinery (Ref.22)</t>
  </si>
  <si>
    <t xml:space="preserve"> - dessicant application</t>
  </si>
  <si>
    <t xml:space="preserve"> - N Fertiliser</t>
  </si>
  <si>
    <t>kg CH4/kg N</t>
  </si>
  <si>
    <t>kg N2O/kg N</t>
  </si>
  <si>
    <t xml:space="preserve"> - P Fertiliser</t>
  </si>
  <si>
    <t>kg P2O5/ha.a</t>
  </si>
  <si>
    <t>Effective annual application rate of phosphate fertiliser based on an intial application of 92 kg P2O5/ha.a during establishment in the first year of the production cycle (Ref. 21)</t>
  </si>
  <si>
    <t>MJ/kg P2O5</t>
  </si>
  <si>
    <t>kg CH4/kg P2O5</t>
  </si>
  <si>
    <t>kg N2O/kg P2O5</t>
  </si>
  <si>
    <t xml:space="preserve"> - K Fertiliser</t>
  </si>
  <si>
    <t>kg K2O/ha.a</t>
  </si>
  <si>
    <t>Effective annual application rate of potash fertiliser based on an intial application of 96 kg P2O5/ha.a during establishment in the first year of the production cycle (Ref. 21)</t>
  </si>
  <si>
    <t>MJ/kg K2O</t>
  </si>
  <si>
    <t>Energy requirement of potash fertiliser (Ref. 29)</t>
  </si>
  <si>
    <t>kg CO2/kg K2O</t>
  </si>
  <si>
    <t>Carbon requirement of potash fertiliser (Ref.29)</t>
  </si>
  <si>
    <t>kg CH4/kg K2O</t>
  </si>
  <si>
    <t>Methane requirement of potash fertiliser (Ref. 29)</t>
  </si>
  <si>
    <t>kg N2O/kg K2O</t>
  </si>
  <si>
    <t>Nitrous oxide requirement of potash fertiliser (Ref. 9)</t>
  </si>
  <si>
    <t>kg CaO/ha.a</t>
  </si>
  <si>
    <t>Effective annual application rate of lime based on an intial application of 3000 kg CaO/ha.a during establishment in the first year of the production cycle (Ref. 21)</t>
  </si>
  <si>
    <t>MJ/kg CaO</t>
  </si>
  <si>
    <t>kg CH4/kg CaO</t>
  </si>
  <si>
    <t>kg N2O/kg CaO</t>
  </si>
  <si>
    <t xml:space="preserve"> - Manganese</t>
  </si>
  <si>
    <t>litres MnSO4/ha.a</t>
  </si>
  <si>
    <t>Annual application rate of manganese sulphate (Ref. 21)</t>
  </si>
  <si>
    <t>MJ/litre MnSO4</t>
  </si>
  <si>
    <t xml:space="preserve">Energy requirement of managanese sulphate (Ref. 21) </t>
  </si>
  <si>
    <t>kg CO2/litre MnSO4</t>
  </si>
  <si>
    <t>Carbon requirement of managanese sulphate (Ref. 1)</t>
  </si>
  <si>
    <t>Methane requirement of manufacturing in the United Kingdom (Ref. 8)</t>
  </si>
  <si>
    <t>Nitrous oxide requirement of manufacturing in the United Kingdom (Ref. 8)</t>
  </si>
  <si>
    <t xml:space="preserve"> - Advance Herbicide</t>
  </si>
  <si>
    <t>Effective annual application rate of Advance (bromoxylnil/oxynil/fluoroxynil) herbicide based on an initial application rate of 2.0 litres/ha, with an assumed density of 1 kg/litre, during establisment in the first year of the production cycle (Ref. 21).</t>
  </si>
  <si>
    <t xml:space="preserve">Energy requirement of Advance herbicide (Ref. 21) </t>
  </si>
  <si>
    <t>Carbon requirement of Advance herbicide (Ref. 1)</t>
  </si>
  <si>
    <t xml:space="preserve"> - Trifolex-Tra Herbicide</t>
  </si>
  <si>
    <t>Effective annual application rate of Trifolex-Tra (MCPA + MCPB) based on an initial application rate of 7.7 litres/ha (Ref. 21), with an assumed density of 1 kg/litre, during establishment in the first year of the production cycle.</t>
  </si>
  <si>
    <t>Energy requirement of Trifolex-Tra herbicide (Ref. 21)</t>
  </si>
  <si>
    <t>Carbon requirement of Trifolex-Tra herbicide (Ref. 1)</t>
  </si>
  <si>
    <t xml:space="preserve"> - Glyphosate Herbicide</t>
  </si>
  <si>
    <t>A annual glyphosate herbicide application rate of 4.0 litres/ha.a (Ref. 21), with an assumed density of 1 kg/litre.</t>
  </si>
  <si>
    <t>Energy requirement of glyphosate herbicide (Ref. 21)</t>
  </si>
  <si>
    <t>Carbon requirement of glyphosate herbicide (Ref. 1)</t>
  </si>
  <si>
    <t>Sub-Totals for Agrochemicals</t>
  </si>
  <si>
    <t xml:space="preserve"> - Rhizomes</t>
  </si>
  <si>
    <t>Effective annual planting rate based on an average rhizome weight of 0.07kg.</t>
  </si>
  <si>
    <t>Energy requirement of rhizome production (Ref. 21)</t>
  </si>
  <si>
    <t>Carbon requirement of rhizome production (Ref. 21)</t>
  </si>
  <si>
    <t xml:space="preserve"> - Nitrous Oxide Emissions from Soil</t>
  </si>
  <si>
    <t>kg N2O/ha.a</t>
  </si>
  <si>
    <t>Nitrous oxide emissions from soils based on 2.08% of fertilizer-N applied  (Ref. 15)</t>
  </si>
  <si>
    <t>Totals for Main Land Use</t>
  </si>
  <si>
    <t>Option to Include Subsoiling in Cultivation</t>
  </si>
  <si>
    <t>include_subsoil</t>
  </si>
  <si>
    <t>Whether subsoiling is required depends on soil type.</t>
  </si>
  <si>
    <t>Include subsoiling</t>
  </si>
  <si>
    <t xml:space="preserve">Miscanthus Bales = </t>
  </si>
  <si>
    <t xml:space="preserve">Transported Miscanthus Bales = </t>
  </si>
  <si>
    <t xml:space="preserve">     Delivered Miscanthus Bales at Plant  =</t>
  </si>
  <si>
    <t>HARVESTING AND BALING</t>
  </si>
  <si>
    <t>Cultivation References</t>
  </si>
  <si>
    <t>C1</t>
  </si>
  <si>
    <t>Assumes work time of 1.3hr/ha and only done once in first year of the production cycle (Ref. C1)</t>
  </si>
  <si>
    <t>Assumes work time of 0.4hr/ha and only done twice in the first year of the production cycle (Ref. C1)</t>
  </si>
  <si>
    <t>Assumes work time of 1hr/ha and only done once in the first year of the production cycle(Ref. C1)</t>
  </si>
  <si>
    <t>Assumes work time of 0.3hr/ha and only done once in first year of the production cycle (Ref. C1)</t>
  </si>
  <si>
    <t>Assumes work time of 0.5hr/ha and only done once in each year of the production cycle after establishment (15 yrs)  (Ref. C1)</t>
  </si>
  <si>
    <t>Assumes work time of 0.6hr/ha and only done once in first year of the production cycle  (Ref. C1)</t>
  </si>
  <si>
    <t>"GREET Model Miscanthus Parameter Development", Zhichao Wang, Jennifer B. Dunn and Michael Q. Wang, Centre for Transportation Research, Argonne National Laboratory, May 2012</t>
  </si>
  <si>
    <t>NCV of diesel fuel</t>
  </si>
  <si>
    <t>MJ/litre</t>
  </si>
  <si>
    <t>ncv_diesel</t>
  </si>
  <si>
    <t>Assumes a density of 0.8439kg/ltr and NCV of 43.38GJ/tonne</t>
  </si>
  <si>
    <t>NCV diesel fuel</t>
  </si>
  <si>
    <t>weed cultivating</t>
  </si>
  <si>
    <t xml:space="preserve"> Assumed to be 0t/ha/a although some farmers might apply approximately 40kgN every 4 years or so - private communication Rachel Hughes, ADAS UK Ltd.</t>
  </si>
  <si>
    <t>MJ/ltr</t>
  </si>
  <si>
    <r>
      <t>kg CO</t>
    </r>
    <r>
      <rPr>
        <vertAlign val="subscript"/>
        <sz val="10"/>
        <rFont val="Arial"/>
        <family val="2"/>
      </rPr>
      <t>2</t>
    </r>
    <r>
      <rPr>
        <sz val="10"/>
        <rFont val="Arial"/>
        <family val="2"/>
      </rPr>
      <t>/hr</t>
    </r>
  </si>
  <si>
    <r>
      <t>kg CH</t>
    </r>
    <r>
      <rPr>
        <vertAlign val="subscript"/>
        <sz val="10"/>
        <rFont val="Arial"/>
        <family val="2"/>
      </rPr>
      <t>4</t>
    </r>
    <r>
      <rPr>
        <sz val="10"/>
        <rFont val="Arial"/>
        <family val="2"/>
      </rPr>
      <t>/hr</t>
    </r>
  </si>
  <si>
    <r>
      <t>kgN</t>
    </r>
    <r>
      <rPr>
        <vertAlign val="subscript"/>
        <sz val="10"/>
        <rFont val="Arial"/>
        <family val="2"/>
      </rPr>
      <t>2</t>
    </r>
    <r>
      <rPr>
        <sz val="10"/>
        <rFont val="Arial"/>
        <family val="2"/>
      </rPr>
      <t>O/hr</t>
    </r>
  </si>
  <si>
    <t>Energy requirement for (i) A tractor 100/120hp with a capital cost of £35,000, a useful life of 11,000h and an energy intensity of 16.50MJ/£ and (ii) A 6 furrow plough manufacture with a capital cost of £14,900, a useful life of 2700h and an energy intensity of 16.50MJ/£ (Ref. 22,23,24) using methodology for calculation in Ref. 26 for 2004</t>
  </si>
  <si>
    <t>Energy requirement for (i) A tractor 100/120hp with a capital cost of £35,000, a useful life of 11,000h and an energy intensity of 16.50MJ/£ and (ii) Power harrow manufacture with a capital cost of £16,500, a useful life of 2700h and an energy intensity of 16.50MJ/£ (Ref. 22,23,24) using methodology for calculation in Ref. 26 for 2004</t>
  </si>
  <si>
    <t>Energy requirement for (i) A tractor 100/120hp with a capital cost of £35,000, a useful life of 11,000h and an energy intensity of 16.50MJ/£ and (ii) 2-4 row planter with a capital cost of £18,000, a useful life of 1275h and an energy intensity of 16.50MJ/£ (Ref. 22,23,24) using methodology for calculation in Ref. 26 for 2004</t>
  </si>
  <si>
    <t>Energy requirement for (i) A tractor 100/120hp with a capital cost of £35,000, a useful life of 11,000h and an energy intensity of 16.50MJ/£ and (ii) Roller assumed to be flat 3-4 tonne, with a capital cost of £1200, a useful life of 2700h and an energy intensity of 16.50MJ/£ (Ref. 22,23,24) using methodology for calculation in Ref. 26 for 2004</t>
  </si>
  <si>
    <t>Energy requirement for (i) A tractor 100/120hp with a capital cost of £35,000, a useful life of 11000h and an energy intensity of 16.50MJ/£ and (ii) Fertilizer Broadcaster (mounted spinner) manufacture with a capital cost of £3,150, a useful life of 1275h and an energy intensity of 16.50MJ/£ (Ref. 22,23,24) using methodology for calculation in Ref. 26 for 2004</t>
  </si>
  <si>
    <t>Energy requirement for (i) A tractor 100/120hp with a capital cost of £35,000, a useful life of 11,000h and an energy intensity of 16.50MJ/£ and (ii) Sprayer manufacture with a capital cost of £19050, a useful life of 1275h and an energy intensity of 16.50MJ/£ (Ref. 22,23,24) using methodology for calculation in Ref. 26 for 2004</t>
  </si>
  <si>
    <t>Diesel consumption for ploughing</t>
  </si>
  <si>
    <t>diesel_plough</t>
  </si>
  <si>
    <t>litre/hr</t>
  </si>
  <si>
    <t>Ref C1</t>
  </si>
  <si>
    <t>Diesel consumption for harrowing</t>
  </si>
  <si>
    <t>diesel_harrow</t>
  </si>
  <si>
    <t>Diesel consumption for planter</t>
  </si>
  <si>
    <t>diesel_planter</t>
  </si>
  <si>
    <t>Diesel consumption for rolling</t>
  </si>
  <si>
    <t>diesel_rolling</t>
  </si>
  <si>
    <t>diesel_fert</t>
  </si>
  <si>
    <t>Diesel consumption for fertilising</t>
  </si>
  <si>
    <t>diesel_spray</t>
  </si>
  <si>
    <t>Diesel consumption for spraying</t>
  </si>
  <si>
    <t>Diesel consumption for weed cultivating</t>
  </si>
  <si>
    <t>Diesel consumption for residue removal</t>
  </si>
  <si>
    <t>diesel_weed_cult</t>
  </si>
  <si>
    <t>diesel_resid_removal</t>
  </si>
  <si>
    <t>residue removal</t>
  </si>
  <si>
    <t>Nitrogen Fertiliser Type</t>
  </si>
  <si>
    <t>Ammonium Nitrate, Ammonium Sulphate, Calcium Ammonium Nitrate or Urea</t>
  </si>
  <si>
    <t>n_fert_sc_type</t>
  </si>
  <si>
    <t>Urea</t>
  </si>
  <si>
    <t>Ammonium Sulphate</t>
  </si>
  <si>
    <t>Calcium Ammonium Nitrate</t>
  </si>
  <si>
    <t>Ammonium Nitrate</t>
  </si>
  <si>
    <t>Phosphate Fertiliser Type</t>
  </si>
  <si>
    <t>Monoammonium Phosphate, Diammonium Phosphate, Single Superphosphate, Triple Superphosphate or Phosphate Rock</t>
  </si>
  <si>
    <t>p_fert_type</t>
  </si>
  <si>
    <t>Monoammonium Phosphate</t>
  </si>
  <si>
    <t>Diammonium Phosphate</t>
  </si>
  <si>
    <t>Single Superphosphate</t>
  </si>
  <si>
    <t>Triple Superphosphate</t>
  </si>
  <si>
    <t>Ammonium Nitrate Manufacture Emissions Factor Source</t>
  </si>
  <si>
    <t>EFMA European Union 2006 or EFMA European Union BAT</t>
  </si>
  <si>
    <t>an_source</t>
  </si>
  <si>
    <t>EFMA European Union, 2006</t>
  </si>
  <si>
    <t>Default is "EFMA European Union, 2006".</t>
  </si>
  <si>
    <t>Ammonium Sulphate Manufacture Emissions Factor Source</t>
  </si>
  <si>
    <t>IFS European Average 2002 or IFS Modern Technology</t>
  </si>
  <si>
    <t>as_source</t>
  </si>
  <si>
    <t>IFS European Average, 2002</t>
  </si>
  <si>
    <t>Default is "IFS European Average, 2002".</t>
  </si>
  <si>
    <t>Calcium Ammonium Nitrate Manufacture Emissions Factor Source</t>
  </si>
  <si>
    <t>can_source</t>
  </si>
  <si>
    <t>Urea Manufacture Emissions Factor Source</t>
  </si>
  <si>
    <t>ur_source</t>
  </si>
  <si>
    <t>Options for Source of Ammonium Nitrate Manufacture Emissions Factor</t>
  </si>
  <si>
    <t>Options for Source of Ammonium Sulphate Manufacture Emissions Factor</t>
  </si>
  <si>
    <t>EFMA European Union, BAT</t>
  </si>
  <si>
    <t>Options for Source of Calcium Ammonium Nitrate Manufacture Emissions Factor</t>
  </si>
  <si>
    <t>IFS Modern Technology</t>
  </si>
  <si>
    <t>Options for Source of Urea Manufacture Emissions Factor</t>
  </si>
  <si>
    <t>Mower conditioner</t>
  </si>
  <si>
    <t>MJ/ha</t>
  </si>
  <si>
    <t>Total energy requirement for diesel fuel in United Kingdom in 1996 (BRE, 2000)</t>
  </si>
  <si>
    <t>Total carbon requirement for diesel fuel in United Kingdom in 1996 (BRE,2000)</t>
  </si>
  <si>
    <t>Kg CO2/ha</t>
  </si>
  <si>
    <t>Total methane requirement for diesel fuel in United Kingdom in 1996 (BRE,2000)</t>
  </si>
  <si>
    <t>Kg CH4/ha</t>
  </si>
  <si>
    <t>Total nitrous oxide requirement for diesel fuel in United Kingdom in 1996 (BRE,2000)</t>
  </si>
  <si>
    <t>Kg N2O/ha</t>
  </si>
  <si>
    <t>Kg CO2 eq/hr</t>
  </si>
  <si>
    <t>Based on global warming potentials</t>
  </si>
  <si>
    <t>Kg CO2 eq./ha</t>
  </si>
  <si>
    <t>Baler</t>
  </si>
  <si>
    <t>Tractor and trailer</t>
  </si>
  <si>
    <t xml:space="preserve">Based on a tractor and trailer going back and forth to unload bales into truck. Based on a 75HP tractor running on PTO 85% at a speed of 1 miles/hour when fully loaded and PTO 40% when returning to site. </t>
  </si>
  <si>
    <t>based on a total working life of 10,000h working hours (Matthews et al., 1994) and an average cost of £5500 for a small mounted mower conditioner (2.4-3.2m wide) (Nix, 2004) and a total energy multiplier of 14.7 MJ/£ for machinery and equipment (NF0614 2004 Multipliers)</t>
  </si>
  <si>
    <t>Kg CO2/hr</t>
  </si>
  <si>
    <t>based on total carbon dioxide multiplier of 1.092 MJ/£ for machinery and equipment (NF0614 2004 Multipliers)</t>
  </si>
  <si>
    <t>Kg CH4/hr</t>
  </si>
  <si>
    <t>Based on a total methane multiplier of 0.0016 MJ/£ for machinery and equipment (NF0614 2004 Multipliers)</t>
  </si>
  <si>
    <t>Kg N2O/hr</t>
  </si>
  <si>
    <t>Based on a total nitrous oxide multiplier of 0.000064 MJ/£ for machinery and equipment (NF0614 2004 Multipliers)</t>
  </si>
  <si>
    <t>based on a total working life of 10,000h working hours (Matthews et al., 1994) and an average cost of £10000 for a smallpick up baler (Nix, 2004) and a total energy multiplier of 14.7 MJ/£ for machinery and equipment (NF0614 2004 Multipliers)</t>
  </si>
  <si>
    <t>Tractor</t>
  </si>
  <si>
    <t>Based on a total working life of 10,000 (Matthews et al., 1994) and an average cost of £53,000 for a 115-134 kw tractor (154-180 hp)(Nix, 2004) and a total energy multiplier of 14.7 MJ/£ for machinery and equipment (NF0614 2004 Multipliers)</t>
  </si>
  <si>
    <t>Trailer</t>
  </si>
  <si>
    <t xml:space="preserve">based on a total working life of 10,000 (Matthews et al., 1994) and an average cost of £5250 for a 10 tonne trailer (Nix, 2004) and a total energy multiplier of 14.7 MJ/£ for machinery and equipment (NF0614 2004 Multipliers). Two trailers are used (Bullard &amp; Metcalf, 2001). </t>
  </si>
  <si>
    <t>General assumption for maintenance requirements of agricultural machinery (Nix, 2004, &amp; NF0614barley Pellets)</t>
  </si>
  <si>
    <t>Harvesting and Baling</t>
  </si>
  <si>
    <t xml:space="preserve"> Machinery</t>
  </si>
  <si>
    <t xml:space="preserve"> Maintenance</t>
  </si>
  <si>
    <t>Sub Total: Harvesting and baling</t>
  </si>
  <si>
    <t>Based on work rate for mower conditioner of 0.7hr/ha (Bullard &amp; Metcalf, 2001), assuming 1 harvest annually over the production cycle</t>
  </si>
  <si>
    <t>Based on a work rate for a heston baler of 0.9 hr/ha (Bullard &amp; Metcalf, 2002), assuming 1 harvest annually over the production cycle</t>
  </si>
  <si>
    <t>ploughing</t>
  </si>
  <si>
    <t>rotavating/power harrowing</t>
  </si>
  <si>
    <t xml:space="preserve">planting </t>
  </si>
  <si>
    <t>rolling</t>
  </si>
  <si>
    <t>fertilizer application</t>
  </si>
  <si>
    <t>herbicide application</t>
  </si>
  <si>
    <t>subsoiling</t>
  </si>
  <si>
    <t>Assuming diesel consumptions for operation as given in Ref C2</t>
  </si>
  <si>
    <t>Assumes work time of 0.3hr/ha and only done once in first year of the production cycle  (Ref. C1)</t>
  </si>
  <si>
    <t>Assumes work time of 0.8hr/ha and done twice at the end of the production cycle  (Ref. C1)</t>
  </si>
  <si>
    <t>diesel_subsoil</t>
  </si>
  <si>
    <t>Diesel consumption for subsoiling</t>
  </si>
  <si>
    <t>C2</t>
  </si>
  <si>
    <t>"Predicting Tractor Diesel Consumption", Robert Grisso, John V. Perumpral, David Vaughan, Gary T. Roberson and Robert Pitman, College of Agriculture and Life Sciences, Virginia Polytechnic Institute and State University, 2010</t>
  </si>
  <si>
    <t>Ref C2</t>
  </si>
  <si>
    <t>Assuming diesel consumptions for operation as given in Ref C1</t>
  </si>
  <si>
    <t>Diesel Fuel:</t>
  </si>
  <si>
    <t>diesel_mower</t>
  </si>
  <si>
    <t>diesel_baler</t>
  </si>
  <si>
    <t>Muriate of potash fertiliser</t>
  </si>
  <si>
    <r>
      <t>1 kilogram of K</t>
    </r>
    <r>
      <rPr>
        <vertAlign val="subscript"/>
        <sz val="10"/>
        <rFont val="Arial"/>
        <family val="2"/>
      </rPr>
      <t>2</t>
    </r>
    <r>
      <rPr>
        <sz val="10"/>
        <rFont val="Arial"/>
        <family val="2"/>
      </rPr>
      <t>O</t>
    </r>
    <r>
      <rPr>
        <sz val="10"/>
        <rFont val="Arial"/>
        <family val="2"/>
      </rPr>
      <t xml:space="preserve"> in fertiliser</t>
    </r>
  </si>
  <si>
    <t>K fertiliser emissions factor source</t>
  </si>
  <si>
    <t>K Fertiliser</t>
  </si>
  <si>
    <t>Muriate of Potash (MOP)</t>
  </si>
  <si>
    <t xml:space="preserve"> - NNFCC United Kingdom, 1996</t>
  </si>
  <si>
    <r>
      <t>MJ/kg K</t>
    </r>
    <r>
      <rPr>
        <vertAlign val="subscript"/>
        <sz val="10"/>
        <rFont val="Arial"/>
        <family val="2"/>
      </rPr>
      <t>2</t>
    </r>
    <r>
      <rPr>
        <sz val="10"/>
        <rFont val="Arial"/>
        <family val="2"/>
      </rPr>
      <t>O</t>
    </r>
  </si>
  <si>
    <t>Primary energy multiplier for muriate of potash fertiliser, United Kingdom, 1996 (Ref. C3).</t>
  </si>
  <si>
    <r>
      <t>kg CO</t>
    </r>
    <r>
      <rPr>
        <vertAlign val="subscript"/>
        <sz val="10"/>
        <rFont val="Arial"/>
        <family val="2"/>
      </rPr>
      <t>2</t>
    </r>
    <r>
      <rPr>
        <sz val="10"/>
        <rFont val="Arial"/>
        <family val="2"/>
      </rPr>
      <t>/kg K</t>
    </r>
    <r>
      <rPr>
        <vertAlign val="subscript"/>
        <sz val="10"/>
        <rFont val="Arial"/>
        <family val="2"/>
      </rPr>
      <t>2</t>
    </r>
    <r>
      <rPr>
        <sz val="10"/>
        <rFont val="Arial"/>
        <family val="2"/>
      </rPr>
      <t>O</t>
    </r>
  </si>
  <si>
    <t>Carbon dioxide emissions factor for muriate of potash fertiliser, United Kingdom, 1996 (Ref. C3).</t>
  </si>
  <si>
    <r>
      <t>kg CH</t>
    </r>
    <r>
      <rPr>
        <vertAlign val="subscript"/>
        <sz val="10"/>
        <rFont val="Arial"/>
        <family val="2"/>
      </rPr>
      <t>4</t>
    </r>
    <r>
      <rPr>
        <sz val="10"/>
        <rFont val="Arial"/>
        <family val="2"/>
      </rPr>
      <t>/kg K</t>
    </r>
    <r>
      <rPr>
        <vertAlign val="subscript"/>
        <sz val="10"/>
        <rFont val="Arial"/>
        <family val="2"/>
      </rPr>
      <t>2</t>
    </r>
    <r>
      <rPr>
        <sz val="10"/>
        <rFont val="Arial"/>
        <family val="2"/>
      </rPr>
      <t>O</t>
    </r>
  </si>
  <si>
    <t>Methane emissions factor for muriate of potash fertiliser, United Kingdom, 1996 (Ref. C3).</t>
  </si>
  <si>
    <r>
      <t>kg N</t>
    </r>
    <r>
      <rPr>
        <vertAlign val="subscript"/>
        <sz val="10"/>
        <rFont val="Arial"/>
        <family val="2"/>
      </rPr>
      <t>2</t>
    </r>
    <r>
      <rPr>
        <sz val="10"/>
        <rFont val="Arial"/>
        <family val="2"/>
      </rPr>
      <t>O/kg K</t>
    </r>
    <r>
      <rPr>
        <vertAlign val="subscript"/>
        <sz val="10"/>
        <rFont val="Arial"/>
        <family val="2"/>
      </rPr>
      <t>2</t>
    </r>
    <r>
      <rPr>
        <sz val="10"/>
        <rFont val="Arial"/>
        <family val="2"/>
      </rPr>
      <t>O</t>
    </r>
  </si>
  <si>
    <t>Nitrous oxide emissions factor for muriate of potash fertiliser, United Kingdom, 1996 (Ref. C3).</t>
  </si>
  <si>
    <t xml:space="preserve"> - CT Database United Kingdom, 1996</t>
  </si>
  <si>
    <t>Earlier version of primary energy multiplier for muriate of potash fertiliser, United Kingdom, 1996 (Ref. C24).</t>
  </si>
  <si>
    <t>Earlier version of carbon dioxide emissions factor for muriate of potash fertiliser, United Kingdom, 1996 (Ref. C24).</t>
  </si>
  <si>
    <t>Earlier version of methane emissions factor for muriate of potash fertiliser, United Kingdom, 1996 (Ref. C24).</t>
  </si>
  <si>
    <t>Earlier version of nitrous oxide emissions factor for muriate of potash fertiliser, United Kingdom, 1996 (Ref. C24).</t>
  </si>
  <si>
    <t xml:space="preserve"> - BIOGRACE EC Database</t>
  </si>
  <si>
    <t>Primary energy multiplier for K fertiliser (Ref. C20).</t>
  </si>
  <si>
    <t>Carbon dioxide emissions factor for K fertiliser (Ref. C20).</t>
  </si>
  <si>
    <t>Methane emissions factor for K fertiliser (Ref. C20).</t>
  </si>
  <si>
    <t>Nitrous oxide emissions factor for K fertiliser (Ref. C20).</t>
  </si>
  <si>
    <t>Primary energy multiplier for muriate of potash fertiliser, European Union average, 2006 (Ref. C18, Page 21).</t>
  </si>
  <si>
    <t>Carbon dioxide emissions factor for muriate of potash fertiliser, European Union average, 2006 (Ref. C18, Page 21).</t>
  </si>
  <si>
    <r>
      <t>Methane emissions factor of muriate of potash fertiliser, European Union average, 2006, based on "other GHG emissions" of 0.01 kg eq. CO</t>
    </r>
    <r>
      <rPr>
        <vertAlign val="subscript"/>
        <sz val="10"/>
        <rFont val="Arial"/>
        <family val="2"/>
      </rPr>
      <t>2</t>
    </r>
    <r>
      <rPr>
        <sz val="10"/>
        <rFont val="Arial"/>
        <family val="2"/>
      </rPr>
      <t>/kg K2O</t>
    </r>
    <r>
      <rPr>
        <sz val="10"/>
        <rFont val="Arial"/>
        <family val="2"/>
      </rPr>
      <t xml:space="preserve"> (Ref. C18, Page 21), assumed to be all methane converted with a Global Warming Potential of 23 kg eq. CO</t>
    </r>
    <r>
      <rPr>
        <vertAlign val="subscript"/>
        <sz val="10"/>
        <rFont val="Arial"/>
        <family val="2"/>
      </rPr>
      <t/>
    </r>
  </si>
  <si>
    <r>
      <t>Nitrous oxide emissions factor of muriate of potash fertiliser, European Union average, 2006, based on "nitrous oxide" of 0 kg eq. CO</t>
    </r>
    <r>
      <rPr>
        <vertAlign val="subscript"/>
        <sz val="10"/>
        <rFont val="Arial"/>
        <family val="2"/>
      </rPr>
      <t>2</t>
    </r>
    <r>
      <rPr>
        <sz val="10"/>
        <rFont val="Arial"/>
        <family val="2"/>
      </rPr>
      <t>/kg K2O</t>
    </r>
    <r>
      <rPr>
        <sz val="10"/>
        <rFont val="Arial"/>
        <family val="2"/>
      </rPr>
      <t xml:space="preserve"> (Ref. C18, Page 21)</t>
    </r>
    <r>
      <rPr>
        <sz val="10"/>
        <rFont val="Arial"/>
        <family val="2"/>
      </rPr>
      <t>.</t>
    </r>
  </si>
  <si>
    <t>Value for Specified K fertiliser</t>
  </si>
  <si>
    <r>
      <t>kg CO</t>
    </r>
    <r>
      <rPr>
        <vertAlign val="subscript"/>
        <sz val="10"/>
        <rFont val="Arial"/>
        <family val="2"/>
      </rPr>
      <t>2</t>
    </r>
    <r>
      <rPr>
        <sz val="10"/>
        <rFont val="Arial"/>
        <family val="2"/>
      </rPr>
      <t>/kg CaCO</t>
    </r>
    <r>
      <rPr>
        <vertAlign val="subscript"/>
        <sz val="10"/>
        <rFont val="Arial"/>
        <family val="2"/>
      </rPr>
      <t>3</t>
    </r>
  </si>
  <si>
    <r>
      <t>kg CH</t>
    </r>
    <r>
      <rPr>
        <vertAlign val="subscript"/>
        <sz val="10"/>
        <rFont val="Arial"/>
        <family val="2"/>
      </rPr>
      <t>4</t>
    </r>
    <r>
      <rPr>
        <sz val="10"/>
        <rFont val="Arial"/>
        <family val="2"/>
      </rPr>
      <t>/kg CaCO</t>
    </r>
    <r>
      <rPr>
        <vertAlign val="subscript"/>
        <sz val="10"/>
        <rFont val="Arial"/>
        <family val="2"/>
      </rPr>
      <t>3</t>
    </r>
  </si>
  <si>
    <r>
      <t>kg N</t>
    </r>
    <r>
      <rPr>
        <vertAlign val="subscript"/>
        <sz val="10"/>
        <rFont val="Arial"/>
        <family val="2"/>
      </rPr>
      <t>2</t>
    </r>
    <r>
      <rPr>
        <sz val="10"/>
        <rFont val="Arial"/>
        <family val="2"/>
      </rPr>
      <t>O/kg CaCO</t>
    </r>
    <r>
      <rPr>
        <vertAlign val="subscript"/>
        <sz val="10"/>
        <rFont val="Arial"/>
        <family val="2"/>
      </rPr>
      <t>3</t>
    </r>
  </si>
  <si>
    <t>Ground limestone</t>
  </si>
  <si>
    <t>Source of Lime Emissions Factor</t>
  </si>
  <si>
    <t>Lime</t>
  </si>
  <si>
    <r>
      <t>MJ/kg CaC</t>
    </r>
    <r>
      <rPr>
        <sz val="10"/>
        <rFont val="Arial"/>
        <family val="2"/>
      </rPr>
      <t>O</t>
    </r>
    <r>
      <rPr>
        <vertAlign val="subscript"/>
        <sz val="10"/>
        <rFont val="Arial"/>
        <family val="2"/>
      </rPr>
      <t>3</t>
    </r>
  </si>
  <si>
    <t>Primary energy multiplier for ground limestone, United Kingdom, 1996 (Ref. C16).</t>
  </si>
  <si>
    <t>Carbon dioxide emissions factor for ground limestone, United Kingdom, 1996 (Ref. C16).</t>
  </si>
  <si>
    <t>Methane emissions factor for ground limestone, United Kingdom, 1996 (Ref. C16).</t>
  </si>
  <si>
    <t>Nitrous oxide emissions factor for ground limestone, United Kingdom, 1996 (Ref. C16).</t>
  </si>
  <si>
    <t>Earlier version of carbon dioxide emissions factor for ground limestone, United Kingdom, 1996 (Ref. C25).</t>
  </si>
  <si>
    <t>Earlier version of methane emissions factor for ground limestone, United Kingdom, 1996 (Ref. C25).</t>
  </si>
  <si>
    <t>Earlier version of nitrous oxide emissions factor for ground limestone, United Kingdom, 1996 (Ref. C25).</t>
  </si>
  <si>
    <t>Primary energy multiplier for CaO fertiliser (Ref. C20).</t>
  </si>
  <si>
    <t>Carbon dioxide emissions factor for CaO fertiliser (Ref. C20).</t>
  </si>
  <si>
    <t>Methane emissions factor for CaO fertiliser (Ref. C20).</t>
  </si>
  <si>
    <t>Nitrous oxide emissions factor for CaO fertiliser (Ref. C20).</t>
  </si>
  <si>
    <t>Value for Specified Lime</t>
  </si>
  <si>
    <t>Primary energy multiplier for diesel fuel in United Kingdom in 2004 (Ref. P6).</t>
  </si>
  <si>
    <t>Carbon dioxide emissions factor for diesel fuel in United Kingdom in 2004 (Ref. P6).</t>
  </si>
  <si>
    <t>Total methane requirement for diesel fuel in United Kingdom in 2004 (Ref. P6).</t>
  </si>
  <si>
    <t>Nitrous oxide emissions factor for diesel fuel in United Kingdom in 2004 (Ref. P6).</t>
  </si>
  <si>
    <t>Potassium Fertiliser Type</t>
  </si>
  <si>
    <t>k_fert_source</t>
  </si>
  <si>
    <t>Assuming diesel consumptions for operation as for spraying RefC1.</t>
  </si>
  <si>
    <t>Assuming diesel consumptions for operation same as planter RefC1.</t>
  </si>
  <si>
    <t xml:space="preserve"> - Carbon Dioxide Emissions from Soil</t>
  </si>
  <si>
    <t xml:space="preserve">zero </t>
  </si>
  <si>
    <t>Private communications with Editor of Commercial Motor, 2005.</t>
  </si>
  <si>
    <t>T15</t>
  </si>
  <si>
    <t>Average diesel fuel consumption rate of bulk freight road transport (Ref. T15) with range based on 95% confidence limit of United Kingdom statistics (Ref.T5)</t>
  </si>
  <si>
    <t>44/40 t GVW</t>
  </si>
  <si>
    <t>Based on two trips being required with a 10m trailer, assuming width 2.5 metres and that bales can be stacked 2 high (removing 32 miscanthus bales at 25% m.c in total (equivalent to a odt yield of 12odt/ha). Assumes a speed of 1 mile and hour and an average distance of 100m, or return 200m</t>
  </si>
  <si>
    <t xml:space="preserve">EU - 27 emissions factor generated from www.iea.org/stats/balancetable.asp) </t>
  </si>
  <si>
    <t>kgCO2/kWh</t>
  </si>
  <si>
    <t>kgCH4/kWh</t>
  </si>
  <si>
    <t>kgN2O/kWh</t>
  </si>
  <si>
    <t>Based on SUNLIBB Sugar Cane Biorefinery v12 modified for miscanthus feedstock refined in Europe</t>
  </si>
  <si>
    <t>Lime Fertiliser source</t>
  </si>
  <si>
    <t>NNFCC United Kingdom, 1996, CT Database United Kingdom, 1996, BIOGRACE EC Database, EFMA European Union, 2006</t>
  </si>
  <si>
    <t xml:space="preserve">NNFCC United Kingdom, 1996, CT Database United Kingdom, 1996, BIOGRACE EC Database, </t>
  </si>
  <si>
    <t>lime_fert_source</t>
  </si>
  <si>
    <t>Default setting is "Biograce EC Database".</t>
  </si>
  <si>
    <t>SUB-TOTALS FOR HARVESTING AND BALING</t>
  </si>
  <si>
    <t>Sub-totals for diesel fuel</t>
  </si>
  <si>
    <t>Sub-totals for machinery</t>
  </si>
  <si>
    <t>Sub-totals for maintenance</t>
  </si>
  <si>
    <t>kgN2O/MJ</t>
  </si>
  <si>
    <t>All GHG</t>
  </si>
  <si>
    <t xml:space="preserve"> Diesel Fuel</t>
  </si>
  <si>
    <t>Alternative data</t>
  </si>
  <si>
    <t>Annuualised yield in oven dried tonnes harvested each year per ha; Ref: "Nutrient requirements of Miscanthus x giganteus: Conclusions from a review of published studies", S Cadoux, A Riche, N Yates and J-M Machet, Biomass and Bioenergy, 2011 (1 - 9)</t>
  </si>
  <si>
    <t>Phosphate Fertiliser application rate</t>
  </si>
  <si>
    <t>kg P2O5/ha</t>
  </si>
  <si>
    <t>p_fert_app_rate</t>
  </si>
  <si>
    <t>Potassium Fertiliser application rate</t>
  </si>
  <si>
    <t>k_fert_app_rate</t>
  </si>
  <si>
    <t>kg K2O/ha</t>
  </si>
  <si>
    <t>P application rate</t>
  </si>
  <si>
    <t>K application rate</t>
  </si>
  <si>
    <t>kgP2O5/ha</t>
  </si>
  <si>
    <t>kgK2O/ha</t>
  </si>
  <si>
    <r>
      <t>kg CO</t>
    </r>
    <r>
      <rPr>
        <vertAlign val="subscript"/>
        <sz val="10"/>
        <rFont val="Arial"/>
        <family val="2"/>
      </rPr>
      <t>2</t>
    </r>
    <r>
      <rPr>
        <sz val="10"/>
        <rFont val="Arial"/>
        <family val="2"/>
      </rPr>
      <t>/kg lime</t>
    </r>
  </si>
  <si>
    <r>
      <t>Emissions of carbon dioxide from soil due to liming of 0.44 kg CO</t>
    </r>
    <r>
      <rPr>
        <vertAlign val="subscript"/>
        <sz val="10"/>
        <rFont val="Arial"/>
        <family val="2"/>
      </rPr>
      <t>2</t>
    </r>
    <r>
      <rPr>
        <sz val="10"/>
        <rFont val="Arial"/>
        <family val="2"/>
      </rPr>
      <t>/kg CaCO</t>
    </r>
    <r>
      <rPr>
        <vertAlign val="subscript"/>
        <sz val="10"/>
        <rFont val="Arial"/>
        <family val="2"/>
      </rPr>
      <t>3</t>
    </r>
    <r>
      <rPr>
        <sz val="10"/>
        <rFont val="Arial"/>
        <family val="2"/>
      </rPr>
      <t xml:space="preserve"> (Ref. C19).</t>
    </r>
  </si>
  <si>
    <t>Sugar cane</t>
  </si>
  <si>
    <t>harvesting</t>
  </si>
  <si>
    <t>Default value for lorry size of 44 t GVW for Miscanthus transport (stage 1) from field to biorefinery.</t>
  </si>
  <si>
    <t>Default value for lorry size of 44 t GVW for Miscanthus transport (stage 2).</t>
  </si>
  <si>
    <t>Default value assumes distribution within Europe mainland, therefore 0km.</t>
  </si>
  <si>
    <t>Harvesting and baling</t>
  </si>
  <si>
    <t>Hexoses liquor</t>
  </si>
  <si>
    <t>Hexoses liquor yield</t>
  </si>
  <si>
    <t xml:space="preserve">Net Calorific Value of Hexoses Liquor = </t>
  </si>
  <si>
    <t xml:space="preserve">Price of Hexoses Liquor = </t>
  </si>
  <si>
    <t>Net Calorific Value of Hexoses liquor (91% moisture content)</t>
  </si>
  <si>
    <t>CV_hx</t>
  </si>
  <si>
    <t xml:space="preserve">Default value assumed to be £ 19 per tonne of hexose liquor (91% moisture content) based on a price of € 310 per tonne of sucrose (dry) and an exchange rate of € 1.481  per £ (Ref. 6). </t>
  </si>
  <si>
    <t>price_hx</t>
  </si>
  <si>
    <t>Price of Hexoses Liquor (91% moisture content)</t>
  </si>
  <si>
    <t>Default value for net calorific value of pentose liquor (91% moisture content) of 1519 MJ/t based on net calorific value of pentose of 16880 MJ/t (Ref. 4).</t>
  </si>
  <si>
    <t>Default value for net calorific value of hexoses liquor (91% moisture content) of 1488 MJ/t based on net calorific value of sugar of 16537 MJ/t (Ref. 4).</t>
  </si>
  <si>
    <t>CaO</t>
  </si>
  <si>
    <t>CaCO3</t>
  </si>
  <si>
    <t>NNFCC United Kingdom, 1996</t>
  </si>
  <si>
    <t>CT Database United Kingdom, 1996</t>
  </si>
  <si>
    <t>BIOGRACE EC Database</t>
  </si>
  <si>
    <r>
      <t>kg CO</t>
    </r>
    <r>
      <rPr>
        <vertAlign val="subscript"/>
        <sz val="10"/>
        <rFont val="Arial"/>
        <family val="2"/>
      </rPr>
      <t>2</t>
    </r>
    <r>
      <rPr>
        <sz val="10"/>
        <rFont val="Arial"/>
        <family val="2"/>
      </rPr>
      <t>/kg CaO</t>
    </r>
    <r>
      <rPr>
        <sz val="10"/>
        <color theme="1"/>
        <rFont val="Trebuchet MS"/>
        <family val="2"/>
      </rPr>
      <t/>
    </r>
  </si>
  <si>
    <r>
      <t>kg CH</t>
    </r>
    <r>
      <rPr>
        <vertAlign val="subscript"/>
        <sz val="10"/>
        <rFont val="Arial"/>
        <family val="2"/>
      </rPr>
      <t>4</t>
    </r>
    <r>
      <rPr>
        <sz val="10"/>
        <rFont val="Arial"/>
        <family val="2"/>
      </rPr>
      <t>/kg CaO</t>
    </r>
    <r>
      <rPr>
        <sz val="10"/>
        <color theme="1"/>
        <rFont val="Trebuchet MS"/>
        <family val="2"/>
      </rPr>
      <t/>
    </r>
  </si>
  <si>
    <r>
      <t>kg N</t>
    </r>
    <r>
      <rPr>
        <vertAlign val="subscript"/>
        <sz val="10"/>
        <rFont val="Arial"/>
        <family val="2"/>
      </rPr>
      <t>2</t>
    </r>
    <r>
      <rPr>
        <sz val="10"/>
        <rFont val="Arial"/>
        <family val="2"/>
      </rPr>
      <t>O/kg CaO</t>
    </r>
    <r>
      <rPr>
        <sz val="10"/>
        <color theme="1"/>
        <rFont val="Trebuchet MS"/>
        <family val="2"/>
      </rPr>
      <t/>
    </r>
  </si>
  <si>
    <t>C20</t>
  </si>
  <si>
    <t>MJ/kg mineral (CaCO3 or CaO as in B8)</t>
  </si>
  <si>
    <t>Type of lime</t>
  </si>
  <si>
    <t>lime_type</t>
  </si>
  <si>
    <t>CaCO3 or CaO</t>
  </si>
  <si>
    <t>Lime type</t>
  </si>
  <si>
    <t xml:space="preserve"> - Lime  </t>
  </si>
  <si>
    <t>Nitrogen Fertiliser Application</t>
  </si>
  <si>
    <t>C23</t>
  </si>
  <si>
    <t>C24</t>
  </si>
  <si>
    <t>C18</t>
  </si>
  <si>
    <t>C16</t>
  </si>
  <si>
    <t>Lime spreadsheet; NF0614Limet02.xls from the "Environmental Assessment Tool for Biomaterials" by North Energy Associates Ltd., Contract No. NF0614 for the Department for Environment, Food and Rural Affairs, London, United Kingdom, 2009.</t>
  </si>
  <si>
    <t>Earlier version of primary energy multiplier for ground limestine, United Kingdom, 1996 (Ref. C16).</t>
  </si>
  <si>
    <t>C3</t>
  </si>
  <si>
    <t>Potash spreadsheet; NF0614KFert02.xls from the "Environmental Assessment Tool for Biomaterials" by North Energy Associates Ltd., Contract No. NF0614 for the Department for Environment, Food and Rural Affairs, London, United Kingdom, 2009.</t>
  </si>
  <si>
    <t>C21</t>
  </si>
  <si>
    <t>C22</t>
  </si>
  <si>
    <t>C14</t>
  </si>
  <si>
    <r>
      <t>kg CO</t>
    </r>
    <r>
      <rPr>
        <vertAlign val="subscript"/>
        <sz val="10"/>
        <rFont val="Arial"/>
        <family val="2"/>
      </rPr>
      <t>2</t>
    </r>
    <r>
      <rPr>
        <sz val="10"/>
        <rFont val="Arial"/>
        <family val="2"/>
      </rPr>
      <t>/kg mineral</t>
    </r>
  </si>
  <si>
    <r>
      <t>kg CH</t>
    </r>
    <r>
      <rPr>
        <vertAlign val="subscript"/>
        <sz val="10"/>
        <rFont val="Arial"/>
        <family val="2"/>
      </rPr>
      <t>4</t>
    </r>
    <r>
      <rPr>
        <sz val="10"/>
        <rFont val="Arial"/>
        <family val="2"/>
      </rPr>
      <t>/kg mineral</t>
    </r>
  </si>
  <si>
    <r>
      <t>kg N</t>
    </r>
    <r>
      <rPr>
        <vertAlign val="subscript"/>
        <sz val="10"/>
        <rFont val="Arial"/>
        <family val="2"/>
      </rPr>
      <t>2</t>
    </r>
    <r>
      <rPr>
        <sz val="10"/>
        <rFont val="Arial"/>
        <family val="2"/>
      </rPr>
      <t>O/kg mineral</t>
    </r>
  </si>
  <si>
    <t>Default value of 15 years for a complete cultivation cycle; planting, first harvest, then successive harvests from established plants (Ref C1 GREET).  This period cannot be set at a value less than 2 years.</t>
  </si>
  <si>
    <t>Default setting CaO</t>
  </si>
  <si>
    <t>Default value of 16 years for a complete cultivation cycle; planting, first harvest, then successive harvests from established plants (Ref "Planting and Growing Miscanthus, Best Practice Guidelines for Applicants to DEFRA's Energy Crops Scheme" July 2007)</t>
  </si>
  <si>
    <t>Europe</t>
  </si>
  <si>
    <r>
      <t>1 kilogram of mineral</t>
    </r>
    <r>
      <rPr>
        <sz val="10"/>
        <rFont val="Arial"/>
        <family val="2"/>
      </rPr>
      <t xml:space="preserve"> in ground limestone</t>
    </r>
  </si>
  <si>
    <t xml:space="preserve"> t ws</t>
  </si>
  <si>
    <t>"Pre-treatment of Miscanthus x giganteus using the Ethanol organosolv process for ethanol production", N Brosse, P Sannigrahi and A Ragauskas, Ind. Eng. Chem. Res 2009, 48, 8328-8334</t>
  </si>
  <si>
    <t>miscanthus_pretreat_loss</t>
  </si>
  <si>
    <t xml:space="preserve">   Net Calorific Value of Miscanthus = </t>
  </si>
  <si>
    <t>Hexose Liquor (91% moisture content)</t>
  </si>
  <si>
    <t>Lime application rate</t>
  </si>
  <si>
    <t>kgmineral/ha</t>
  </si>
  <si>
    <t>lime_app_rate</t>
  </si>
  <si>
    <t>Lime Fertiliser application rate</t>
  </si>
  <si>
    <t>kgmineral/ha.a</t>
  </si>
  <si>
    <t>MILLING</t>
  </si>
  <si>
    <t>Unit Natural Gas Consumption of Boiler =</t>
  </si>
  <si>
    <t xml:space="preserve">Unit Natural Gas Consumption of Combined Heat and Power Plant = </t>
  </si>
  <si>
    <t>Total energy requirement of natural gas for United Kingdom in 2004 (Ref. P6)</t>
  </si>
  <si>
    <t>Total carbon requirement of natural gas for United Kingdom in 2004 (Ref. P6)</t>
  </si>
  <si>
    <t>Total methane requirement of natural gas for United Kingdom in 2004 (Ref. P6)</t>
  </si>
  <si>
    <t>Total nitrous oxide requirement of natural gas for United Kingdom in 2004 (Ref. P6)</t>
  </si>
  <si>
    <t>Natural gas</t>
  </si>
  <si>
    <t>Natural Gas</t>
  </si>
  <si>
    <t>Contribution of Natural Gas Consumption</t>
  </si>
  <si>
    <t>Unit Natural Gas Consumption of Combined Heat and Power Plant (MJ/t et)</t>
  </si>
  <si>
    <t>Unit Natural Gas Consumption of Boiler (MJ/t et)</t>
  </si>
  <si>
    <t>Assumed Net Thermal Efficiency of Replacement Natural Gas/Biomass Power Only Generation</t>
  </si>
  <si>
    <t>Ethanol from Miscanthus at point of sale</t>
  </si>
  <si>
    <t>Life Cycle Greenhouse Gas Emissions for Production of Ethanol from Miscanthus: Allocation by Economic Value</t>
  </si>
  <si>
    <t>Life Cycle Greenhouse Gas Emissions for Production of Ethanol from Miscanthus: Allocation by Energy Content</t>
  </si>
  <si>
    <t>Life Cycle Greenhouse Gas Emissions for Production of Ethanol from Miscanthus: Allocation by Mass</t>
  </si>
  <si>
    <t>Default value for the round trip distance of 1200 km by road for ethanol transport (stage 1) from biorefinery to distribution point . Uses approximate distance from Amsterdam and distribution to Saxony Anhalt in Germany.</t>
  </si>
  <si>
    <t xml:space="preserve">Default value for lorry size of 44 t GVW for acetone transport (stage 1) from biorefinery to distribution point. </t>
  </si>
  <si>
    <t>Default value for the round trip distance of 1200 km by road for acetone transport (stage 1) from biorefinery to distribution point. Uses approximate distance from Amsterdam and distribution to Saxony Anhalt in Germany.</t>
  </si>
  <si>
    <t>Default value for the round trip distance of 1200 km by road for butanol transport (stage 1) from biorefinery to distribution point. Uses approximate distance from Amsterdam and distribution to Saxony Anhalt in Germany.</t>
  </si>
  <si>
    <t>Default value for the round trip distance of 0 km  (notional) by road for butanol transport (stage 3) from biorefinery to distribution point. Assumes chemical used at first distribution point</t>
  </si>
  <si>
    <t>Default value for the round trip distance of 0 km  (notional) by road for acetone transport (stage 3) from biorefinery to distribution point. Assumes chemical used at first distribution point</t>
  </si>
  <si>
    <t>Default value for the round trip distance of 0 km  (notional) by road for ethanol transport (stage 3) from biorefinery to distribution point. Assumes chemical used at first distribution point</t>
  </si>
  <si>
    <t>t Miscanthus delivered to biorefinery</t>
  </si>
  <si>
    <t>Default setting for functional unit of 1 tonne Miscanthus delivered to biorefinery.</t>
  </si>
  <si>
    <t>kWh/odt misc</t>
  </si>
  <si>
    <t>misc_mill_elec</t>
  </si>
  <si>
    <t>Default value of 73.5kgN/ha applied at establishment. Ref: "Nutrient requirements of Miscanthus x giganteus: Conclusions from a review of published studies", S Cadoux, A Riche, N Yates and J-M Machet, Biomass and Bioenergy, 2011 (1 - 9)</t>
  </si>
  <si>
    <t>Default setting is "Triple Super Phosphate".</t>
  </si>
  <si>
    <t xml:space="preserve">Default setting is "Ammonium Nitrate" </t>
  </si>
  <si>
    <t>Default value of 105kgK2O/ha applied at establishment. Ref: "Nutrient requirements of Miscanthus x giganteus: Conclusions from a review of published studies", S Cadoux, A Riche, N Yates and J-M Machet, Biomass and Bioenergy, 2011 (1 - 9)</t>
  </si>
  <si>
    <t>Default of 7kg P2O5/ha applied at establishment. Ref: "Nutrient requirements of Miscanthus x giganteus: Conclusions from a review of published studies", S Cadoux, A Riche, N Yates and J-M Machet, Biomass and Bioenergy, 2011 (1 - 9)</t>
  </si>
  <si>
    <t>Default data</t>
  </si>
  <si>
    <t>Supply of Both Heat and Electricity from Natural Gas/Biomass-Fired Combined Heat and Power Plant</t>
  </si>
  <si>
    <t>Supply of Heat from Natural Gas/Biomass-Fired Boiler and Electricity from the Grid</t>
  </si>
  <si>
    <t>Supply of Heat from Natural Gas/Biomass-fired Boiler and Electricity from the Grid, or Both Heat and Electricity from Natural Gas/Biomass-Fired Combined Heat and Power Plant</t>
  </si>
  <si>
    <t>moist_feedstock</t>
  </si>
  <si>
    <t>moist_fuel</t>
  </si>
  <si>
    <t>Pers Comm: Sam Kentworthy, International Energy Crops. Miscanthus left on field after harvest for approx to dry to between  6 - 15%mc which is then baled and used following milling in boiler.  No further drying takes place.</t>
  </si>
  <si>
    <r>
      <t>Default value for COD of fresh vinasses of 69000 mg O</t>
    </r>
    <r>
      <rPr>
        <vertAlign val="subscript"/>
        <sz val="10"/>
        <rFont val="Trebuchet MS"/>
        <family val="2"/>
      </rPr>
      <t>2</t>
    </r>
    <r>
      <rPr>
        <sz val="10"/>
        <rFont val="Trebuchet MS"/>
        <family val="2"/>
      </rPr>
      <t>/l (Ref. 36).</t>
    </r>
  </si>
  <si>
    <r>
      <t>MJ/m</t>
    </r>
    <r>
      <rPr>
        <vertAlign val="superscript"/>
        <sz val="10"/>
        <rFont val="Trebuchet MS"/>
        <family val="2"/>
      </rPr>
      <t>3</t>
    </r>
  </si>
  <si>
    <r>
      <t>Default value for net calorific value for methane of 33.95 MJ/m</t>
    </r>
    <r>
      <rPr>
        <vertAlign val="superscript"/>
        <sz val="10"/>
        <rFont val="Trebuchet MS"/>
        <family val="2"/>
      </rPr>
      <t>3</t>
    </r>
    <r>
      <rPr>
        <sz val="10"/>
        <rFont val="Trebuchet MS"/>
        <family val="2"/>
      </rPr>
      <t xml:space="preserve"> (Ref. ).</t>
    </r>
  </si>
  <si>
    <r>
      <t>Default assumes net calorific value of 23 MJ/m</t>
    </r>
    <r>
      <rPr>
        <vertAlign val="superscript"/>
        <sz val="10"/>
        <rFont val="Trebuchet MS"/>
        <family val="2"/>
      </rPr>
      <t>3</t>
    </r>
    <r>
      <rPr>
        <sz val="10"/>
        <rFont val="Trebuchet MS"/>
        <family val="2"/>
      </rPr>
      <t xml:space="preserve"> for biogas (Ref 38)</t>
    </r>
  </si>
  <si>
    <r>
      <t>kg eq.CO</t>
    </r>
    <r>
      <rPr>
        <vertAlign val="subscript"/>
        <sz val="10"/>
        <rFont val="Trebuchet MS"/>
        <family val="2"/>
      </rPr>
      <t>2</t>
    </r>
    <r>
      <rPr>
        <sz val="10"/>
        <rFont val="Trebuchet MS"/>
        <family val="2"/>
      </rPr>
      <t>/t</t>
    </r>
  </si>
  <si>
    <r>
      <t>Default value for substitution credit for lignin (50% moisture content) of 1.09 kg eq. CO</t>
    </r>
    <r>
      <rPr>
        <vertAlign val="subscript"/>
        <sz val="10"/>
        <rFont val="Trebuchet MS"/>
        <family val="2"/>
      </rPr>
      <t>2</t>
    </r>
    <r>
      <rPr>
        <sz val="10"/>
        <rFont val="Trebuchet MS"/>
        <family val="2"/>
      </rPr>
      <t>/t based on displacement of phenol derived from petroleum (Ref. ASC6).</t>
    </r>
  </si>
  <si>
    <r>
      <t>Default value for substitution credit for carbon dioxide of 265 + 3,667 = 3,932 kg eq. CO</t>
    </r>
    <r>
      <rPr>
        <vertAlign val="subscript"/>
        <sz val="10"/>
        <rFont val="Trebuchet MS"/>
        <family val="2"/>
      </rPr>
      <t>2</t>
    </r>
    <r>
      <rPr>
        <sz val="10"/>
        <rFont val="Trebuchet MS"/>
        <family val="2"/>
      </rPr>
      <t>/t based on displacement of carbon dioxide generated from petroleum (Ref. 66) including fossil carbon content.</t>
    </r>
  </si>
  <si>
    <t xml:space="preserve">Milled Miscanthus Feedstock = </t>
  </si>
  <si>
    <t>Comments</t>
  </si>
  <si>
    <t>misc_mill_loss</t>
  </si>
  <si>
    <t>Ethanol from miscanthus at point of sale</t>
  </si>
  <si>
    <r>
      <t>Authors:</t>
    </r>
    <r>
      <rPr>
        <sz val="10"/>
        <rFont val="Arial"/>
        <family val="2"/>
      </rPr>
      <t xml:space="preserve">  C. Hatto, O. Mwabonje and N. D. Mortimer</t>
    </r>
  </si>
  <si>
    <t>Nigel Mortimer</t>
  </si>
  <si>
    <r>
      <t>Task:</t>
    </r>
    <r>
      <rPr>
        <sz val="10"/>
        <rFont val="Arial"/>
        <family val="2"/>
      </rPr>
      <t xml:space="preserve">  8.4 - Application to Miscanthus Biorefineries</t>
    </r>
  </si>
  <si>
    <r>
      <t>Deliverable:</t>
    </r>
    <r>
      <rPr>
        <sz val="10"/>
        <rFont val="Arial"/>
        <family val="2"/>
      </rPr>
      <t xml:space="preserve">  D8.4 - Miscanthus Supply Chain Workbook</t>
    </r>
  </si>
  <si>
    <t>Version 02</t>
  </si>
  <si>
    <t>29.03.13</t>
  </si>
  <si>
    <t>28.03.13</t>
  </si>
  <si>
    <t>Correction to formula in Cell AA129 of Unit Flow Chart.  Corrections to formulae in Cells J20, K20, P20, Q20, V20, W20, AB20 and AC20 of CHP worksheet.</t>
  </si>
  <si>
    <t>Range+/- (kWh/kWh)</t>
  </si>
  <si>
    <t>Version 03</t>
  </si>
  <si>
    <t>08.05.13</t>
  </si>
  <si>
    <t>Revisions to Road Transport worksheets.</t>
  </si>
  <si>
    <t>SUNLIBB Road Transport Data Workbook v03.xls prepared by North Energy Associates Ltd., Sheffield, United Kingdom, December 2012.</t>
  </si>
  <si>
    <t>T16</t>
  </si>
  <si>
    <t>"Selected Life Cycle Assessment for Road Freight Transport" by J. Brindley, C. L. Whittaker, J. H. R. Rix and N. D. Mortimer, North Energy Associates Ltd., NF0614Road03open.xls for National Non-Food Crops Centre, York, United Kingdom, 20 April 2013.</t>
  </si>
  <si>
    <t>Diesel fuel consumption of bulk freight road transport (Ref. T16)</t>
  </si>
  <si>
    <t>Total energy requirement of vehicle manufacture for bulk freight road transport (Ref. T16)</t>
  </si>
  <si>
    <t>Average maintenance contribution of 2% (Ref. T16)</t>
  </si>
  <si>
    <t>Total energy requirement for diesel fuel in United Kingdom in 2004 (Ref. T13)</t>
  </si>
  <si>
    <t>Total carbon requirement for diesel fuel in United Kingdom in 2004 (Ref. T13)</t>
  </si>
  <si>
    <t>Total methane requirement for diesel fuel in United Kingdom in 2004 (Ref. T13)</t>
  </si>
  <si>
    <t>Total nitrous oxide requirement for diesel fuel in United Kingdom in 2004 (Ref. T13)</t>
  </si>
  <si>
    <t>Total carbon dioxide emissions factor for diesel fuel in United Kingdom in 2004 (Ref. T13)</t>
  </si>
  <si>
    <t>Total methane multiplier for diesel fuel in United Kingdom in 2004 (Ref. T13)</t>
  </si>
  <si>
    <t>Methane emissions factor for vehicle manufacture of bulk freight road transport (Ref. T15)</t>
  </si>
  <si>
    <t>Total nitrous oxide emissions factor for diesel fuel in United Kingdom in 2004 (Ref. T13)</t>
  </si>
  <si>
    <t>Carbon dioxide emissions of vehicle manufacture for bulk freight road transport (Ref. T16)</t>
  </si>
  <si>
    <t>Based on 2% of the carbon dioxide emissions for vehicle manufacture of bulk freight road transport (Ref. T16)</t>
  </si>
  <si>
    <t>Methane emissions factor for vehicle manufacture of bulk freight road transport (Ref. T16)</t>
  </si>
  <si>
    <t>Based on 2% of the methane emissions for vehicle manufacture of bulk freight road transport (Ref. T16)</t>
  </si>
  <si>
    <t>Total methane multiplier for diesel fuel in United Kingdom in 2004 (Ref. T16)</t>
  </si>
  <si>
    <t>Nitrous oxide emissions for vehicle manufacture of bulk freight road transport (Ref. T16)</t>
  </si>
  <si>
    <t>Based on 2% of the nitrous oxide emissions for vehicle manufacture of bulk freight road transport (Ref. T16)</t>
  </si>
  <si>
    <t>Version 04</t>
  </si>
  <si>
    <t>31.07.13</t>
  </si>
  <si>
    <t>Overall Percentage Allocation for Drying Miscanthus, Drying Waste Solids, Waste Water Treatment, Surplus Electricity Sales Credit and Biorefinery Plant to Ethanol</t>
  </si>
  <si>
    <t>Lime Type</t>
  </si>
  <si>
    <t>Options for N Fertilisers Type</t>
  </si>
  <si>
    <t>Options for P Fertiliser Type</t>
  </si>
  <si>
    <t>Options for Source of K Fertiliser and Lime Manufacture Emissions Factor</t>
  </si>
  <si>
    <t>Re-organisation and corrections to menus in Input worksheet.  Correction of location to "Europe" in Cell B2 and correction of formulae in Cells F18, G18 and H18 of Allocation Mass worksheet.  Correction to text in Cells H44, I44 and J44 of Allocation Price worksheet and Cells H36, I36 and J36 in Allocation Mass worksheet.  Corrections to substitution credits in Acetone and Butanol Summary Substitition Credit worksheets.</t>
  </si>
  <si>
    <t>Version 05</t>
  </si>
  <si>
    <t>Corrections to biorefinery plant formulae and ship transport distribution stage 2 nitrous oxide emissions error (Column M)  in all Summary worksheets.</t>
  </si>
  <si>
    <t>26.09.13</t>
  </si>
  <si>
    <t>Version 06</t>
  </si>
  <si>
    <t>16.07.14</t>
  </si>
  <si>
    <t>"Improving the Sustainability of the Brazilian Sugar Cane Industry" by A. van den Bos, I. Yildiz and C. Hamelinck, NL Agency, Utrecht, the Netherlands, 27 April 2012.</t>
  </si>
  <si>
    <t>"Sugar Cane Bagasse Prehydrolysis Using Water" by D. Abril, M. Medina and A. Abril, Brazilian Journal of Chemical Engineering, Vo. 29, No. 1, January/March 2012.</t>
  </si>
  <si>
    <t>Ethanol Produced from Miscanthus in Europe</t>
  </si>
  <si>
    <t xml:space="preserve">Planting Density = </t>
  </si>
  <si>
    <t xml:space="preserve">Number of Rhizomes = </t>
  </si>
  <si>
    <t xml:space="preserve"> rhizomes/ha</t>
  </si>
  <si>
    <t xml:space="preserve"> rhizomes/a</t>
  </si>
  <si>
    <t xml:space="preserve"> odt/ha.a</t>
  </si>
  <si>
    <t xml:space="preserve">Yield as Received = </t>
  </si>
  <si>
    <t xml:space="preserve"> t N/ha</t>
  </si>
  <si>
    <t xml:space="preserve">Establisment N Fertiliser Application = </t>
  </si>
  <si>
    <t xml:space="preserve">Harvested Miscanthus = </t>
  </si>
  <si>
    <t xml:space="preserve">Moisture Content = </t>
  </si>
  <si>
    <t xml:space="preserve">Annual Miscanthus Input Capacity of Biorefinery = </t>
  </si>
  <si>
    <t xml:space="preserve">Life of Biorefinery = </t>
  </si>
  <si>
    <t xml:space="preserve">Annual Operating Time of Biorefinery = </t>
  </si>
  <si>
    <t xml:space="preserve">Delivered  Bales of Miscanthus at Biorefinery = </t>
  </si>
  <si>
    <t xml:space="preserve"> t ar</t>
  </si>
  <si>
    <t xml:space="preserve"> t ar/a</t>
  </si>
  <si>
    <t xml:space="preserve"> t ar/ha.a</t>
  </si>
  <si>
    <t xml:space="preserve">Unit Electricity Requirement for Milling = </t>
  </si>
  <si>
    <t xml:space="preserve"> MJ/t mmf</t>
  </si>
  <si>
    <t xml:space="preserve"> kWh/t mmf</t>
  </si>
  <si>
    <t>miscanthus_process_elect</t>
  </si>
  <si>
    <t>odt hx/odt mmf</t>
  </si>
  <si>
    <t>"Pretreatment of Miscanthus for Hydrogen Production by Thermologa elfi" by T. de Vrige, G. G. de Haas, G. B. Tan, E. R. P. Keijers and P.A. M. Claasen, Industrial Journal of Hydrogen Economy, Vol. 27, 2002, pp. 1381 - 1390.</t>
  </si>
  <si>
    <t>odt pn/odt mmf</t>
  </si>
  <si>
    <t>kWh/t mmf</t>
  </si>
  <si>
    <t>kg steam/t mmf</t>
  </si>
  <si>
    <t>odt lgn/odt mmf</t>
  </si>
  <si>
    <t>Losses in Fermentation</t>
  </si>
  <si>
    <t>kg steam/t et</t>
  </si>
  <si>
    <t xml:space="preserve"> t pnl (9% pentose by weight)</t>
  </si>
  <si>
    <t xml:space="preserve"> MJ/t pnl (9% pentose by weight)</t>
  </si>
  <si>
    <t xml:space="preserve"> £/t pnl (9% pentose by weight)</t>
  </si>
  <si>
    <r>
      <t xml:space="preserve"> kg eq. CO</t>
    </r>
    <r>
      <rPr>
        <vertAlign val="subscript"/>
        <sz val="10"/>
        <rFont val="Arial"/>
        <family val="2"/>
      </rPr>
      <t>2</t>
    </r>
    <r>
      <rPr>
        <sz val="10"/>
        <rFont val="Arial"/>
        <family val="2"/>
      </rPr>
      <t>/t pnl (9% pentose by weight)</t>
    </r>
  </si>
  <si>
    <t xml:space="preserve"> t dws (at stated moisture content)</t>
  </si>
  <si>
    <t xml:space="preserve">Unit Heat Available from Waste Solids, Lignin and Biogas = </t>
  </si>
  <si>
    <t xml:space="preserve"> t mmf</t>
  </si>
  <si>
    <t>Change in default value for CHP heat to power ratio from 3.0 to 5.7 in Cell F108 of Input worksheet.  Addition of unit electricity requirement for miscanthus processing in Row 115 of Input worksheet and in Unit Flow Chart worksheet.  Re-organisation of bioethanol production entries in Input worksheet.  Modifications to default values and related notes for unit hexoses production, unit pentoses production, lignin and waste solids production in Rows 117, 119, 120 and 122, respectively, of Input worksheet.  Modifications to formulae in Cells J202, N202, N212, S148, S150, S202, S280, W202, AA92, AA126, AA141, AA143, AC310, AC303, AC305, AC316, AC360 and AK105 in Unit Flow Chart worksheet.  Correction to formula in Cell B12 and note E18 in Cell in Milling worksheet.  Removal of references to use of miscanthus as a fuel in Input, Unit Flow Chart and Summary worksheets.  Removal of Miscanthus Drying worksheet.  Addition of milling entries in Summary Et Mass worksheet.</t>
  </si>
  <si>
    <t>Version 07</t>
  </si>
  <si>
    <t>17.07.14</t>
  </si>
  <si>
    <t>Introduction of electricity input into Pre-Treat Hydrolysis and Summary worksheets.  Correction to formula in Cell B12 in Pre-Treat Hydrolysis worksheet.  Added Ultrafiltration, Distillation and Dehydration to summary table and chart in Summary Acetone Energy worksheet.</t>
  </si>
  <si>
    <t>Version 01</t>
  </si>
  <si>
    <t>Miscanthus Biorefinery Workbook</t>
  </si>
  <si>
    <t>Assuming that heat and electricity is provided by either a biomass/natural gas-fired boiler and imported grid electricity or a biomass/natural gas-fired combined heat and power plant.</t>
  </si>
  <si>
    <t>BIOMASS/NATURAL GAS-FIRED BOILER AND GRID ELECTRICITY</t>
  </si>
  <si>
    <t>BIOMASS/NATURAL GAS-FIRED BOILER</t>
  </si>
  <si>
    <t>BIOMASS/NATURAL GAS-FIRED COMBINED HEAT AND POWER PLANT</t>
  </si>
  <si>
    <t>"Process Design and Economics for Biochemical Conversion of Lignocellulosic Biomass to Ethanol: Dilute-acid pretreatment and enzymatic hydrolysis of corn stover" by D. Humbird, R. Davis, L. Tao, C. Kirchin, D. Hsu, A. Aden, P. Schoen, J. Lukas, B. Olthof, M. Worley, D. Sexton and D. Dudgeonm, Technical Report NREL/TP-5100-47764, National Technical Energy Laboratory, Golden, Colorado, United States of America, May 2011.</t>
  </si>
  <si>
    <t>Yield of Ethanol</t>
  </si>
  <si>
    <t>t et</t>
  </si>
  <si>
    <t>Default value for yield of ethanol of 0.483 g/g fermentable sugar (Ref. 76; Page 119, Component 315).</t>
  </si>
  <si>
    <t>yield_et</t>
  </si>
  <si>
    <t xml:space="preserve">Yield of Ethanol = </t>
  </si>
  <si>
    <t xml:space="preserve"> t et/t fermentable sugar</t>
  </si>
  <si>
    <t xml:space="preserve">Ethanol in Fermentation Broth = </t>
  </si>
  <si>
    <t xml:space="preserve">  t et</t>
  </si>
  <si>
    <t xml:space="preserve"> g et/l</t>
  </si>
  <si>
    <t>g et/litre of broth</t>
  </si>
  <si>
    <t>Default value for broth concentration of 50.8 g et/litre (Ref. 76; Page 119, Component 315).</t>
  </si>
  <si>
    <r>
      <t xml:space="preserve"> m</t>
    </r>
    <r>
      <rPr>
        <vertAlign val="superscript"/>
        <sz val="10"/>
        <rFont val="Arial"/>
        <family val="2"/>
      </rPr>
      <t>3</t>
    </r>
    <r>
      <rPr>
        <sz val="10"/>
        <rFont val="Arial"/>
        <family val="2"/>
      </rPr>
      <t>/t et</t>
    </r>
  </si>
  <si>
    <t xml:space="preserve">Net Calorific Value for Ethanol = </t>
  </si>
  <si>
    <t xml:space="preserve">Price for Ethanol = </t>
  </si>
  <si>
    <t xml:space="preserve">Ethanol in Permeate = </t>
  </si>
  <si>
    <t>Ethanol (in fermentation broth) Yield</t>
  </si>
  <si>
    <r>
      <t>t CO</t>
    </r>
    <r>
      <rPr>
        <vertAlign val="subscript"/>
        <sz val="10"/>
        <rFont val="Trebuchet MS"/>
        <family val="2"/>
      </rPr>
      <t>2</t>
    </r>
    <r>
      <rPr>
        <sz val="10"/>
        <rFont val="Trebuchet MS"/>
        <family val="2"/>
      </rPr>
      <t>/t et</t>
    </r>
  </si>
  <si>
    <t>Default value for carbon dioxide yield of 0.876 t/t et (Ref. 76; Page 119, Component 315).</t>
  </si>
  <si>
    <t xml:space="preserve">Default value for steam requirement of 0 kg/t ethanol (Ref. 76; Page 119, Component 315). </t>
  </si>
  <si>
    <t xml:space="preserve">Default value for electricity requirement of 12.0 kWh/t ethanol (Ref. 76; Page 119, Component 315). </t>
  </si>
  <si>
    <t>This workbook calculates total primary energy inputs and total greenhouse gas emissions (carbon dioxide, methane, nitrous oxide and equivalent carbon dioxide) of a biorefinery based on the use of miscanthus as feedstock.</t>
  </si>
  <si>
    <t>The Unit Flow Chart worksheet represents the process stages involved in the cultivation and harvesting of miscanthus in the European Union (EU) and its subsequent processing in a conceptual biorefinery to provide ethanol as the main product.</t>
  </si>
  <si>
    <t>This workbook has been developed in order to fulfill the requirements of Deliverable D8.4 for the SUNLIBB project.</t>
  </si>
  <si>
    <t>PRODUCTION OF ETHANOL</t>
  </si>
  <si>
    <t>Miscanthus Ethanol NREL Biorefinery</t>
  </si>
  <si>
    <t>Notional default value for heat to power ratio of CHP plant of 1:1.</t>
  </si>
  <si>
    <t>Unit Electricity Requirement for Biomass Milling</t>
  </si>
  <si>
    <t>Default value for unit electricity requirement of biomass milling of 7.9 kWh/t as received biomass (Ref. 76; Page 56, Figure 15).</t>
  </si>
  <si>
    <t>Losses in Biomass Milling</t>
  </si>
  <si>
    <t>Default value of 0% losses during biomass milling.</t>
  </si>
  <si>
    <t>Unit Heat Requirement for Biomass Processing</t>
  </si>
  <si>
    <t>Default value for unit steam requirement for biomass pre-treatment of 55.2 kg/odt milled biomass for NREL process (Ref. 76; Page 73, Figure 18).</t>
  </si>
  <si>
    <t>Unit Electricity Requirement for Biomass Processing</t>
  </si>
  <si>
    <t>Default value for unit electricity requirement for biomass pre-treatment, enzyme production and enzymatic hydrolysis of 68.9 + 63.9 +26.3 = 159.1 kWh/odt milled biomass for NREL process (Ref. 76; Page 56, Figure 15) .</t>
  </si>
  <si>
    <t>Losses in Biomass Processing</t>
  </si>
  <si>
    <t>Default value assumes no losses during biomass pre-treatment and enzymatic hydrolysis.</t>
  </si>
  <si>
    <t>Unit Sulphuric Acid (93%) Requirement for Biomass Processing</t>
  </si>
  <si>
    <t>kg/odt cmf</t>
  </si>
  <si>
    <t>process_H2SO4</t>
  </si>
  <si>
    <t>Unit Caustic Soda Requirement for Biomass Processing</t>
  </si>
  <si>
    <t>process_NaOH</t>
  </si>
  <si>
    <t>Unit Water Requirement for Biomass Processing</t>
  </si>
  <si>
    <t>process_H2O</t>
  </si>
  <si>
    <t>Unit Ammonia Requirement for Biomass Processing</t>
  </si>
  <si>
    <t>process_NH3</t>
  </si>
  <si>
    <t>Unit Corn Steep Liqour Requirement for Biomass Processing</t>
  </si>
  <si>
    <t>process_CSL</t>
  </si>
  <si>
    <t>Unit Diammonium Phosphate Requirement for Biomass Processing</t>
  </si>
  <si>
    <t>process_DIAPHOS</t>
  </si>
  <si>
    <t>Unit Sorbitol Requirement for Biomass Processing</t>
  </si>
  <si>
    <t>process_SORBITOL</t>
  </si>
  <si>
    <t>Unit Glucose Requirement for Biomass Processing</t>
  </si>
  <si>
    <t>process_GLUCOSE</t>
  </si>
  <si>
    <t>Unit Hot Nutrient Requirement for Biomass Processing</t>
  </si>
  <si>
    <t>process_NUTRIENT</t>
  </si>
  <si>
    <t>Unit Sulphur Dioxide Requirement for Biomass Processing</t>
  </si>
  <si>
    <t>process_SO2</t>
  </si>
  <si>
    <t>Default value for unit caustic soda requirement set at 0 kg/odt milled biomass for NREL process.</t>
  </si>
  <si>
    <t>Default value for unit water requirement set at 0 kg/odt milled biomass for NREL process.</t>
  </si>
  <si>
    <t>Default value for unit sulphuric acid (93%) requirement of 23.8 kg/odt milled biomass for NREL process (Ref. 76; Page 63, Table 30).</t>
  </si>
  <si>
    <t>Default value for unit ammonia requirement of 12.6 + 1.4 = 14.0 kg/odt milled biomass for NREL Process (Ref. 76; Page 63, Table 30).</t>
  </si>
  <si>
    <t>Default value for corn steep liquor requirement of 13.9 + 2.0 = 15.9 kg/odt milled biomass for NREL process (Ref. 76; Page 63, Table 30).</t>
  </si>
  <si>
    <t>Default value for diammonium phosphate requirement of 1.7 kg/odt milled biomass for NREL process (Ref. 76; Page 63, Table 30).</t>
  </si>
  <si>
    <t>Default value for sorbitol requirement of 0.5 kg/odt milled biomass for NREL process (Ref. 76; Page 63, Table 30).</t>
  </si>
  <si>
    <t>Default value for glucose requirement of 29.0 kg/odt milled biomass for NREL process (Ref. 76; Page 63, Table 30).</t>
  </si>
  <si>
    <t>Default value for hot nutrient requirement of 0.8 kg/odt milled biomass for NREL process (Ref. 76; Page 63, Table 30).</t>
  </si>
  <si>
    <t>Default value for sulphur dioxide requirement of 0.2 kg/odt milled biomass for NREL process (Ref. 76; Page 63, Table 30).</t>
  </si>
  <si>
    <t>Unit Hexoses Production from Biomass Processing</t>
  </si>
  <si>
    <t>Default value of unit hexoses production of 0.271 odt hx/odt miscanthus based on cellulose (hexoses source) content of 0.382 odt cellulose/odt miscanthus (Ref. 74, Table 1), and a conversion efficiency of 71% derived from unit hexoses production of 0.291 odt hx/odt biomass (Ref. 76; Page 119, Component 303) and a hexoses source content of 0.410 odt hx/odt corn stover, obtained from a breakdown of chemicals from which hexoses can be derived; 37.4% glucan, 2.0% galactan and 1.6% mannan (Ref. 77, Table 1).</t>
  </si>
  <si>
    <t>"Lignocellulosic Biomass to Ethanol Process Design and Economics Utilizing Co-Current Dilute Acid Prehydrolysis and Enzymatic Hydrolysis for Corn Stover" by A. Aden, M. Ruth, K. Ibsen, J. Jechura, K. Neeves, J. Sheehan, and B. Wallace, National Renewable Energy Laboratory, NREL/TP-510-32438, June 2002</t>
  </si>
  <si>
    <t>Hexoses Concentration</t>
  </si>
  <si>
    <t>hexoses_conc</t>
  </si>
  <si>
    <t>Default value for soluble sugar concentration of saccharified slurry of 11.7% (Ref. 76; Page 28).</t>
  </si>
  <si>
    <t>Unit Pentose Production from Biomass Processing</t>
  </si>
  <si>
    <t>No pentose separation with NREL process - pentose removed in waste solids (Ref. 76).</t>
  </si>
  <si>
    <t>Unit Lignin Production from Biomass Processing</t>
  </si>
  <si>
    <t>Default value of unit lignin production of 0.2075 odt lgn/odt miscanthus based on lignin content of 0.250 odt lgn/odt miscanthus (Ref. 74, Table 1) and a conversion efficiency of 83% derived from unit lignin production of 0.150 odt lgn/odt (Ref. 76; Page 119) and a lignin content of 0.180 odt lgn/odt corn stover (Ref. 77; Table 1).</t>
  </si>
  <si>
    <t>Lignin Moisture Content</t>
  </si>
  <si>
    <t>% by weight</t>
  </si>
  <si>
    <t>lignin_mois</t>
  </si>
  <si>
    <t xml:space="preserve">Default value for moisture content of lignin of 87.9% (Ref. 76; Page 125, Component 508). </t>
  </si>
  <si>
    <t>Moisture Content of Waste Solid Solution from Biomass Processing</t>
  </si>
  <si>
    <t xml:space="preserve">Default value for moisture content of waste solids solution of 87.9% (Ref. 76; Page 125, Component 508). </t>
  </si>
  <si>
    <t>Proportion of Waste Solids in Removed Fermentation Broth</t>
  </si>
  <si>
    <t>Moisture Content of Waste Solids in Removed Fermentation Broth</t>
  </si>
  <si>
    <t>Unit Steam Requirement for Ethanol Recovery</t>
  </si>
  <si>
    <t xml:space="preserve">Default value for unit steam requirement for ethanol recovery of 2724 kg steam/t ethanol (Ref. 76; Page 73, Figure 18). </t>
  </si>
  <si>
    <t>Unit Electricity Requirement for Ethanol Recovery</t>
  </si>
  <si>
    <t xml:space="preserve">Default value for unit electricity requirement for ethanol recovery of 93.4 kWh/t ethanol (Ref. 76; Page 56, Figure 15). </t>
  </si>
  <si>
    <t>Losses in Ethanol Recovery</t>
  </si>
  <si>
    <t>Default value for ethanol losses of 0.6% (Ref. 76; Page 73, Figure 18).</t>
  </si>
  <si>
    <t>Unit Electricity Requirement of Biorefinery Utilities</t>
  </si>
  <si>
    <t>util_elec</t>
  </si>
  <si>
    <t xml:space="preserve">Unit Steam Requirement for Pressure Filtration of Lignin and Waste Solids (from biomass processing and fermentation) </t>
  </si>
  <si>
    <t>kg steam/kg water removed</t>
  </si>
  <si>
    <t>Default value for unit steam requirement of pressure filtration of 0 kg steam/kg water removed (Ref. 76).</t>
  </si>
  <si>
    <t>Unit Electricity Requirement for Pressure Filtration of Lignin and Waste Solids (from biomass processing and fermentation)</t>
  </si>
  <si>
    <t>kWh/kg water removed</t>
  </si>
  <si>
    <t>Default value for unit electricity requirement of pressure filtration of 0.00351 kWh/kg water removed (Ref. 76; Page 125).</t>
  </si>
  <si>
    <t>Moisture Content of Filtered Waste Solids</t>
  </si>
  <si>
    <t xml:space="preserve">Default value for moisture content for filtered waste solids of 55.6% (Ref. 76; Page 131, Component 612). </t>
  </si>
  <si>
    <t>Unit Production of Stillage</t>
  </si>
  <si>
    <t>t st/t et</t>
  </si>
  <si>
    <t>Default value for unit stillage production of 18.9 t/t ethanol (Ref. 76; Page 126, Component 602).</t>
  </si>
  <si>
    <t>COD of Stillage</t>
  </si>
  <si>
    <t>Total Solids Content of Stillage</t>
  </si>
  <si>
    <r>
      <t>mg O</t>
    </r>
    <r>
      <rPr>
        <vertAlign val="subscript"/>
        <sz val="10"/>
        <rFont val="Trebuchet MS"/>
        <family val="2"/>
      </rPr>
      <t>2</t>
    </r>
    <r>
      <rPr>
        <sz val="10"/>
        <rFont val="Trebuchet MS"/>
        <family val="2"/>
      </rPr>
      <t>/l st</t>
    </r>
  </si>
  <si>
    <t>mg/l st</t>
  </si>
  <si>
    <t>kWh/t st</t>
  </si>
  <si>
    <t xml:space="preserve">Default value for unit electricity requirement for waste water treatment of 17.9 kWh/t stillage (Ref. 76; Page 56, Figure 15). </t>
  </si>
  <si>
    <t>Unit Caustic Soda Requirement for Waste Water Treatment</t>
  </si>
  <si>
    <t>kg/t st</t>
  </si>
  <si>
    <t>wwt_NaOH</t>
  </si>
  <si>
    <t>Default value for unit caustic soda requirement of waste water treatment of 5.10 kg/t stillage (Ref. 76; Page 63, Table 30).</t>
  </si>
  <si>
    <t>Stillage Losses in Waste Water Treatment</t>
  </si>
  <si>
    <t>Unit Biogas Generation by Anaerobic Digestion of Stillage</t>
  </si>
  <si>
    <r>
      <t>m</t>
    </r>
    <r>
      <rPr>
        <vertAlign val="superscript"/>
        <sz val="10"/>
        <rFont val="Trebuchet MS"/>
        <family val="2"/>
      </rPr>
      <t>3</t>
    </r>
    <r>
      <rPr>
        <sz val="10"/>
        <rFont val="Trebuchet MS"/>
        <family val="2"/>
      </rPr>
      <t>/t st</t>
    </r>
  </si>
  <si>
    <t>Default value of stillage losses in waste water treatment of  0%.</t>
  </si>
  <si>
    <t>Default value for unit biogas generation from anaerobic digestion of stillage of 400 m3/t of total solids (Ref. 36).</t>
  </si>
  <si>
    <t xml:space="preserve"> kWh/t ar</t>
  </si>
  <si>
    <t xml:space="preserve"> PRE-TREATMENT, ENZYME PRODUCTION AND ENZYMATIC HYDROLYSIS</t>
  </si>
  <si>
    <t xml:space="preserve">Unit Heat Requirement for Biomass Processing = </t>
  </si>
  <si>
    <t xml:space="preserve">Unit Electricity Requirement for Biomass Processing = </t>
  </si>
  <si>
    <t xml:space="preserve">Losses in Biomass Processing = </t>
  </si>
  <si>
    <t xml:space="preserve">Hexoses Liquor Concentration = </t>
  </si>
  <si>
    <t xml:space="preserve"> t hxl at specified concentration</t>
  </si>
  <si>
    <t xml:space="preserve"> % by weight</t>
  </si>
  <si>
    <t xml:space="preserve"> MJ/t hxl at specified concentration</t>
  </si>
  <si>
    <t xml:space="preserve"> £/t hxl st specified concentration</t>
  </si>
  <si>
    <t xml:space="preserve">Lignin Moisture Content = </t>
  </si>
  <si>
    <t xml:space="preserve"> MJ/t lgn at specified moisture content</t>
  </si>
  <si>
    <t xml:space="preserve"> £/t lgn specified moisture content</t>
  </si>
  <si>
    <t xml:space="preserve">Waste Solids from Biomass Processing = </t>
  </si>
  <si>
    <t xml:space="preserve">Moisture Content of Waste Solids from Biomass Processing = </t>
  </si>
  <si>
    <t xml:space="preserve"> t lgn at specified moisture content</t>
  </si>
  <si>
    <t>ETHANOL RECOVERY</t>
  </si>
  <si>
    <t xml:space="preserve">Unit Heat Requirement for Ethanol Recovery = </t>
  </si>
  <si>
    <t xml:space="preserve">Unit Electricity Requirement for Ethanol Recovery = </t>
  </si>
  <si>
    <t>BIOREFINERY UTILITIES</t>
  </si>
  <si>
    <t xml:space="preserve">Unit Electricity Requirement for Biorefinery Utilities = </t>
  </si>
  <si>
    <t>PRESSURE FILTRATION OF WASTE SOLIDS</t>
  </si>
  <si>
    <t xml:space="preserve">Unit Heat Requirement for Pressure Filtration of Waste Solids = </t>
  </si>
  <si>
    <t xml:space="preserve">Unit Electricity Requirement for Pressure Filtration of Waste Solids = </t>
  </si>
  <si>
    <t xml:space="preserve">Filtered Waste Solids = </t>
  </si>
  <si>
    <t xml:space="preserve">Moisture Content of Filtered Waste Solids = </t>
  </si>
  <si>
    <t xml:space="preserve">Net Calorific Value of Filtered Waste Solids = </t>
  </si>
  <si>
    <t xml:space="preserve">Unit Heat Available in Filtered Waste Solids = </t>
  </si>
  <si>
    <t xml:space="preserve">Stillage Available = </t>
  </si>
  <si>
    <t xml:space="preserve">  t st</t>
  </si>
  <si>
    <t xml:space="preserve">Stillage to Waste Water Treatment = </t>
  </si>
  <si>
    <t xml:space="preserve">COD of Stillage = </t>
  </si>
  <si>
    <t xml:space="preserve">Total Solids Content of Stillage = </t>
  </si>
  <si>
    <t>Losses of Stillage  =</t>
  </si>
  <si>
    <t xml:space="preserve"> t st</t>
  </si>
  <si>
    <t xml:space="preserve"> mg O2/l st</t>
  </si>
  <si>
    <t xml:space="preserve"> mg/l st</t>
  </si>
  <si>
    <t xml:space="preserve">Stillage Available for Anaerobic Digestion = </t>
  </si>
  <si>
    <t>Biomass Milling in Biorefinery</t>
  </si>
  <si>
    <t>Biomass Milling</t>
  </si>
  <si>
    <t>Unit electricity input to biomass milling specified in "Unit Flow Chart" worksheet.</t>
  </si>
  <si>
    <t>Unit Heat Input to Biomass Processing (MJ/t et)</t>
  </si>
  <si>
    <t>Unit Electricity Input to Biomass Processing (kWh/t et)</t>
  </si>
  <si>
    <t>Unit Sulphuric Acid (93%) Input to Biomass Processing (kg/t et)</t>
  </si>
  <si>
    <t>Unit Caustic Soda Input to Biomass Processing (kg/t et)</t>
  </si>
  <si>
    <t>Unit Water Input to Biomass Processing (kg/t et)</t>
  </si>
  <si>
    <t>Unit Ammonia Input to Biomass Processing (kg/t et)</t>
  </si>
  <si>
    <t>Unit Corn Steep Liquor Input to Biomass Processing (kg/t et)</t>
  </si>
  <si>
    <t>Unit Diammonium Phosphate Input to Biomass Processing (kg/t et)</t>
  </si>
  <si>
    <t>Unit Sorbitol Input to Biomass Processing (kg/t et)</t>
  </si>
  <si>
    <t>Unit Glucose Input to Biomass Processing (kg/t et)</t>
  </si>
  <si>
    <t>Unit Hot Nutrient Input to Biomass Processing (kg/t et)</t>
  </si>
  <si>
    <t>Unit Sulphur Dioxide Input to Biomass Processing (kg/t et)</t>
  </si>
  <si>
    <t>Unit heat input to pre-treatment, enzyme production and enzymatic hydrolysis specified in "Unit Flow Chart" worksheet.</t>
  </si>
  <si>
    <t>Unit heat electricity to pre-treatment, enzyme production and enzymatic hydrolysis specified in "Unit Flow Chart" worksheet.</t>
  </si>
  <si>
    <t>Sulphuric Acid (93%) Input</t>
  </si>
  <si>
    <t>Unit sulphuric acid (93%) input to pre-treatment, enzyme production and enzyme hydrolysis specified in "Input" worksheet.</t>
  </si>
  <si>
    <t>Caustic Soda Input</t>
  </si>
  <si>
    <t>Unit caustic soda input to pre-treatment, enzyme production and enzyme hydrolysis specified in "Input" worksheet.</t>
  </si>
  <si>
    <t>Water Input</t>
  </si>
  <si>
    <t>Unit water input to pre-treatment, enzyme production and enzyme hydrolysis specified in "Input" worksheet.</t>
  </si>
  <si>
    <t>Ammonia Input</t>
  </si>
  <si>
    <t>Unit ammonia input to pre-treatment, enzyme production and enzyme hydrolysis specified in "Input" worksheet.</t>
  </si>
  <si>
    <t>Corn Steep Liquor Input</t>
  </si>
  <si>
    <t>Unit corn steep liquor input to pre-treatment, enzyme production and enzyme hydrolysis specified in "Input" worksheet.</t>
  </si>
  <si>
    <t>Diammonium Phosphate Input</t>
  </si>
  <si>
    <t>Unit diammonium phosphate input to pre-treatment, enzyme production and enzyme hydrolysis specified in "Input" worksheet.</t>
  </si>
  <si>
    <t>Sorbitol Input</t>
  </si>
  <si>
    <t>Unit sorbitol input to pre-treatment, enzyme production and enzyme hydrolysis specified in "Input" worksheet.</t>
  </si>
  <si>
    <t>Glucose Input</t>
  </si>
  <si>
    <t>Unit glucose input to pre-treatment, enzyme production and enzyme hydrolysis specified in "Input" worksheet.</t>
  </si>
  <si>
    <t>Hot Nutrient Input</t>
  </si>
  <si>
    <t>Unit hot nutrient input to pre-treatment, enzyme production and enzyme hydrolysis specified in "Input" worksheet.</t>
  </si>
  <si>
    <t>Sulphur Dioxide Input</t>
  </si>
  <si>
    <t>Unit sulphur dioxide input to pre-treatment, enzyme production and enzyme hydrolysis specified in "Input" worksheet.</t>
  </si>
  <si>
    <t>Primary energy multiplier for sulphuric acid (Ref. 13).</t>
  </si>
  <si>
    <t>Primary energy multiplier for caustic soda of 20.0 MJ/kg (Ref. 9).</t>
  </si>
  <si>
    <t>Primary energy multiplier for UK water supply of 3.88 MJ/t (Ref. 2).</t>
  </si>
  <si>
    <t>Primary energy multiplier for ammonia of 31.9 MJ/kg (Ref. 17).</t>
  </si>
  <si>
    <t>Primary energy multiplier for diammonium phosphate, European Union average, 2006, of 12.024 MJ/kg product (Ref. 67).</t>
  </si>
  <si>
    <t>Primary energy multiplier for sulphur dioxide of 5.50 MJ/kg based on sulphur content (Ref. 13).</t>
  </si>
  <si>
    <t>Carbon dioxide emissions factor fpr sulphuric acid (Ref. 13).</t>
  </si>
  <si>
    <t>Carbon dioxide emissions factor for caustic soda of 1.12 kg CO2/kg (Ref. 9).</t>
  </si>
  <si>
    <t xml:space="preserve">Carbon dioxide emissions factor for water based on a primary energy multiplier of 3.88 MJ/t (Ref. 2) and an approximate ratio between the carbon dioxide emissions factor and the primary energy multiplier for the water industry in the UK based on an interpretation of national statistics (Refs. 15 and 20). </t>
  </si>
  <si>
    <t>Carbon dioxide emissions factor for ammonia of 1.44 kg CO2/kg (Ref. 17).</t>
  </si>
  <si>
    <t>Carbon dioxide emissions factor for diammonium phosphate, European Union average, 2006, of 0.66996 kg CO2/kg product (Ref. 67).</t>
  </si>
  <si>
    <t>Carbon dioxide emissions factor for sulphur dioxide 0f 0.445 kg CO2/kg based on sulphur content (Ref. 13).</t>
  </si>
  <si>
    <t>kg CH4/kg</t>
  </si>
  <si>
    <t>Methane emissions factor for sulphuric acid (Ref. 13).</t>
  </si>
  <si>
    <t>Methane emissions factor for caustic soda of 0.00325 kg CH4/kg (Ref. 9).</t>
  </si>
  <si>
    <t xml:space="preserve">Methane emissions factor for water based on a primary energy multiplier of 3.88 MJ/t (Ref. 2) and an approximate ratio between the methane emissions factor and the primary energy multiplier for the water industry in the UK based on an interpretation of national statistics (Refs. 15 and 20). </t>
  </si>
  <si>
    <t>Methane emissions factor for ammonia 0.00311 kg CH4/kg (Ref. 17).</t>
  </si>
  <si>
    <t>Methane emissions factor for diammonium phosphate, European Union average, 2006, of 0.001296 kg CH4/kg product (Ref. 67).</t>
  </si>
  <si>
    <t>Methane emissions factor for corn syrup unknown but included in carbon dioxide emissions factor.</t>
  </si>
  <si>
    <t>Methane emissions factor for hot nutrient unknown but included in carbon dioxide emissions factor.</t>
  </si>
  <si>
    <t>Methane emissions factor for sulphur dioxide of 0.0000125 kg CH4/kg based on sulphur content (Ref. 13).</t>
  </si>
  <si>
    <t>kg N2O/kg</t>
  </si>
  <si>
    <t>Nitrous oxide emissions factor for sulphuric acid (Ref. 13).</t>
  </si>
  <si>
    <t>Nitrous oxide emissions factor for caustic soda of 0 kg N2O/kg (Ref. 9).</t>
  </si>
  <si>
    <t xml:space="preserve">Nitrous oxide emissions factor for water based on a primary energy multiplier of 3.88 MJ/t (Ref. 2) and an approximate ratio between the nitrous oxide emissions factor and the primary energy multiplier for the water industry in the UK based on an interpretation of national statistics (Refs. 15 and 20). </t>
  </si>
  <si>
    <t>Nitrous oxide emissions factor for ammonia 0.00000384 kg N2O/kg (Ref. 17).</t>
  </si>
  <si>
    <t>Nitrous oxide emissions factor for diammonium phosphate, European Union average, 2006, of 0 kg N2O/kg product (Ref. 67).</t>
  </si>
  <si>
    <t>Nitrous oxide emissions factor for corn syrup unknown but included in carbon dioxide emissions factor.</t>
  </si>
  <si>
    <t>Nitrous oxide emissions factor for hot nutrient unknown but included in carbon dioxide emissions factor.</t>
  </si>
  <si>
    <t>Nitrous oxide emissions factor for sulphur dioxide 0f 0.00000330 kg N2O/kg based on sulphur content (Ref. 13).</t>
  </si>
  <si>
    <t>Pre-Treatment, Enzyme Production and Enzymatic Hydrolysis</t>
  </si>
  <si>
    <t>Ethanol Recovery</t>
  </si>
  <si>
    <t>Pressure Filtration of Waste Solids</t>
  </si>
  <si>
    <t>Waste Solids Pressure Filtration</t>
  </si>
  <si>
    <t>BIOMASS MILLING</t>
  </si>
  <si>
    <t>SUB-TOTALS FOR BIOMASS MILLING</t>
  </si>
  <si>
    <t>PRE-TREATMENT, ENZYME PRODUCTION AND ENZYMATIC HYDROLYSIS</t>
  </si>
  <si>
    <t>SUB-TOTALS FOR PRE-TREATMENT, ENZYME PRODUCTION AND ENZYMATIC HYDROLYSIS</t>
  </si>
  <si>
    <t>SUB-TOTALS FOR  PRE-TREATMENT, ENZYME PRODUCTION AND ENZYMATIC HYDROLYSIS</t>
  </si>
  <si>
    <t>Unit Heat Input to Ethanol Recovery (MJ/t et)</t>
  </si>
  <si>
    <t>Unit Electricity Input to Ethanol Recovery (kWh/t et)</t>
  </si>
  <si>
    <t>Unit heat input to ethanol recovery specified in "Unit Flow Chart" worksheet.</t>
  </si>
  <si>
    <t>Unit electricity input to ethanol recovery specified in "Unit Flow Chart" worksheet.</t>
  </si>
  <si>
    <t>Pressure Filtration of Waste Solids in Biorefinery</t>
  </si>
  <si>
    <t>Unit Heat Input to Pressure Filtration of Waste Solids (MJ/t et)</t>
  </si>
  <si>
    <t>Unit Electricity Input to Pressure Filtration of Waste Solids (kWh/t et)</t>
  </si>
  <si>
    <t>Unit heat input to pressure filtration of waste solids specified in "Unit Flow Chart" worksheet.</t>
  </si>
  <si>
    <t>Unit electricity input to pressure filtration of waste solids specified in "Unit Flow Chart" worksheet.</t>
  </si>
  <si>
    <t>Unit Caustic Soda Input to Waste Water Treatment (AD) (kg/t et)</t>
  </si>
  <si>
    <t>Unit caustic soda input to waste water treatment specified in "Input" worksheet.</t>
  </si>
  <si>
    <t>SUB-TOTALS FOR ETHANOL RECOVERY</t>
  </si>
  <si>
    <t>SUB-TOTALS FOR PRESSURE FILTRATION OF WASTE SOLIDS</t>
  </si>
  <si>
    <t>Life Cycle Greenhouse Gas Emissions for Production of Ethanol from Miscanthus: Allocation by Substitution</t>
  </si>
  <si>
    <t>27.08.14</t>
  </si>
  <si>
    <t>Re-naming of SUNLIBB - Miscanthus Biorefinery v07 workbook to indicate production of ethanol using the Organosolv process for pre-treatment of miscanthus feedstock.  Addition of NREL/TP-5100-47764 (Ref. 76) to References worksheet.  Modifications for incorporation of NREL fermentation data; ethanol yield, carbon dioxide yield, no hydrogen yield, no heat requirement and revised electricity requirement.  Changes to entries in Rows 124 to 132, and Rows 164 to 185 in Input worksheet.  Subsequent modifications to Unit Flow Chart, Allocation and Summary Ethanol worksheets.  Summary worksheets for acetone and butanol deleted.   Modifications to biomass milling, pre-treatment, ezyme production, enzymatic hydrolysis and waste water treatment.  Setting pentoses output to zero.  Removal of and hexoses concentration.  Replacement of ultrafiltration, distillation and dehydration with enthanol recovery.  Replacement of waste solids drying with waste solids pressure filtration.  Addition of biorefinery utilities.  Change in CHP heat to power ratio from 5.7:1 to 1:1.  Corrections to totals in Summary worksheets.</t>
  </si>
  <si>
    <t>Biorefinery Utilities</t>
  </si>
  <si>
    <t>Unit Electricity Input to Biorefinery Utilities (kWh/t et)</t>
  </si>
  <si>
    <t>Unit electricity input to biorefinery utilities specified in "Unit Flow Chart" worksheet.</t>
  </si>
  <si>
    <t>Unit Electricity Input to Biomass Milling (kWh/t et)</t>
  </si>
  <si>
    <t>SUB-TOTALS FOR BIOREFINERY UTILITIES</t>
  </si>
  <si>
    <t>Default Value for unit electricity requirement for biorefinery utilities of 150.4 kWh/t et (Ref. 76; Page 56, Figure 15).</t>
  </si>
  <si>
    <t xml:space="preserve"> kg eq. CO2/t lgn at specified moisture content</t>
  </si>
  <si>
    <t xml:space="preserve">Estimated by Anna Evans from data provided in " Energy Efficiency Improvement and Cost Saving Opportunities for the Corn Wet Milling Industry An ENERGY STAR Guide for Energy and Plant Managers" Christina Galitsky, Ernst Worrell and Michael Ruth 2003, ERNEST ORLANDO LAWRENCE BERKELEY NATIONAL LABORATORY </t>
  </si>
  <si>
    <t>"Biorefinery Appendices" http://2011.igem.org, accessed 25 August 2014.</t>
  </si>
  <si>
    <t>"Energy and Greenhouse Gas Assessment of European Glucose Production from Corn - a multiple allocation approach for key ingredients of the bio-based economy" by I. Tsiropoulos, B. Cok and M. K. Patel, Journal of Cleaner Technology, Vol. 43, pp. 182 - 190, March 2013.</t>
  </si>
  <si>
    <t>Primary energy multiplier for corn steep liquor of 18.96 MJ/kg (Ref. 78).</t>
  </si>
  <si>
    <t xml:space="preserve">Approximate primary energy multiplier for sorbitol based on 33.5 MJ/£ from Industry Group 21 for Other Organic Basic Chemicals (Ref. 15) and a 2004 price for sorbitol of £0.32/kg (Ref. 79). </t>
  </si>
  <si>
    <t>Primary energy multiplier for glucose based on average value for corn syrup ranging from 6.8 to 9.3 MJ/kg (Ref. 80).</t>
  </si>
  <si>
    <t>Primary energy multiplier for hot nutrient assumed to be equivalent to corn syprup based on average value for corn syrup ranging from 6.8 to 9.3 MJ/kg (Ref. 80).</t>
  </si>
  <si>
    <t>Carbon dioxide emissions factor for corn steep liquor of 1.01375 kg CO2/kg (Ref. 78).</t>
  </si>
  <si>
    <t xml:space="preserve">Approximate carbon dioxide emissions factor for sorbitol based on 2.25 kg CO2/£ from Industry Group 21 for Other Organic Basic Chemicals (Ref. 15) and a 2004 price for sorbitol of £0.32/kg (Ref. 79). </t>
  </si>
  <si>
    <t>Approximate carbon dioxide emissions factor for glucose based on average total greenhouse gas emissions factor for corn syrup ranging from 0.7 to 1.1 kg eq. CO2/kg (Ref. 80).</t>
  </si>
  <si>
    <t>Approximate carbon dioxide emissions factor for hot nutrien assumed to be equivent to glucose based on average total greenhouse gas emissions factor for corn syrup ranging from 0.7 to 1.1 kg eq. CO2/kg (Ref. 80).</t>
  </si>
  <si>
    <t>Methane emissions factor for corn steep liquor of 0.002523 kg CH4/kg (Ref. 78).</t>
  </si>
  <si>
    <t xml:space="preserve">Approximate methane emissions factor for sorbitol based on 0.00321 kg CO2/£ from Industry Group 21 for Other Organic Basic Chemicals (Ref. 15) and a 2004 price for sorbitol of £0.32/kg (Ref. 79). </t>
  </si>
  <si>
    <t>Nitrous oxide emissions factor for corn steep liquor of 0.000996 kg N2O/kg (Ref. 78).</t>
  </si>
  <si>
    <t xml:space="preserve">Approximate nitrous oxide emissions factor for sorbitol based on 0.00104 kg CO2/£ from Industry Group 21 for Other Organic Basic Chemicals (Ref. 15) and a 2004 price for sorbitol of £0.32/kg (Ref. 79). </t>
  </si>
  <si>
    <t>Pre-treatment, Enzyme Production and Enzymatic Hydrolysis in Biorefinery</t>
  </si>
  <si>
    <t>03.09.14</t>
  </si>
  <si>
    <t>Renewable Energy Directive methodology excludes GHG emissions associated with the manufacture of vehicles, machinery and equipment and the PAS 2050 methodology, effectively, includes GHG emissions associated with the manufacture of vehicles, machinery and equipment.</t>
  </si>
  <si>
    <t>Correction entries in Cells D9 and H10 of Input worksheet.</t>
  </si>
  <si>
    <t>04.09.14</t>
  </si>
  <si>
    <t>Corrections to formulae in linked data Cells B15 to B23 in Pre-Treatment, Hydrolysis and Enzyme Production worksheet.  Removal of superfluous Road Transport Distribution worksheets for acetone and butanol.</t>
  </si>
  <si>
    <t>Miscanthus Ethanol Pilot Study Refinery</t>
  </si>
  <si>
    <t>Supercritical Carbon Dioxide Extraction</t>
  </si>
  <si>
    <t>sce_option</t>
  </si>
  <si>
    <t>Default setting with no supercrtical carbon dioxide extraction.</t>
  </si>
  <si>
    <t>Default setting with no fermentation gases recovered.</t>
  </si>
  <si>
    <t>Unit Electricity Requirement for Supercritical Carbon Dioxide Extraction</t>
  </si>
  <si>
    <t>sce_elect</t>
  </si>
  <si>
    <t>sce_wax</t>
  </si>
  <si>
    <t>% odt misc</t>
  </si>
  <si>
    <r>
      <t>"Economic Evaluatuon of C</t>
    </r>
    <r>
      <rPr>
        <vertAlign val="subscript"/>
        <sz val="10"/>
        <rFont val="Arial"/>
        <family val="2"/>
      </rPr>
      <t>4</t>
    </r>
    <r>
      <rPr>
        <sz val="10"/>
        <rFont val="Arial"/>
        <family val="2"/>
      </rPr>
      <t xml:space="preserve"> Plants: Miscanthus Wax Production" by T. Attard, Green Chemistry Centre, University of York, York, United Kingdom, 11 September 2004.</t>
    </r>
  </si>
  <si>
    <r>
      <t>"C</t>
    </r>
    <r>
      <rPr>
        <vertAlign val="subscript"/>
        <sz val="10"/>
        <rFont val="Arial"/>
        <family val="2"/>
      </rPr>
      <t>4</t>
    </r>
    <r>
      <rPr>
        <sz val="10"/>
        <rFont val="Arial"/>
        <family val="2"/>
      </rPr>
      <t xml:space="preserve"> Biomass as Renewable Feedstock for an Integrated Biorefinery" draft paper from T. Attard, Green Chemistry Centre, University of York, York, United Kingdom, 11 September 2014.</t>
    </r>
  </si>
  <si>
    <t>Default value of 0.7% wax extraction from miscanthus, assumed to be oven dry (Ref. 82).</t>
  </si>
  <si>
    <t>Wax Extraction</t>
  </si>
  <si>
    <t>hexoses_sce</t>
  </si>
  <si>
    <t>"Pre-treatment of Maize and Miscanthus in a Fibre Expansion Vessel" by A. Casas and P. Hurst, Biorenewables Development Centre, University of York, York, United Kingdom, 10 March 2014.</t>
  </si>
  <si>
    <t>"Maize and Miscanthus PT Liquor Monosaccharide Content Calculation" by R. C. Simister, University of York, extended by N.D. Mortimer, North Energy Associates Ltd., Sheffield, United Kingdom, 19 September 2014.</t>
  </si>
  <si>
    <t>Improvement in Hexoses Production with Supercritical Carbon Dioxide Extraction</t>
  </si>
  <si>
    <t>hexoses_miscld</t>
  </si>
  <si>
    <t>hexoses_mischd</t>
  </si>
  <si>
    <t>Type of Miscanthus</t>
  </si>
  <si>
    <t>Planting Density</t>
  </si>
  <si>
    <t>Average Annual Yield</t>
  </si>
  <si>
    <t>Moisture Content of Feedstock at Harvest</t>
  </si>
  <si>
    <t>Moisture Content of Fuel at Harvest</t>
  </si>
  <si>
    <t>Nitrogen Fertiliser Applied When Establishing Miscanthus</t>
  </si>
  <si>
    <t>misc_type</t>
  </si>
  <si>
    <t>Options for Miscanthus Type</t>
  </si>
  <si>
    <t>Default setting of generic miscanthus.</t>
  </si>
  <si>
    <t>Change in Lignin Production with Supercritical Carbon Dioxide Extraction</t>
  </si>
  <si>
    <t>lignin_sce</t>
  </si>
  <si>
    <t>Default value for change in lignin production from supercritical carbon dioxide extraction of -20.6% based on 0.185 t lignin/odt initial biomass and 0.233 t lignin/odt initial biomass with and without supercritical carbon dioxide extraction, respectively, derived from SUNLIBB Project WP7 pre-treatment experiments (Refs. 83 and 84).</t>
  </si>
  <si>
    <t>Change in Lignin Production with Low Digestibility Miscanthus Genotype</t>
  </si>
  <si>
    <t>Improvement in Hexoses Production with Low Digestibility Genotype Miscanthus</t>
  </si>
  <si>
    <t>Improvement in Hexoses Production with High Digestibility Genotype Miscanthus</t>
  </si>
  <si>
    <t>Default value for improvement in fermentable sugar production from supercritical carbon dioxide extraction of +26.4% based on 0.110 t sugar/odt initial biomass and 0.087 t sugar/odt initial biomass with and without supercritical carbon dioxide extraction, respectively, derived from SUNLIBB Project WP7 pre-treatment experiments (Refs. 83 and 84).</t>
  </si>
  <si>
    <t>Default value for improvement in fermentable sugar production from use of high digestibility miscanthus genotype of +34.5% based on 0.117 t sugar/odt initial biomass and 0.087 t sugar/odt initial biomass with high digestibility genotype and generic miscanthus, respectively, derived from SUNLIBB Project WP7 pre-treatment experiments (Refs. 83 and 84).</t>
  </si>
  <si>
    <t>Default value for improvement in fermentable sugar production from use of low digestibility miscanthus genotype of +28.7% based on 0.112 t sugar/odt initial biomass and 0.087 t sugar/odt initial biomass with low digestibility genotype and generic miscanthus, respectively, derived from SUNLIBB Project WP7 pre-treatment experiments (Refs. 83 and 84).</t>
  </si>
  <si>
    <t>Default value for change in lignin production from use of low digestibility genotype miscanthus of +10.7% based on 0.258 t lignin/odt initial biomass and 0.233 t lignin/odt initial biomass with low digestibility genotype and generic miscanthus, respectively, derived from SUNLIBB Project WP7 pre-treatment experiments (Refs. 83 and 84).</t>
  </si>
  <si>
    <t>lignin_miscld</t>
  </si>
  <si>
    <t>Change in Lignin Production with High Digestibility Miscanthus Genotype</t>
  </si>
  <si>
    <t>lignin_mischd</t>
  </si>
  <si>
    <t>Default value for change in lignin production from use of high digestibility genotype miscanthus of +9.9% based on 0.256 t lignin/odt initial biomass and 0.233 t lignin/odt initial biomass with high digestibility genotype and generic miscanthus, respectively, derived from SUNLIBB Project WP7 pre-treatment experiments (Refs. 83 and 84).</t>
  </si>
  <si>
    <t xml:space="preserve">Wax = </t>
  </si>
  <si>
    <t xml:space="preserve"> t wax</t>
  </si>
  <si>
    <t xml:space="preserve">Net Calorific Value of Wax = </t>
  </si>
  <si>
    <t xml:space="preserve"> MJ/t wax</t>
  </si>
  <si>
    <t xml:space="preserve">Price of Wax = </t>
  </si>
  <si>
    <t xml:space="preserve"> £/t wax</t>
  </si>
  <si>
    <t xml:space="preserve">Substitution Credit for Wax = </t>
  </si>
  <si>
    <r>
      <t xml:space="preserve"> kg eq. CO</t>
    </r>
    <r>
      <rPr>
        <vertAlign val="subscript"/>
        <sz val="10"/>
        <rFont val="Arial"/>
        <family val="2"/>
      </rPr>
      <t>2</t>
    </r>
    <r>
      <rPr>
        <sz val="10"/>
        <rFont val="Arial"/>
        <family val="2"/>
      </rPr>
      <t>/t wax</t>
    </r>
  </si>
  <si>
    <t xml:space="preserve">Type of Miscanthus = </t>
  </si>
  <si>
    <t>Generic, low digestibility genotype or high digestibility genotype</t>
  </si>
  <si>
    <t>Generic</t>
  </si>
  <si>
    <t>Low Digestibility Genotype</t>
  </si>
  <si>
    <t>High Digestibility Genotype</t>
  </si>
  <si>
    <t xml:space="preserve">Supercritical Carbon Dioxide Extraction = </t>
  </si>
  <si>
    <t>Price of Wax</t>
  </si>
  <si>
    <t>price_wax</t>
  </si>
  <si>
    <r>
      <t xml:space="preserve">Default value assumed to be £8,000/t based on a range between </t>
    </r>
    <r>
      <rPr>
        <sz val="10"/>
        <rFont val="Calibri"/>
        <family val="2"/>
      </rPr>
      <t>€</t>
    </r>
    <r>
      <rPr>
        <sz val="10"/>
        <rFont val="Trebuchet MS"/>
        <family val="2"/>
      </rPr>
      <t xml:space="preserve">8/kg and </t>
    </r>
    <r>
      <rPr>
        <sz val="10"/>
        <rFont val="Calibri"/>
        <family val="2"/>
      </rPr>
      <t>€</t>
    </r>
    <r>
      <rPr>
        <sz val="10"/>
        <rFont val="Trebuchet MS"/>
        <family val="2"/>
      </rPr>
      <t xml:space="preserve">12/kg (Ref. 85). </t>
    </r>
  </si>
  <si>
    <t>Private communication, T. Attard, Green Chemistry Centre, University of York, York, United Kingdom, 16 September 2014.</t>
  </si>
  <si>
    <t>Net Calorific Value of Wax</t>
  </si>
  <si>
    <t>CV_wax</t>
  </si>
  <si>
    <t xml:space="preserve">Default value for net calorific value of approximately 40,000 MJ/t based on range of gross calorific value for miscanthus wax of between 39.9968 and 40.3537 MJ/t (Ref. 86) adjusted for assumed water released during combustion. </t>
  </si>
  <si>
    <t>Private communication, T. Attard, Green Chemistry Centre, University of York, York, United Kingdom, 12 September 2014.</t>
  </si>
  <si>
    <t>Substitution Credit for Wax</t>
  </si>
  <si>
    <t>sub_cred_wax</t>
  </si>
  <si>
    <r>
      <t>Default value of wax of 4,780 kg eq. CO</t>
    </r>
    <r>
      <rPr>
        <vertAlign val="subscript"/>
        <sz val="10"/>
        <rFont val="Trebuchet MS"/>
        <family val="2"/>
      </rPr>
      <t>2</t>
    </r>
    <r>
      <rPr>
        <sz val="10"/>
        <rFont val="Trebuchet MS"/>
        <family val="2"/>
      </rPr>
      <t xml:space="preserve">/t based on a price ranging between </t>
    </r>
    <r>
      <rPr>
        <sz val="10"/>
        <rFont val="Calibri"/>
        <family val="2"/>
      </rPr>
      <t>€</t>
    </r>
    <r>
      <rPr>
        <sz val="10"/>
        <rFont val="Trebuchet MS"/>
        <family val="2"/>
      </rPr>
      <t xml:space="preserve">8/kg and </t>
    </r>
    <r>
      <rPr>
        <sz val="10"/>
        <rFont val="Calibri"/>
        <family val="2"/>
      </rPr>
      <t>€</t>
    </r>
    <r>
      <rPr>
        <sz val="10"/>
        <rFont val="Trebuchet MS"/>
        <family val="2"/>
      </rPr>
      <t>12/kg in 2014 (Ref. 85) deflated and converted to £ 2004, and combined with a GHG emissions factor of 1.00 kg eq. CO</t>
    </r>
    <r>
      <rPr>
        <vertAlign val="subscript"/>
        <sz val="10"/>
        <rFont val="Trebuchet MS"/>
        <family val="2"/>
      </rPr>
      <t>2</t>
    </r>
    <r>
      <rPr>
        <sz val="10"/>
        <rFont val="Trebuchet MS"/>
        <family val="2"/>
      </rPr>
      <t xml:space="preserve">/£ for Industry Group 27 "Soaps and Detergents" (Ref. 15). </t>
    </r>
  </si>
  <si>
    <t>Lignin (50% moisture content) yield (not used as fuel)</t>
  </si>
  <si>
    <t>Lignin (50% moisture content) net calorific value</t>
  </si>
  <si>
    <t>Pentose liquor (91% moisture content) yield</t>
  </si>
  <si>
    <t>Pentose liquor (91% moisture content) net calorific value</t>
  </si>
  <si>
    <t>Ethanol (in fermentation broth) yield</t>
  </si>
  <si>
    <t>Ethanol (in fermentation broth) net calorific value</t>
  </si>
  <si>
    <t>Ethanol yield</t>
  </si>
  <si>
    <t>Ethanol net calorific value</t>
  </si>
  <si>
    <t>Hexoses liquor net calorific value</t>
  </si>
  <si>
    <t>Wax yield</t>
  </si>
  <si>
    <t>Wax net calorific value</t>
  </si>
  <si>
    <t>Wax</t>
  </si>
  <si>
    <t>Hexose Liquor (91% moisture content) average price</t>
  </si>
  <si>
    <t>Lignin (50% moisture content) average price</t>
  </si>
  <si>
    <t>Pentose Liquor (91% moisture content) yield</t>
  </si>
  <si>
    <t>Pentose Liquor (91% moisture content) average price</t>
  </si>
  <si>
    <t>Ethanol (in fermentation broth) average price</t>
  </si>
  <si>
    <t>Carbon dioxide yield</t>
  </si>
  <si>
    <t>Carbon dioxide average price</t>
  </si>
  <si>
    <t>Ethanol average price</t>
  </si>
  <si>
    <t>Wax average price</t>
  </si>
  <si>
    <t>Hexose Liquor (91% moisture content) yield</t>
  </si>
  <si>
    <t>Lignin (50% moisture content) substitution credit</t>
  </si>
  <si>
    <t>Carbon dioxide substitution credit</t>
  </si>
  <si>
    <t>Wax substitution credit</t>
  </si>
  <si>
    <t>Pentose liquor (91% moisture content) substitution credit</t>
  </si>
  <si>
    <t>Supercritical Carbon Dioxide Extraction?</t>
  </si>
  <si>
    <t>t (dry)/a</t>
  </si>
  <si>
    <t>Annual Miscanthus Feed Capacity</t>
  </si>
  <si>
    <t>£(2004)/t et</t>
  </si>
  <si>
    <t>MJ/£(2004)</t>
  </si>
  <si>
    <t xml:space="preserve">Primary energy multiplier of 16.5 MJ/£(2004) for Industry Group 42 "Machinery and Equipment" (Ref. 15). </t>
  </si>
  <si>
    <t>Based on an average capital cost of £0.605m (2004) for a supercritical carbon dioxide extraction plant with a capacity of 355 t/a of dry miscanthus (Ref. 81), and an average capital cost of £101m (2004) for a miscanthus bioethanol plant with a capacity of 182,00 t/a, assuming same as a corn stover bioethanol plant (Ref. 76), and a 2/3 power law.</t>
  </si>
  <si>
    <t>kg CO2/£(2004)</t>
  </si>
  <si>
    <r>
      <t>Carbon dioxide emissions factor of 1.092 kg CO</t>
    </r>
    <r>
      <rPr>
        <vertAlign val="subscript"/>
        <sz val="10"/>
        <rFont val="Arial"/>
        <family val="2"/>
      </rPr>
      <t>2</t>
    </r>
    <r>
      <rPr>
        <sz val="10"/>
        <rFont val="Arial"/>
        <family val="2"/>
      </rPr>
      <t xml:space="preserve">/£(2004) for Industry Group 42 "Machinery and Equipment" (Ref. 15). </t>
    </r>
  </si>
  <si>
    <r>
      <t>Methane emissions factor of 0.001603 kg CH</t>
    </r>
    <r>
      <rPr>
        <vertAlign val="subscript"/>
        <sz val="10"/>
        <rFont val="Arial"/>
        <family val="2"/>
      </rPr>
      <t>4</t>
    </r>
    <r>
      <rPr>
        <sz val="10"/>
        <rFont val="Arial"/>
        <family val="2"/>
      </rPr>
      <t xml:space="preserve">/£(2004) for Industry Group 42 "Machinery and Equipment" (Ref. 15). </t>
    </r>
  </si>
  <si>
    <t>kg N2O/£(2004)</t>
  </si>
  <si>
    <r>
      <t>Nitrous oxide emissions factor of 0.00006409 kg N</t>
    </r>
    <r>
      <rPr>
        <vertAlign val="subscript"/>
        <sz val="10"/>
        <rFont val="Arial"/>
        <family val="2"/>
      </rPr>
      <t>2</t>
    </r>
    <r>
      <rPr>
        <sz val="10"/>
        <rFont val="Arial"/>
        <family val="2"/>
      </rPr>
      <t xml:space="preserve">O/£(2004) for Industry Group 42 "Machinery and Equipment" (Ref. 15). </t>
    </r>
  </si>
  <si>
    <t>Unit Heat Requirement for Supercritical Carbon Dioxide Extraction</t>
  </si>
  <si>
    <t>MJ/odt misc</t>
  </si>
  <si>
    <t>sce_heat</t>
  </si>
  <si>
    <t>Default value for unit electricity requirement of supercritical carbon dioxide extraction of 1,947 kWh/odt miscanthus based on electricity consumption for refrigeration (20.27 kWh) and carbon dioxide pumping (229.768 kWh) for treating 0.1284 tonnes of miscanthus, assumed to be oven dry (Ref. 81).</t>
  </si>
  <si>
    <t>Default value for unit heat requirement of supercritical carbon dioxide extraction of 1,819 MJ/odt miscanthus based on heating (64.88 kWh) for treating 0.1284 tonnes of miscanthus, assumed to be oven dry (Ref. 81).</t>
  </si>
  <si>
    <t>Re-naming of workbook to reflect final data available from SUNLIBB Project WP7.  Modifications to Input, Unit Flow Chart, Allocation and Summary worksheets for addition of supercritcal carbon dioxide extraction and effects of using high and low digestibility genotypes relative to generic miscanthus.  Modifications to Biorefinery worksheet for capital cost of biorefinery plants without and with supercritical carbon dioxide extraction.  Corrections to formulae for hexoses and waste solids in Cells J199 and S199, respectively, in Unit Flow Chart worksheet.</t>
  </si>
  <si>
    <t>Assuming annual plant maintenance as a percentage of the primary energy inputs and GHG emissions of plant construction (Ref. 2).</t>
  </si>
  <si>
    <t>Assuming plant decommissioning as a percentage of the primary energy inputs and GHG emissions of plant construction (Ref. 2).</t>
  </si>
  <si>
    <t>kg CH4/£(2004)</t>
  </si>
  <si>
    <t>03.11.14</t>
  </si>
  <si>
    <t>Corrections to formulae for harvesting and baling in Summary Substitution Credit worksheet.</t>
  </si>
  <si>
    <t>09.11.14</t>
  </si>
  <si>
    <t>Produced by Onesmus Mwabonje, Charlotte Hatto and Nigel Mortimer, North Energy Associates Ltd., on 9 November 2014 for the SUNLIBB Project</t>
  </si>
  <si>
    <r>
      <t xml:space="preserve">Work Package Leader: </t>
    </r>
    <r>
      <rPr>
        <sz val="10"/>
        <rFont val="Arial"/>
        <family val="2"/>
      </rPr>
      <t>N.D Mortimer</t>
    </r>
  </si>
  <si>
    <t xml:space="preserve">This project has received funding from the European Union’s Seventh Programme for research, technological development </t>
  </si>
  <si>
    <t>and demonstration under grant agreement number 251132</t>
  </si>
  <si>
    <r>
      <rPr>
        <b/>
        <sz val="10"/>
        <rFont val="Arial"/>
        <family val="2"/>
      </rPr>
      <t>Due date:</t>
    </r>
    <r>
      <rPr>
        <sz val="10"/>
        <rFont val="Arial"/>
        <family val="2"/>
      </rPr>
      <t xml:space="preserve"> July 2013</t>
    </r>
  </si>
  <si>
    <t>Revised version submitted: 19th November 2014</t>
  </si>
  <si>
    <r>
      <t>Submission date:</t>
    </r>
    <r>
      <rPr>
        <sz val="10"/>
        <rFont val="Arial"/>
        <family val="2"/>
      </rPr>
      <t xml:space="preserve">  May 2013</t>
    </r>
  </si>
  <si>
    <r>
      <t xml:space="preserve">Dissemination level: </t>
    </r>
    <r>
      <rPr>
        <sz val="10"/>
        <rFont val="Arial"/>
        <family val="2"/>
      </rPr>
      <t>PU</t>
    </r>
  </si>
</sst>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0.00000000"/>
    <numFmt numFmtId="165" formatCode="0.0000000"/>
    <numFmt numFmtId="166" formatCode="0.000000"/>
    <numFmt numFmtId="167" formatCode="0.00000"/>
    <numFmt numFmtId="168" formatCode="0.0000"/>
    <numFmt numFmtId="169" formatCode="0.000"/>
    <numFmt numFmtId="170" formatCode="0.0"/>
    <numFmt numFmtId="171" formatCode="0.0000000000"/>
    <numFmt numFmtId="172" formatCode="_-* #,##0_-;\-* #,##0_-;_-* &quot;-&quot;??_-;_-@_-"/>
    <numFmt numFmtId="173" formatCode="0.000000000"/>
    <numFmt numFmtId="174" formatCode="0.00000000000"/>
    <numFmt numFmtId="175" formatCode="_-* #,##0.0_-;\-* #,##0.0_-;_-* &quot;-&quot;??_-;_-@_-"/>
  </numFmts>
  <fonts count="35" x14ac:knownFonts="1">
    <font>
      <sz val="10"/>
      <name val="Arial"/>
    </font>
    <font>
      <sz val="10"/>
      <color theme="1"/>
      <name val="Trebuchet MS"/>
      <family val="2"/>
    </font>
    <font>
      <sz val="10"/>
      <name val="Arial"/>
      <family val="2"/>
    </font>
    <font>
      <b/>
      <sz val="10"/>
      <name val="Arial"/>
      <family val="2"/>
    </font>
    <font>
      <sz val="10"/>
      <name val="Arial"/>
      <family val="2"/>
    </font>
    <font>
      <i/>
      <sz val="10"/>
      <name val="Arial"/>
      <family val="2"/>
    </font>
    <font>
      <b/>
      <i/>
      <sz val="10"/>
      <name val="Arial"/>
      <family val="2"/>
    </font>
    <font>
      <u/>
      <sz val="10"/>
      <color indexed="12"/>
      <name val="Arial"/>
      <family val="2"/>
    </font>
    <font>
      <vertAlign val="subscript"/>
      <sz val="10"/>
      <name val="Arial"/>
      <family val="2"/>
    </font>
    <font>
      <sz val="10"/>
      <color indexed="10"/>
      <name val="Arial"/>
      <family val="2"/>
    </font>
    <font>
      <sz val="10"/>
      <name val="Arial"/>
      <family val="2"/>
    </font>
    <font>
      <u/>
      <sz val="10"/>
      <color indexed="12"/>
      <name val="Arial"/>
      <family val="2"/>
    </font>
    <font>
      <vertAlign val="superscript"/>
      <sz val="10"/>
      <name val="Arial"/>
      <family val="2"/>
    </font>
    <font>
      <sz val="10"/>
      <color indexed="8"/>
      <name val="Arial"/>
      <family val="2"/>
    </font>
    <font>
      <sz val="10"/>
      <color indexed="8"/>
      <name val="Arial"/>
      <family val="2"/>
    </font>
    <font>
      <vertAlign val="subscript"/>
      <sz val="10"/>
      <color indexed="8"/>
      <name val="Arial"/>
      <family val="2"/>
    </font>
    <font>
      <sz val="10"/>
      <name val="Arial"/>
      <family val="2"/>
    </font>
    <font>
      <b/>
      <sz val="11"/>
      <name val="Arial"/>
      <family val="2"/>
    </font>
    <font>
      <i/>
      <vertAlign val="subscript"/>
      <sz val="10"/>
      <name val="Arial"/>
      <family val="2"/>
    </font>
    <font>
      <b/>
      <sz val="10"/>
      <color rgb="FFFF7C80"/>
      <name val="Arial"/>
      <family val="2"/>
    </font>
    <font>
      <sz val="10"/>
      <color theme="1"/>
      <name val="Arial"/>
      <family val="2"/>
    </font>
    <font>
      <b/>
      <i/>
      <vertAlign val="subscript"/>
      <sz val="10"/>
      <name val="Arial"/>
      <family val="2"/>
    </font>
    <font>
      <b/>
      <vertAlign val="subscript"/>
      <sz val="10"/>
      <name val="Arial"/>
      <family val="2"/>
    </font>
    <font>
      <sz val="10"/>
      <color rgb="FFFF0000"/>
      <name val="Arial"/>
      <family val="2"/>
    </font>
    <font>
      <sz val="10"/>
      <name val="Trebuchet MS"/>
      <family val="2"/>
    </font>
    <font>
      <b/>
      <sz val="10"/>
      <name val="Trebuchet MS"/>
      <family val="2"/>
    </font>
    <font>
      <b/>
      <i/>
      <sz val="10"/>
      <name val="Trebuchet MS"/>
      <family val="2"/>
    </font>
    <font>
      <sz val="10"/>
      <color indexed="10"/>
      <name val="Trebuchet MS"/>
      <family val="2"/>
    </font>
    <font>
      <vertAlign val="superscript"/>
      <sz val="10"/>
      <name val="Trebuchet MS"/>
      <family val="2"/>
    </font>
    <font>
      <vertAlign val="subscript"/>
      <sz val="10"/>
      <name val="Trebuchet MS"/>
      <family val="2"/>
    </font>
    <font>
      <sz val="10"/>
      <color rgb="FFFF0000"/>
      <name val="Trebuchet MS"/>
      <family val="2"/>
    </font>
    <font>
      <u/>
      <sz val="10"/>
      <name val="Arial"/>
      <family val="2"/>
    </font>
    <font>
      <sz val="10"/>
      <color rgb="FFFF7C80"/>
      <name val="Trebuchet MS"/>
      <family val="2"/>
    </font>
    <font>
      <sz val="10"/>
      <name val="Calibri"/>
      <family val="2"/>
    </font>
    <font>
      <i/>
      <sz val="9"/>
      <color rgb="FF000000"/>
      <name val="Calibri"/>
      <family val="2"/>
    </font>
  </fonts>
  <fills count="31">
    <fill>
      <patternFill patternType="none"/>
    </fill>
    <fill>
      <patternFill patternType="gray125"/>
    </fill>
    <fill>
      <patternFill patternType="solid">
        <fgColor indexed="10"/>
        <bgColor indexed="64"/>
      </patternFill>
    </fill>
    <fill>
      <patternFill patternType="solid">
        <fgColor indexed="11"/>
        <bgColor indexed="64"/>
      </patternFill>
    </fill>
    <fill>
      <patternFill patternType="solid">
        <fgColor indexed="9"/>
        <bgColor indexed="64"/>
      </patternFill>
    </fill>
    <fill>
      <patternFill patternType="solid">
        <fgColor indexed="44"/>
        <bgColor indexed="64"/>
      </patternFill>
    </fill>
    <fill>
      <patternFill patternType="solid">
        <fgColor indexed="43"/>
        <bgColor indexed="64"/>
      </patternFill>
    </fill>
    <fill>
      <patternFill patternType="solid">
        <fgColor indexed="43"/>
        <bgColor indexed="51"/>
      </patternFill>
    </fill>
    <fill>
      <patternFill patternType="solid">
        <fgColor indexed="51"/>
        <bgColor indexed="64"/>
      </patternFill>
    </fill>
    <fill>
      <patternFill patternType="solid">
        <fgColor indexed="47"/>
        <bgColor indexed="64"/>
      </patternFill>
    </fill>
    <fill>
      <patternFill patternType="solid">
        <fgColor indexed="57"/>
        <bgColor indexed="64"/>
      </patternFill>
    </fill>
    <fill>
      <patternFill patternType="solid">
        <fgColor indexed="42"/>
        <bgColor indexed="64"/>
      </patternFill>
    </fill>
    <fill>
      <patternFill patternType="solid">
        <fgColor theme="0"/>
        <bgColor indexed="64"/>
      </patternFill>
    </fill>
    <fill>
      <patternFill patternType="solid">
        <fgColor theme="3" tint="0.59999389629810485"/>
        <bgColor indexed="64"/>
      </patternFill>
    </fill>
    <fill>
      <patternFill patternType="solid">
        <fgColor rgb="FFFFCC66"/>
        <bgColor indexed="64"/>
      </patternFill>
    </fill>
    <fill>
      <patternFill patternType="solid">
        <fgColor theme="6" tint="0.39997558519241921"/>
        <bgColor indexed="64"/>
      </patternFill>
    </fill>
    <fill>
      <patternFill patternType="solid">
        <fgColor rgb="FF99FF99"/>
        <bgColor indexed="64"/>
      </patternFill>
    </fill>
    <fill>
      <patternFill patternType="solid">
        <fgColor rgb="FFFFFF99"/>
        <bgColor indexed="64"/>
      </patternFill>
    </fill>
    <fill>
      <patternFill patternType="solid">
        <fgColor rgb="FFFF5050"/>
        <bgColor indexed="64"/>
      </patternFill>
    </fill>
    <fill>
      <patternFill patternType="solid">
        <fgColor rgb="FF99CCFF"/>
        <bgColor indexed="64"/>
      </patternFill>
    </fill>
    <fill>
      <patternFill patternType="solid">
        <fgColor rgb="FFCCFFCC"/>
        <bgColor indexed="64"/>
      </patternFill>
    </fill>
    <fill>
      <patternFill patternType="solid">
        <fgColor rgb="FF339966"/>
        <bgColor indexed="64"/>
      </patternFill>
    </fill>
    <fill>
      <patternFill patternType="solid">
        <fgColor rgb="FFFF6666"/>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FFFF99"/>
        <bgColor theme="0"/>
      </patternFill>
    </fill>
    <fill>
      <patternFill patternType="solid">
        <fgColor rgb="FFB3BCCA"/>
        <bgColor theme="0"/>
      </patternFill>
    </fill>
    <fill>
      <patternFill patternType="solid">
        <fgColor rgb="FFFFCC66"/>
        <bgColor theme="0"/>
      </patternFill>
    </fill>
    <fill>
      <patternFill patternType="solid">
        <fgColor rgb="FFFF7C80"/>
        <bgColor indexed="64"/>
      </patternFill>
    </fill>
    <fill>
      <patternFill patternType="solid">
        <fgColor indexed="47"/>
        <bgColor theme="0"/>
      </patternFill>
    </fill>
  </fills>
  <borders count="104">
    <border>
      <left/>
      <right/>
      <top/>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Dashed">
        <color indexed="64"/>
      </right>
      <top style="mediumDashed">
        <color indexed="64"/>
      </top>
      <bottom/>
      <diagonal/>
    </border>
    <border>
      <left/>
      <right style="mediumDashed">
        <color indexed="64"/>
      </right>
      <top/>
      <bottom/>
      <diagonal/>
    </border>
    <border>
      <left style="mediumDashed">
        <color indexed="64"/>
      </left>
      <right/>
      <top/>
      <bottom/>
      <diagonal/>
    </border>
    <border>
      <left style="thin">
        <color indexed="64"/>
      </left>
      <right style="mediumDashed">
        <color indexed="64"/>
      </right>
      <top/>
      <bottom/>
      <diagonal/>
    </border>
    <border>
      <left style="mediumDashed">
        <color indexed="64"/>
      </left>
      <right/>
      <top style="mediumDashed">
        <color indexed="64"/>
      </top>
      <bottom/>
      <diagonal/>
    </border>
    <border>
      <left/>
      <right/>
      <top style="mediumDashed">
        <color indexed="64"/>
      </top>
      <bottom/>
      <diagonal/>
    </border>
    <border>
      <left style="medium">
        <color indexed="64"/>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thin">
        <color indexed="64"/>
      </right>
      <top style="thin">
        <color indexed="64"/>
      </top>
      <bottom style="mediumDashed">
        <color indexed="64"/>
      </bottom>
      <diagonal/>
    </border>
    <border>
      <left/>
      <right style="mediumDashed">
        <color indexed="64"/>
      </right>
      <top/>
      <bottom style="mediumDashed">
        <color indexed="64"/>
      </bottom>
      <diagonal/>
    </border>
    <border>
      <left/>
      <right style="thin">
        <color indexed="64"/>
      </right>
      <top style="mediumDashed">
        <color indexed="64"/>
      </top>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DashDot">
        <color indexed="64"/>
      </left>
      <right/>
      <top style="mediumDashDot">
        <color indexed="64"/>
      </top>
      <bottom/>
      <diagonal/>
    </border>
    <border>
      <left/>
      <right/>
      <top style="mediumDashDot">
        <color indexed="64"/>
      </top>
      <bottom/>
      <diagonal/>
    </border>
    <border>
      <left style="thin">
        <color indexed="64"/>
      </left>
      <right/>
      <top style="mediumDashDot">
        <color indexed="64"/>
      </top>
      <bottom style="medium">
        <color indexed="64"/>
      </bottom>
      <diagonal/>
    </border>
    <border>
      <left style="mediumDashDot">
        <color indexed="64"/>
      </left>
      <right/>
      <top/>
      <bottom/>
      <diagonal/>
    </border>
    <border>
      <left/>
      <right style="mediumDashDot">
        <color indexed="64"/>
      </right>
      <top/>
      <bottom/>
      <diagonal/>
    </border>
    <border>
      <left style="thin">
        <color indexed="64"/>
      </left>
      <right/>
      <top style="mediumDashDot">
        <color indexed="64"/>
      </top>
      <bottom/>
      <diagonal/>
    </border>
    <border>
      <left/>
      <right style="mediumDashDot">
        <color indexed="64"/>
      </right>
      <top/>
      <bottom style="thin">
        <color indexed="64"/>
      </bottom>
      <diagonal/>
    </border>
    <border>
      <left/>
      <right style="mediumDashDot">
        <color indexed="64"/>
      </right>
      <top style="thin">
        <color indexed="64"/>
      </top>
      <bottom/>
      <diagonal/>
    </border>
    <border>
      <left/>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DashDot">
        <color indexed="64"/>
      </left>
      <right style="medium">
        <color indexed="64"/>
      </right>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style="thin">
        <color indexed="64"/>
      </right>
      <top/>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right style="thin">
        <color indexed="64"/>
      </right>
      <top/>
      <bottom style="mediumDashDot">
        <color indexed="64"/>
      </bottom>
      <diagonal/>
    </border>
    <border>
      <left/>
      <right style="dotted">
        <color indexed="64"/>
      </right>
      <top/>
      <bottom/>
      <diagonal/>
    </border>
    <border>
      <left/>
      <right style="dotted">
        <color indexed="64"/>
      </right>
      <top style="thin">
        <color indexed="64"/>
      </top>
      <bottom/>
      <diagonal/>
    </border>
    <border>
      <left style="thin">
        <color indexed="64"/>
      </left>
      <right/>
      <top/>
      <bottom style="mediumDashDot">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DashDot">
        <color indexed="64"/>
      </left>
      <right/>
      <top style="thin">
        <color indexed="64"/>
      </top>
      <bottom/>
      <diagonal/>
    </border>
    <border>
      <left/>
      <right style="dotted">
        <color indexed="64"/>
      </right>
      <top/>
      <bottom style="thin">
        <color indexed="64"/>
      </bottom>
      <diagonal/>
    </border>
    <border>
      <left/>
      <right style="thin">
        <color indexed="64"/>
      </right>
      <top/>
      <bottom style="mediumDashed">
        <color indexed="64"/>
      </bottom>
      <diagonal/>
    </border>
    <border>
      <left/>
      <right/>
      <top style="mediumDashDot">
        <color indexed="64"/>
      </top>
      <bottom style="medium">
        <color indexed="64"/>
      </bottom>
      <diagonal/>
    </border>
    <border>
      <left style="mediumDashed">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right style="thin">
        <color indexed="64"/>
      </right>
      <top style="mediumDashDot">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6">
    <xf numFmtId="0" fontId="0" fillId="0" borderId="0"/>
    <xf numFmtId="43" fontId="2" fillId="0" borderId="0" applyFont="0" applyFill="0" applyBorder="0" applyAlignment="0" applyProtection="0"/>
    <xf numFmtId="0" fontId="7" fillId="0" borderId="0" applyNumberFormat="0" applyFill="0" applyBorder="0" applyAlignment="0" applyProtection="0">
      <alignment vertical="top"/>
      <protection locked="0"/>
    </xf>
    <xf numFmtId="0" fontId="4" fillId="0" borderId="0"/>
    <xf numFmtId="0" fontId="4" fillId="0" borderId="0"/>
    <xf numFmtId="0" fontId="2" fillId="0" borderId="0"/>
  </cellStyleXfs>
  <cellXfs count="1580">
    <xf numFmtId="0" fontId="0" fillId="0" borderId="0" xfId="0"/>
    <xf numFmtId="0" fontId="0" fillId="0" borderId="0" xfId="0" applyAlignment="1">
      <alignment horizontal="left"/>
    </xf>
    <xf numFmtId="0" fontId="3" fillId="0" borderId="0" xfId="0" applyFont="1"/>
    <xf numFmtId="0" fontId="4" fillId="0" borderId="0" xfId="0" applyFont="1"/>
    <xf numFmtId="0" fontId="3" fillId="0" borderId="0" xfId="0" applyFont="1" applyAlignment="1">
      <alignment horizontal="left"/>
    </xf>
    <xf numFmtId="0" fontId="5" fillId="0" borderId="0" xfId="0" applyFont="1"/>
    <xf numFmtId="0" fontId="5" fillId="0" borderId="0" xfId="0" applyFont="1" applyAlignment="1">
      <alignment horizontal="left"/>
    </xf>
    <xf numFmtId="0" fontId="6" fillId="0" borderId="0" xfId="0" applyFont="1"/>
    <xf numFmtId="0" fontId="0" fillId="2" borderId="0" xfId="0" applyFill="1" applyAlignment="1">
      <alignment horizontal="left"/>
    </xf>
    <xf numFmtId="0" fontId="0" fillId="3" borderId="0" xfId="0" applyFill="1" applyAlignment="1">
      <alignment horizontal="left"/>
    </xf>
    <xf numFmtId="0" fontId="3" fillId="2" borderId="0" xfId="0" applyFont="1" applyFill="1" applyAlignment="1">
      <alignment horizontal="left"/>
    </xf>
    <xf numFmtId="0" fontId="0" fillId="0" borderId="0" xfId="0" applyFill="1" applyAlignment="1">
      <alignment horizontal="left"/>
    </xf>
    <xf numFmtId="0" fontId="4" fillId="0" borderId="0" xfId="0" applyFont="1" applyFill="1" applyAlignment="1">
      <alignment horizontal="left"/>
    </xf>
    <xf numFmtId="167" fontId="0" fillId="0" borderId="0" xfId="0" applyNumberFormat="1"/>
    <xf numFmtId="2" fontId="0" fillId="0" borderId="0" xfId="0" applyNumberFormat="1"/>
    <xf numFmtId="2" fontId="6" fillId="0" borderId="1" xfId="0" applyNumberFormat="1" applyFont="1" applyBorder="1" applyAlignment="1">
      <alignment horizontal="right"/>
    </xf>
    <xf numFmtId="0" fontId="0" fillId="0" borderId="2" xfId="0" applyBorder="1"/>
    <xf numFmtId="0" fontId="0" fillId="0" borderId="3" xfId="0" applyBorder="1"/>
    <xf numFmtId="0" fontId="3" fillId="0" borderId="2" xfId="0" applyFont="1" applyBorder="1"/>
    <xf numFmtId="0" fontId="6" fillId="0" borderId="4" xfId="0" applyFont="1" applyBorder="1"/>
    <xf numFmtId="0" fontId="6" fillId="0" borderId="3" xfId="0" applyFont="1" applyBorder="1"/>
    <xf numFmtId="0" fontId="6" fillId="0" borderId="5" xfId="0" applyFont="1" applyBorder="1"/>
    <xf numFmtId="0" fontId="6" fillId="0" borderId="6" xfId="0" applyFont="1" applyBorder="1"/>
    <xf numFmtId="0" fontId="6" fillId="0" borderId="0" xfId="0" applyFont="1" applyBorder="1"/>
    <xf numFmtId="0" fontId="0" fillId="0" borderId="0" xfId="0" applyBorder="1"/>
    <xf numFmtId="2" fontId="0" fillId="0" borderId="0" xfId="0" applyNumberFormat="1" applyBorder="1"/>
    <xf numFmtId="2" fontId="0" fillId="0" borderId="0" xfId="0" applyNumberFormat="1" applyBorder="1" applyAlignment="1">
      <alignment horizontal="right"/>
    </xf>
    <xf numFmtId="2" fontId="4" fillId="0" borderId="0" xfId="0" applyNumberFormat="1" applyFont="1" applyBorder="1" applyAlignment="1">
      <alignment horizontal="right"/>
    </xf>
    <xf numFmtId="0" fontId="6" fillId="0" borderId="7" xfId="0" applyFont="1" applyBorder="1"/>
    <xf numFmtId="0" fontId="6" fillId="0" borderId="8" xfId="0" applyFont="1" applyBorder="1"/>
    <xf numFmtId="0" fontId="0" fillId="0" borderId="8" xfId="0" applyBorder="1"/>
    <xf numFmtId="169" fontId="0" fillId="0" borderId="8" xfId="0" applyNumberFormat="1" applyBorder="1"/>
    <xf numFmtId="169" fontId="0" fillId="0" borderId="2" xfId="0" applyNumberFormat="1" applyBorder="1"/>
    <xf numFmtId="0" fontId="3" fillId="4" borderId="0" xfId="0" applyFont="1" applyFill="1"/>
    <xf numFmtId="0" fontId="0" fillId="4" borderId="0" xfId="0" applyFill="1"/>
    <xf numFmtId="0" fontId="5" fillId="4" borderId="0" xfId="0" applyFont="1" applyFill="1"/>
    <xf numFmtId="2" fontId="5" fillId="4" borderId="9" xfId="0" applyNumberFormat="1" applyFont="1" applyFill="1" applyBorder="1" applyAlignment="1">
      <alignment horizontal="center" wrapText="1"/>
    </xf>
    <xf numFmtId="2" fontId="5" fillId="4" borderId="10" xfId="0" applyNumberFormat="1" applyFont="1" applyFill="1" applyBorder="1" applyAlignment="1">
      <alignment horizontal="center" wrapText="1"/>
    </xf>
    <xf numFmtId="0" fontId="5" fillId="4" borderId="11" xfId="0" applyFont="1" applyFill="1" applyBorder="1" applyAlignment="1">
      <alignment wrapText="1"/>
    </xf>
    <xf numFmtId="2" fontId="5" fillId="4" borderId="12" xfId="0" applyNumberFormat="1" applyFont="1" applyFill="1" applyBorder="1" applyAlignment="1">
      <alignment horizontal="center" wrapText="1"/>
    </xf>
    <xf numFmtId="0" fontId="3" fillId="4" borderId="5" xfId="0" applyFont="1" applyFill="1" applyBorder="1"/>
    <xf numFmtId="168" fontId="3" fillId="4" borderId="5" xfId="0" applyNumberFormat="1" applyFont="1" applyFill="1" applyBorder="1"/>
    <xf numFmtId="0" fontId="0" fillId="0" borderId="0" xfId="0" applyFill="1" applyBorder="1" applyAlignment="1">
      <alignment horizontal="left"/>
    </xf>
    <xf numFmtId="0" fontId="0" fillId="0" borderId="0" xfId="0" applyFill="1"/>
    <xf numFmtId="0" fontId="4" fillId="0" borderId="2" xfId="0" applyFont="1" applyBorder="1"/>
    <xf numFmtId="169" fontId="4" fillId="0" borderId="2" xfId="0" applyNumberFormat="1" applyFont="1" applyBorder="1" applyAlignment="1">
      <alignment horizontal="right"/>
    </xf>
    <xf numFmtId="0" fontId="0" fillId="5" borderId="0" xfId="0" applyFill="1"/>
    <xf numFmtId="0" fontId="0" fillId="5" borderId="0" xfId="0" applyFill="1" applyBorder="1" applyAlignment="1">
      <alignment horizontal="left"/>
    </xf>
    <xf numFmtId="0" fontId="0" fillId="6" borderId="6" xfId="0" applyFill="1" applyBorder="1"/>
    <xf numFmtId="0" fontId="0" fillId="6" borderId="4" xfId="0" applyFill="1" applyBorder="1"/>
    <xf numFmtId="0" fontId="0" fillId="6" borderId="8" xfId="0" applyFill="1" applyBorder="1"/>
    <xf numFmtId="0" fontId="0" fillId="6" borderId="0" xfId="0" applyFill="1" applyBorder="1"/>
    <xf numFmtId="0" fontId="0" fillId="6" borderId="2" xfId="0" applyFill="1" applyBorder="1" applyAlignment="1">
      <alignment horizontal="right"/>
    </xf>
    <xf numFmtId="0" fontId="0" fillId="6" borderId="2" xfId="0" applyFill="1" applyBorder="1"/>
    <xf numFmtId="169" fontId="0" fillId="6" borderId="5" xfId="0" applyNumberFormat="1" applyFill="1" applyBorder="1"/>
    <xf numFmtId="1" fontId="0" fillId="3" borderId="14" xfId="0" applyNumberFormat="1" applyFill="1" applyBorder="1"/>
    <xf numFmtId="0" fontId="0" fillId="6" borderId="7" xfId="0" applyFill="1" applyBorder="1"/>
    <xf numFmtId="0" fontId="0" fillId="6" borderId="5" xfId="0" applyFill="1" applyBorder="1"/>
    <xf numFmtId="0" fontId="0" fillId="6" borderId="3" xfId="0" applyFill="1" applyBorder="1"/>
    <xf numFmtId="0" fontId="0" fillId="5" borderId="2" xfId="0" applyFill="1" applyBorder="1"/>
    <xf numFmtId="0" fontId="0" fillId="4" borderId="15" xfId="0" applyFill="1" applyBorder="1"/>
    <xf numFmtId="0" fontId="0" fillId="4" borderId="16" xfId="0" applyFill="1" applyBorder="1"/>
    <xf numFmtId="0" fontId="0" fillId="4" borderId="17" xfId="0" applyFill="1" applyBorder="1"/>
    <xf numFmtId="0" fontId="3" fillId="4" borderId="0" xfId="0" applyFont="1" applyFill="1" applyBorder="1" applyAlignment="1">
      <alignment horizontal="center"/>
    </xf>
    <xf numFmtId="0" fontId="0" fillId="4" borderId="18" xfId="0" applyFill="1" applyBorder="1"/>
    <xf numFmtId="0" fontId="0" fillId="4" borderId="0" xfId="0" applyFill="1" applyBorder="1" applyAlignment="1">
      <alignment horizontal="center"/>
    </xf>
    <xf numFmtId="0" fontId="0" fillId="4" borderId="0" xfId="0" applyFill="1" applyBorder="1" applyAlignment="1">
      <alignment horizontal="right"/>
    </xf>
    <xf numFmtId="1" fontId="2" fillId="3" borderId="14" xfId="0" applyNumberFormat="1" applyFont="1" applyFill="1" applyBorder="1"/>
    <xf numFmtId="0" fontId="0" fillId="0" borderId="0" xfId="0" applyAlignment="1">
      <alignment vertical="top"/>
    </xf>
    <xf numFmtId="0" fontId="0" fillId="4" borderId="19" xfId="0" applyFill="1" applyBorder="1"/>
    <xf numFmtId="0" fontId="0" fillId="4" borderId="20" xfId="0" applyFill="1" applyBorder="1"/>
    <xf numFmtId="0" fontId="0" fillId="4" borderId="21" xfId="0" applyFill="1" applyBorder="1"/>
    <xf numFmtId="0" fontId="0" fillId="5" borderId="0" xfId="0" applyFill="1" applyBorder="1"/>
    <xf numFmtId="0" fontId="0" fillId="5" borderId="15" xfId="0" applyFill="1" applyBorder="1"/>
    <xf numFmtId="0" fontId="0" fillId="5" borderId="22" xfId="0" applyFill="1" applyBorder="1"/>
    <xf numFmtId="0" fontId="0" fillId="5" borderId="23" xfId="0" applyFill="1" applyBorder="1"/>
    <xf numFmtId="0" fontId="0" fillId="5" borderId="6" xfId="0" applyFill="1" applyBorder="1"/>
    <xf numFmtId="0" fontId="0" fillId="5" borderId="4" xfId="0" applyFill="1" applyBorder="1"/>
    <xf numFmtId="0" fontId="0" fillId="6" borderId="8" xfId="0" applyFill="1" applyBorder="1" applyAlignment="1">
      <alignment horizontal="right"/>
    </xf>
    <xf numFmtId="0" fontId="0" fillId="6" borderId="0" xfId="0" applyFill="1" applyBorder="1" applyAlignment="1">
      <alignment horizontal="right"/>
    </xf>
    <xf numFmtId="169" fontId="0" fillId="2" borderId="14" xfId="0" applyNumberFormat="1" applyFill="1" applyBorder="1"/>
    <xf numFmtId="0" fontId="3" fillId="4" borderId="17" xfId="0" applyFont="1" applyFill="1" applyBorder="1" applyAlignment="1">
      <alignment horizontal="center"/>
    </xf>
    <xf numFmtId="0" fontId="0" fillId="4" borderId="0" xfId="0" applyFill="1" applyBorder="1"/>
    <xf numFmtId="0" fontId="2" fillId="3" borderId="14" xfId="0" applyFont="1" applyFill="1" applyBorder="1"/>
    <xf numFmtId="1" fontId="2" fillId="4" borderId="0" xfId="0" applyNumberFormat="1" applyFont="1" applyFill="1" applyBorder="1"/>
    <xf numFmtId="0" fontId="5" fillId="4" borderId="18" xfId="0" applyFont="1" applyFill="1" applyBorder="1"/>
    <xf numFmtId="0" fontId="0" fillId="4" borderId="20" xfId="0" applyFill="1" applyBorder="1" applyAlignment="1">
      <alignment horizontal="center"/>
    </xf>
    <xf numFmtId="1" fontId="2" fillId="4" borderId="20" xfId="0" applyNumberFormat="1" applyFont="1" applyFill="1" applyBorder="1"/>
    <xf numFmtId="0" fontId="0" fillId="3" borderId="14" xfId="0" applyFill="1" applyBorder="1"/>
    <xf numFmtId="0" fontId="0" fillId="5" borderId="5" xfId="0" applyFill="1" applyBorder="1"/>
    <xf numFmtId="0" fontId="0" fillId="5" borderId="3" xfId="0" applyFill="1" applyBorder="1"/>
    <xf numFmtId="0" fontId="3" fillId="4" borderId="17" xfId="0" applyFont="1" applyFill="1" applyBorder="1"/>
    <xf numFmtId="0" fontId="3" fillId="4" borderId="0" xfId="0" applyFont="1" applyFill="1" applyBorder="1"/>
    <xf numFmtId="0" fontId="0" fillId="5" borderId="24" xfId="0" applyFill="1" applyBorder="1"/>
    <xf numFmtId="0" fontId="0" fillId="5" borderId="7" xfId="0" applyFill="1" applyBorder="1"/>
    <xf numFmtId="0" fontId="0" fillId="6" borderId="23" xfId="0" applyFill="1" applyBorder="1"/>
    <xf numFmtId="0" fontId="0" fillId="5" borderId="8" xfId="0" applyFill="1" applyBorder="1"/>
    <xf numFmtId="0" fontId="0" fillId="6" borderId="6" xfId="0" applyFill="1" applyBorder="1" applyAlignment="1">
      <alignment horizontal="right"/>
    </xf>
    <xf numFmtId="0" fontId="0" fillId="6" borderId="5" xfId="0" applyFill="1" applyBorder="1" applyAlignment="1">
      <alignment horizontal="right"/>
    </xf>
    <xf numFmtId="0" fontId="0" fillId="5" borderId="25" xfId="0" applyFill="1" applyBorder="1"/>
    <xf numFmtId="0" fontId="0" fillId="5" borderId="26" xfId="0" applyFill="1" applyBorder="1"/>
    <xf numFmtId="0" fontId="3" fillId="5" borderId="0" xfId="0" applyFont="1" applyFill="1"/>
    <xf numFmtId="0" fontId="7" fillId="0" borderId="0" xfId="2" applyFill="1" applyAlignment="1" applyProtection="1"/>
    <xf numFmtId="0" fontId="0" fillId="8" borderId="6" xfId="0" applyFill="1" applyBorder="1" applyAlignment="1">
      <alignment horizontal="left"/>
    </xf>
    <xf numFmtId="0" fontId="0" fillId="8" borderId="4" xfId="0" applyFill="1" applyBorder="1"/>
    <xf numFmtId="0" fontId="0" fillId="8" borderId="0" xfId="0" applyFill="1" applyBorder="1"/>
    <xf numFmtId="0" fontId="0" fillId="8" borderId="7" xfId="0" applyFill="1" applyBorder="1"/>
    <xf numFmtId="0" fontId="0" fillId="8" borderId="5" xfId="0" applyFill="1" applyBorder="1"/>
    <xf numFmtId="0" fontId="0" fillId="0" borderId="0" xfId="0" applyAlignment="1">
      <alignment vertical="top" wrapText="1"/>
    </xf>
    <xf numFmtId="0" fontId="0" fillId="2" borderId="0" xfId="0" applyFill="1"/>
    <xf numFmtId="170" fontId="0" fillId="0" borderId="0" xfId="0" applyNumberFormat="1"/>
    <xf numFmtId="2" fontId="0" fillId="8" borderId="0" xfId="0" applyNumberFormat="1" applyFill="1"/>
    <xf numFmtId="1" fontId="0" fillId="2" borderId="14" xfId="0" applyNumberFormat="1" applyFill="1" applyBorder="1"/>
    <xf numFmtId="0" fontId="0" fillId="0" borderId="0" xfId="0" applyFill="1" applyAlignment="1">
      <alignment horizontal="left" vertical="top"/>
    </xf>
    <xf numFmtId="0" fontId="0" fillId="0" borderId="0" xfId="0" applyAlignment="1">
      <alignment horizontal="left" vertical="top"/>
    </xf>
    <xf numFmtId="0" fontId="0" fillId="8" borderId="2" xfId="0" applyFill="1" applyBorder="1"/>
    <xf numFmtId="0" fontId="0" fillId="8" borderId="3" xfId="0" applyFill="1" applyBorder="1"/>
    <xf numFmtId="0" fontId="0" fillId="0" borderId="0" xfId="0" applyFill="1" applyAlignment="1">
      <alignment vertical="top"/>
    </xf>
    <xf numFmtId="0" fontId="0" fillId="0" borderId="0" xfId="0" applyAlignment="1"/>
    <xf numFmtId="49" fontId="0" fillId="0" borderId="0" xfId="0" applyNumberFormat="1" applyAlignment="1">
      <alignment horizontal="left" vertical="top"/>
    </xf>
    <xf numFmtId="0" fontId="0" fillId="0" borderId="0" xfId="0" applyFill="1" applyAlignment="1"/>
    <xf numFmtId="0" fontId="0" fillId="5" borderId="27" xfId="0" applyFill="1" applyBorder="1"/>
    <xf numFmtId="0" fontId="0" fillId="5" borderId="28" xfId="0" applyFill="1" applyBorder="1"/>
    <xf numFmtId="0" fontId="0" fillId="5" borderId="29" xfId="0" applyFill="1" applyBorder="1"/>
    <xf numFmtId="0" fontId="0" fillId="5" borderId="30" xfId="0" applyFill="1" applyBorder="1"/>
    <xf numFmtId="0" fontId="5" fillId="0" borderId="0" xfId="0" applyFont="1" applyBorder="1"/>
    <xf numFmtId="0" fontId="0" fillId="5" borderId="31" xfId="0" applyFill="1" applyBorder="1"/>
    <xf numFmtId="0" fontId="3" fillId="5" borderId="32" xfId="0" applyFont="1" applyFill="1" applyBorder="1" applyAlignment="1">
      <alignment horizontal="left"/>
    </xf>
    <xf numFmtId="0" fontId="0" fillId="5" borderId="32" xfId="0" applyFill="1" applyBorder="1"/>
    <xf numFmtId="0" fontId="0" fillId="5" borderId="33" xfId="0" applyFill="1" applyBorder="1"/>
    <xf numFmtId="0" fontId="0" fillId="5" borderId="14" xfId="0" applyFill="1" applyBorder="1"/>
    <xf numFmtId="0" fontId="3" fillId="5" borderId="0" xfId="0" applyFont="1" applyFill="1" applyBorder="1" applyAlignment="1"/>
    <xf numFmtId="0" fontId="3" fillId="5" borderId="2" xfId="0" applyFont="1" applyFill="1" applyBorder="1" applyAlignment="1"/>
    <xf numFmtId="1" fontId="4" fillId="2" borderId="14" xfId="0" applyNumberFormat="1" applyFont="1" applyFill="1" applyBorder="1"/>
    <xf numFmtId="0" fontId="0" fillId="5" borderId="2" xfId="0" applyFill="1" applyBorder="1" applyAlignment="1"/>
    <xf numFmtId="0" fontId="0" fillId="5" borderId="0" xfId="0" applyFill="1" applyBorder="1" applyAlignment="1"/>
    <xf numFmtId="0" fontId="0" fillId="2" borderId="14" xfId="0" applyFill="1" applyBorder="1"/>
    <xf numFmtId="1" fontId="2" fillId="5" borderId="0" xfId="0" applyNumberFormat="1" applyFont="1" applyFill="1" applyBorder="1"/>
    <xf numFmtId="0" fontId="0" fillId="5" borderId="0" xfId="0" applyFill="1" applyBorder="1" applyAlignment="1">
      <alignment horizontal="right"/>
    </xf>
    <xf numFmtId="0" fontId="3" fillId="4" borderId="0" xfId="0" applyFont="1" applyFill="1" applyBorder="1" applyAlignment="1">
      <alignment vertical="center"/>
    </xf>
    <xf numFmtId="0" fontId="0" fillId="5" borderId="34" xfId="0" applyFill="1" applyBorder="1"/>
    <xf numFmtId="0" fontId="0" fillId="5" borderId="35" xfId="0" applyFill="1" applyBorder="1"/>
    <xf numFmtId="0" fontId="0" fillId="5" borderId="36" xfId="0" applyFill="1" applyBorder="1"/>
    <xf numFmtId="0" fontId="0" fillId="5" borderId="37" xfId="0" applyFill="1" applyBorder="1"/>
    <xf numFmtId="0" fontId="0" fillId="5" borderId="38" xfId="0" applyFill="1" applyBorder="1"/>
    <xf numFmtId="0" fontId="0" fillId="4" borderId="5" xfId="0" applyFill="1" applyBorder="1"/>
    <xf numFmtId="0" fontId="3" fillId="0" borderId="0" xfId="0" applyFont="1" applyFill="1"/>
    <xf numFmtId="0" fontId="4" fillId="8" borderId="8" xfId="0" applyFont="1" applyFill="1" applyBorder="1"/>
    <xf numFmtId="1" fontId="0" fillId="8" borderId="2" xfId="0" applyNumberFormat="1" applyFill="1" applyBorder="1"/>
    <xf numFmtId="0" fontId="4" fillId="8" borderId="7" xfId="0" applyFont="1" applyFill="1" applyBorder="1"/>
    <xf numFmtId="0" fontId="4" fillId="0" borderId="0" xfId="0" applyFont="1" applyAlignment="1">
      <alignment vertical="top"/>
    </xf>
    <xf numFmtId="0" fontId="0" fillId="8" borderId="0" xfId="0" applyFill="1" applyAlignment="1">
      <alignment vertical="top"/>
    </xf>
    <xf numFmtId="0" fontId="3" fillId="0" borderId="0" xfId="0" applyFont="1" applyAlignment="1"/>
    <xf numFmtId="2" fontId="0" fillId="0" borderId="0" xfId="0" applyNumberFormat="1" applyFill="1"/>
    <xf numFmtId="0" fontId="3" fillId="0" borderId="0" xfId="0" applyFont="1" applyFill="1" applyBorder="1"/>
    <xf numFmtId="0" fontId="0" fillId="0" borderId="0" xfId="0" applyFill="1" applyBorder="1"/>
    <xf numFmtId="0" fontId="0" fillId="0" borderId="5" xfId="0" applyBorder="1"/>
    <xf numFmtId="0" fontId="6" fillId="0" borderId="0" xfId="0" applyFont="1" applyFill="1" applyBorder="1"/>
    <xf numFmtId="0" fontId="6" fillId="0" borderId="8" xfId="0" applyFont="1" applyFill="1" applyBorder="1" applyAlignment="1">
      <alignment horizontal="center"/>
    </xf>
    <xf numFmtId="0" fontId="6" fillId="0" borderId="0" xfId="0" applyFont="1" applyFill="1" applyBorder="1" applyAlignment="1">
      <alignment horizontal="center"/>
    </xf>
    <xf numFmtId="0" fontId="6" fillId="0" borderId="2" xfId="0" applyFont="1" applyFill="1" applyBorder="1" applyAlignment="1">
      <alignment horizontal="center"/>
    </xf>
    <xf numFmtId="0" fontId="6" fillId="0" borderId="5" xfId="0" applyFont="1" applyFill="1" applyBorder="1"/>
    <xf numFmtId="0" fontId="6" fillId="0" borderId="7" xfId="0" applyFont="1" applyFill="1" applyBorder="1" applyAlignment="1">
      <alignment horizontal="center"/>
    </xf>
    <xf numFmtId="0" fontId="6" fillId="0" borderId="5" xfId="0" applyFont="1" applyFill="1" applyBorder="1" applyAlignment="1">
      <alignment horizontal="center"/>
    </xf>
    <xf numFmtId="0" fontId="6" fillId="0" borderId="3" xfId="0" applyFont="1" applyFill="1" applyBorder="1" applyAlignment="1">
      <alignment horizontal="center"/>
    </xf>
    <xf numFmtId="169" fontId="0" fillId="8" borderId="8" xfId="0" applyNumberFormat="1" applyFill="1" applyBorder="1"/>
    <xf numFmtId="0" fontId="3" fillId="0" borderId="4" xfId="0" applyFont="1" applyBorder="1"/>
    <xf numFmtId="0" fontId="0" fillId="0" borderId="4" xfId="0" applyBorder="1"/>
    <xf numFmtId="168" fontId="0" fillId="8" borderId="0" xfId="0" applyNumberFormat="1" applyFill="1"/>
    <xf numFmtId="168" fontId="0" fillId="8" borderId="2" xfId="0" applyNumberFormat="1" applyFill="1" applyBorder="1"/>
    <xf numFmtId="166" fontId="0" fillId="8" borderId="0" xfId="0" applyNumberFormat="1" applyFill="1"/>
    <xf numFmtId="166" fontId="0" fillId="8" borderId="2" xfId="0" applyNumberFormat="1" applyFill="1" applyBorder="1"/>
    <xf numFmtId="0" fontId="0" fillId="0" borderId="40" xfId="0" applyBorder="1"/>
    <xf numFmtId="0" fontId="0" fillId="0" borderId="39" xfId="0" applyBorder="1"/>
    <xf numFmtId="168" fontId="0" fillId="8" borderId="0" xfId="0" applyNumberFormat="1" applyFill="1" applyBorder="1"/>
    <xf numFmtId="166" fontId="0" fillId="2" borderId="0" xfId="0" applyNumberFormat="1" applyFill="1"/>
    <xf numFmtId="0" fontId="6" fillId="8" borderId="23" xfId="0" applyFont="1" applyFill="1" applyBorder="1" applyAlignment="1"/>
    <xf numFmtId="0" fontId="6" fillId="8" borderId="4" xfId="0" applyFont="1" applyFill="1" applyBorder="1" applyAlignment="1"/>
    <xf numFmtId="0" fontId="6" fillId="8" borderId="41" xfId="0" applyFont="1" applyFill="1" applyBorder="1" applyAlignment="1">
      <alignment horizontal="left"/>
    </xf>
    <xf numFmtId="0" fontId="6" fillId="8" borderId="41" xfId="0" applyFont="1" applyFill="1" applyBorder="1" applyAlignment="1">
      <alignment horizontal="center"/>
    </xf>
    <xf numFmtId="0" fontId="0" fillId="8" borderId="41" xfId="0" applyFill="1" applyBorder="1"/>
    <xf numFmtId="0" fontId="6" fillId="8" borderId="7" xfId="0" applyFont="1" applyFill="1" applyBorder="1"/>
    <xf numFmtId="0" fontId="6" fillId="8" borderId="12" xfId="0" applyFont="1" applyFill="1" applyBorder="1" applyAlignment="1">
      <alignment horizontal="center"/>
    </xf>
    <xf numFmtId="0" fontId="6" fillId="8" borderId="12" xfId="0" applyFont="1" applyFill="1" applyBorder="1" applyAlignment="1">
      <alignment horizontal="left"/>
    </xf>
    <xf numFmtId="168" fontId="0" fillId="8" borderId="42" xfId="0" applyNumberFormat="1" applyFill="1" applyBorder="1"/>
    <xf numFmtId="168" fontId="0" fillId="8" borderId="14" xfId="0" applyNumberFormat="1" applyFill="1" applyBorder="1"/>
    <xf numFmtId="166" fontId="0" fillId="8" borderId="14" xfId="0" applyNumberFormat="1" applyFill="1" applyBorder="1"/>
    <xf numFmtId="164" fontId="0" fillId="8" borderId="14" xfId="0" applyNumberFormat="1" applyFill="1" applyBorder="1"/>
    <xf numFmtId="0" fontId="4" fillId="8" borderId="1" xfId="0" applyFont="1" applyFill="1" applyBorder="1"/>
    <xf numFmtId="1" fontId="0" fillId="8" borderId="43" xfId="0" applyNumberFormat="1" applyFill="1" applyBorder="1"/>
    <xf numFmtId="168" fontId="0" fillId="0" borderId="0" xfId="0" applyNumberFormat="1" applyFill="1" applyBorder="1"/>
    <xf numFmtId="166" fontId="0" fillId="0" borderId="0" xfId="0" applyNumberFormat="1" applyFill="1" applyBorder="1"/>
    <xf numFmtId="164" fontId="0" fillId="0" borderId="0" xfId="0" applyNumberFormat="1" applyFill="1" applyBorder="1"/>
    <xf numFmtId="170" fontId="0" fillId="0" borderId="0" xfId="0" applyNumberFormat="1" applyFill="1"/>
    <xf numFmtId="169" fontId="0" fillId="0" borderId="0" xfId="0" applyNumberFormat="1"/>
    <xf numFmtId="169" fontId="0" fillId="0" borderId="0" xfId="0" applyNumberFormat="1" applyFill="1"/>
    <xf numFmtId="168" fontId="0" fillId="0" borderId="0" xfId="0" applyNumberFormat="1"/>
    <xf numFmtId="168" fontId="0" fillId="0" borderId="0" xfId="0" applyNumberFormat="1" applyFill="1"/>
    <xf numFmtId="0" fontId="0" fillId="0" borderId="0" xfId="0" applyFill="1" applyAlignment="1">
      <alignment wrapText="1"/>
    </xf>
    <xf numFmtId="166" fontId="0" fillId="8" borderId="42" xfId="0" applyNumberFormat="1" applyFill="1" applyBorder="1"/>
    <xf numFmtId="164" fontId="0" fillId="8" borderId="42" xfId="0" applyNumberFormat="1" applyFill="1" applyBorder="1"/>
    <xf numFmtId="168" fontId="0" fillId="8" borderId="12" xfId="0" applyNumberFormat="1" applyFill="1" applyBorder="1"/>
    <xf numFmtId="166" fontId="0" fillId="8" borderId="12" xfId="0" applyNumberFormat="1" applyFill="1" applyBorder="1"/>
    <xf numFmtId="164" fontId="0" fillId="8" borderId="12" xfId="0" applyNumberFormat="1" applyFill="1" applyBorder="1"/>
    <xf numFmtId="0" fontId="4" fillId="8" borderId="6" xfId="0" applyFont="1" applyFill="1" applyBorder="1"/>
    <xf numFmtId="1" fontId="0" fillId="8" borderId="4" xfId="0" applyNumberFormat="1" applyFill="1" applyBorder="1"/>
    <xf numFmtId="0" fontId="4" fillId="8" borderId="5" xfId="0" applyFont="1" applyFill="1" applyBorder="1"/>
    <xf numFmtId="1" fontId="0" fillId="8" borderId="3" xfId="0" applyNumberFormat="1" applyFill="1" applyBorder="1"/>
    <xf numFmtId="1" fontId="0" fillId="0" borderId="0" xfId="0" applyNumberFormat="1" applyFill="1" applyAlignment="1">
      <alignment horizontal="left"/>
    </xf>
    <xf numFmtId="168" fontId="0" fillId="0" borderId="0" xfId="0" applyNumberFormat="1" applyFill="1" applyAlignment="1">
      <alignment horizontal="left"/>
    </xf>
    <xf numFmtId="166" fontId="0" fillId="0" borderId="0" xfId="0" applyNumberFormat="1" applyFill="1" applyAlignment="1">
      <alignment horizontal="left"/>
    </xf>
    <xf numFmtId="164" fontId="0" fillId="0" borderId="0" xfId="0" applyNumberFormat="1" applyFill="1" applyAlignment="1">
      <alignment horizontal="left"/>
    </xf>
    <xf numFmtId="0" fontId="4" fillId="0" borderId="0" xfId="0" applyFont="1" applyFill="1" applyBorder="1"/>
    <xf numFmtId="1" fontId="0" fillId="0" borderId="0" xfId="0" applyNumberFormat="1" applyFill="1" applyBorder="1"/>
    <xf numFmtId="169" fontId="0" fillId="8" borderId="2" xfId="0" applyNumberFormat="1" applyFill="1" applyBorder="1"/>
    <xf numFmtId="169" fontId="6" fillId="8" borderId="44" xfId="0" applyNumberFormat="1" applyFont="1" applyFill="1" applyBorder="1"/>
    <xf numFmtId="169" fontId="6" fillId="8" borderId="43" xfId="0" applyNumberFormat="1" applyFont="1" applyFill="1" applyBorder="1"/>
    <xf numFmtId="2" fontId="4" fillId="8" borderId="0" xfId="0" applyNumberFormat="1" applyFont="1" applyFill="1" applyBorder="1"/>
    <xf numFmtId="0" fontId="6" fillId="0" borderId="1" xfId="0" applyFont="1" applyBorder="1"/>
    <xf numFmtId="0" fontId="0" fillId="5" borderId="0" xfId="0" applyFill="1" applyBorder="1" applyAlignment="1">
      <alignment horizontal="center"/>
    </xf>
    <xf numFmtId="0" fontId="0" fillId="5" borderId="25" xfId="0" applyFill="1" applyBorder="1" applyAlignment="1">
      <alignment horizontal="center"/>
    </xf>
    <xf numFmtId="0" fontId="0" fillId="5" borderId="45" xfId="0" applyFill="1" applyBorder="1" applyAlignment="1">
      <alignment horizontal="center"/>
    </xf>
    <xf numFmtId="1" fontId="0" fillId="0" borderId="0" xfId="0" applyNumberFormat="1"/>
    <xf numFmtId="14" fontId="0" fillId="0" borderId="0" xfId="0" applyNumberFormat="1" applyAlignment="1">
      <alignment vertical="top" wrapText="1"/>
    </xf>
    <xf numFmtId="0" fontId="0" fillId="12" borderId="0" xfId="0" applyFill="1"/>
    <xf numFmtId="0" fontId="0" fillId="6" borderId="3" xfId="0" applyFill="1" applyBorder="1" applyAlignment="1">
      <alignment horizontal="right"/>
    </xf>
    <xf numFmtId="0" fontId="0" fillId="6" borderId="7" xfId="0" applyFill="1" applyBorder="1" applyAlignment="1">
      <alignment horizontal="right"/>
    </xf>
    <xf numFmtId="0" fontId="4" fillId="6" borderId="8" xfId="0" applyFont="1" applyFill="1" applyBorder="1"/>
    <xf numFmtId="0" fontId="4" fillId="6" borderId="0" xfId="0" applyFont="1" applyFill="1" applyBorder="1" applyAlignment="1">
      <alignment horizontal="right"/>
    </xf>
    <xf numFmtId="0" fontId="4" fillId="6" borderId="0" xfId="0" applyFont="1" applyFill="1" applyBorder="1"/>
    <xf numFmtId="0" fontId="0" fillId="5" borderId="47" xfId="0" applyFill="1" applyBorder="1"/>
    <xf numFmtId="0" fontId="0" fillId="5" borderId="50" xfId="0" applyFill="1" applyBorder="1"/>
    <xf numFmtId="0" fontId="4" fillId="4" borderId="0" xfId="0" applyFont="1" applyFill="1" applyBorder="1"/>
    <xf numFmtId="0" fontId="3" fillId="4" borderId="9" xfId="0" applyFont="1" applyFill="1" applyBorder="1" applyAlignment="1">
      <alignment horizontal="center"/>
    </xf>
    <xf numFmtId="0" fontId="3" fillId="4" borderId="15" xfId="0" applyFont="1" applyFill="1" applyBorder="1" applyAlignment="1">
      <alignment horizontal="center"/>
    </xf>
    <xf numFmtId="0" fontId="3" fillId="4" borderId="16" xfId="0" applyFont="1" applyFill="1" applyBorder="1" applyAlignment="1">
      <alignment horizontal="center"/>
    </xf>
    <xf numFmtId="0" fontId="4" fillId="4" borderId="18" xfId="0" applyFont="1" applyFill="1" applyBorder="1"/>
    <xf numFmtId="0" fontId="4" fillId="4" borderId="0" xfId="0" applyFont="1" applyFill="1" applyBorder="1" applyAlignment="1">
      <alignment horizontal="right"/>
    </xf>
    <xf numFmtId="0" fontId="4" fillId="6" borderId="2" xfId="0" applyFont="1" applyFill="1" applyBorder="1"/>
    <xf numFmtId="2" fontId="0" fillId="2" borderId="14" xfId="0" applyNumberFormat="1" applyFill="1" applyBorder="1"/>
    <xf numFmtId="1" fontId="0" fillId="5" borderId="14" xfId="0" applyNumberFormat="1" applyFill="1" applyBorder="1"/>
    <xf numFmtId="0" fontId="11" fillId="6" borderId="23" xfId="2" applyFont="1" applyFill="1" applyBorder="1" applyAlignment="1" applyProtection="1">
      <alignment horizontal="center"/>
    </xf>
    <xf numFmtId="0" fontId="4" fillId="6" borderId="42" xfId="0" applyFont="1" applyFill="1" applyBorder="1"/>
    <xf numFmtId="0" fontId="11" fillId="4" borderId="9" xfId="2" applyFont="1" applyFill="1" applyBorder="1" applyAlignment="1" applyProtection="1">
      <alignment horizontal="center"/>
    </xf>
    <xf numFmtId="0" fontId="0" fillId="4" borderId="17" xfId="0" applyFill="1" applyBorder="1" applyAlignment="1"/>
    <xf numFmtId="0" fontId="4" fillId="6" borderId="8" xfId="0" applyFont="1" applyFill="1" applyBorder="1" applyAlignment="1">
      <alignment horizontal="right"/>
    </xf>
    <xf numFmtId="0" fontId="3" fillId="5" borderId="0" xfId="0" applyFont="1" applyFill="1" applyBorder="1" applyAlignment="1">
      <alignment horizontal="left"/>
    </xf>
    <xf numFmtId="0" fontId="0" fillId="5" borderId="18" xfId="0" applyFill="1" applyBorder="1"/>
    <xf numFmtId="0" fontId="0" fillId="12" borderId="15" xfId="0" applyFill="1" applyBorder="1"/>
    <xf numFmtId="0" fontId="0" fillId="0" borderId="17" xfId="0" applyBorder="1"/>
    <xf numFmtId="0" fontId="0" fillId="4" borderId="19" xfId="0" applyFill="1" applyBorder="1" applyAlignment="1">
      <alignment horizontal="right"/>
    </xf>
    <xf numFmtId="0" fontId="0" fillId="0" borderId="20" xfId="0" applyBorder="1"/>
    <xf numFmtId="0" fontId="0" fillId="5" borderId="59" xfId="0" applyFill="1" applyBorder="1"/>
    <xf numFmtId="0" fontId="4" fillId="4" borderId="0" xfId="0" applyFont="1" applyFill="1" applyBorder="1" applyAlignment="1">
      <alignment horizontal="left"/>
    </xf>
    <xf numFmtId="0" fontId="0" fillId="4" borderId="17" xfId="0" applyFill="1" applyBorder="1" applyAlignment="1">
      <alignment horizontal="right"/>
    </xf>
    <xf numFmtId="0" fontId="0" fillId="0" borderId="18" xfId="0" applyBorder="1" applyAlignment="1"/>
    <xf numFmtId="0" fontId="0" fillId="12" borderId="0" xfId="0" applyFill="1" applyBorder="1"/>
    <xf numFmtId="0" fontId="4" fillId="4" borderId="17" xfId="0" applyFont="1" applyFill="1" applyBorder="1" applyAlignment="1">
      <alignment horizontal="right"/>
    </xf>
    <xf numFmtId="0" fontId="0" fillId="6" borderId="23" xfId="0" applyFill="1" applyBorder="1" applyAlignment="1">
      <alignment horizontal="right"/>
    </xf>
    <xf numFmtId="0" fontId="0" fillId="6" borderId="4" xfId="0" applyFill="1" applyBorder="1" applyAlignment="1">
      <alignment horizontal="right"/>
    </xf>
    <xf numFmtId="0" fontId="0" fillId="4" borderId="9" xfId="0" applyFill="1" applyBorder="1"/>
    <xf numFmtId="0" fontId="3" fillId="4" borderId="20" xfId="0" applyFont="1" applyFill="1" applyBorder="1" applyAlignment="1">
      <alignment horizontal="center"/>
    </xf>
    <xf numFmtId="0" fontId="0" fillId="4" borderId="20" xfId="0" applyFill="1" applyBorder="1" applyAlignment="1">
      <alignment horizontal="right"/>
    </xf>
    <xf numFmtId="0" fontId="9" fillId="4" borderId="18" xfId="0" applyFont="1" applyFill="1" applyBorder="1"/>
    <xf numFmtId="0" fontId="3" fillId="4" borderId="15" xfId="0" applyFont="1" applyFill="1" applyBorder="1" applyAlignment="1"/>
    <xf numFmtId="0" fontId="3" fillId="4" borderId="17" xfId="0" applyFont="1" applyFill="1" applyBorder="1" applyAlignment="1"/>
    <xf numFmtId="0" fontId="3" fillId="4" borderId="19" xfId="0" applyFont="1" applyFill="1" applyBorder="1" applyAlignment="1">
      <alignment horizontal="center"/>
    </xf>
    <xf numFmtId="0" fontId="3" fillId="4" borderId="21" xfId="0" applyFont="1" applyFill="1" applyBorder="1" applyAlignment="1">
      <alignment horizontal="center"/>
    </xf>
    <xf numFmtId="0" fontId="0" fillId="5" borderId="63" xfId="0" applyFill="1" applyBorder="1"/>
    <xf numFmtId="0" fontId="0" fillId="5" borderId="64" xfId="0" applyFill="1" applyBorder="1"/>
    <xf numFmtId="0" fontId="0" fillId="5" borderId="65" xfId="0" applyFill="1" applyBorder="1"/>
    <xf numFmtId="0" fontId="0" fillId="5" borderId="66" xfId="0" applyFill="1" applyBorder="1"/>
    <xf numFmtId="0" fontId="0" fillId="5" borderId="67" xfId="0" applyFill="1" applyBorder="1"/>
    <xf numFmtId="0" fontId="0" fillId="0" borderId="0" xfId="0" applyBorder="1" applyAlignment="1"/>
    <xf numFmtId="0" fontId="0" fillId="5" borderId="68" xfId="0" applyFill="1" applyBorder="1"/>
    <xf numFmtId="0" fontId="0" fillId="5" borderId="69" xfId="0" applyFill="1" applyBorder="1"/>
    <xf numFmtId="0" fontId="0" fillId="5" borderId="70" xfId="0" applyFill="1" applyBorder="1"/>
    <xf numFmtId="0" fontId="4" fillId="5" borderId="14" xfId="0" applyFont="1" applyFill="1" applyBorder="1"/>
    <xf numFmtId="0" fontId="0" fillId="4" borderId="71" xfId="0" applyFill="1" applyBorder="1"/>
    <xf numFmtId="0" fontId="4" fillId="5" borderId="0" xfId="0" applyFont="1" applyFill="1"/>
    <xf numFmtId="0" fontId="0" fillId="5" borderId="44" xfId="0" applyFill="1" applyBorder="1"/>
    <xf numFmtId="0" fontId="7" fillId="4" borderId="9" xfId="2" applyFill="1" applyBorder="1" applyAlignment="1" applyProtection="1">
      <alignment horizontal="center"/>
    </xf>
    <xf numFmtId="0" fontId="4" fillId="0" borderId="0" xfId="2" applyFont="1" applyAlignment="1" applyProtection="1"/>
    <xf numFmtId="0" fontId="0" fillId="5" borderId="20" xfId="0" applyFill="1" applyBorder="1"/>
    <xf numFmtId="0" fontId="0" fillId="4" borderId="20" xfId="0" applyFill="1" applyBorder="1" applyAlignment="1"/>
    <xf numFmtId="0" fontId="13" fillId="6" borderId="2" xfId="0" applyFont="1" applyFill="1" applyBorder="1" applyAlignment="1">
      <alignment horizontal="right"/>
    </xf>
    <xf numFmtId="0" fontId="4" fillId="6" borderId="0" xfId="0" applyFont="1" applyFill="1" applyBorder="1" applyAlignment="1">
      <alignment horizontal="left"/>
    </xf>
    <xf numFmtId="0" fontId="4" fillId="6" borderId="7" xfId="0" applyFont="1" applyFill="1" applyBorder="1" applyAlignment="1">
      <alignment horizontal="right"/>
    </xf>
    <xf numFmtId="0" fontId="11" fillId="5" borderId="7" xfId="2" applyFont="1" applyFill="1" applyBorder="1" applyAlignment="1" applyProtection="1"/>
    <xf numFmtId="0" fontId="7" fillId="7" borderId="23" xfId="2" applyFill="1" applyBorder="1" applyAlignment="1" applyProtection="1">
      <alignment horizontal="center"/>
    </xf>
    <xf numFmtId="0" fontId="4" fillId="0" borderId="0" xfId="0" applyFont="1" applyFill="1" applyAlignment="1">
      <alignment vertical="top"/>
    </xf>
    <xf numFmtId="0" fontId="4" fillId="0" borderId="0" xfId="0" applyFont="1" applyAlignment="1"/>
    <xf numFmtId="0" fontId="4" fillId="0" borderId="0" xfId="0" applyFont="1" applyAlignment="1">
      <alignment vertical="top" wrapText="1"/>
    </xf>
    <xf numFmtId="1" fontId="3" fillId="2" borderId="0" xfId="0" applyNumberFormat="1" applyFont="1" applyFill="1"/>
    <xf numFmtId="0" fontId="0" fillId="8" borderId="3" xfId="0" applyFill="1" applyBorder="1" applyAlignment="1">
      <alignment horizontal="center" vertical="center"/>
    </xf>
    <xf numFmtId="0" fontId="4" fillId="8" borderId="0" xfId="0" applyFont="1" applyFill="1" applyBorder="1"/>
    <xf numFmtId="2" fontId="0" fillId="2" borderId="0" xfId="0" applyNumberFormat="1" applyFill="1"/>
    <xf numFmtId="2" fontId="0" fillId="2" borderId="2" xfId="0" applyNumberFormat="1" applyFill="1" applyBorder="1"/>
    <xf numFmtId="2" fontId="3" fillId="0" borderId="0" xfId="0" applyNumberFormat="1" applyFont="1"/>
    <xf numFmtId="2" fontId="3" fillId="2" borderId="0" xfId="0" applyNumberFormat="1" applyFont="1" applyFill="1"/>
    <xf numFmtId="2" fontId="3" fillId="0" borderId="0" xfId="0" applyNumberFormat="1" applyFont="1" applyFill="1"/>
    <xf numFmtId="0" fontId="10" fillId="0" borderId="0" xfId="0" applyFont="1"/>
    <xf numFmtId="0" fontId="0" fillId="0" borderId="9" xfId="0" applyBorder="1"/>
    <xf numFmtId="1" fontId="4" fillId="5" borderId="14" xfId="0" applyNumberFormat="1" applyFont="1" applyFill="1" applyBorder="1"/>
    <xf numFmtId="1" fontId="4" fillId="4" borderId="20" xfId="0" applyNumberFormat="1" applyFont="1" applyFill="1" applyBorder="1"/>
    <xf numFmtId="0" fontId="9" fillId="4" borderId="21" xfId="0" applyFont="1" applyFill="1" applyBorder="1"/>
    <xf numFmtId="0" fontId="0" fillId="5" borderId="75" xfId="0" applyFill="1" applyBorder="1"/>
    <xf numFmtId="0" fontId="0" fillId="5" borderId="76" xfId="0" applyFill="1" applyBorder="1"/>
    <xf numFmtId="0" fontId="0" fillId="5" borderId="77" xfId="0" applyFill="1" applyBorder="1"/>
    <xf numFmtId="0" fontId="0" fillId="5" borderId="78" xfId="0" applyFill="1" applyBorder="1"/>
    <xf numFmtId="0" fontId="4" fillId="6" borderId="2" xfId="0" applyFont="1" applyFill="1" applyBorder="1" applyAlignment="1">
      <alignment horizontal="left"/>
    </xf>
    <xf numFmtId="0" fontId="7" fillId="0" borderId="0" xfId="2" applyAlignment="1" applyProtection="1"/>
    <xf numFmtId="0" fontId="3" fillId="0" borderId="0" xfId="0" applyFont="1" applyFill="1" applyAlignment="1"/>
    <xf numFmtId="0" fontId="6" fillId="0" borderId="0" xfId="0" applyFont="1" applyFill="1" applyBorder="1" applyAlignment="1"/>
    <xf numFmtId="2" fontId="0" fillId="0" borderId="0" xfId="0" applyNumberFormat="1" applyAlignment="1"/>
    <xf numFmtId="2" fontId="0" fillId="0" borderId="0" xfId="0" applyNumberFormat="1" applyAlignment="1">
      <alignment wrapText="1"/>
    </xf>
    <xf numFmtId="2" fontId="0" fillId="0" borderId="0" xfId="0" applyNumberFormat="1" applyAlignment="1">
      <alignment vertical="top"/>
    </xf>
    <xf numFmtId="2" fontId="4" fillId="0" borderId="0" xfId="0" applyNumberFormat="1" applyFont="1" applyAlignment="1">
      <alignment vertical="top" wrapText="1"/>
    </xf>
    <xf numFmtId="2" fontId="0" fillId="2" borderId="0" xfId="0" applyNumberFormat="1" applyFill="1" applyAlignment="1"/>
    <xf numFmtId="2" fontId="0" fillId="0" borderId="0" xfId="0" applyNumberFormat="1" applyAlignment="1">
      <alignment vertical="top" wrapText="1"/>
    </xf>
    <xf numFmtId="2" fontId="0" fillId="2" borderId="0" xfId="0" applyNumberFormat="1" applyFill="1" applyAlignment="1">
      <alignment vertical="top"/>
    </xf>
    <xf numFmtId="2" fontId="0" fillId="0" borderId="0" xfId="0" applyNumberFormat="1" applyFill="1" applyAlignment="1">
      <alignment vertical="top"/>
    </xf>
    <xf numFmtId="2" fontId="3" fillId="0" borderId="0" xfId="0" applyNumberFormat="1" applyFont="1" applyAlignment="1">
      <alignment vertical="top"/>
    </xf>
    <xf numFmtId="2" fontId="3" fillId="0" borderId="0" xfId="0" applyNumberFormat="1" applyFont="1" applyAlignment="1">
      <alignment vertical="top" wrapText="1"/>
    </xf>
    <xf numFmtId="2" fontId="6" fillId="0" borderId="0" xfId="0" applyNumberFormat="1" applyFont="1" applyAlignment="1">
      <alignment vertical="top"/>
    </xf>
    <xf numFmtId="168" fontId="0" fillId="0" borderId="0" xfId="0" applyNumberFormat="1" applyAlignment="1"/>
    <xf numFmtId="164" fontId="0" fillId="0" borderId="0" xfId="0" applyNumberFormat="1" applyAlignment="1"/>
    <xf numFmtId="2" fontId="0" fillId="3" borderId="0" xfId="0" applyNumberFormat="1" applyFill="1" applyAlignment="1">
      <alignment horizontal="right" vertical="top"/>
    </xf>
    <xf numFmtId="0" fontId="0" fillId="8" borderId="0" xfId="0" applyFill="1" applyBorder="1" applyAlignment="1">
      <alignment horizontal="left"/>
    </xf>
    <xf numFmtId="0" fontId="4" fillId="0" borderId="0" xfId="0" applyFont="1" applyAlignment="1">
      <alignment horizontal="left"/>
    </xf>
    <xf numFmtId="0" fontId="13" fillId="0" borderId="0" xfId="0" applyFont="1" applyAlignment="1"/>
    <xf numFmtId="0" fontId="3" fillId="0" borderId="0" xfId="3" applyFont="1"/>
    <xf numFmtId="0" fontId="4" fillId="0" borderId="0" xfId="3"/>
    <xf numFmtId="0" fontId="4" fillId="2" borderId="0" xfId="3" applyFill="1"/>
    <xf numFmtId="169" fontId="4" fillId="2" borderId="0" xfId="3" applyNumberFormat="1" applyFill="1"/>
    <xf numFmtId="0" fontId="4" fillId="0" borderId="0" xfId="3" applyFill="1"/>
    <xf numFmtId="0" fontId="14" fillId="0" borderId="0" xfId="0" applyFont="1" applyAlignment="1"/>
    <xf numFmtId="0" fontId="4" fillId="0" borderId="0" xfId="3" applyFont="1"/>
    <xf numFmtId="0" fontId="4" fillId="8" borderId="4" xfId="3" applyFill="1" applyBorder="1"/>
    <xf numFmtId="0" fontId="4" fillId="8" borderId="8" xfId="3" applyFont="1" applyFill="1" applyBorder="1"/>
    <xf numFmtId="0" fontId="4" fillId="8" borderId="2" xfId="3" applyFill="1" applyBorder="1" applyAlignment="1">
      <alignment horizontal="right"/>
    </xf>
    <xf numFmtId="0" fontId="4" fillId="8" borderId="7" xfId="3" applyFont="1" applyFill="1" applyBorder="1"/>
    <xf numFmtId="0" fontId="4" fillId="8" borderId="3" xfId="3" applyFill="1" applyBorder="1" applyAlignment="1">
      <alignment horizontal="right"/>
    </xf>
    <xf numFmtId="2" fontId="4" fillId="0" borderId="0" xfId="3" applyNumberFormat="1"/>
    <xf numFmtId="2" fontId="3" fillId="0" borderId="0" xfId="3" applyNumberFormat="1" applyFont="1"/>
    <xf numFmtId="2" fontId="13" fillId="0" borderId="0" xfId="3" applyNumberFormat="1" applyFont="1" applyFill="1" applyAlignment="1"/>
    <xf numFmtId="168" fontId="4" fillId="2" borderId="0" xfId="3" applyNumberFormat="1" applyFill="1"/>
    <xf numFmtId="170" fontId="4" fillId="2" borderId="0" xfId="3" applyNumberFormat="1" applyFill="1"/>
    <xf numFmtId="170" fontId="3" fillId="2" borderId="0" xfId="3" applyNumberFormat="1" applyFont="1" applyFill="1"/>
    <xf numFmtId="0" fontId="3" fillId="2" borderId="0" xfId="3" applyFont="1" applyFill="1"/>
    <xf numFmtId="169" fontId="3" fillId="2" borderId="0" xfId="3" applyNumberFormat="1" applyFont="1" applyFill="1"/>
    <xf numFmtId="168" fontId="3" fillId="2" borderId="0" xfId="3" applyNumberFormat="1" applyFont="1" applyFill="1"/>
    <xf numFmtId="0" fontId="0" fillId="4" borderId="0" xfId="0" applyFill="1" applyBorder="1" applyAlignment="1">
      <alignment horizontal="left"/>
    </xf>
    <xf numFmtId="0" fontId="4" fillId="0" borderId="0" xfId="0" applyFont="1" applyFill="1" applyAlignment="1"/>
    <xf numFmtId="0" fontId="0" fillId="0" borderId="6" xfId="0" applyBorder="1"/>
    <xf numFmtId="0" fontId="4" fillId="0" borderId="0" xfId="0" applyFont="1" applyAlignment="1">
      <alignment horizontal="left" vertical="top"/>
    </xf>
    <xf numFmtId="0" fontId="4" fillId="0" borderId="0" xfId="0" applyFont="1" applyFill="1"/>
    <xf numFmtId="0" fontId="3" fillId="0" borderId="0" xfId="0" applyFont="1" applyFill="1" applyAlignment="1">
      <alignment horizontal="left"/>
    </xf>
    <xf numFmtId="1" fontId="4" fillId="8" borderId="0" xfId="0" applyNumberFormat="1" applyFont="1" applyFill="1" applyBorder="1"/>
    <xf numFmtId="1" fontId="0" fillId="8" borderId="0" xfId="0" applyNumberFormat="1" applyFill="1" applyAlignment="1">
      <alignment horizontal="right"/>
    </xf>
    <xf numFmtId="0" fontId="9" fillId="0" borderId="2" xfId="0" applyFont="1" applyBorder="1"/>
    <xf numFmtId="0" fontId="4" fillId="0" borderId="0" xfId="0" applyFont="1" applyBorder="1"/>
    <xf numFmtId="0" fontId="9" fillId="0" borderId="0" xfId="0" applyFont="1"/>
    <xf numFmtId="2" fontId="4" fillId="0" borderId="0" xfId="0" applyNumberFormat="1" applyFont="1" applyAlignment="1"/>
    <xf numFmtId="0" fontId="0" fillId="0" borderId="0" xfId="0" applyFill="1" applyBorder="1" applyAlignment="1"/>
    <xf numFmtId="1" fontId="0" fillId="2" borderId="0" xfId="0" applyNumberFormat="1" applyFill="1"/>
    <xf numFmtId="1" fontId="3" fillId="0" borderId="0" xfId="0" applyNumberFormat="1" applyFont="1" applyFill="1"/>
    <xf numFmtId="1" fontId="3" fillId="0" borderId="0" xfId="0" applyNumberFormat="1" applyFont="1"/>
    <xf numFmtId="1" fontId="4" fillId="2" borderId="0" xfId="0" applyNumberFormat="1" applyFont="1" applyFill="1"/>
    <xf numFmtId="0" fontId="16" fillId="4" borderId="0" xfId="0" applyFont="1" applyFill="1" applyBorder="1"/>
    <xf numFmtId="0" fontId="0" fillId="4" borderId="2" xfId="0" applyFill="1" applyBorder="1"/>
    <xf numFmtId="2" fontId="5" fillId="4" borderId="16" xfId="0" applyNumberFormat="1" applyFont="1" applyFill="1" applyBorder="1" applyAlignment="1">
      <alignment horizontal="center" wrapText="1"/>
    </xf>
    <xf numFmtId="2" fontId="5" fillId="4" borderId="15" xfId="0" applyNumberFormat="1" applyFont="1" applyFill="1" applyBorder="1" applyAlignment="1">
      <alignment horizontal="center" wrapText="1"/>
    </xf>
    <xf numFmtId="2" fontId="5" fillId="4" borderId="50" xfId="0" applyNumberFormat="1" applyFont="1" applyFill="1" applyBorder="1" applyAlignment="1">
      <alignment horizontal="center" wrapText="1"/>
    </xf>
    <xf numFmtId="2" fontId="5" fillId="4" borderId="7" xfId="0" applyNumberFormat="1" applyFont="1" applyFill="1" applyBorder="1" applyAlignment="1">
      <alignment horizontal="center" wrapText="1"/>
    </xf>
    <xf numFmtId="1" fontId="0" fillId="4" borderId="12" xfId="0" applyNumberFormat="1" applyFill="1" applyBorder="1"/>
    <xf numFmtId="1" fontId="0" fillId="4" borderId="5" xfId="0" applyNumberFormat="1" applyFill="1" applyBorder="1"/>
    <xf numFmtId="1" fontId="0" fillId="4" borderId="80" xfId="0" applyNumberFormat="1" applyFill="1" applyBorder="1"/>
    <xf numFmtId="1" fontId="0" fillId="4" borderId="2" xfId="0" applyNumberFormat="1" applyFill="1" applyBorder="1"/>
    <xf numFmtId="1" fontId="0" fillId="4" borderId="14" xfId="0" applyNumberFormat="1" applyFill="1" applyBorder="1"/>
    <xf numFmtId="1" fontId="0" fillId="4" borderId="7" xfId="0" applyNumberFormat="1" applyFill="1" applyBorder="1"/>
    <xf numFmtId="2" fontId="4" fillId="4" borderId="60" xfId="0" applyNumberFormat="1" applyFont="1" applyFill="1" applyBorder="1"/>
    <xf numFmtId="2" fontId="3" fillId="4" borderId="58" xfId="0" applyNumberFormat="1" applyFont="1" applyFill="1" applyBorder="1"/>
    <xf numFmtId="1" fontId="3" fillId="4" borderId="46" xfId="0" applyNumberFormat="1" applyFont="1" applyFill="1" applyBorder="1"/>
    <xf numFmtId="168" fontId="3" fillId="4" borderId="0" xfId="0" applyNumberFormat="1" applyFont="1" applyFill="1" applyBorder="1"/>
    <xf numFmtId="168" fontId="3" fillId="4" borderId="2" xfId="0" applyNumberFormat="1" applyFont="1" applyFill="1" applyBorder="1"/>
    <xf numFmtId="168" fontId="3" fillId="4" borderId="3" xfId="0" applyNumberFormat="1" applyFont="1" applyFill="1" applyBorder="1"/>
    <xf numFmtId="0" fontId="3" fillId="0" borderId="0" xfId="0" applyFont="1" applyBorder="1"/>
    <xf numFmtId="0" fontId="17" fillId="0" borderId="0" xfId="0" applyFont="1" applyAlignment="1">
      <alignment vertical="top"/>
    </xf>
    <xf numFmtId="0" fontId="0" fillId="8" borderId="5" xfId="0" applyFill="1" applyBorder="1" applyAlignment="1">
      <alignment horizontal="left"/>
    </xf>
    <xf numFmtId="0" fontId="3" fillId="2" borderId="0" xfId="0" applyFont="1" applyFill="1" applyBorder="1" applyAlignment="1"/>
    <xf numFmtId="169" fontId="0" fillId="5" borderId="0" xfId="0" applyNumberFormat="1" applyFill="1" applyAlignment="1"/>
    <xf numFmtId="169" fontId="0" fillId="2" borderId="0" xfId="0" applyNumberFormat="1" applyFill="1" applyAlignment="1"/>
    <xf numFmtId="166" fontId="0" fillId="2" borderId="0" xfId="0" applyNumberFormat="1" applyFill="1" applyAlignment="1"/>
    <xf numFmtId="165" fontId="0" fillId="2" borderId="0" xfId="0" applyNumberFormat="1" applyFill="1" applyAlignment="1"/>
    <xf numFmtId="2" fontId="0" fillId="5" borderId="0" xfId="0" applyNumberFormat="1" applyFill="1" applyAlignment="1">
      <alignment horizontal="right"/>
    </xf>
    <xf numFmtId="165" fontId="0" fillId="5" borderId="0" xfId="0" applyNumberFormat="1" applyFill="1" applyAlignment="1">
      <alignment horizontal="right"/>
    </xf>
    <xf numFmtId="169" fontId="0" fillId="2" borderId="0" xfId="0" applyNumberFormat="1" applyFill="1"/>
    <xf numFmtId="165" fontId="0" fillId="2" borderId="0" xfId="0" applyNumberFormat="1" applyFill="1"/>
    <xf numFmtId="2" fontId="4" fillId="0" borderId="0" xfId="0" applyNumberFormat="1" applyFont="1" applyAlignment="1">
      <alignment horizontal="left"/>
    </xf>
    <xf numFmtId="168" fontId="0" fillId="8" borderId="6" xfId="0" applyNumberFormat="1" applyFill="1" applyBorder="1"/>
    <xf numFmtId="168" fontId="0" fillId="8" borderId="8" xfId="0" applyNumberFormat="1" applyFill="1" applyBorder="1"/>
    <xf numFmtId="168" fontId="3" fillId="8" borderId="8" xfId="0" applyNumberFormat="1" applyFont="1" applyFill="1" applyBorder="1"/>
    <xf numFmtId="168" fontId="0" fillId="8" borderId="5" xfId="0" applyNumberFormat="1" applyFill="1" applyBorder="1"/>
    <xf numFmtId="168" fontId="3" fillId="8" borderId="14" xfId="0" applyNumberFormat="1" applyFont="1" applyFill="1" applyBorder="1"/>
    <xf numFmtId="0" fontId="0" fillId="0" borderId="7" xfId="0" applyBorder="1"/>
    <xf numFmtId="166" fontId="0" fillId="8" borderId="8" xfId="0" applyNumberFormat="1" applyFill="1" applyBorder="1"/>
    <xf numFmtId="168" fontId="0" fillId="2" borderId="2" xfId="0" applyNumberFormat="1" applyFill="1" applyBorder="1" applyAlignment="1"/>
    <xf numFmtId="168" fontId="0" fillId="2" borderId="0" xfId="0" applyNumberFormat="1" applyFill="1" applyBorder="1" applyAlignment="1"/>
    <xf numFmtId="166" fontId="0" fillId="2" borderId="0" xfId="0" applyNumberFormat="1" applyFill="1" applyBorder="1" applyAlignment="1"/>
    <xf numFmtId="166" fontId="0" fillId="2" borderId="2" xfId="0" applyNumberFormat="1" applyFill="1" applyBorder="1" applyAlignment="1"/>
    <xf numFmtId="0" fontId="0" fillId="16" borderId="6" xfId="0" applyFill="1" applyBorder="1" applyAlignment="1"/>
    <xf numFmtId="0" fontId="0" fillId="16" borderId="4" xfId="0" applyFill="1" applyBorder="1" applyAlignment="1"/>
    <xf numFmtId="0" fontId="0" fillId="16" borderId="7" xfId="0" applyFill="1" applyBorder="1" applyAlignment="1"/>
    <xf numFmtId="0" fontId="0" fillId="16" borderId="5" xfId="0" applyFill="1" applyBorder="1" applyAlignment="1"/>
    <xf numFmtId="0" fontId="0" fillId="16" borderId="3" xfId="0" applyFill="1" applyBorder="1" applyAlignment="1"/>
    <xf numFmtId="2" fontId="4" fillId="4" borderId="11" xfId="0" applyNumberFormat="1" applyFont="1" applyFill="1" applyBorder="1"/>
    <xf numFmtId="1" fontId="0" fillId="4" borderId="73" xfId="0" applyNumberFormat="1" applyFill="1" applyBorder="1"/>
    <xf numFmtId="0" fontId="0" fillId="3" borderId="0" xfId="0" applyFill="1" applyAlignment="1">
      <alignment horizontal="right"/>
    </xf>
    <xf numFmtId="0" fontId="19" fillId="0" borderId="0" xfId="0" applyFont="1" applyAlignment="1">
      <alignment vertical="top" wrapText="1"/>
    </xf>
    <xf numFmtId="172" fontId="0" fillId="3" borderId="14" xfId="1" applyNumberFormat="1" applyFont="1" applyFill="1" applyBorder="1"/>
    <xf numFmtId="0" fontId="0" fillId="5" borderId="43" xfId="0" applyFill="1" applyBorder="1"/>
    <xf numFmtId="2" fontId="3" fillId="0" borderId="0" xfId="0" applyNumberFormat="1" applyFont="1" applyAlignment="1">
      <alignment wrapText="1"/>
    </xf>
    <xf numFmtId="0" fontId="3" fillId="0" borderId="0" xfId="0" applyFont="1" applyAlignment="1">
      <alignment wrapText="1"/>
    </xf>
    <xf numFmtId="169" fontId="0" fillId="5" borderId="14" xfId="0" applyNumberFormat="1" applyFill="1" applyBorder="1"/>
    <xf numFmtId="0" fontId="0" fillId="12" borderId="17" xfId="0" applyFill="1" applyBorder="1"/>
    <xf numFmtId="0" fontId="7" fillId="7" borderId="8" xfId="2" applyFill="1" applyBorder="1" applyAlignment="1" applyProtection="1">
      <alignment horizontal="center"/>
    </xf>
    <xf numFmtId="0" fontId="7" fillId="7" borderId="2" xfId="2" applyFill="1" applyBorder="1" applyAlignment="1" applyProtection="1">
      <alignment horizontal="center"/>
    </xf>
    <xf numFmtId="0" fontId="0" fillId="17" borderId="23" xfId="0" applyFill="1" applyBorder="1"/>
    <xf numFmtId="0" fontId="0" fillId="17" borderId="6" xfId="0" applyFill="1" applyBorder="1"/>
    <xf numFmtId="0" fontId="0" fillId="17" borderId="4" xfId="0" applyFill="1" applyBorder="1"/>
    <xf numFmtId="0" fontId="0" fillId="17" borderId="8" xfId="0" applyFill="1" applyBorder="1"/>
    <xf numFmtId="0" fontId="0" fillId="17" borderId="0" xfId="0" applyFill="1" applyBorder="1"/>
    <xf numFmtId="0" fontId="0" fillId="17" borderId="2" xfId="0" applyFill="1" applyBorder="1"/>
    <xf numFmtId="0" fontId="0" fillId="17" borderId="7" xfId="0" applyFill="1" applyBorder="1"/>
    <xf numFmtId="0" fontId="0" fillId="17" borderId="5" xfId="0" applyFill="1" applyBorder="1"/>
    <xf numFmtId="0" fontId="0" fillId="17" borderId="3" xfId="0" applyFill="1" applyBorder="1"/>
    <xf numFmtId="0" fontId="0" fillId="19" borderId="14" xfId="0" applyFill="1" applyBorder="1"/>
    <xf numFmtId="0" fontId="3" fillId="4" borderId="0" xfId="0" applyFont="1" applyFill="1" applyBorder="1" applyAlignment="1">
      <alignment horizontal="center"/>
    </xf>
    <xf numFmtId="0" fontId="0" fillId="12" borderId="0" xfId="0" applyFill="1" applyBorder="1" applyAlignment="1">
      <alignment horizontal="right"/>
    </xf>
    <xf numFmtId="0" fontId="4" fillId="4" borderId="17" xfId="0" applyFont="1" applyFill="1" applyBorder="1" applyAlignment="1">
      <alignment horizontal="right"/>
    </xf>
    <xf numFmtId="0" fontId="4" fillId="4" borderId="0" xfId="0" applyFont="1" applyFill="1" applyBorder="1" applyAlignment="1">
      <alignment horizontal="right"/>
    </xf>
    <xf numFmtId="0" fontId="0" fillId="4" borderId="0" xfId="0" applyFill="1" applyBorder="1" applyAlignment="1">
      <alignment horizontal="center"/>
    </xf>
    <xf numFmtId="0" fontId="0" fillId="19" borderId="0" xfId="0" applyFill="1" applyBorder="1"/>
    <xf numFmtId="169" fontId="0" fillId="22" borderId="14" xfId="0" applyNumberFormat="1" applyFill="1" applyBorder="1"/>
    <xf numFmtId="1" fontId="0" fillId="22" borderId="14" xfId="0" applyNumberFormat="1" applyFill="1" applyBorder="1"/>
    <xf numFmtId="1" fontId="2" fillId="19" borderId="14" xfId="0" applyNumberFormat="1" applyFont="1" applyFill="1" applyBorder="1"/>
    <xf numFmtId="0" fontId="5" fillId="8" borderId="23" xfId="0" applyFont="1" applyFill="1" applyBorder="1"/>
    <xf numFmtId="170" fontId="0" fillId="2" borderId="0" xfId="0" applyNumberFormat="1" applyFill="1"/>
    <xf numFmtId="168" fontId="0" fillId="2" borderId="0" xfId="0" applyNumberFormat="1" applyFill="1"/>
    <xf numFmtId="2" fontId="13" fillId="0" borderId="0" xfId="0" applyNumberFormat="1" applyFont="1" applyFill="1" applyAlignment="1"/>
    <xf numFmtId="2" fontId="4" fillId="0" borderId="0" xfId="0" applyNumberFormat="1" applyFont="1"/>
    <xf numFmtId="2" fontId="20" fillId="0" borderId="0" xfId="0" applyNumberFormat="1" applyFont="1"/>
    <xf numFmtId="0" fontId="20" fillId="0" borderId="0" xfId="0" applyFont="1"/>
    <xf numFmtId="170" fontId="13" fillId="22" borderId="0" xfId="0" applyNumberFormat="1" applyFont="1" applyFill="1" applyAlignment="1"/>
    <xf numFmtId="0" fontId="20" fillId="0" borderId="0" xfId="0" applyFont="1" applyAlignment="1">
      <alignment vertical="top"/>
    </xf>
    <xf numFmtId="169" fontId="13" fillId="22" borderId="0" xfId="0" applyNumberFormat="1" applyFont="1" applyFill="1" applyAlignment="1"/>
    <xf numFmtId="49" fontId="20" fillId="0" borderId="0" xfId="0" applyNumberFormat="1" applyFont="1" applyAlignment="1">
      <alignment vertical="top"/>
    </xf>
    <xf numFmtId="0" fontId="20" fillId="0" borderId="0" xfId="0" applyFont="1" applyFill="1"/>
    <xf numFmtId="170" fontId="20" fillId="22" borderId="0" xfId="0" applyNumberFormat="1" applyFont="1" applyFill="1"/>
    <xf numFmtId="169" fontId="20" fillId="22" borderId="0" xfId="0" applyNumberFormat="1" applyFont="1" applyFill="1"/>
    <xf numFmtId="0" fontId="20" fillId="22" borderId="0" xfId="0" applyFont="1" applyFill="1"/>
    <xf numFmtId="0" fontId="5" fillId="16" borderId="23" xfId="0" applyFont="1" applyFill="1" applyBorder="1"/>
    <xf numFmtId="0" fontId="0" fillId="16" borderId="4" xfId="0" applyFill="1" applyBorder="1"/>
    <xf numFmtId="0" fontId="4" fillId="16" borderId="7" xfId="0" applyFont="1" applyFill="1" applyBorder="1"/>
    <xf numFmtId="0" fontId="4" fillId="16" borderId="3" xfId="0" applyFont="1" applyFill="1" applyBorder="1" applyAlignment="1">
      <alignment horizontal="right" vertical="top"/>
    </xf>
    <xf numFmtId="170" fontId="3" fillId="22" borderId="0" xfId="0" applyNumberFormat="1" applyFont="1" applyFill="1"/>
    <xf numFmtId="169" fontId="3" fillId="22" borderId="0" xfId="0" applyNumberFormat="1" applyFont="1" applyFill="1"/>
    <xf numFmtId="167" fontId="3" fillId="22" borderId="0" xfId="0" applyNumberFormat="1" applyFont="1" applyFill="1"/>
    <xf numFmtId="169" fontId="13" fillId="0" borderId="0" xfId="0" applyNumberFormat="1" applyFont="1" applyFill="1" applyAlignment="1"/>
    <xf numFmtId="169" fontId="20" fillId="0" borderId="0" xfId="0" applyNumberFormat="1" applyFont="1" applyFill="1"/>
    <xf numFmtId="169" fontId="20" fillId="0" borderId="0" xfId="0" applyNumberFormat="1" applyFont="1"/>
    <xf numFmtId="167" fontId="0" fillId="2" borderId="0" xfId="0" applyNumberFormat="1" applyFill="1"/>
    <xf numFmtId="167" fontId="0" fillId="0" borderId="0" xfId="0" applyNumberFormat="1" applyFill="1"/>
    <xf numFmtId="167" fontId="13" fillId="0" borderId="0" xfId="0" applyNumberFormat="1" applyFont="1" applyFill="1" applyAlignment="1"/>
    <xf numFmtId="167" fontId="13" fillId="22" borderId="0" xfId="0" applyNumberFormat="1" applyFont="1" applyFill="1" applyAlignment="1"/>
    <xf numFmtId="167" fontId="20" fillId="0" borderId="0" xfId="0" applyNumberFormat="1" applyFont="1" applyFill="1"/>
    <xf numFmtId="167" fontId="20" fillId="22" borderId="0" xfId="0" applyNumberFormat="1" applyFont="1" applyFill="1"/>
    <xf numFmtId="167" fontId="20" fillId="0" borderId="0" xfId="0" applyNumberFormat="1" applyFont="1"/>
    <xf numFmtId="164" fontId="0" fillId="2" borderId="0" xfId="0" applyNumberFormat="1" applyFill="1"/>
    <xf numFmtId="164" fontId="0" fillId="0" borderId="0" xfId="0" applyNumberFormat="1" applyFill="1"/>
    <xf numFmtId="164" fontId="13" fillId="0" borderId="0" xfId="0" applyNumberFormat="1" applyFont="1" applyFill="1" applyAlignment="1"/>
    <xf numFmtId="164" fontId="13" fillId="22" borderId="0" xfId="0" applyNumberFormat="1" applyFont="1" applyFill="1" applyAlignment="1"/>
    <xf numFmtId="164" fontId="20" fillId="0" borderId="0" xfId="0" applyNumberFormat="1" applyFont="1" applyFill="1"/>
    <xf numFmtId="164" fontId="20" fillId="22" borderId="0" xfId="0" applyNumberFormat="1" applyFont="1" applyFill="1"/>
    <xf numFmtId="164" fontId="20" fillId="0" borderId="0" xfId="0" applyNumberFormat="1" applyFont="1"/>
    <xf numFmtId="164" fontId="0" fillId="0" borderId="0" xfId="0" applyNumberFormat="1"/>
    <xf numFmtId="164" fontId="3" fillId="22" borderId="0" xfId="0" applyNumberFormat="1" applyFont="1" applyFill="1"/>
    <xf numFmtId="170" fontId="4" fillId="0" borderId="0" xfId="3" applyNumberFormat="1" applyFill="1"/>
    <xf numFmtId="169" fontId="4" fillId="0" borderId="0" xfId="3" applyNumberFormat="1" applyFill="1"/>
    <xf numFmtId="168" fontId="4" fillId="0" borderId="0" xfId="3" applyNumberFormat="1" applyFill="1"/>
    <xf numFmtId="1" fontId="4" fillId="8" borderId="2" xfId="0" applyNumberFormat="1" applyFont="1" applyFill="1" applyBorder="1"/>
    <xf numFmtId="2" fontId="0" fillId="3" borderId="0" xfId="0" applyNumberFormat="1" applyFill="1" applyAlignment="1">
      <alignment horizontal="right"/>
    </xf>
    <xf numFmtId="169" fontId="0" fillId="3" borderId="0" xfId="0" applyNumberFormat="1" applyFill="1" applyAlignment="1">
      <alignment horizontal="right"/>
    </xf>
    <xf numFmtId="170" fontId="0" fillId="3" borderId="0" xfId="0" applyNumberFormat="1" applyFill="1" applyAlignment="1">
      <alignment horizontal="right" vertical="top"/>
    </xf>
    <xf numFmtId="168" fontId="0" fillId="3" borderId="0" xfId="0" applyNumberFormat="1" applyFill="1" applyAlignment="1">
      <alignment horizontal="right"/>
    </xf>
    <xf numFmtId="167" fontId="0" fillId="3" borderId="0" xfId="0" applyNumberFormat="1" applyFill="1" applyAlignment="1">
      <alignment horizontal="right" vertical="top"/>
    </xf>
    <xf numFmtId="168" fontId="0" fillId="2" borderId="0" xfId="0" applyNumberFormat="1" applyFill="1" applyAlignment="1">
      <alignment horizontal="right"/>
    </xf>
    <xf numFmtId="168" fontId="0" fillId="0" borderId="0" xfId="0" applyNumberFormat="1" applyAlignment="1">
      <alignment horizontal="right"/>
    </xf>
    <xf numFmtId="168" fontId="3" fillId="2" borderId="0" xfId="0" applyNumberFormat="1" applyFont="1" applyFill="1" applyAlignment="1">
      <alignment horizontal="right"/>
    </xf>
    <xf numFmtId="1" fontId="0" fillId="2" borderId="0" xfId="0" applyNumberFormat="1" applyFill="1" applyAlignment="1">
      <alignment horizontal="right"/>
    </xf>
    <xf numFmtId="1" fontId="0" fillId="0" borderId="0" xfId="0" applyNumberFormat="1" applyAlignment="1">
      <alignment horizontal="right"/>
    </xf>
    <xf numFmtId="1" fontId="0" fillId="2" borderId="0" xfId="0" applyNumberFormat="1" applyFill="1" applyAlignment="1">
      <alignment horizontal="right" vertical="top"/>
    </xf>
    <xf numFmtId="1" fontId="3" fillId="2" borderId="0" xfId="0" applyNumberFormat="1" applyFont="1" applyFill="1" applyAlignment="1">
      <alignment horizontal="right"/>
    </xf>
    <xf numFmtId="166" fontId="0" fillId="3" borderId="0" xfId="0" applyNumberFormat="1" applyFill="1" applyAlignment="1">
      <alignment horizontal="right"/>
    </xf>
    <xf numFmtId="169" fontId="0" fillId="0" borderId="8" xfId="0" applyNumberFormat="1" applyFill="1" applyBorder="1"/>
    <xf numFmtId="169" fontId="0" fillId="0" borderId="2" xfId="0" applyNumberFormat="1" applyFill="1" applyBorder="1"/>
    <xf numFmtId="0" fontId="4" fillId="0" borderId="2" xfId="0" applyFont="1" applyFill="1" applyBorder="1"/>
    <xf numFmtId="167" fontId="0" fillId="3" borderId="0" xfId="0" applyNumberFormat="1" applyFill="1" applyAlignment="1">
      <alignment horizontal="right"/>
    </xf>
    <xf numFmtId="173" fontId="0" fillId="3" borderId="0" xfId="0" applyNumberFormat="1" applyFill="1" applyAlignment="1">
      <alignment horizontal="right"/>
    </xf>
    <xf numFmtId="165" fontId="0" fillId="3" borderId="0" xfId="0" applyNumberFormat="1" applyFill="1" applyAlignment="1">
      <alignment horizontal="right" vertical="top"/>
    </xf>
    <xf numFmtId="1" fontId="0" fillId="22" borderId="0" xfId="0" applyNumberFormat="1" applyFill="1" applyAlignment="1">
      <alignment horizontal="right"/>
    </xf>
    <xf numFmtId="0" fontId="0" fillId="19" borderId="0" xfId="0" applyFill="1" applyAlignment="1">
      <alignment horizontal="right"/>
    </xf>
    <xf numFmtId="2" fontId="5" fillId="4" borderId="73" xfId="0" applyNumberFormat="1" applyFont="1" applyFill="1" applyBorder="1" applyAlignment="1">
      <alignment horizontal="center" wrapText="1"/>
    </xf>
    <xf numFmtId="169" fontId="0" fillId="0" borderId="0" xfId="0" applyNumberFormat="1" applyAlignment="1">
      <alignment horizontal="right" vertical="top"/>
    </xf>
    <xf numFmtId="169" fontId="3" fillId="2" borderId="0" xfId="0" applyNumberFormat="1" applyFont="1" applyFill="1" applyAlignment="1">
      <alignment horizontal="right" vertical="top"/>
    </xf>
    <xf numFmtId="169" fontId="0" fillId="2" borderId="0" xfId="0" applyNumberFormat="1" applyFill="1" applyAlignment="1">
      <alignment horizontal="right" vertical="top"/>
    </xf>
    <xf numFmtId="1" fontId="0" fillId="19" borderId="14" xfId="0" applyNumberFormat="1" applyFill="1" applyBorder="1"/>
    <xf numFmtId="0" fontId="0" fillId="5" borderId="85" xfId="0" applyFill="1" applyBorder="1"/>
    <xf numFmtId="0" fontId="0" fillId="19" borderId="0" xfId="0" applyFill="1"/>
    <xf numFmtId="0" fontId="4" fillId="17" borderId="8" xfId="0" applyFont="1" applyFill="1" applyBorder="1" applyAlignment="1">
      <alignment horizontal="right"/>
    </xf>
    <xf numFmtId="0" fontId="4" fillId="17" borderId="2" xfId="0" applyFont="1" applyFill="1" applyBorder="1" applyAlignment="1">
      <alignment horizontal="left" vertical="top"/>
    </xf>
    <xf numFmtId="0" fontId="4" fillId="17" borderId="8" xfId="0" applyFont="1" applyFill="1" applyBorder="1" applyAlignment="1">
      <alignment horizontal="right" vertical="top"/>
    </xf>
    <xf numFmtId="0" fontId="4" fillId="17" borderId="2" xfId="0" applyFont="1" applyFill="1" applyBorder="1"/>
    <xf numFmtId="0" fontId="0" fillId="5" borderId="74" xfId="0" applyFill="1" applyBorder="1"/>
    <xf numFmtId="0" fontId="0" fillId="5" borderId="86" xfId="0" applyFill="1" applyBorder="1"/>
    <xf numFmtId="0" fontId="0" fillId="5" borderId="87" xfId="0" applyFill="1" applyBorder="1"/>
    <xf numFmtId="0" fontId="0" fillId="5" borderId="88" xfId="0" applyFill="1" applyBorder="1"/>
    <xf numFmtId="0" fontId="0" fillId="5" borderId="89" xfId="0" applyFill="1" applyBorder="1"/>
    <xf numFmtId="0" fontId="0" fillId="19" borderId="2" xfId="0" applyFill="1" applyBorder="1"/>
    <xf numFmtId="0" fontId="4" fillId="6" borderId="8" xfId="0" applyFont="1" applyFill="1" applyBorder="1" applyAlignment="1">
      <alignment horizontal="right"/>
    </xf>
    <xf numFmtId="169" fontId="4" fillId="22" borderId="14" xfId="0" applyNumberFormat="1" applyFont="1" applyFill="1" applyBorder="1"/>
    <xf numFmtId="0" fontId="0" fillId="22" borderId="14" xfId="0" applyFill="1" applyBorder="1"/>
    <xf numFmtId="0" fontId="4" fillId="17" borderId="0" xfId="0" applyFont="1" applyFill="1" applyBorder="1" applyAlignment="1">
      <alignment horizontal="right"/>
    </xf>
    <xf numFmtId="0" fontId="4" fillId="12" borderId="0" xfId="0" applyFont="1" applyFill="1" applyBorder="1" applyAlignment="1">
      <alignment horizontal="right"/>
    </xf>
    <xf numFmtId="0" fontId="3" fillId="4" borderId="0" xfId="0" applyFont="1" applyFill="1" applyBorder="1" applyAlignment="1">
      <alignment horizontal="center"/>
    </xf>
    <xf numFmtId="0" fontId="4" fillId="6" borderId="8" xfId="0" applyFont="1" applyFill="1" applyBorder="1" applyAlignment="1">
      <alignment horizontal="right"/>
    </xf>
    <xf numFmtId="0" fontId="0" fillId="6" borderId="0" xfId="0" applyFill="1" applyBorder="1" applyAlignment="1">
      <alignment horizontal="right"/>
    </xf>
    <xf numFmtId="0" fontId="0" fillId="12" borderId="0" xfId="0" applyFill="1" applyBorder="1" applyAlignment="1">
      <alignment horizontal="right"/>
    </xf>
    <xf numFmtId="0" fontId="4" fillId="4" borderId="0" xfId="0" applyFont="1" applyFill="1" applyBorder="1" applyAlignment="1">
      <alignment horizontal="right"/>
    </xf>
    <xf numFmtId="0" fontId="3" fillId="4" borderId="18" xfId="0" applyFont="1" applyFill="1" applyBorder="1" applyAlignment="1">
      <alignment horizontal="center"/>
    </xf>
    <xf numFmtId="0" fontId="3" fillId="4" borderId="17" xfId="0" applyFont="1" applyFill="1" applyBorder="1" applyAlignment="1">
      <alignment horizontal="center"/>
    </xf>
    <xf numFmtId="0" fontId="4" fillId="6" borderId="0" xfId="0" applyFont="1" applyFill="1" applyBorder="1" applyAlignment="1">
      <alignment horizontal="right"/>
    </xf>
    <xf numFmtId="0" fontId="0" fillId="6" borderId="8" xfId="0" applyFill="1" applyBorder="1" applyAlignment="1">
      <alignment horizontal="right"/>
    </xf>
    <xf numFmtId="0" fontId="0" fillId="19" borderId="0" xfId="0" applyFill="1" applyBorder="1" applyAlignment="1">
      <alignment horizontal="center"/>
    </xf>
    <xf numFmtId="0" fontId="0" fillId="19" borderId="4" xfId="0" applyFill="1" applyBorder="1"/>
    <xf numFmtId="0" fontId="0" fillId="12" borderId="18" xfId="0" applyFill="1" applyBorder="1"/>
    <xf numFmtId="0" fontId="4" fillId="12" borderId="18" xfId="0" applyFont="1" applyFill="1" applyBorder="1"/>
    <xf numFmtId="0" fontId="0" fillId="12" borderId="18" xfId="0" applyFill="1" applyBorder="1" applyAlignment="1">
      <alignment horizontal="right"/>
    </xf>
    <xf numFmtId="0" fontId="4" fillId="4" borderId="18" xfId="0" applyFont="1" applyFill="1" applyBorder="1" applyAlignment="1">
      <alignment horizontal="left"/>
    </xf>
    <xf numFmtId="0" fontId="4" fillId="0" borderId="18" xfId="0" applyFont="1" applyBorder="1"/>
    <xf numFmtId="169" fontId="4" fillId="22" borderId="14" xfId="0" applyNumberFormat="1" applyFont="1" applyFill="1" applyBorder="1" applyAlignment="1">
      <alignment horizontal="right"/>
    </xf>
    <xf numFmtId="0" fontId="4" fillId="6" borderId="5" xfId="0" applyFont="1" applyFill="1" applyBorder="1" applyAlignment="1">
      <alignment horizontal="right"/>
    </xf>
    <xf numFmtId="0" fontId="4" fillId="6" borderId="3" xfId="0" applyFont="1" applyFill="1" applyBorder="1" applyAlignment="1">
      <alignment horizontal="left"/>
    </xf>
    <xf numFmtId="0" fontId="3" fillId="4" borderId="18" xfId="0" applyFont="1" applyFill="1" applyBorder="1" applyAlignment="1">
      <alignment horizontal="center"/>
    </xf>
    <xf numFmtId="0" fontId="0" fillId="5" borderId="12" xfId="0" applyFill="1" applyBorder="1"/>
    <xf numFmtId="0" fontId="0" fillId="5" borderId="92" xfId="0" applyFill="1" applyBorder="1"/>
    <xf numFmtId="0" fontId="0" fillId="5" borderId="93" xfId="0" applyFill="1" applyBorder="1"/>
    <xf numFmtId="0" fontId="4" fillId="19" borderId="0" xfId="0" applyFont="1" applyFill="1" applyBorder="1" applyAlignment="1">
      <alignment vertical="center"/>
    </xf>
    <xf numFmtId="0" fontId="0" fillId="19" borderId="0" xfId="0" applyFill="1" applyBorder="1" applyAlignment="1">
      <alignment vertical="center"/>
    </xf>
    <xf numFmtId="0" fontId="0" fillId="17" borderId="12" xfId="0" applyFill="1" applyBorder="1"/>
    <xf numFmtId="0" fontId="0" fillId="17" borderId="41" xfId="0" applyFill="1" applyBorder="1"/>
    <xf numFmtId="0" fontId="0" fillId="17" borderId="42" xfId="0" applyFill="1" applyBorder="1" applyAlignment="1">
      <alignment horizontal="center" vertical="center"/>
    </xf>
    <xf numFmtId="0" fontId="0" fillId="19" borderId="6" xfId="0" applyFill="1" applyBorder="1"/>
    <xf numFmtId="0" fontId="0" fillId="17" borderId="8" xfId="0" applyFill="1" applyBorder="1" applyAlignment="1">
      <alignment horizontal="right"/>
    </xf>
    <xf numFmtId="0" fontId="0" fillId="5" borderId="45" xfId="0" applyFill="1" applyBorder="1"/>
    <xf numFmtId="0" fontId="3" fillId="5" borderId="38" xfId="0" applyFont="1" applyFill="1" applyBorder="1" applyAlignment="1">
      <alignment horizontal="left"/>
    </xf>
    <xf numFmtId="0" fontId="4" fillId="6" borderId="8" xfId="0" applyFont="1" applyFill="1" applyBorder="1" applyAlignment="1">
      <alignment horizontal="right"/>
    </xf>
    <xf numFmtId="0" fontId="0" fillId="4" borderId="17" xfId="0" applyFill="1" applyBorder="1" applyAlignment="1">
      <alignment horizontal="right"/>
    </xf>
    <xf numFmtId="0" fontId="0" fillId="6" borderId="0" xfId="0" applyFill="1" applyBorder="1" applyAlignment="1">
      <alignment horizontal="right"/>
    </xf>
    <xf numFmtId="0" fontId="4" fillId="4" borderId="17" xfId="0" applyFont="1" applyFill="1" applyBorder="1" applyAlignment="1">
      <alignment horizontal="right"/>
    </xf>
    <xf numFmtId="0" fontId="0" fillId="6" borderId="8" xfId="0" applyFill="1" applyBorder="1" applyAlignment="1">
      <alignment horizontal="right"/>
    </xf>
    <xf numFmtId="0" fontId="0" fillId="6" borderId="7" xfId="0" applyFill="1" applyBorder="1" applyAlignment="1">
      <alignment horizontal="right"/>
    </xf>
    <xf numFmtId="0" fontId="0" fillId="12" borderId="9" xfId="0" applyFill="1" applyBorder="1"/>
    <xf numFmtId="0" fontId="0" fillId="12" borderId="16" xfId="0" applyFill="1" applyBorder="1"/>
    <xf numFmtId="0" fontId="0" fillId="5" borderId="94" xfId="0" applyFill="1" applyBorder="1"/>
    <xf numFmtId="0" fontId="3" fillId="5" borderId="38" xfId="0" applyFont="1" applyFill="1" applyBorder="1"/>
    <xf numFmtId="0" fontId="5" fillId="8" borderId="23" xfId="3" applyFont="1" applyFill="1" applyBorder="1"/>
    <xf numFmtId="0" fontId="5" fillId="16" borderId="23" xfId="0" applyFont="1" applyFill="1" applyBorder="1" applyAlignment="1"/>
    <xf numFmtId="168" fontId="5" fillId="8" borderId="23" xfId="0" applyNumberFormat="1" applyFont="1" applyFill="1" applyBorder="1"/>
    <xf numFmtId="0" fontId="4" fillId="6" borderId="2" xfId="0" applyFont="1" applyFill="1" applyBorder="1" applyAlignment="1">
      <alignment horizontal="right"/>
    </xf>
    <xf numFmtId="2" fontId="0" fillId="19" borderId="0" xfId="0" applyNumberFormat="1" applyFill="1" applyAlignment="1">
      <alignment vertical="top"/>
    </xf>
    <xf numFmtId="2" fontId="0" fillId="19" borderId="0" xfId="0" applyNumberFormat="1" applyFill="1" applyAlignment="1"/>
    <xf numFmtId="0" fontId="0" fillId="16" borderId="2" xfId="0" applyFill="1" applyBorder="1" applyAlignment="1"/>
    <xf numFmtId="0" fontId="4" fillId="16" borderId="8" xfId="0" applyFont="1" applyFill="1" applyBorder="1" applyAlignment="1"/>
    <xf numFmtId="0" fontId="4" fillId="16" borderId="0" xfId="0" applyFont="1" applyFill="1" applyBorder="1" applyAlignment="1"/>
    <xf numFmtId="169" fontId="0" fillId="2" borderId="0" xfId="0" applyNumberFormat="1" applyFill="1" applyAlignment="1">
      <alignment horizontal="right"/>
    </xf>
    <xf numFmtId="169" fontId="0" fillId="0" borderId="0" xfId="0" applyNumberFormat="1" applyAlignment="1">
      <alignment horizontal="right"/>
    </xf>
    <xf numFmtId="169" fontId="0" fillId="0" borderId="0" xfId="0" applyNumberFormat="1" applyFill="1" applyAlignment="1">
      <alignment horizontal="right"/>
    </xf>
    <xf numFmtId="169" fontId="0" fillId="22" borderId="0" xfId="0" applyNumberFormat="1" applyFill="1" applyAlignment="1">
      <alignment horizontal="right"/>
    </xf>
    <xf numFmtId="169" fontId="3" fillId="22" borderId="0" xfId="0" applyNumberFormat="1" applyFont="1" applyFill="1" applyAlignment="1">
      <alignment horizontal="right"/>
    </xf>
    <xf numFmtId="168" fontId="0" fillId="2" borderId="0" xfId="0" applyNumberFormat="1" applyFill="1" applyAlignment="1"/>
    <xf numFmtId="168" fontId="0" fillId="2" borderId="0" xfId="0" applyNumberFormat="1" applyFill="1" applyAlignment="1">
      <alignment vertical="top"/>
    </xf>
    <xf numFmtId="168" fontId="0" fillId="0" borderId="0" xfId="0" applyNumberFormat="1" applyAlignment="1">
      <alignment vertical="top"/>
    </xf>
    <xf numFmtId="168" fontId="3" fillId="2" borderId="0" xfId="0" applyNumberFormat="1" applyFont="1" applyFill="1" applyAlignment="1">
      <alignment vertical="top"/>
    </xf>
    <xf numFmtId="168" fontId="0" fillId="22" borderId="0" xfId="0" applyNumberFormat="1" applyFill="1" applyAlignment="1"/>
    <xf numFmtId="168" fontId="3" fillId="22" borderId="0" xfId="0" applyNumberFormat="1" applyFont="1" applyFill="1" applyAlignment="1"/>
    <xf numFmtId="165" fontId="0" fillId="2" borderId="0" xfId="0" applyNumberFormat="1" applyFill="1" applyAlignment="1">
      <alignment vertical="top"/>
    </xf>
    <xf numFmtId="165" fontId="0" fillId="0" borderId="0" xfId="0" applyNumberFormat="1" applyAlignment="1">
      <alignment vertical="top"/>
    </xf>
    <xf numFmtId="165" fontId="3" fillId="2" borderId="0" xfId="0" applyNumberFormat="1" applyFont="1" applyFill="1" applyAlignment="1">
      <alignment vertical="top"/>
    </xf>
    <xf numFmtId="165" fontId="0" fillId="0" borderId="0" xfId="0" applyNumberFormat="1" applyAlignment="1"/>
    <xf numFmtId="165" fontId="0" fillId="22" borderId="0" xfId="0" applyNumberFormat="1" applyFill="1" applyAlignment="1"/>
    <xf numFmtId="164" fontId="0" fillId="2" borderId="0" xfId="0" applyNumberFormat="1" applyFill="1" applyAlignment="1"/>
    <xf numFmtId="164" fontId="0" fillId="2" borderId="0" xfId="0" applyNumberFormat="1" applyFill="1" applyAlignment="1">
      <alignment vertical="top"/>
    </xf>
    <xf numFmtId="164" fontId="0" fillId="0" borderId="0" xfId="0" applyNumberFormat="1" applyAlignment="1">
      <alignment vertical="top"/>
    </xf>
    <xf numFmtId="164" fontId="3" fillId="2" borderId="0" xfId="0" applyNumberFormat="1" applyFont="1" applyFill="1" applyAlignment="1">
      <alignment vertical="top"/>
    </xf>
    <xf numFmtId="164" fontId="0" fillId="22" borderId="0" xfId="0" applyNumberFormat="1" applyFill="1" applyAlignment="1"/>
    <xf numFmtId="164" fontId="3" fillId="22" borderId="0" xfId="0" applyNumberFormat="1" applyFont="1" applyFill="1" applyAlignment="1"/>
    <xf numFmtId="165" fontId="3" fillId="22" borderId="0" xfId="0" applyNumberFormat="1" applyFont="1" applyFill="1" applyAlignment="1"/>
    <xf numFmtId="0" fontId="0" fillId="17" borderId="6" xfId="0" applyFill="1" applyBorder="1" applyAlignment="1">
      <alignment horizontal="center"/>
    </xf>
    <xf numFmtId="1" fontId="2" fillId="17" borderId="6" xfId="0" applyNumberFormat="1" applyFont="1" applyFill="1" applyBorder="1"/>
    <xf numFmtId="0" fontId="0" fillId="17" borderId="0" xfId="0" applyFill="1" applyBorder="1" applyAlignment="1">
      <alignment horizontal="center"/>
    </xf>
    <xf numFmtId="0" fontId="0" fillId="17" borderId="5" xfId="0" applyFill="1" applyBorder="1" applyAlignment="1">
      <alignment horizontal="center"/>
    </xf>
    <xf numFmtId="1" fontId="2" fillId="17" borderId="5" xfId="0" applyNumberFormat="1" applyFont="1" applyFill="1" applyBorder="1"/>
    <xf numFmtId="0" fontId="0" fillId="17" borderId="0" xfId="0" applyFill="1" applyBorder="1" applyAlignment="1">
      <alignment horizontal="right"/>
    </xf>
    <xf numFmtId="2" fontId="4" fillId="0" borderId="0" xfId="0" applyNumberFormat="1" applyFont="1" applyAlignment="1">
      <alignment vertical="top"/>
    </xf>
    <xf numFmtId="1" fontId="0" fillId="8" borderId="0" xfId="0" applyNumberFormat="1" applyFill="1" applyAlignment="1">
      <alignment vertical="top"/>
    </xf>
    <xf numFmtId="169" fontId="3" fillId="2" borderId="0" xfId="0" applyNumberFormat="1" applyFont="1" applyFill="1" applyAlignment="1">
      <alignment horizontal="right"/>
    </xf>
    <xf numFmtId="173" fontId="0" fillId="3" borderId="0" xfId="0" applyNumberFormat="1" applyFill="1" applyAlignment="1">
      <alignment horizontal="right" vertical="top"/>
    </xf>
    <xf numFmtId="2" fontId="0" fillId="0" borderId="0" xfId="0" applyNumberFormat="1" applyFill="1" applyAlignment="1">
      <alignment horizontal="right" vertical="top"/>
    </xf>
    <xf numFmtId="168" fontId="3" fillId="2" borderId="0" xfId="0" applyNumberFormat="1" applyFont="1" applyFill="1" applyAlignment="1"/>
    <xf numFmtId="168" fontId="3" fillId="2" borderId="0" xfId="0" applyNumberFormat="1" applyFont="1" applyFill="1"/>
    <xf numFmtId="170" fontId="0" fillId="3" borderId="0" xfId="0" applyNumberFormat="1" applyFill="1" applyAlignment="1">
      <alignment horizontal="right"/>
    </xf>
    <xf numFmtId="164" fontId="0" fillId="3" borderId="0" xfId="0" applyNumberFormat="1" applyFill="1" applyAlignment="1">
      <alignment horizontal="right"/>
    </xf>
    <xf numFmtId="2" fontId="0" fillId="2" borderId="0" xfId="0" applyNumberFormat="1" applyFill="1" applyAlignment="1">
      <alignment horizontal="right"/>
    </xf>
    <xf numFmtId="2" fontId="0" fillId="0" borderId="0" xfId="0" applyNumberFormat="1" applyAlignment="1">
      <alignment horizontal="right"/>
    </xf>
    <xf numFmtId="2" fontId="3" fillId="2" borderId="0" xfId="0" applyNumberFormat="1" applyFont="1" applyFill="1" applyAlignment="1">
      <alignment horizontal="right"/>
    </xf>
    <xf numFmtId="165" fontId="0" fillId="2" borderId="0" xfId="0" applyNumberFormat="1" applyFill="1" applyAlignment="1">
      <alignment horizontal="right"/>
    </xf>
    <xf numFmtId="165" fontId="0" fillId="0" borderId="0" xfId="0" applyNumberFormat="1" applyAlignment="1">
      <alignment horizontal="right"/>
    </xf>
    <xf numFmtId="165" fontId="3" fillId="2" borderId="0" xfId="0" applyNumberFormat="1" applyFont="1" applyFill="1" applyAlignment="1">
      <alignment horizontal="right"/>
    </xf>
    <xf numFmtId="164" fontId="0" fillId="2" borderId="0" xfId="0" applyNumberFormat="1" applyFill="1" applyAlignment="1">
      <alignment horizontal="right"/>
    </xf>
    <xf numFmtId="164" fontId="0" fillId="0" borderId="0" xfId="0" applyNumberFormat="1" applyAlignment="1">
      <alignment horizontal="right"/>
    </xf>
    <xf numFmtId="164" fontId="3" fillId="2" borderId="0" xfId="0" applyNumberFormat="1" applyFont="1" applyFill="1" applyAlignment="1">
      <alignment horizontal="right"/>
    </xf>
    <xf numFmtId="171" fontId="0" fillId="3" borderId="0" xfId="0" applyNumberFormat="1" applyFill="1" applyAlignment="1">
      <alignment horizontal="right"/>
    </xf>
    <xf numFmtId="173" fontId="0" fillId="2" borderId="0" xfId="0" applyNumberFormat="1" applyFill="1" applyAlignment="1">
      <alignment horizontal="right"/>
    </xf>
    <xf numFmtId="173" fontId="0" fillId="0" borderId="0" xfId="0" applyNumberFormat="1" applyAlignment="1">
      <alignment horizontal="right"/>
    </xf>
    <xf numFmtId="173" fontId="3" fillId="2" borderId="0" xfId="0" applyNumberFormat="1" applyFont="1" applyFill="1" applyAlignment="1">
      <alignment horizontal="right"/>
    </xf>
    <xf numFmtId="174" fontId="0" fillId="3" borderId="0" xfId="0" applyNumberFormat="1" applyFill="1" applyAlignment="1">
      <alignment horizontal="right"/>
    </xf>
    <xf numFmtId="171" fontId="0" fillId="2" borderId="0" xfId="0" applyNumberFormat="1" applyFill="1" applyAlignment="1">
      <alignment horizontal="right"/>
    </xf>
    <xf numFmtId="171" fontId="0" fillId="0" borderId="0" xfId="0" applyNumberFormat="1" applyAlignment="1">
      <alignment horizontal="right"/>
    </xf>
    <xf numFmtId="171" fontId="3" fillId="2" borderId="0" xfId="0" applyNumberFormat="1" applyFont="1" applyFill="1" applyAlignment="1">
      <alignment horizontal="right"/>
    </xf>
    <xf numFmtId="170" fontId="0" fillId="2" borderId="0" xfId="0" applyNumberFormat="1" applyFill="1" applyAlignment="1">
      <alignment horizontal="right" vertical="top"/>
    </xf>
    <xf numFmtId="170" fontId="0" fillId="2" borderId="0" xfId="0" applyNumberFormat="1" applyFill="1" applyAlignment="1">
      <alignment horizontal="right"/>
    </xf>
    <xf numFmtId="170" fontId="0" fillId="0" borderId="0" xfId="0" applyNumberFormat="1" applyAlignment="1">
      <alignment horizontal="right"/>
    </xf>
    <xf numFmtId="170" fontId="3" fillId="2" borderId="0" xfId="0" applyNumberFormat="1" applyFont="1" applyFill="1" applyAlignment="1">
      <alignment horizontal="right"/>
    </xf>
    <xf numFmtId="2" fontId="0" fillId="2" borderId="0" xfId="0" applyNumberFormat="1" applyFill="1" applyAlignment="1">
      <alignment horizontal="right" vertical="top"/>
    </xf>
    <xf numFmtId="169" fontId="0" fillId="5" borderId="0" xfId="0" applyNumberFormat="1" applyFill="1" applyAlignment="1">
      <alignment horizontal="right"/>
    </xf>
    <xf numFmtId="164" fontId="0" fillId="5" borderId="0" xfId="0" applyNumberFormat="1" applyFill="1" applyAlignment="1">
      <alignment horizontal="right"/>
    </xf>
    <xf numFmtId="174" fontId="0" fillId="3" borderId="0" xfId="0" applyNumberFormat="1" applyFill="1" applyAlignment="1">
      <alignment horizontal="right" vertical="top"/>
    </xf>
    <xf numFmtId="1" fontId="0" fillId="8" borderId="0" xfId="0" applyNumberFormat="1" applyFill="1" applyAlignment="1">
      <alignment horizontal="right" vertical="top"/>
    </xf>
    <xf numFmtId="0" fontId="0" fillId="8" borderId="0" xfId="0" applyFill="1" applyAlignment="1">
      <alignment horizontal="right" vertical="top"/>
    </xf>
    <xf numFmtId="0" fontId="0" fillId="16" borderId="0" xfId="0" applyFill="1" applyBorder="1" applyAlignment="1"/>
    <xf numFmtId="0" fontId="0" fillId="16" borderId="0" xfId="0" applyFill="1" applyBorder="1"/>
    <xf numFmtId="0" fontId="0" fillId="16" borderId="2" xfId="0" applyFill="1" applyBorder="1"/>
    <xf numFmtId="0" fontId="0" fillId="16" borderId="5" xfId="0" applyFill="1" applyBorder="1"/>
    <xf numFmtId="0" fontId="0" fillId="16" borderId="3" xfId="0" applyFill="1" applyBorder="1"/>
    <xf numFmtId="168" fontId="0" fillId="19" borderId="0" xfId="0" applyNumberFormat="1" applyFill="1" applyBorder="1"/>
    <xf numFmtId="1" fontId="0" fillId="19" borderId="0" xfId="0" applyNumberFormat="1" applyFill="1" applyBorder="1"/>
    <xf numFmtId="170" fontId="0" fillId="8" borderId="0" xfId="0" applyNumberFormat="1" applyFill="1" applyBorder="1"/>
    <xf numFmtId="170" fontId="0" fillId="16" borderId="0" xfId="0" applyNumberFormat="1" applyFill="1" applyBorder="1"/>
    <xf numFmtId="169" fontId="0" fillId="8" borderId="0" xfId="0" applyNumberFormat="1" applyFill="1"/>
    <xf numFmtId="169" fontId="0" fillId="0" borderId="39" xfId="0" applyNumberFormat="1" applyBorder="1"/>
    <xf numFmtId="169" fontId="0" fillId="0" borderId="40" xfId="0" applyNumberFormat="1" applyBorder="1"/>
    <xf numFmtId="169" fontId="0" fillId="8" borderId="0" xfId="0" applyNumberFormat="1" applyFill="1" applyBorder="1"/>
    <xf numFmtId="169" fontId="0" fillId="2" borderId="8" xfId="0" applyNumberFormat="1" applyFill="1" applyBorder="1" applyAlignment="1"/>
    <xf numFmtId="169" fontId="0" fillId="2" borderId="2" xfId="0" applyNumberFormat="1" applyFill="1" applyBorder="1" applyAlignment="1"/>
    <xf numFmtId="165" fontId="0" fillId="8" borderId="8" xfId="0" applyNumberFormat="1" applyFill="1" applyBorder="1"/>
    <xf numFmtId="165" fontId="0" fillId="8" borderId="2" xfId="0" applyNumberFormat="1" applyFill="1" applyBorder="1"/>
    <xf numFmtId="165" fontId="0" fillId="8" borderId="0" xfId="0" applyNumberFormat="1" applyFill="1"/>
    <xf numFmtId="165" fontId="0" fillId="0" borderId="39" xfId="0" applyNumberFormat="1" applyBorder="1"/>
    <xf numFmtId="165" fontId="0" fillId="0" borderId="40" xfId="0" applyNumberFormat="1" applyBorder="1"/>
    <xf numFmtId="165" fontId="0" fillId="0" borderId="0" xfId="0" applyNumberFormat="1"/>
    <xf numFmtId="165" fontId="0" fillId="0" borderId="2" xfId="0" applyNumberFormat="1" applyBorder="1"/>
    <xf numFmtId="165" fontId="0" fillId="2" borderId="0" xfId="0" applyNumberFormat="1" applyFill="1" applyBorder="1" applyAlignment="1"/>
    <xf numFmtId="165" fontId="0" fillId="2" borderId="2" xfId="0" applyNumberFormat="1" applyFill="1" applyBorder="1" applyAlignment="1"/>
    <xf numFmtId="168" fontId="0" fillId="22" borderId="0" xfId="0" applyNumberFormat="1" applyFill="1" applyBorder="1"/>
    <xf numFmtId="0" fontId="4" fillId="2" borderId="8" xfId="0" applyFont="1" applyFill="1" applyBorder="1" applyAlignment="1"/>
    <xf numFmtId="0" fontId="4" fillId="16" borderId="7" xfId="0" applyFont="1" applyFill="1" applyBorder="1" applyAlignment="1"/>
    <xf numFmtId="1" fontId="0" fillId="8" borderId="0" xfId="0" applyNumberFormat="1" applyFill="1" applyBorder="1"/>
    <xf numFmtId="169" fontId="0" fillId="22" borderId="0" xfId="0" applyNumberFormat="1" applyFill="1" applyBorder="1"/>
    <xf numFmtId="1" fontId="0" fillId="22" borderId="0" xfId="0" applyNumberFormat="1" applyFill="1" applyBorder="1"/>
    <xf numFmtId="1" fontId="0" fillId="22" borderId="5" xfId="0" applyNumberFormat="1" applyFill="1" applyBorder="1"/>
    <xf numFmtId="169" fontId="0" fillId="22" borderId="2" xfId="0" applyNumberFormat="1" applyFill="1" applyBorder="1"/>
    <xf numFmtId="168" fontId="0" fillId="22" borderId="2" xfId="0" applyNumberFormat="1" applyFill="1" applyBorder="1"/>
    <xf numFmtId="166" fontId="0" fillId="22" borderId="0" xfId="0" applyNumberFormat="1" applyFill="1"/>
    <xf numFmtId="166" fontId="0" fillId="22" borderId="2" xfId="0" applyNumberFormat="1" applyFill="1" applyBorder="1"/>
    <xf numFmtId="165" fontId="0" fillId="22" borderId="0" xfId="0" applyNumberFormat="1" applyFill="1"/>
    <xf numFmtId="165" fontId="0" fillId="22" borderId="2" xfId="0" applyNumberFormat="1" applyFill="1" applyBorder="1"/>
    <xf numFmtId="0" fontId="4" fillId="22" borderId="14" xfId="0" applyFont="1" applyFill="1" applyBorder="1" applyAlignment="1">
      <alignment horizontal="right" vertical="center"/>
    </xf>
    <xf numFmtId="167" fontId="0" fillId="2" borderId="0" xfId="0" applyNumberFormat="1" applyFill="1" applyAlignment="1">
      <alignment horizontal="right"/>
    </xf>
    <xf numFmtId="167" fontId="3" fillId="2" borderId="0" xfId="0" applyNumberFormat="1" applyFont="1" applyFill="1" applyAlignment="1">
      <alignment horizontal="right"/>
    </xf>
    <xf numFmtId="166" fontId="0" fillId="2" borderId="0" xfId="0" applyNumberFormat="1" applyFill="1" applyAlignment="1">
      <alignment horizontal="right"/>
    </xf>
    <xf numFmtId="166" fontId="3" fillId="2" borderId="0" xfId="0" applyNumberFormat="1" applyFont="1" applyFill="1" applyAlignment="1">
      <alignment horizontal="right"/>
    </xf>
    <xf numFmtId="1" fontId="4" fillId="8" borderId="0" xfId="0" applyNumberFormat="1" applyFont="1" applyFill="1" applyBorder="1" applyAlignment="1">
      <alignment horizontal="right"/>
    </xf>
    <xf numFmtId="169" fontId="0" fillId="8" borderId="0" xfId="0" applyNumberFormat="1" applyFill="1" applyAlignment="1">
      <alignment horizontal="right"/>
    </xf>
    <xf numFmtId="167" fontId="0" fillId="0" borderId="0" xfId="0" applyNumberFormat="1" applyAlignment="1">
      <alignment horizontal="right"/>
    </xf>
    <xf numFmtId="166" fontId="0" fillId="0" borderId="0" xfId="0" applyNumberFormat="1" applyAlignment="1">
      <alignment horizontal="right"/>
    </xf>
    <xf numFmtId="166" fontId="0" fillId="8" borderId="0" xfId="0" applyNumberFormat="1" applyFill="1" applyAlignment="1">
      <alignment horizontal="right"/>
    </xf>
    <xf numFmtId="1" fontId="4" fillId="2" borderId="0" xfId="0" applyNumberFormat="1" applyFont="1" applyFill="1" applyAlignment="1">
      <alignment horizontal="right"/>
    </xf>
    <xf numFmtId="1" fontId="4" fillId="0" borderId="0" xfId="0" applyNumberFormat="1" applyFont="1" applyAlignment="1">
      <alignment horizontal="right"/>
    </xf>
    <xf numFmtId="168" fontId="4" fillId="0" borderId="0" xfId="0" applyNumberFormat="1" applyFont="1" applyAlignment="1">
      <alignment horizontal="right"/>
    </xf>
    <xf numFmtId="167" fontId="4" fillId="2" borderId="0" xfId="0" applyNumberFormat="1" applyFont="1" applyFill="1" applyAlignment="1">
      <alignment horizontal="right"/>
    </xf>
    <xf numFmtId="167" fontId="4" fillId="0" borderId="0" xfId="0" applyNumberFormat="1" applyFont="1" applyAlignment="1">
      <alignment horizontal="right"/>
    </xf>
    <xf numFmtId="1" fontId="4" fillId="8" borderId="0" xfId="0" applyNumberFormat="1" applyFont="1" applyFill="1" applyAlignment="1">
      <alignment horizontal="right"/>
    </xf>
    <xf numFmtId="165" fontId="0" fillId="8" borderId="0" xfId="0" applyNumberFormat="1" applyFill="1" applyAlignment="1">
      <alignment horizontal="right"/>
    </xf>
    <xf numFmtId="170" fontId="0" fillId="8" borderId="0" xfId="0" applyNumberFormat="1" applyFill="1" applyAlignment="1">
      <alignment horizontal="right"/>
    </xf>
    <xf numFmtId="0" fontId="0" fillId="5" borderId="17" xfId="0" applyFill="1" applyBorder="1"/>
    <xf numFmtId="1" fontId="0" fillId="8" borderId="0" xfId="0" applyNumberFormat="1" applyFill="1"/>
    <xf numFmtId="172" fontId="0" fillId="2" borderId="14" xfId="1" applyNumberFormat="1" applyFont="1" applyFill="1" applyBorder="1"/>
    <xf numFmtId="172" fontId="0" fillId="5" borderId="14" xfId="1" applyNumberFormat="1" applyFont="1" applyFill="1" applyBorder="1"/>
    <xf numFmtId="172" fontId="0" fillId="8" borderId="3" xfId="1" applyNumberFormat="1" applyFont="1" applyFill="1" applyBorder="1"/>
    <xf numFmtId="172" fontId="0" fillId="8" borderId="2" xfId="1" applyNumberFormat="1" applyFont="1" applyFill="1" applyBorder="1"/>
    <xf numFmtId="172" fontId="4" fillId="8" borderId="2" xfId="1" applyNumberFormat="1" applyFont="1" applyFill="1" applyBorder="1"/>
    <xf numFmtId="172" fontId="0" fillId="19" borderId="14" xfId="1" applyNumberFormat="1" applyFont="1" applyFill="1" applyBorder="1"/>
    <xf numFmtId="2" fontId="6" fillId="0" borderId="6" xfId="0" applyNumberFormat="1" applyFont="1" applyBorder="1" applyAlignment="1">
      <alignment horizontal="right"/>
    </xf>
    <xf numFmtId="0" fontId="6" fillId="0" borderId="44" xfId="0" applyFont="1" applyBorder="1"/>
    <xf numFmtId="0" fontId="0" fillId="16" borderId="4" xfId="0" applyFill="1" applyBorder="1" applyAlignment="1">
      <alignment horizontal="left"/>
    </xf>
    <xf numFmtId="0" fontId="4" fillId="16" borderId="4" xfId="0" applyFont="1" applyFill="1" applyBorder="1" applyAlignment="1">
      <alignment horizontal="left"/>
    </xf>
    <xf numFmtId="0" fontId="4" fillId="16" borderId="3" xfId="0" applyFont="1" applyFill="1" applyBorder="1"/>
    <xf numFmtId="169" fontId="6" fillId="16" borderId="43" xfId="0" applyNumberFormat="1" applyFont="1" applyFill="1" applyBorder="1"/>
    <xf numFmtId="169" fontId="6" fillId="16" borderId="1" xfId="0" applyNumberFormat="1" applyFont="1" applyFill="1" applyBorder="1"/>
    <xf numFmtId="2" fontId="6" fillId="0" borderId="1" xfId="0" applyNumberFormat="1" applyFont="1" applyBorder="1"/>
    <xf numFmtId="169" fontId="6" fillId="16" borderId="44" xfId="0" applyNumberFormat="1" applyFont="1" applyFill="1" applyBorder="1"/>
    <xf numFmtId="169" fontId="0" fillId="16" borderId="8" xfId="0" applyNumberFormat="1" applyFill="1" applyBorder="1"/>
    <xf numFmtId="169" fontId="0" fillId="0" borderId="0" xfId="0" applyNumberFormat="1" applyBorder="1"/>
    <xf numFmtId="169" fontId="0" fillId="16" borderId="0" xfId="0" applyNumberFormat="1" applyFill="1" applyBorder="1"/>
    <xf numFmtId="1" fontId="0" fillId="16" borderId="8" xfId="0" applyNumberFormat="1" applyFill="1" applyBorder="1"/>
    <xf numFmtId="1" fontId="0" fillId="8" borderId="8" xfId="0" applyNumberFormat="1" applyFill="1" applyBorder="1"/>
    <xf numFmtId="1" fontId="0" fillId="0" borderId="8" xfId="0" applyNumberFormat="1" applyBorder="1"/>
    <xf numFmtId="1" fontId="0" fillId="0" borderId="8" xfId="0" applyNumberFormat="1" applyFill="1" applyBorder="1"/>
    <xf numFmtId="1" fontId="6" fillId="8" borderId="44" xfId="0" applyNumberFormat="1" applyFont="1" applyFill="1" applyBorder="1"/>
    <xf numFmtId="1" fontId="4" fillId="0" borderId="8" xfId="0" applyNumberFormat="1" applyFont="1" applyBorder="1" applyAlignment="1">
      <alignment horizontal="right"/>
    </xf>
    <xf numFmtId="1" fontId="4" fillId="8" borderId="8" xfId="0" applyNumberFormat="1" applyFont="1" applyFill="1" applyBorder="1"/>
    <xf numFmtId="1" fontId="0" fillId="0" borderId="23" xfId="0" applyNumberFormat="1" applyBorder="1"/>
    <xf numFmtId="1" fontId="6" fillId="16" borderId="44" xfId="0" applyNumberFormat="1" applyFont="1" applyFill="1" applyBorder="1"/>
    <xf numFmtId="1" fontId="0" fillId="0" borderId="0" xfId="0" applyNumberFormat="1" applyBorder="1"/>
    <xf numFmtId="1" fontId="0" fillId="0" borderId="2" xfId="0" applyNumberFormat="1" applyFill="1" applyBorder="1"/>
    <xf numFmtId="1" fontId="6" fillId="8" borderId="1" xfId="0" applyNumberFormat="1" applyFont="1" applyFill="1" applyBorder="1"/>
    <xf numFmtId="1" fontId="4" fillId="0" borderId="0" xfId="0" applyNumberFormat="1" applyFont="1" applyBorder="1" applyAlignment="1">
      <alignment horizontal="right"/>
    </xf>
    <xf numFmtId="1" fontId="0" fillId="0" borderId="2" xfId="0" applyNumberFormat="1" applyBorder="1"/>
    <xf numFmtId="1" fontId="6" fillId="8" borderId="43" xfId="0" applyNumberFormat="1" applyFont="1" applyFill="1" applyBorder="1"/>
    <xf numFmtId="1" fontId="0" fillId="0" borderId="4" xfId="0" applyNumberFormat="1" applyBorder="1"/>
    <xf numFmtId="1" fontId="0" fillId="16" borderId="2" xfId="0" applyNumberFormat="1" applyFill="1" applyBorder="1"/>
    <xf numFmtId="1" fontId="6" fillId="16" borderId="43" xfId="0" applyNumberFormat="1" applyFont="1" applyFill="1" applyBorder="1"/>
    <xf numFmtId="1" fontId="0" fillId="16" borderId="0" xfId="0" applyNumberFormat="1" applyFill="1" applyBorder="1"/>
    <xf numFmtId="1" fontId="6" fillId="16" borderId="1" xfId="0" applyNumberFormat="1" applyFont="1" applyFill="1" applyBorder="1"/>
    <xf numFmtId="1" fontId="4" fillId="0" borderId="2" xfId="0" applyNumberFormat="1" applyFont="1" applyBorder="1" applyAlignment="1">
      <alignment horizontal="right"/>
    </xf>
    <xf numFmtId="169" fontId="6" fillId="8" borderId="1" xfId="0" applyNumberFormat="1" applyFont="1" applyFill="1" applyBorder="1"/>
    <xf numFmtId="169" fontId="4" fillId="0" borderId="0" xfId="0" applyNumberFormat="1" applyFont="1" applyBorder="1"/>
    <xf numFmtId="169" fontId="4" fillId="8" borderId="8" xfId="0" applyNumberFormat="1" applyFont="1" applyFill="1" applyBorder="1"/>
    <xf numFmtId="169" fontId="0" fillId="0" borderId="23" xfId="0" applyNumberFormat="1" applyBorder="1"/>
    <xf numFmtId="169" fontId="4" fillId="8" borderId="2" xfId="0" applyNumberFormat="1" applyFont="1" applyFill="1" applyBorder="1"/>
    <xf numFmtId="169" fontId="4" fillId="8" borderId="0" xfId="0" applyNumberFormat="1" applyFont="1" applyFill="1" applyBorder="1"/>
    <xf numFmtId="169" fontId="4" fillId="0" borderId="0" xfId="0" applyNumberFormat="1" applyFont="1" applyBorder="1" applyAlignment="1">
      <alignment horizontal="right"/>
    </xf>
    <xf numFmtId="169" fontId="0" fillId="0" borderId="4" xfId="0" applyNumberFormat="1" applyBorder="1"/>
    <xf numFmtId="1" fontId="6" fillId="0" borderId="8" xfId="0" applyNumberFormat="1" applyFont="1" applyBorder="1"/>
    <xf numFmtId="1" fontId="0" fillId="8" borderId="2" xfId="0" applyNumberFormat="1" applyFill="1" applyBorder="1" applyAlignment="1">
      <alignment horizontal="right"/>
    </xf>
    <xf numFmtId="1" fontId="6" fillId="0" borderId="2" xfId="0" applyNumberFormat="1" applyFont="1" applyBorder="1"/>
    <xf numFmtId="1" fontId="0" fillId="0" borderId="2" xfId="0" applyNumberFormat="1" applyFill="1" applyBorder="1" applyAlignment="1">
      <alignment horizontal="right"/>
    </xf>
    <xf numFmtId="1" fontId="6" fillId="8" borderId="43" xfId="0" applyNumberFormat="1" applyFont="1" applyFill="1" applyBorder="1" applyAlignment="1">
      <alignment horizontal="right"/>
    </xf>
    <xf numFmtId="1" fontId="0" fillId="8" borderId="0" xfId="0" applyNumberFormat="1" applyFill="1" applyBorder="1" applyAlignment="1">
      <alignment horizontal="right"/>
    </xf>
    <xf numFmtId="1" fontId="6" fillId="8" borderId="1" xfId="0" applyNumberFormat="1" applyFont="1" applyFill="1" applyBorder="1" applyAlignment="1">
      <alignment horizontal="right"/>
    </xf>
    <xf numFmtId="1" fontId="6" fillId="8" borderId="23" xfId="0" applyNumberFormat="1" applyFont="1" applyFill="1" applyBorder="1"/>
    <xf numFmtId="1" fontId="4" fillId="0" borderId="23" xfId="0" applyNumberFormat="1" applyFont="1" applyFill="1" applyBorder="1"/>
    <xf numFmtId="2" fontId="4" fillId="0" borderId="0" xfId="0" applyNumberFormat="1" applyFont="1" applyFill="1" applyBorder="1" applyAlignment="1">
      <alignment horizontal="right"/>
    </xf>
    <xf numFmtId="169" fontId="4" fillId="0" borderId="23" xfId="0" applyNumberFormat="1" applyFont="1" applyFill="1" applyBorder="1"/>
    <xf numFmtId="1" fontId="4" fillId="0" borderId="8" xfId="0" applyNumberFormat="1" applyFont="1" applyFill="1" applyBorder="1"/>
    <xf numFmtId="1" fontId="6" fillId="8" borderId="4" xfId="0" applyNumberFormat="1" applyFont="1" applyFill="1" applyBorder="1" applyAlignment="1">
      <alignment horizontal="right"/>
    </xf>
    <xf numFmtId="1" fontId="6" fillId="8" borderId="7" xfId="0" applyNumberFormat="1" applyFont="1" applyFill="1" applyBorder="1"/>
    <xf numFmtId="2" fontId="6" fillId="0" borderId="5" xfId="0" applyNumberFormat="1" applyFont="1" applyBorder="1" applyAlignment="1">
      <alignment horizontal="right"/>
    </xf>
    <xf numFmtId="1" fontId="6" fillId="8" borderId="3" xfId="0" applyNumberFormat="1" applyFont="1" applyFill="1" applyBorder="1"/>
    <xf numFmtId="169" fontId="6" fillId="8" borderId="7" xfId="0" applyNumberFormat="1" applyFont="1" applyFill="1" applyBorder="1"/>
    <xf numFmtId="169" fontId="6" fillId="8" borderId="3" xfId="0" applyNumberFormat="1" applyFont="1" applyFill="1" applyBorder="1"/>
    <xf numFmtId="2" fontId="4" fillId="0" borderId="6" xfId="0" applyNumberFormat="1" applyFont="1" applyFill="1" applyBorder="1" applyAlignment="1">
      <alignment horizontal="right"/>
    </xf>
    <xf numFmtId="0" fontId="4" fillId="0" borderId="5" xfId="0" applyFont="1" applyBorder="1"/>
    <xf numFmtId="0" fontId="4" fillId="0" borderId="41" xfId="0" applyFont="1" applyFill="1" applyBorder="1"/>
    <xf numFmtId="0" fontId="4" fillId="0" borderId="42" xfId="0" applyFont="1" applyFill="1" applyBorder="1"/>
    <xf numFmtId="0" fontId="4" fillId="0" borderId="12" xfId="0" applyFont="1" applyBorder="1"/>
    <xf numFmtId="1" fontId="4" fillId="0" borderId="4" xfId="0" applyNumberFormat="1" applyFont="1" applyFill="1" applyBorder="1"/>
    <xf numFmtId="1" fontId="4" fillId="0" borderId="2" xfId="0" applyNumberFormat="1" applyFont="1" applyFill="1" applyBorder="1"/>
    <xf numFmtId="1" fontId="4" fillId="0" borderId="7" xfId="0" applyNumberFormat="1" applyFont="1" applyBorder="1"/>
    <xf numFmtId="1" fontId="4" fillId="0" borderId="3" xfId="0" applyNumberFormat="1" applyFont="1" applyBorder="1"/>
    <xf numFmtId="169" fontId="4" fillId="0" borderId="4" xfId="0" applyNumberFormat="1" applyFont="1" applyFill="1" applyBorder="1"/>
    <xf numFmtId="169" fontId="4" fillId="0" borderId="8" xfId="0" applyNumberFormat="1" applyFont="1" applyFill="1" applyBorder="1"/>
    <xf numFmtId="169" fontId="4" fillId="0" borderId="2" xfId="0" applyNumberFormat="1" applyFont="1" applyFill="1" applyBorder="1"/>
    <xf numFmtId="169" fontId="4" fillId="0" borderId="7" xfId="0" applyNumberFormat="1" applyFont="1" applyBorder="1"/>
    <xf numFmtId="169" fontId="4" fillId="0" borderId="3" xfId="0" applyNumberFormat="1" applyFont="1" applyBorder="1"/>
    <xf numFmtId="1" fontId="4" fillId="0" borderId="4" xfId="0" applyNumberFormat="1" applyFont="1" applyFill="1" applyBorder="1" applyAlignment="1">
      <alignment horizontal="right"/>
    </xf>
    <xf numFmtId="1" fontId="4" fillId="0" borderId="2" xfId="0" applyNumberFormat="1" applyFont="1" applyFill="1" applyBorder="1" applyAlignment="1">
      <alignment horizontal="right"/>
    </xf>
    <xf numFmtId="2" fontId="4" fillId="0" borderId="1" xfId="0" applyNumberFormat="1" applyFont="1" applyFill="1" applyBorder="1" applyAlignment="1">
      <alignment horizontal="right"/>
    </xf>
    <xf numFmtId="2" fontId="6" fillId="0" borderId="1" xfId="0" applyNumberFormat="1" applyFont="1" applyFill="1" applyBorder="1" applyAlignment="1">
      <alignment horizontal="right"/>
    </xf>
    <xf numFmtId="1" fontId="4" fillId="16" borderId="8" xfId="0" applyNumberFormat="1" applyFont="1" applyFill="1" applyBorder="1"/>
    <xf numFmtId="1" fontId="4" fillId="16" borderId="2" xfId="0" applyNumberFormat="1" applyFont="1" applyFill="1" applyBorder="1"/>
    <xf numFmtId="169" fontId="4" fillId="16" borderId="8" xfId="0" applyNumberFormat="1" applyFont="1" applyFill="1" applyBorder="1"/>
    <xf numFmtId="169" fontId="4" fillId="16" borderId="2" xfId="0" applyNumberFormat="1" applyFont="1" applyFill="1" applyBorder="1"/>
    <xf numFmtId="1" fontId="6" fillId="16" borderId="43" xfId="0" applyNumberFormat="1" applyFont="1" applyFill="1" applyBorder="1" applyAlignment="1">
      <alignment horizontal="right"/>
    </xf>
    <xf numFmtId="1" fontId="4" fillId="16" borderId="2" xfId="0" applyNumberFormat="1" applyFont="1" applyFill="1" applyBorder="1" applyAlignment="1">
      <alignment horizontal="right"/>
    </xf>
    <xf numFmtId="1" fontId="4" fillId="16" borderId="44" xfId="0" applyNumberFormat="1" applyFont="1" applyFill="1" applyBorder="1"/>
    <xf numFmtId="1" fontId="4" fillId="16" borderId="43" xfId="0" applyNumberFormat="1" applyFont="1" applyFill="1" applyBorder="1"/>
    <xf numFmtId="169" fontId="4" fillId="16" borderId="44" xfId="0" applyNumberFormat="1" applyFont="1" applyFill="1" applyBorder="1"/>
    <xf numFmtId="169" fontId="4" fillId="16" borderId="43" xfId="0" applyNumberFormat="1" applyFont="1" applyFill="1" applyBorder="1"/>
    <xf numFmtId="1" fontId="4" fillId="16" borderId="43" xfId="0" applyNumberFormat="1" applyFont="1" applyFill="1" applyBorder="1" applyAlignment="1">
      <alignment horizontal="right"/>
    </xf>
    <xf numFmtId="0" fontId="0" fillId="0" borderId="0" xfId="0" applyAlignment="1">
      <alignment wrapText="1"/>
    </xf>
    <xf numFmtId="2" fontId="3" fillId="2" borderId="0" xfId="0" applyNumberFormat="1" applyFont="1" applyFill="1" applyAlignment="1">
      <alignment horizontal="center"/>
    </xf>
    <xf numFmtId="2" fontId="3" fillId="2" borderId="0" xfId="0" applyNumberFormat="1" applyFont="1" applyFill="1" applyAlignment="1">
      <alignment horizontal="center" vertical="center"/>
    </xf>
    <xf numFmtId="0" fontId="6" fillId="0" borderId="14" xfId="0" applyFont="1" applyBorder="1"/>
    <xf numFmtId="2" fontId="3" fillId="0" borderId="0" xfId="0" applyNumberFormat="1" applyFont="1" applyFill="1" applyAlignment="1">
      <alignment horizontal="center" vertical="center"/>
    </xf>
    <xf numFmtId="0" fontId="4" fillId="0" borderId="0" xfId="0" applyFont="1" applyAlignment="1">
      <alignment wrapText="1"/>
    </xf>
    <xf numFmtId="1" fontId="0" fillId="4" borderId="41" xfId="0" applyNumberFormat="1" applyFill="1" applyBorder="1"/>
    <xf numFmtId="1" fontId="0" fillId="4" borderId="0" xfId="0" applyNumberFormat="1" applyFill="1" applyBorder="1"/>
    <xf numFmtId="1" fontId="0" fillId="4" borderId="18" xfId="0" applyNumberFormat="1" applyFill="1" applyBorder="1"/>
    <xf numFmtId="1" fontId="3" fillId="4" borderId="49" xfId="0" applyNumberFormat="1" applyFont="1" applyFill="1" applyBorder="1"/>
    <xf numFmtId="2" fontId="5" fillId="4" borderId="84" xfId="0" applyNumberFormat="1" applyFont="1" applyFill="1" applyBorder="1" applyAlignment="1">
      <alignment horizontal="center" wrapText="1"/>
    </xf>
    <xf numFmtId="1" fontId="0" fillId="4" borderId="61" xfId="0" applyNumberFormat="1" applyFill="1" applyBorder="1"/>
    <xf numFmtId="170" fontId="0" fillId="8" borderId="2" xfId="0" applyNumberFormat="1" applyFill="1" applyBorder="1"/>
    <xf numFmtId="170" fontId="0" fillId="8" borderId="0" xfId="0" applyNumberFormat="1" applyFill="1"/>
    <xf numFmtId="2" fontId="3" fillId="0" borderId="0" xfId="0" applyNumberFormat="1" applyFont="1" applyAlignment="1">
      <alignment horizontal="left" wrapText="1"/>
    </xf>
    <xf numFmtId="2" fontId="3" fillId="18" borderId="0" xfId="0" applyNumberFormat="1" applyFont="1" applyFill="1" applyAlignment="1">
      <alignment horizontal="center" vertical="center"/>
    </xf>
    <xf numFmtId="166" fontId="0" fillId="0" borderId="0" xfId="0" applyNumberFormat="1" applyFill="1"/>
    <xf numFmtId="165" fontId="0" fillId="0" borderId="0" xfId="0" applyNumberFormat="1" applyFill="1"/>
    <xf numFmtId="2" fontId="3" fillId="0" borderId="0" xfId="0" applyNumberFormat="1" applyFont="1" applyFill="1" applyAlignment="1">
      <alignment horizontal="center"/>
    </xf>
    <xf numFmtId="0" fontId="3" fillId="0" borderId="0" xfId="0" applyFont="1" applyAlignment="1">
      <alignment horizontal="center"/>
    </xf>
    <xf numFmtId="2" fontId="0" fillId="8" borderId="0" xfId="0" applyNumberFormat="1" applyFill="1" applyAlignment="1">
      <alignment horizontal="center"/>
    </xf>
    <xf numFmtId="1" fontId="0" fillId="8" borderId="0" xfId="0" applyNumberFormat="1" applyFill="1" applyAlignment="1">
      <alignment horizontal="center"/>
    </xf>
    <xf numFmtId="2" fontId="0" fillId="0" borderId="0" xfId="0" applyNumberFormat="1" applyAlignment="1">
      <alignment horizontal="center"/>
    </xf>
    <xf numFmtId="1" fontId="3" fillId="2" borderId="0" xfId="0" applyNumberFormat="1" applyFont="1" applyFill="1" applyAlignment="1">
      <alignment horizontal="center"/>
    </xf>
    <xf numFmtId="0" fontId="4" fillId="0" borderId="8" xfId="0" applyFont="1" applyBorder="1"/>
    <xf numFmtId="1" fontId="4" fillId="0" borderId="0" xfId="0" applyNumberFormat="1" applyFont="1" applyFill="1" applyBorder="1"/>
    <xf numFmtId="169" fontId="4" fillId="0" borderId="0" xfId="0" applyNumberFormat="1" applyFont="1" applyFill="1" applyBorder="1"/>
    <xf numFmtId="1" fontId="4" fillId="0" borderId="0" xfId="0" applyNumberFormat="1" applyFont="1" applyFill="1" applyBorder="1" applyAlignment="1">
      <alignment horizontal="right"/>
    </xf>
    <xf numFmtId="1" fontId="4" fillId="23" borderId="8" xfId="0" applyNumberFormat="1" applyFont="1" applyFill="1" applyBorder="1"/>
    <xf numFmtId="1" fontId="6" fillId="23" borderId="44" xfId="0" applyNumberFormat="1" applyFont="1" applyFill="1" applyBorder="1"/>
    <xf numFmtId="1" fontId="6" fillId="23" borderId="1" xfId="0" applyNumberFormat="1" applyFont="1" applyFill="1" applyBorder="1"/>
    <xf numFmtId="1" fontId="4" fillId="23" borderId="0" xfId="0" applyNumberFormat="1" applyFont="1" applyFill="1" applyBorder="1"/>
    <xf numFmtId="169" fontId="4" fillId="23" borderId="8" xfId="0" applyNumberFormat="1" applyFont="1" applyFill="1" applyBorder="1"/>
    <xf numFmtId="169" fontId="6" fillId="23" borderId="44" xfId="0" applyNumberFormat="1" applyFont="1" applyFill="1" applyBorder="1"/>
    <xf numFmtId="169" fontId="6" fillId="23" borderId="1" xfId="0" applyNumberFormat="1" applyFont="1" applyFill="1" applyBorder="1"/>
    <xf numFmtId="169" fontId="4" fillId="23" borderId="0" xfId="0" applyNumberFormat="1" applyFont="1" applyFill="1" applyBorder="1"/>
    <xf numFmtId="1" fontId="3" fillId="23" borderId="46" xfId="0" applyNumberFormat="1" applyFont="1" applyFill="1" applyBorder="1"/>
    <xf numFmtId="0" fontId="3" fillId="12" borderId="0" xfId="0" applyFont="1" applyFill="1"/>
    <xf numFmtId="0" fontId="4" fillId="12" borderId="0" xfId="0" applyFont="1" applyFill="1"/>
    <xf numFmtId="0" fontId="4" fillId="12" borderId="0" xfId="0" applyFont="1" applyFill="1" applyAlignment="1">
      <alignment wrapText="1"/>
    </xf>
    <xf numFmtId="0" fontId="3" fillId="4" borderId="0" xfId="0" applyFont="1" applyFill="1" applyBorder="1" applyAlignment="1">
      <alignment horizontal="center"/>
    </xf>
    <xf numFmtId="0" fontId="3" fillId="4" borderId="9" xfId="0" applyFont="1" applyFill="1" applyBorder="1" applyAlignment="1">
      <alignment horizontal="center"/>
    </xf>
    <xf numFmtId="0" fontId="0" fillId="6" borderId="0" xfId="0" applyFill="1" applyBorder="1" applyAlignment="1">
      <alignment horizontal="right"/>
    </xf>
    <xf numFmtId="0" fontId="4" fillId="4" borderId="0" xfId="0" applyFont="1" applyFill="1" applyBorder="1" applyAlignment="1">
      <alignment horizontal="right"/>
    </xf>
    <xf numFmtId="0" fontId="4" fillId="6" borderId="0" xfId="0" applyFont="1" applyFill="1" applyBorder="1" applyAlignment="1">
      <alignment horizontal="right"/>
    </xf>
    <xf numFmtId="0" fontId="0" fillId="6" borderId="5" xfId="0" applyFill="1" applyBorder="1" applyAlignment="1">
      <alignment horizontal="right"/>
    </xf>
    <xf numFmtId="0" fontId="0" fillId="12" borderId="0" xfId="0" applyFill="1" applyBorder="1" applyAlignment="1">
      <alignment horizontal="right"/>
    </xf>
    <xf numFmtId="0" fontId="4" fillId="4" borderId="17" xfId="0" applyFont="1" applyFill="1" applyBorder="1" applyAlignment="1">
      <alignment horizontal="right"/>
    </xf>
    <xf numFmtId="0" fontId="4" fillId="4" borderId="0" xfId="0" applyFont="1" applyFill="1" applyBorder="1" applyAlignment="1">
      <alignment horizontal="right"/>
    </xf>
    <xf numFmtId="0" fontId="0" fillId="24" borderId="0" xfId="0" applyFill="1"/>
    <xf numFmtId="0" fontId="0" fillId="0" borderId="8" xfId="0" applyFill="1" applyBorder="1"/>
    <xf numFmtId="169" fontId="0" fillId="6" borderId="0" xfId="0" applyNumberFormat="1" applyFill="1"/>
    <xf numFmtId="0" fontId="0" fillId="4" borderId="6" xfId="0" applyFill="1" applyBorder="1"/>
    <xf numFmtId="0" fontId="0" fillId="4" borderId="4" xfId="0" applyFill="1" applyBorder="1"/>
    <xf numFmtId="0" fontId="3" fillId="4" borderId="0" xfId="0" applyFont="1" applyFill="1" applyBorder="1" applyAlignment="1">
      <alignment horizontal="center" vertical="center"/>
    </xf>
    <xf numFmtId="0" fontId="0" fillId="4" borderId="0" xfId="0" applyFill="1" applyBorder="1" applyAlignment="1">
      <alignment horizontal="center" vertical="center"/>
    </xf>
    <xf numFmtId="0" fontId="0" fillId="3" borderId="14" xfId="0" applyFill="1" applyBorder="1" applyAlignment="1">
      <alignment horizontal="right" vertical="center"/>
    </xf>
    <xf numFmtId="0" fontId="0" fillId="4" borderId="0" xfId="0" applyFill="1" applyBorder="1" applyAlignment="1">
      <alignment horizontal="left" vertical="center"/>
    </xf>
    <xf numFmtId="0" fontId="0" fillId="4" borderId="3" xfId="0" applyFill="1" applyBorder="1"/>
    <xf numFmtId="0" fontId="0" fillId="4" borderId="23" xfId="0" applyFill="1" applyBorder="1"/>
    <xf numFmtId="0" fontId="0" fillId="4" borderId="8" xfId="0" applyFill="1" applyBorder="1"/>
    <xf numFmtId="0" fontId="0" fillId="4" borderId="7" xfId="0" applyFill="1" applyBorder="1"/>
    <xf numFmtId="0" fontId="0" fillId="5" borderId="95" xfId="0" applyFill="1" applyBorder="1"/>
    <xf numFmtId="0" fontId="0" fillId="5" borderId="42" xfId="0" applyFill="1" applyBorder="1"/>
    <xf numFmtId="0" fontId="0" fillId="5" borderId="96" xfId="0" applyFill="1" applyBorder="1"/>
    <xf numFmtId="0" fontId="23" fillId="5" borderId="0" xfId="0" applyFont="1" applyFill="1"/>
    <xf numFmtId="0" fontId="23" fillId="5" borderId="0" xfId="0" applyFont="1" applyFill="1" applyBorder="1"/>
    <xf numFmtId="49" fontId="0" fillId="0" borderId="0" xfId="0" applyNumberFormat="1" applyAlignment="1">
      <alignment vertical="top"/>
    </xf>
    <xf numFmtId="2" fontId="0" fillId="3" borderId="0" xfId="0" applyNumberFormat="1" applyFill="1" applyAlignment="1">
      <alignment horizontal="left" vertical="top"/>
    </xf>
    <xf numFmtId="2" fontId="4" fillId="3" borderId="0" xfId="0" applyNumberFormat="1" applyFont="1" applyFill="1" applyAlignment="1">
      <alignment vertical="top"/>
    </xf>
    <xf numFmtId="2" fontId="0" fillId="2" borderId="0" xfId="0" applyNumberFormat="1" applyFill="1" applyAlignment="1">
      <alignment horizontal="left" vertical="top"/>
    </xf>
    <xf numFmtId="11" fontId="0" fillId="3" borderId="0" xfId="0" applyNumberFormat="1" applyFill="1" applyAlignment="1">
      <alignment horizontal="left" vertical="top"/>
    </xf>
    <xf numFmtId="11" fontId="0" fillId="2" borderId="0" xfId="0" applyNumberFormat="1" applyFill="1" applyAlignment="1">
      <alignment horizontal="left" vertical="top"/>
    </xf>
    <xf numFmtId="0" fontId="0" fillId="0" borderId="0" xfId="0" applyNumberFormat="1" applyAlignment="1">
      <alignment horizontal="left" vertical="top"/>
    </xf>
    <xf numFmtId="0" fontId="5" fillId="0" borderId="0" xfId="0" applyFont="1" applyAlignment="1">
      <alignment vertical="top"/>
    </xf>
    <xf numFmtId="0" fontId="5" fillId="0" borderId="0" xfId="0" applyFont="1" applyAlignment="1">
      <alignment horizontal="left" vertical="top"/>
    </xf>
    <xf numFmtId="2" fontId="0" fillId="0" borderId="0" xfId="0" applyNumberFormat="1" applyFill="1" applyAlignment="1">
      <alignment horizontal="left" vertical="top"/>
    </xf>
    <xf numFmtId="2" fontId="5" fillId="0" borderId="0" xfId="0" applyNumberFormat="1" applyFont="1" applyAlignment="1">
      <alignment vertical="top"/>
    </xf>
    <xf numFmtId="2" fontId="5" fillId="0" borderId="0" xfId="0" applyNumberFormat="1" applyFont="1" applyAlignment="1">
      <alignment horizontal="left" vertical="top"/>
    </xf>
    <xf numFmtId="2" fontId="5" fillId="2" borderId="0" xfId="0" applyNumberFormat="1" applyFont="1" applyFill="1" applyAlignment="1">
      <alignment horizontal="left" vertical="top"/>
    </xf>
    <xf numFmtId="11" fontId="5" fillId="0" borderId="0" xfId="0" applyNumberFormat="1" applyFont="1" applyAlignment="1">
      <alignment horizontal="left" vertical="top"/>
    </xf>
    <xf numFmtId="0" fontId="5" fillId="0" borderId="0" xfId="0" applyNumberFormat="1" applyFont="1" applyAlignment="1">
      <alignment horizontal="left" vertical="top"/>
    </xf>
    <xf numFmtId="2" fontId="0" fillId="0" borderId="0" xfId="0" applyNumberFormat="1" applyAlignment="1">
      <alignment horizontal="left" vertical="top"/>
    </xf>
    <xf numFmtId="11" fontId="0" fillId="0" borderId="0" xfId="0" applyNumberFormat="1" applyAlignment="1">
      <alignment horizontal="left" vertical="top"/>
    </xf>
    <xf numFmtId="2" fontId="0" fillId="3" borderId="0" xfId="0" applyNumberFormat="1" applyFill="1" applyAlignment="1">
      <alignment vertical="top"/>
    </xf>
    <xf numFmtId="2" fontId="4" fillId="3" borderId="0" xfId="0" applyNumberFormat="1" applyFont="1" applyFill="1" applyAlignment="1">
      <alignment horizontal="left" vertical="top"/>
    </xf>
    <xf numFmtId="0" fontId="0" fillId="0" borderId="0" xfId="0" applyNumberFormat="1" applyFill="1" applyAlignment="1">
      <alignment vertical="top"/>
    </xf>
    <xf numFmtId="0" fontId="2" fillId="0" borderId="0" xfId="0" applyFont="1" applyFill="1" applyAlignment="1">
      <alignment vertical="top"/>
    </xf>
    <xf numFmtId="2" fontId="2" fillId="0" borderId="0" xfId="0" applyNumberFormat="1" applyFont="1" applyFill="1" applyAlignment="1">
      <alignment horizontal="left" vertical="top"/>
    </xf>
    <xf numFmtId="11" fontId="0" fillId="0" borderId="0" xfId="0" applyNumberFormat="1" applyFill="1" applyAlignment="1">
      <alignment horizontal="left" vertical="top"/>
    </xf>
    <xf numFmtId="0" fontId="0" fillId="0" borderId="0" xfId="0" applyNumberFormat="1" applyFill="1" applyAlignment="1">
      <alignment horizontal="left" vertical="top"/>
    </xf>
    <xf numFmtId="0" fontId="5" fillId="0" borderId="0" xfId="0" applyFont="1" applyFill="1" applyAlignment="1">
      <alignment horizontal="left" vertical="top"/>
    </xf>
    <xf numFmtId="2" fontId="5" fillId="0" borderId="0" xfId="0" applyNumberFormat="1" applyFont="1" applyFill="1" applyAlignment="1">
      <alignment horizontal="left" vertical="top"/>
    </xf>
    <xf numFmtId="11" fontId="5" fillId="0" borderId="0" xfId="0" applyNumberFormat="1" applyFont="1" applyFill="1" applyAlignment="1">
      <alignment horizontal="left" vertical="top"/>
    </xf>
    <xf numFmtId="0" fontId="5" fillId="0" borderId="0" xfId="0" applyFont="1" applyFill="1" applyAlignment="1">
      <alignment vertical="top"/>
    </xf>
    <xf numFmtId="2" fontId="5" fillId="0" borderId="0" xfId="0" applyNumberFormat="1" applyFont="1" applyFill="1" applyAlignment="1">
      <alignment vertical="top"/>
    </xf>
    <xf numFmtId="0" fontId="5" fillId="0" borderId="0" xfId="0" applyNumberFormat="1" applyFont="1" applyFill="1" applyAlignment="1">
      <alignment horizontal="left" vertical="top"/>
    </xf>
    <xf numFmtId="2" fontId="0" fillId="8" borderId="0" xfId="0" applyNumberFormat="1" applyFill="1" applyAlignment="1">
      <alignment horizontal="left"/>
    </xf>
    <xf numFmtId="2" fontId="0" fillId="3" borderId="0" xfId="0" applyNumberFormat="1" applyFill="1" applyAlignment="1">
      <alignment horizontal="left"/>
    </xf>
    <xf numFmtId="2" fontId="0" fillId="2" borderId="0" xfId="0" applyNumberFormat="1" applyFill="1" applyAlignment="1">
      <alignment horizontal="left"/>
    </xf>
    <xf numFmtId="11" fontId="0" fillId="3" borderId="0" xfId="0" applyNumberFormat="1" applyFill="1" applyAlignment="1">
      <alignment horizontal="left"/>
    </xf>
    <xf numFmtId="11" fontId="0" fillId="2" borderId="0" xfId="0" applyNumberFormat="1" applyFill="1" applyAlignment="1">
      <alignment horizontal="left"/>
    </xf>
    <xf numFmtId="2" fontId="5" fillId="0" borderId="0" xfId="0" applyNumberFormat="1" applyFont="1" applyAlignment="1">
      <alignment horizontal="left"/>
    </xf>
    <xf numFmtId="2" fontId="5" fillId="2" borderId="0" xfId="0" applyNumberFormat="1" applyFont="1" applyFill="1" applyAlignment="1">
      <alignment horizontal="left"/>
    </xf>
    <xf numFmtId="11" fontId="5" fillId="0" borderId="0" xfId="0" applyNumberFormat="1" applyFont="1" applyAlignment="1">
      <alignment horizontal="left"/>
    </xf>
    <xf numFmtId="0" fontId="5" fillId="0" borderId="0" xfId="0" applyFont="1" applyFill="1"/>
    <xf numFmtId="2" fontId="5" fillId="0" borderId="0" xfId="0" applyNumberFormat="1" applyFont="1" applyFill="1" applyAlignment="1">
      <alignment horizontal="left"/>
    </xf>
    <xf numFmtId="0" fontId="5" fillId="0" borderId="0" xfId="0" applyFont="1" applyFill="1" applyAlignment="1">
      <alignment horizontal="left"/>
    </xf>
    <xf numFmtId="11" fontId="5" fillId="0" borderId="0" xfId="0" applyNumberFormat="1" applyFont="1" applyFill="1" applyAlignment="1">
      <alignment horizontal="left"/>
    </xf>
    <xf numFmtId="3" fontId="0" fillId="0" borderId="0" xfId="0" applyNumberFormat="1" applyAlignment="1">
      <alignment horizontal="left"/>
    </xf>
    <xf numFmtId="169" fontId="0" fillId="0" borderId="0" xfId="0" applyNumberFormat="1" applyAlignment="1">
      <alignment horizontal="left" vertical="top"/>
    </xf>
    <xf numFmtId="166" fontId="0" fillId="0" borderId="0" xfId="0" applyNumberFormat="1" applyAlignment="1">
      <alignment horizontal="left" vertical="top"/>
    </xf>
    <xf numFmtId="0" fontId="3" fillId="0" borderId="0" xfId="0" applyFont="1" applyAlignment="1">
      <alignment vertical="top"/>
    </xf>
    <xf numFmtId="0" fontId="3" fillId="0" borderId="0" xfId="0" applyFont="1" applyAlignment="1">
      <alignment horizontal="left" vertical="top"/>
    </xf>
    <xf numFmtId="2" fontId="3" fillId="0" borderId="0" xfId="0" applyNumberFormat="1" applyFont="1" applyAlignment="1">
      <alignment horizontal="left" vertical="top"/>
    </xf>
    <xf numFmtId="2" fontId="3" fillId="2" borderId="0" xfId="0" applyNumberFormat="1" applyFont="1" applyFill="1" applyAlignment="1">
      <alignment horizontal="left" vertical="top"/>
    </xf>
    <xf numFmtId="169" fontId="3" fillId="0" borderId="0" xfId="0" applyNumberFormat="1" applyFont="1" applyAlignment="1">
      <alignment horizontal="left" vertical="top"/>
    </xf>
    <xf numFmtId="166" fontId="3" fillId="0" borderId="0" xfId="0" applyNumberFormat="1" applyFont="1" applyAlignment="1">
      <alignment horizontal="left" vertical="top"/>
    </xf>
    <xf numFmtId="0" fontId="3" fillId="0" borderId="0" xfId="0" applyNumberFormat="1" applyFont="1" applyAlignment="1">
      <alignment horizontal="left" vertical="top"/>
    </xf>
    <xf numFmtId="0" fontId="2" fillId="4" borderId="8" xfId="0" applyFont="1" applyFill="1" applyBorder="1"/>
    <xf numFmtId="0" fontId="2" fillId="0" borderId="0" xfId="0" applyFont="1" applyAlignment="1">
      <alignment vertical="top"/>
    </xf>
    <xf numFmtId="0" fontId="2" fillId="0" borderId="0" xfId="0" applyFont="1"/>
    <xf numFmtId="0" fontId="2" fillId="0" borderId="0" xfId="2" applyFont="1" applyAlignment="1" applyProtection="1"/>
    <xf numFmtId="0" fontId="2" fillId="8" borderId="8" xfId="0" applyFont="1" applyFill="1" applyBorder="1"/>
    <xf numFmtId="11" fontId="2" fillId="3" borderId="0" xfId="0" applyNumberFormat="1" applyFont="1" applyFill="1" applyAlignment="1">
      <alignment horizontal="left" vertical="top"/>
    </xf>
    <xf numFmtId="2" fontId="2" fillId="3" borderId="0" xfId="0" applyNumberFormat="1" applyFont="1" applyFill="1" applyAlignment="1">
      <alignment horizontal="left" vertical="top"/>
    </xf>
    <xf numFmtId="0" fontId="2" fillId="0" borderId="0" xfId="0" applyFont="1" applyAlignment="1">
      <alignment horizontal="left" vertical="top"/>
    </xf>
    <xf numFmtId="168" fontId="0" fillId="8" borderId="0" xfId="0" applyNumberFormat="1" applyFill="1" applyAlignment="1">
      <alignment horizontal="left"/>
    </xf>
    <xf numFmtId="2" fontId="0" fillId="0" borderId="0" xfId="0" applyNumberFormat="1" applyAlignment="1">
      <alignment horizontal="left"/>
    </xf>
    <xf numFmtId="1" fontId="0" fillId="0" borderId="0" xfId="0" applyNumberFormat="1" applyAlignment="1">
      <alignment horizontal="left"/>
    </xf>
    <xf numFmtId="166" fontId="2" fillId="0" borderId="0" xfId="0" applyNumberFormat="1" applyFont="1" applyFill="1" applyAlignment="1">
      <alignment horizontal="left"/>
    </xf>
    <xf numFmtId="0" fontId="2" fillId="0" borderId="0" xfId="0" applyFont="1" applyAlignment="1">
      <alignment horizontal="left"/>
    </xf>
    <xf numFmtId="2" fontId="0" fillId="0" borderId="0" xfId="0" applyNumberFormat="1" applyFill="1" applyAlignment="1">
      <alignment horizontal="left"/>
    </xf>
    <xf numFmtId="0" fontId="3" fillId="0" borderId="1" xfId="0" applyFont="1" applyBorder="1" applyAlignment="1">
      <alignment horizontal="left"/>
    </xf>
    <xf numFmtId="2" fontId="0" fillId="0" borderId="1" xfId="0" applyNumberFormat="1" applyBorder="1" applyAlignment="1">
      <alignment horizontal="left"/>
    </xf>
    <xf numFmtId="0" fontId="0" fillId="0" borderId="1" xfId="0" applyBorder="1" applyAlignment="1">
      <alignment horizontal="left"/>
    </xf>
    <xf numFmtId="1" fontId="0" fillId="0" borderId="1" xfId="0" applyNumberFormat="1" applyBorder="1" applyAlignment="1">
      <alignment horizontal="left"/>
    </xf>
    <xf numFmtId="0" fontId="0" fillId="0" borderId="1" xfId="0" applyFill="1" applyBorder="1" applyAlignment="1">
      <alignment horizontal="left"/>
    </xf>
    <xf numFmtId="2" fontId="0" fillId="2" borderId="1" xfId="0" applyNumberFormat="1" applyFill="1" applyBorder="1" applyAlignment="1">
      <alignment horizontal="left"/>
    </xf>
    <xf numFmtId="49" fontId="0" fillId="0" borderId="0" xfId="0" applyNumberFormat="1" applyFill="1" applyAlignment="1">
      <alignment vertical="top"/>
    </xf>
    <xf numFmtId="49" fontId="2" fillId="0" borderId="0" xfId="0" applyNumberFormat="1" applyFont="1" applyFill="1" applyAlignment="1">
      <alignment vertical="top"/>
    </xf>
    <xf numFmtId="49" fontId="0" fillId="0" borderId="0" xfId="0" applyNumberFormat="1" applyFill="1" applyAlignment="1">
      <alignment horizontal="left" vertical="top"/>
    </xf>
    <xf numFmtId="2" fontId="4" fillId="0" borderId="0" xfId="0" applyNumberFormat="1" applyFont="1" applyFill="1" applyAlignment="1">
      <alignment vertical="top"/>
    </xf>
    <xf numFmtId="11" fontId="2" fillId="0" borderId="0" xfId="0" applyNumberFormat="1" applyFont="1" applyFill="1" applyAlignment="1">
      <alignment horizontal="left" vertical="top"/>
    </xf>
    <xf numFmtId="0" fontId="4" fillId="0" borderId="0" xfId="0" applyFont="1" applyFill="1" applyAlignment="1">
      <alignment horizontal="left" vertical="top"/>
    </xf>
    <xf numFmtId="2" fontId="4" fillId="0" borderId="0" xfId="0" applyNumberFormat="1" applyFont="1" applyFill="1" applyAlignment="1">
      <alignment horizontal="left" vertical="top"/>
    </xf>
    <xf numFmtId="0" fontId="2" fillId="0" borderId="0" xfId="0" applyFont="1" applyFill="1" applyAlignment="1">
      <alignment horizontal="left" vertical="top"/>
    </xf>
    <xf numFmtId="11" fontId="4" fillId="0" borderId="0" xfId="0" applyNumberFormat="1" applyFont="1" applyFill="1" applyAlignment="1">
      <alignment horizontal="left" vertical="top"/>
    </xf>
    <xf numFmtId="11" fontId="0" fillId="0" borderId="0" xfId="0" applyNumberFormat="1" applyFill="1" applyAlignment="1">
      <alignment horizontal="left"/>
    </xf>
    <xf numFmtId="3" fontId="0" fillId="0" borderId="0" xfId="0" applyNumberFormat="1" applyFill="1" applyAlignment="1">
      <alignment horizontal="left"/>
    </xf>
    <xf numFmtId="169" fontId="0" fillId="0" borderId="0" xfId="0" applyNumberFormat="1" applyFill="1" applyAlignment="1">
      <alignment horizontal="left" vertical="top"/>
    </xf>
    <xf numFmtId="166" fontId="0" fillId="0" borderId="0" xfId="0" applyNumberFormat="1" applyFill="1" applyAlignment="1">
      <alignment horizontal="left" vertical="top"/>
    </xf>
    <xf numFmtId="0" fontId="3" fillId="0" borderId="0" xfId="0" applyFont="1" applyFill="1" applyAlignment="1">
      <alignment vertical="top"/>
    </xf>
    <xf numFmtId="0" fontId="3" fillId="0" borderId="0" xfId="0" applyFont="1" applyFill="1" applyAlignment="1">
      <alignment horizontal="left" vertical="top"/>
    </xf>
    <xf numFmtId="2" fontId="3" fillId="0" borderId="0" xfId="0" applyNumberFormat="1" applyFont="1" applyFill="1" applyAlignment="1">
      <alignment horizontal="left" vertical="top"/>
    </xf>
    <xf numFmtId="2" fontId="3" fillId="0" borderId="0" xfId="0" applyNumberFormat="1" applyFont="1" applyFill="1" applyAlignment="1">
      <alignment vertical="top"/>
    </xf>
    <xf numFmtId="169" fontId="3" fillId="0" borderId="0" xfId="0" applyNumberFormat="1" applyFont="1" applyFill="1" applyAlignment="1">
      <alignment horizontal="left" vertical="top"/>
    </xf>
    <xf numFmtId="166" fontId="3" fillId="0" borderId="0" xfId="0" applyNumberFormat="1" applyFont="1" applyFill="1" applyAlignment="1">
      <alignment horizontal="left" vertical="top"/>
    </xf>
    <xf numFmtId="0" fontId="3" fillId="0" borderId="0" xfId="0" applyNumberFormat="1" applyFont="1" applyFill="1" applyAlignment="1">
      <alignment horizontal="left" vertical="top"/>
    </xf>
    <xf numFmtId="0" fontId="23" fillId="0" borderId="0" xfId="0" applyFont="1" applyFill="1" applyAlignment="1">
      <alignment vertical="top"/>
    </xf>
    <xf numFmtId="0" fontId="3" fillId="0" borderId="56" xfId="0" applyFont="1" applyFill="1" applyBorder="1" applyAlignment="1">
      <alignment horizontal="left"/>
    </xf>
    <xf numFmtId="0" fontId="2" fillId="0" borderId="0" xfId="0" applyFont="1" applyFill="1" applyAlignment="1">
      <alignment horizontal="left"/>
    </xf>
    <xf numFmtId="0" fontId="3" fillId="0" borderId="1" xfId="0" applyFont="1" applyFill="1" applyBorder="1" applyAlignment="1">
      <alignment horizontal="left"/>
    </xf>
    <xf numFmtId="2" fontId="0" fillId="0" borderId="1" xfId="0" applyNumberFormat="1" applyFill="1" applyBorder="1" applyAlignment="1">
      <alignment horizontal="left"/>
    </xf>
    <xf numFmtId="1" fontId="0" fillId="0" borderId="1" xfId="0" applyNumberFormat="1" applyFill="1" applyBorder="1" applyAlignment="1">
      <alignment horizontal="left"/>
    </xf>
    <xf numFmtId="0" fontId="23" fillId="0" borderId="0" xfId="0" applyFont="1" applyFill="1" applyBorder="1" applyAlignment="1">
      <alignment vertical="top"/>
    </xf>
    <xf numFmtId="0" fontId="3" fillId="0" borderId="0" xfId="0" applyFont="1" applyFill="1" applyBorder="1" applyAlignment="1">
      <alignment horizontal="left"/>
    </xf>
    <xf numFmtId="2" fontId="0" fillId="0" borderId="0" xfId="0" applyNumberFormat="1" applyFill="1" applyBorder="1" applyAlignment="1">
      <alignment horizontal="left"/>
    </xf>
    <xf numFmtId="1" fontId="0" fillId="0" borderId="0" xfId="0" applyNumberFormat="1" applyFill="1" applyBorder="1" applyAlignment="1">
      <alignment horizontal="left"/>
    </xf>
    <xf numFmtId="166" fontId="2" fillId="0" borderId="0" xfId="0" applyNumberFormat="1" applyFont="1" applyFill="1" applyBorder="1" applyAlignment="1">
      <alignment horizontal="left"/>
    </xf>
    <xf numFmtId="0" fontId="2" fillId="0" borderId="0" xfId="0" applyFont="1" applyFill="1" applyBorder="1" applyAlignment="1">
      <alignment horizontal="left"/>
    </xf>
    <xf numFmtId="11" fontId="0" fillId="0" borderId="0" xfId="0" applyNumberFormat="1" applyFill="1" applyBorder="1" applyAlignment="1">
      <alignment horizontal="left"/>
    </xf>
    <xf numFmtId="49" fontId="2" fillId="0" borderId="0" xfId="0" applyNumberFormat="1" applyFont="1" applyAlignment="1">
      <alignment vertical="top"/>
    </xf>
    <xf numFmtId="0" fontId="0" fillId="24" borderId="0" xfId="0" applyFill="1" applyAlignment="1">
      <alignment horizontal="left"/>
    </xf>
    <xf numFmtId="0" fontId="2" fillId="8" borderId="7" xfId="0" applyFont="1" applyFill="1" applyBorder="1"/>
    <xf numFmtId="166" fontId="3" fillId="2" borderId="0" xfId="0" applyNumberFormat="1" applyFont="1" applyFill="1"/>
    <xf numFmtId="11" fontId="0" fillId="8" borderId="0" xfId="0" applyNumberFormat="1" applyFill="1" applyAlignment="1">
      <alignment horizontal="left"/>
    </xf>
    <xf numFmtId="0" fontId="2" fillId="0" borderId="0" xfId="0" applyFont="1" applyFill="1" applyBorder="1"/>
    <xf numFmtId="169" fontId="4" fillId="3" borderId="0" xfId="0" applyNumberFormat="1" applyFont="1" applyFill="1" applyAlignment="1">
      <alignment vertical="top"/>
    </xf>
    <xf numFmtId="169" fontId="0" fillId="2" borderId="0" xfId="0" applyNumberFormat="1" applyFill="1" applyAlignment="1">
      <alignment horizontal="left" vertical="top"/>
    </xf>
    <xf numFmtId="2" fontId="2" fillId="0" borderId="0" xfId="0" applyNumberFormat="1" applyFont="1" applyAlignment="1">
      <alignment vertical="top" wrapText="1"/>
    </xf>
    <xf numFmtId="0" fontId="2" fillId="0" borderId="0" xfId="0" applyFont="1" applyAlignment="1"/>
    <xf numFmtId="2" fontId="24" fillId="5" borderId="0" xfId="3" applyNumberFormat="1" applyFont="1" applyFill="1"/>
    <xf numFmtId="2" fontId="24" fillId="22" borderId="0" xfId="5" applyNumberFormat="1" applyFont="1" applyFill="1" applyBorder="1"/>
    <xf numFmtId="167" fontId="24" fillId="5" borderId="0" xfId="3" applyNumberFormat="1" applyFont="1" applyFill="1"/>
    <xf numFmtId="11" fontId="24" fillId="5" borderId="0" xfId="3" applyNumberFormat="1" applyFont="1" applyFill="1"/>
    <xf numFmtId="0" fontId="2" fillId="0" borderId="0" xfId="0" applyFont="1" applyAlignment="1">
      <alignment vertical="top" wrapText="1"/>
    </xf>
    <xf numFmtId="2" fontId="0" fillId="19" borderId="0" xfId="0" applyNumberFormat="1" applyFill="1"/>
    <xf numFmtId="11" fontId="0" fillId="19" borderId="0" xfId="0" applyNumberFormat="1" applyFill="1"/>
    <xf numFmtId="169" fontId="0" fillId="19" borderId="0" xfId="0" applyNumberFormat="1" applyFill="1"/>
    <xf numFmtId="2" fontId="0" fillId="0" borderId="0" xfId="0" applyNumberFormat="1" applyFill="1" applyBorder="1" applyAlignment="1">
      <alignment horizontal="right"/>
    </xf>
    <xf numFmtId="2" fontId="0" fillId="0" borderId="1" xfId="0" applyNumberFormat="1" applyBorder="1" applyAlignment="1">
      <alignment horizontal="right"/>
    </xf>
    <xf numFmtId="0" fontId="6" fillId="0" borderId="1" xfId="0" applyFont="1" applyFill="1" applyBorder="1"/>
    <xf numFmtId="2" fontId="2" fillId="2" borderId="0" xfId="0" applyNumberFormat="1" applyFont="1" applyFill="1" applyAlignment="1">
      <alignment horizontal="left"/>
    </xf>
    <xf numFmtId="0" fontId="5" fillId="0" borderId="0" xfId="0" applyFont="1" applyFill="1" applyBorder="1"/>
    <xf numFmtId="2" fontId="5" fillId="0" borderId="0" xfId="0" applyNumberFormat="1" applyFont="1" applyBorder="1" applyAlignment="1">
      <alignment horizontal="right"/>
    </xf>
    <xf numFmtId="1" fontId="5" fillId="8" borderId="2" xfId="0" applyNumberFormat="1" applyFont="1" applyFill="1" applyBorder="1"/>
    <xf numFmtId="1" fontId="5" fillId="8" borderId="8" xfId="0" applyNumberFormat="1" applyFont="1" applyFill="1" applyBorder="1"/>
    <xf numFmtId="169" fontId="5" fillId="8" borderId="8" xfId="0" applyNumberFormat="1" applyFont="1" applyFill="1" applyBorder="1"/>
    <xf numFmtId="169" fontId="5" fillId="8" borderId="2" xfId="0" applyNumberFormat="1" applyFont="1" applyFill="1" applyBorder="1"/>
    <xf numFmtId="1" fontId="4" fillId="8" borderId="44" xfId="0" applyNumberFormat="1" applyFont="1" applyFill="1" applyBorder="1"/>
    <xf numFmtId="1" fontId="4" fillId="8" borderId="43" xfId="0" applyNumberFormat="1" applyFont="1" applyFill="1" applyBorder="1"/>
    <xf numFmtId="169" fontId="4" fillId="8" borderId="44" xfId="0" applyNumberFormat="1" applyFont="1" applyFill="1" applyBorder="1"/>
    <xf numFmtId="169" fontId="4" fillId="8" borderId="43" xfId="0" applyNumberFormat="1" applyFont="1" applyFill="1" applyBorder="1"/>
    <xf numFmtId="1" fontId="6" fillId="0" borderId="8" xfId="0" applyNumberFormat="1" applyFont="1" applyFill="1" applyBorder="1"/>
    <xf numFmtId="1" fontId="4" fillId="8" borderId="1" xfId="0" applyNumberFormat="1" applyFont="1" applyFill="1" applyBorder="1"/>
    <xf numFmtId="169" fontId="4" fillId="8" borderId="1" xfId="0" applyNumberFormat="1" applyFont="1" applyFill="1" applyBorder="1"/>
    <xf numFmtId="0" fontId="2" fillId="0" borderId="0" xfId="0" applyFont="1" applyFill="1"/>
    <xf numFmtId="2" fontId="6" fillId="0" borderId="0" xfId="0" applyNumberFormat="1" applyFont="1" applyFill="1" applyBorder="1" applyAlignment="1">
      <alignment horizontal="right"/>
    </xf>
    <xf numFmtId="1" fontId="6" fillId="0" borderId="2" xfId="0" applyNumberFormat="1" applyFont="1" applyFill="1" applyBorder="1"/>
    <xf numFmtId="169" fontId="6" fillId="0" borderId="8" xfId="0" applyNumberFormat="1" applyFont="1" applyFill="1" applyBorder="1"/>
    <xf numFmtId="169" fontId="6" fillId="0" borderId="2" xfId="0" applyNumberFormat="1" applyFont="1" applyFill="1" applyBorder="1"/>
    <xf numFmtId="0" fontId="2" fillId="8" borderId="0" xfId="0" applyFont="1" applyFill="1" applyBorder="1" applyAlignment="1">
      <alignment horizontal="left"/>
    </xf>
    <xf numFmtId="0" fontId="2" fillId="0" borderId="0" xfId="3" applyFont="1" applyAlignment="1">
      <alignment vertical="top"/>
    </xf>
    <xf numFmtId="2" fontId="2" fillId="3" borderId="0" xfId="3" applyNumberFormat="1" applyFont="1" applyFill="1" applyAlignment="1">
      <alignment horizontal="right" vertical="top" wrapText="1"/>
    </xf>
    <xf numFmtId="0" fontId="2" fillId="0" borderId="0" xfId="3" applyFont="1" applyAlignment="1">
      <alignment horizontal="left" vertical="top"/>
    </xf>
    <xf numFmtId="11" fontId="0" fillId="0" borderId="0" xfId="0" applyNumberFormat="1" applyAlignment="1">
      <alignment vertical="top"/>
    </xf>
    <xf numFmtId="2" fontId="0" fillId="0" borderId="0" xfId="0" applyNumberFormat="1" applyFill="1" applyBorder="1"/>
    <xf numFmtId="2" fontId="2" fillId="4" borderId="11" xfId="0" applyNumberFormat="1" applyFont="1" applyFill="1" applyBorder="1"/>
    <xf numFmtId="0" fontId="2" fillId="17" borderId="8" xfId="0" applyFont="1" applyFill="1" applyBorder="1" applyAlignment="1">
      <alignment horizontal="right" vertical="top"/>
    </xf>
    <xf numFmtId="0" fontId="2" fillId="17" borderId="2" xfId="0" applyFont="1" applyFill="1" applyBorder="1"/>
    <xf numFmtId="0" fontId="2" fillId="17" borderId="8" xfId="0" applyFont="1" applyFill="1" applyBorder="1" applyAlignment="1">
      <alignment horizontal="right"/>
    </xf>
    <xf numFmtId="0" fontId="2" fillId="17" borderId="2" xfId="0" applyFont="1" applyFill="1" applyBorder="1" applyAlignment="1">
      <alignment horizontal="left" vertical="top"/>
    </xf>
    <xf numFmtId="0" fontId="2" fillId="17" borderId="0" xfId="0" applyFont="1" applyFill="1" applyBorder="1" applyAlignment="1">
      <alignment horizontal="right"/>
    </xf>
    <xf numFmtId="0" fontId="2" fillId="17" borderId="0" xfId="0" applyFont="1" applyFill="1" applyBorder="1" applyAlignment="1">
      <alignment horizontal="right" vertical="top"/>
    </xf>
    <xf numFmtId="2" fontId="0" fillId="16" borderId="8" xfId="0" applyNumberFormat="1" applyFill="1" applyBorder="1"/>
    <xf numFmtId="2" fontId="0" fillId="8" borderId="8" xfId="0" applyNumberFormat="1" applyFill="1" applyBorder="1"/>
    <xf numFmtId="2" fontId="0" fillId="0" borderId="8" xfId="0" applyNumberFormat="1" applyFill="1" applyBorder="1"/>
    <xf numFmtId="2" fontId="0" fillId="0" borderId="2" xfId="0" applyNumberFormat="1" applyFill="1" applyBorder="1" applyAlignment="1">
      <alignment horizontal="right"/>
    </xf>
    <xf numFmtId="2" fontId="0" fillId="8" borderId="2" xfId="0" applyNumberFormat="1" applyFill="1" applyBorder="1" applyAlignment="1">
      <alignment horizontal="right"/>
    </xf>
    <xf numFmtId="2" fontId="5" fillId="8" borderId="8" xfId="0" applyNumberFormat="1" applyFont="1" applyFill="1" applyBorder="1"/>
    <xf numFmtId="2" fontId="5" fillId="8" borderId="2" xfId="0" applyNumberFormat="1" applyFont="1" applyFill="1" applyBorder="1" applyAlignment="1">
      <alignment horizontal="right"/>
    </xf>
    <xf numFmtId="2" fontId="6" fillId="8" borderId="44" xfId="0" applyNumberFormat="1" applyFont="1" applyFill="1" applyBorder="1"/>
    <xf numFmtId="2" fontId="6" fillId="8" borderId="43" xfId="0" applyNumberFormat="1" applyFont="1" applyFill="1" applyBorder="1" applyAlignment="1">
      <alignment horizontal="right"/>
    </xf>
    <xf numFmtId="2" fontId="0" fillId="16" borderId="2" xfId="0" applyNumberFormat="1" applyFill="1" applyBorder="1"/>
    <xf numFmtId="2" fontId="6" fillId="16" borderId="44" xfId="0" applyNumberFormat="1" applyFont="1" applyFill="1" applyBorder="1"/>
    <xf numFmtId="2" fontId="6" fillId="16" borderId="43" xfId="0" applyNumberFormat="1" applyFont="1" applyFill="1" applyBorder="1"/>
    <xf numFmtId="2" fontId="0" fillId="16" borderId="0" xfId="0" applyNumberFormat="1" applyFill="1" applyBorder="1"/>
    <xf numFmtId="2" fontId="0" fillId="0" borderId="2" xfId="0" applyNumberFormat="1" applyFill="1" applyBorder="1"/>
    <xf numFmtId="2" fontId="5" fillId="16" borderId="8" xfId="0" applyNumberFormat="1" applyFont="1" applyFill="1" applyBorder="1"/>
    <xf numFmtId="1" fontId="0" fillId="8" borderId="44" xfId="0" applyNumberFormat="1" applyFill="1" applyBorder="1"/>
    <xf numFmtId="169" fontId="0" fillId="8" borderId="44" xfId="0" applyNumberFormat="1" applyFill="1" applyBorder="1"/>
    <xf numFmtId="169" fontId="0" fillId="8" borderId="43" xfId="0" applyNumberFormat="1" applyFill="1" applyBorder="1"/>
    <xf numFmtId="0" fontId="2" fillId="8" borderId="5" xfId="0" applyFont="1" applyFill="1" applyBorder="1"/>
    <xf numFmtId="0" fontId="2" fillId="0" borderId="0" xfId="0" applyFont="1" applyFill="1" applyAlignment="1"/>
    <xf numFmtId="2" fontId="0" fillId="16" borderId="44" xfId="0" applyNumberFormat="1" applyFill="1" applyBorder="1"/>
    <xf numFmtId="2" fontId="0" fillId="16" borderId="43" xfId="0" applyNumberFormat="1" applyFill="1" applyBorder="1"/>
    <xf numFmtId="2" fontId="0" fillId="8" borderId="44" xfId="0" applyNumberFormat="1" applyFill="1" applyBorder="1"/>
    <xf numFmtId="2" fontId="0" fillId="8" borderId="43" xfId="0" applyNumberFormat="1" applyFill="1" applyBorder="1" applyAlignment="1">
      <alignment horizontal="right"/>
    </xf>
    <xf numFmtId="2" fontId="5" fillId="16" borderId="44" xfId="0" applyNumberFormat="1" applyFont="1" applyFill="1" applyBorder="1"/>
    <xf numFmtId="2" fontId="5" fillId="0" borderId="1" xfId="0" applyNumberFormat="1" applyFont="1" applyBorder="1" applyAlignment="1">
      <alignment horizontal="right"/>
    </xf>
    <xf numFmtId="2" fontId="5" fillId="16" borderId="43" xfId="0" applyNumberFormat="1" applyFont="1" applyFill="1" applyBorder="1"/>
    <xf numFmtId="2" fontId="5" fillId="8" borderId="44" xfId="0" applyNumberFormat="1" applyFont="1" applyFill="1" applyBorder="1"/>
    <xf numFmtId="2" fontId="5" fillId="8" borderId="43" xfId="0" applyNumberFormat="1" applyFont="1" applyFill="1" applyBorder="1" applyAlignment="1">
      <alignment horizontal="right"/>
    </xf>
    <xf numFmtId="2" fontId="5" fillId="16" borderId="2" xfId="0" applyNumberFormat="1" applyFont="1" applyFill="1" applyBorder="1"/>
    <xf numFmtId="2" fontId="6" fillId="16" borderId="1" xfId="0" applyNumberFormat="1" applyFont="1" applyFill="1" applyBorder="1"/>
    <xf numFmtId="1" fontId="0" fillId="8" borderId="43" xfId="0" applyNumberFormat="1" applyFill="1" applyBorder="1" applyAlignment="1">
      <alignment horizontal="right"/>
    </xf>
    <xf numFmtId="1" fontId="0" fillId="0" borderId="0" xfId="0" applyNumberFormat="1" applyFill="1" applyBorder="1" applyAlignment="1">
      <alignment horizontal="right"/>
    </xf>
    <xf numFmtId="0" fontId="0" fillId="0" borderId="5" xfId="0" applyFill="1" applyBorder="1"/>
    <xf numFmtId="2" fontId="2" fillId="4" borderId="60" xfId="0" applyNumberFormat="1" applyFont="1" applyFill="1" applyBorder="1"/>
    <xf numFmtId="1" fontId="5" fillId="8" borderId="2" xfId="0" applyNumberFormat="1" applyFont="1" applyFill="1" applyBorder="1" applyAlignment="1">
      <alignment horizontal="right"/>
    </xf>
    <xf numFmtId="0" fontId="2" fillId="5" borderId="0" xfId="0" applyFont="1" applyFill="1"/>
    <xf numFmtId="1" fontId="0" fillId="0" borderId="7" xfId="0" applyNumberFormat="1" applyFill="1" applyBorder="1"/>
    <xf numFmtId="1" fontId="0" fillId="0" borderId="3" xfId="0" applyNumberFormat="1" applyFill="1" applyBorder="1"/>
    <xf numFmtId="169" fontId="0" fillId="16" borderId="2" xfId="0" applyNumberFormat="1" applyFill="1" applyBorder="1"/>
    <xf numFmtId="0" fontId="3" fillId="4" borderId="0" xfId="0" applyFont="1" applyFill="1" applyBorder="1" applyAlignment="1">
      <alignment horizontal="center"/>
    </xf>
    <xf numFmtId="0" fontId="4" fillId="6" borderId="0" xfId="0" applyFont="1" applyFill="1" applyBorder="1" applyAlignment="1">
      <alignment horizontal="right"/>
    </xf>
    <xf numFmtId="0" fontId="4" fillId="4" borderId="0" xfId="0" applyFont="1" applyFill="1" applyBorder="1" applyAlignment="1">
      <alignment horizontal="right"/>
    </xf>
    <xf numFmtId="0" fontId="2" fillId="5" borderId="0" xfId="0" applyFont="1" applyFill="1" applyBorder="1"/>
    <xf numFmtId="0" fontId="23" fillId="0" borderId="0" xfId="0" applyFont="1" applyAlignment="1">
      <alignment horizontal="left" vertical="top"/>
    </xf>
    <xf numFmtId="0" fontId="2" fillId="4" borderId="0" xfId="0" applyFont="1" applyFill="1" applyBorder="1" applyAlignment="1">
      <alignment horizontal="right"/>
    </xf>
    <xf numFmtId="0" fontId="0" fillId="4" borderId="0" xfId="0" applyFill="1" applyBorder="1" applyAlignment="1">
      <alignment horizontal="right" vertical="center"/>
    </xf>
    <xf numFmtId="0" fontId="2" fillId="6" borderId="2" xfId="0" applyFont="1" applyFill="1" applyBorder="1" applyAlignment="1">
      <alignment horizontal="right"/>
    </xf>
    <xf numFmtId="0" fontId="2" fillId="8" borderId="0" xfId="0" applyFont="1" applyFill="1" applyBorder="1"/>
    <xf numFmtId="2" fontId="2" fillId="0" borderId="0" xfId="0" applyNumberFormat="1" applyFont="1"/>
    <xf numFmtId="11" fontId="0" fillId="22" borderId="0" xfId="0" applyNumberFormat="1" applyFill="1" applyAlignment="1">
      <alignment horizontal="right"/>
    </xf>
    <xf numFmtId="11" fontId="0" fillId="0" borderId="0" xfId="0" applyNumberFormat="1" applyAlignment="1"/>
    <xf numFmtId="11" fontId="0" fillId="0" borderId="0" xfId="0" applyNumberFormat="1" applyFill="1" applyAlignment="1">
      <alignment horizontal="right"/>
    </xf>
    <xf numFmtId="11" fontId="0" fillId="0" borderId="0" xfId="0" applyNumberFormat="1" applyAlignment="1">
      <alignment horizontal="right"/>
    </xf>
    <xf numFmtId="11" fontId="3" fillId="22" borderId="0" xfId="0" applyNumberFormat="1" applyFont="1" applyFill="1" applyAlignment="1">
      <alignment horizontal="right"/>
    </xf>
    <xf numFmtId="0" fontId="0" fillId="19" borderId="6" xfId="0" applyFill="1" applyBorder="1" applyAlignment="1">
      <alignment horizontal="center"/>
    </xf>
    <xf numFmtId="0" fontId="2" fillId="6" borderId="8" xfId="0" applyFont="1" applyFill="1" applyBorder="1" applyAlignment="1">
      <alignment horizontal="right"/>
    </xf>
    <xf numFmtId="0" fontId="2" fillId="6" borderId="0" xfId="0" applyFont="1" applyFill="1" applyBorder="1" applyAlignment="1">
      <alignment horizontal="right"/>
    </xf>
    <xf numFmtId="0" fontId="0" fillId="3" borderId="0" xfId="0" applyFill="1" applyAlignment="1">
      <alignment vertical="top"/>
    </xf>
    <xf numFmtId="0" fontId="0" fillId="2" borderId="0" xfId="0" applyFill="1" applyAlignment="1">
      <alignment horizontal="left" vertical="top"/>
    </xf>
    <xf numFmtId="0" fontId="0" fillId="3" borderId="0" xfId="0" applyFill="1" applyAlignment="1">
      <alignment horizontal="left" vertical="top"/>
    </xf>
    <xf numFmtId="0" fontId="2" fillId="12" borderId="0" xfId="0" applyFont="1" applyFill="1" applyAlignment="1">
      <alignment vertical="top"/>
    </xf>
    <xf numFmtId="168" fontId="2" fillId="19" borderId="8" xfId="0" applyNumberFormat="1" applyFont="1" applyFill="1" applyBorder="1"/>
    <xf numFmtId="0" fontId="2" fillId="4" borderId="0" xfId="0" applyFont="1" applyFill="1" applyBorder="1"/>
    <xf numFmtId="0" fontId="4" fillId="6" borderId="6" xfId="0" applyFont="1" applyFill="1" applyBorder="1" applyAlignment="1">
      <alignment horizontal="right"/>
    </xf>
    <xf numFmtId="0" fontId="4" fillId="6" borderId="6" xfId="0" applyFont="1" applyFill="1" applyBorder="1" applyAlignment="1">
      <alignment horizontal="left"/>
    </xf>
    <xf numFmtId="169" fontId="0" fillId="5" borderId="0" xfId="0" applyNumberFormat="1" applyFill="1"/>
    <xf numFmtId="0" fontId="2" fillId="8" borderId="44" xfId="0" applyFont="1" applyFill="1" applyBorder="1"/>
    <xf numFmtId="0" fontId="2" fillId="0" borderId="8" xfId="0" applyFont="1" applyBorder="1"/>
    <xf numFmtId="0" fontId="6" fillId="0" borderId="8" xfId="0" applyFont="1" applyFill="1" applyBorder="1"/>
    <xf numFmtId="1" fontId="6" fillId="0" borderId="0" xfId="0" applyNumberFormat="1" applyFont="1" applyFill="1" applyBorder="1"/>
    <xf numFmtId="169" fontId="6" fillId="0" borderId="0" xfId="0" applyNumberFormat="1" applyFont="1" applyFill="1" applyBorder="1"/>
    <xf numFmtId="0" fontId="2" fillId="6" borderId="0" xfId="0" applyFont="1" applyFill="1" applyBorder="1" applyAlignment="1">
      <alignment horizontal="right"/>
    </xf>
    <xf numFmtId="0" fontId="2" fillId="6" borderId="0" xfId="0" applyFont="1" applyFill="1" applyBorder="1"/>
    <xf numFmtId="0" fontId="2" fillId="0" borderId="0" xfId="0" applyFont="1" applyFill="1" applyBorder="1" applyAlignment="1"/>
    <xf numFmtId="0" fontId="0" fillId="5" borderId="0" xfId="0" applyFill="1" applyAlignment="1">
      <alignment horizontal="left"/>
    </xf>
    <xf numFmtId="2" fontId="2" fillId="0" borderId="11" xfId="0" applyNumberFormat="1" applyFont="1" applyFill="1" applyBorder="1"/>
    <xf numFmtId="0" fontId="0" fillId="5" borderId="0" xfId="0" applyFill="1" applyAlignment="1">
      <alignment horizontal="right"/>
    </xf>
    <xf numFmtId="0" fontId="2" fillId="5" borderId="2" xfId="0" applyFont="1" applyFill="1" applyBorder="1"/>
    <xf numFmtId="1" fontId="0" fillId="5" borderId="0" xfId="0" applyNumberFormat="1" applyFill="1"/>
    <xf numFmtId="167" fontId="0" fillId="5" borderId="0" xfId="0" applyNumberFormat="1" applyFill="1"/>
    <xf numFmtId="0" fontId="2" fillId="5" borderId="0" xfId="0" applyFont="1" applyFill="1" applyBorder="1" applyAlignment="1">
      <alignment horizontal="right"/>
    </xf>
    <xf numFmtId="0" fontId="25" fillId="4" borderId="0" xfId="0" applyFont="1" applyFill="1" applyAlignment="1">
      <alignment horizontal="left" vertical="top"/>
    </xf>
    <xf numFmtId="0" fontId="24" fillId="12" borderId="0" xfId="0" applyFont="1" applyFill="1"/>
    <xf numFmtId="0" fontId="24" fillId="12" borderId="0" xfId="0" applyFont="1" applyFill="1" applyAlignment="1">
      <alignment vertical="top"/>
    </xf>
    <xf numFmtId="2" fontId="24" fillId="12" borderId="0" xfId="0" applyNumberFormat="1" applyFont="1" applyFill="1" applyAlignment="1" applyProtection="1">
      <alignment horizontal="left" vertical="top"/>
      <protection locked="0"/>
    </xf>
    <xf numFmtId="2" fontId="24" fillId="0" borderId="0" xfId="0" applyNumberFormat="1" applyFont="1" applyFill="1" applyAlignment="1" applyProtection="1">
      <alignment horizontal="left" vertical="top"/>
      <protection locked="0"/>
    </xf>
    <xf numFmtId="0" fontId="26" fillId="12" borderId="56" xfId="0" applyFont="1" applyFill="1" applyBorder="1" applyAlignment="1">
      <alignment horizontal="left" vertical="top"/>
    </xf>
    <xf numFmtId="0" fontId="26" fillId="12" borderId="56" xfId="0" applyFont="1" applyFill="1" applyBorder="1" applyAlignment="1">
      <alignment vertical="top"/>
    </xf>
    <xf numFmtId="2" fontId="26" fillId="12" borderId="56" xfId="0" applyNumberFormat="1" applyFont="1" applyFill="1" applyBorder="1" applyAlignment="1" applyProtection="1">
      <alignment horizontal="left" vertical="top" wrapText="1"/>
      <protection locked="0"/>
    </xf>
    <xf numFmtId="2" fontId="26" fillId="0" borderId="56" xfId="0" applyNumberFormat="1" applyFont="1" applyFill="1" applyBorder="1" applyAlignment="1" applyProtection="1">
      <alignment horizontal="left" vertical="top" wrapText="1"/>
      <protection locked="0"/>
    </xf>
    <xf numFmtId="0" fontId="24" fillId="12" borderId="0" xfId="0" applyFont="1" applyFill="1" applyBorder="1" applyAlignment="1">
      <alignment horizontal="center" vertical="top"/>
    </xf>
    <xf numFmtId="0" fontId="24" fillId="12" borderId="0" xfId="0" applyFont="1" applyFill="1" applyBorder="1" applyAlignment="1">
      <alignment vertical="top"/>
    </xf>
    <xf numFmtId="0" fontId="26" fillId="12" borderId="19" xfId="0" applyFont="1" applyFill="1" applyBorder="1" applyAlignment="1">
      <alignment vertical="top"/>
    </xf>
    <xf numFmtId="0" fontId="26" fillId="12" borderId="20" xfId="0" applyFont="1" applyFill="1" applyBorder="1" applyAlignment="1">
      <alignment vertical="top"/>
    </xf>
    <xf numFmtId="2" fontId="26" fillId="12" borderId="20" xfId="0" applyNumberFormat="1" applyFont="1" applyFill="1" applyBorder="1" applyAlignment="1" applyProtection="1">
      <alignment horizontal="left" vertical="top" wrapText="1"/>
      <protection locked="0"/>
    </xf>
    <xf numFmtId="2" fontId="26" fillId="0" borderId="20" xfId="0" applyNumberFormat="1" applyFont="1" applyFill="1" applyBorder="1" applyAlignment="1" applyProtection="1">
      <alignment horizontal="left" vertical="top" wrapText="1"/>
      <protection locked="0"/>
    </xf>
    <xf numFmtId="0" fontId="26" fillId="0" borderId="0" xfId="0" applyFont="1" applyAlignment="1">
      <alignment horizontal="center" vertical="top"/>
    </xf>
    <xf numFmtId="0" fontId="26" fillId="9" borderId="54" xfId="0" applyFont="1" applyFill="1" applyBorder="1" applyAlignment="1">
      <alignment vertical="top"/>
    </xf>
    <xf numFmtId="0" fontId="26" fillId="9" borderId="15" xfId="0" applyFont="1" applyFill="1" applyBorder="1" applyAlignment="1">
      <alignment vertical="top"/>
    </xf>
    <xf numFmtId="0" fontId="26" fillId="9" borderId="51" xfId="0" applyFont="1" applyFill="1" applyBorder="1" applyAlignment="1">
      <alignment vertical="top"/>
    </xf>
    <xf numFmtId="2" fontId="26" fillId="9" borderId="51" xfId="0" applyNumberFormat="1" applyFont="1" applyFill="1" applyBorder="1" applyAlignment="1" applyProtection="1">
      <alignment horizontal="left" vertical="top" wrapText="1"/>
      <protection locked="0"/>
    </xf>
    <xf numFmtId="0" fontId="24" fillId="4" borderId="0" xfId="0" applyFont="1" applyFill="1" applyBorder="1" applyAlignment="1">
      <alignment vertical="top"/>
    </xf>
    <xf numFmtId="0" fontId="24" fillId="9" borderId="62" xfId="0" applyFont="1" applyFill="1" applyBorder="1" applyAlignment="1">
      <alignment horizontal="center" vertical="top"/>
    </xf>
    <xf numFmtId="0" fontId="24" fillId="4" borderId="0" xfId="0" applyFont="1" applyFill="1" applyAlignment="1">
      <alignment vertical="top"/>
    </xf>
    <xf numFmtId="0" fontId="24" fillId="12" borderId="15" xfId="0" applyFont="1" applyFill="1" applyBorder="1"/>
    <xf numFmtId="0" fontId="24" fillId="9" borderId="81" xfId="0" applyFont="1" applyFill="1" applyBorder="1" applyAlignment="1">
      <alignment horizontal="center" vertical="top"/>
    </xf>
    <xf numFmtId="0" fontId="24" fillId="9" borderId="82" xfId="0" applyFont="1" applyFill="1" applyBorder="1" applyAlignment="1">
      <alignment vertical="top"/>
    </xf>
    <xf numFmtId="0" fontId="24" fillId="9" borderId="25" xfId="0" applyFont="1" applyFill="1" applyBorder="1" applyAlignment="1">
      <alignment vertical="top"/>
    </xf>
    <xf numFmtId="0" fontId="24" fillId="9" borderId="57" xfId="0" applyFont="1" applyFill="1" applyBorder="1" applyAlignment="1">
      <alignment vertical="top"/>
    </xf>
    <xf numFmtId="0" fontId="24" fillId="9" borderId="57" xfId="0" applyFont="1" applyFill="1" applyBorder="1" applyAlignment="1">
      <alignment vertical="top" wrapText="1"/>
    </xf>
    <xf numFmtId="0" fontId="27" fillId="0" borderId="57" xfId="0" applyFont="1" applyFill="1" applyBorder="1" applyAlignment="1">
      <alignment vertical="top"/>
    </xf>
    <xf numFmtId="2" fontId="24" fillId="0" borderId="57" xfId="0" applyNumberFormat="1" applyFont="1" applyFill="1" applyBorder="1" applyAlignment="1" applyProtection="1">
      <alignment horizontal="left" vertical="top" wrapText="1"/>
      <protection locked="0"/>
    </xf>
    <xf numFmtId="0" fontId="24" fillId="4" borderId="6" xfId="0" applyFont="1" applyFill="1" applyBorder="1" applyAlignment="1">
      <alignment vertical="top"/>
    </xf>
    <xf numFmtId="0" fontId="26" fillId="4" borderId="0" xfId="0" applyFont="1" applyFill="1" applyAlignment="1">
      <alignment horizontal="center"/>
    </xf>
    <xf numFmtId="0" fontId="24" fillId="0" borderId="0" xfId="0" applyFont="1" applyFill="1" applyBorder="1" applyAlignment="1">
      <alignment horizontal="center" vertical="top"/>
    </xf>
    <xf numFmtId="0" fontId="24" fillId="9" borderId="79" xfId="0" applyFont="1" applyFill="1" applyBorder="1" applyAlignment="1">
      <alignment vertical="top"/>
    </xf>
    <xf numFmtId="0" fontId="24" fillId="9" borderId="3" xfId="0" applyFont="1" applyFill="1" applyBorder="1" applyAlignment="1">
      <alignment vertical="top"/>
    </xf>
    <xf numFmtId="0" fontId="24" fillId="9" borderId="12" xfId="0" applyFont="1" applyFill="1" applyBorder="1" applyAlignment="1">
      <alignment vertical="top"/>
    </xf>
    <xf numFmtId="0" fontId="27" fillId="4" borderId="12" xfId="0" applyFont="1" applyFill="1" applyBorder="1" applyAlignment="1">
      <alignment horizontal="left" vertical="top"/>
    </xf>
    <xf numFmtId="1" fontId="24" fillId="11" borderId="12" xfId="0" applyNumberFormat="1" applyFont="1" applyFill="1" applyBorder="1" applyAlignment="1" applyProtection="1">
      <alignment horizontal="left" vertical="top" wrapText="1"/>
      <protection locked="0"/>
    </xf>
    <xf numFmtId="1" fontId="24" fillId="0" borderId="12" xfId="0" applyNumberFormat="1" applyFont="1" applyFill="1" applyBorder="1" applyAlignment="1" applyProtection="1">
      <alignment horizontal="left" vertical="top" wrapText="1"/>
      <protection locked="0"/>
    </xf>
    <xf numFmtId="1" fontId="24" fillId="11" borderId="12" xfId="0" applyNumberFormat="1" applyFont="1" applyFill="1" applyBorder="1" applyAlignment="1" applyProtection="1">
      <alignment horizontal="left" vertical="top"/>
      <protection locked="0"/>
    </xf>
    <xf numFmtId="1" fontId="24" fillId="0" borderId="12" xfId="0" applyNumberFormat="1" applyFont="1" applyFill="1" applyBorder="1" applyAlignment="1" applyProtection="1">
      <alignment horizontal="left" vertical="top"/>
      <protection locked="0"/>
    </xf>
    <xf numFmtId="0" fontId="24" fillId="9" borderId="2" xfId="0" applyFont="1" applyFill="1" applyBorder="1" applyAlignment="1">
      <alignment vertical="top"/>
    </xf>
    <xf numFmtId="0" fontId="24" fillId="9" borderId="42" xfId="0" applyFont="1" applyFill="1" applyBorder="1" applyAlignment="1">
      <alignment vertical="top"/>
    </xf>
    <xf numFmtId="0" fontId="27" fillId="4" borderId="42" xfId="0" applyFont="1" applyFill="1" applyBorder="1" applyAlignment="1">
      <alignment horizontal="left" vertical="top"/>
    </xf>
    <xf numFmtId="1" fontId="24" fillId="11" borderId="42" xfId="0" applyNumberFormat="1" applyFont="1" applyFill="1" applyBorder="1" applyAlignment="1" applyProtection="1">
      <alignment horizontal="left" vertical="top"/>
      <protection locked="0"/>
    </xf>
    <xf numFmtId="1" fontId="24" fillId="0" borderId="42" xfId="0" applyNumberFormat="1" applyFont="1" applyFill="1" applyBorder="1" applyAlignment="1" applyProtection="1">
      <alignment horizontal="left" vertical="top"/>
      <protection locked="0"/>
    </xf>
    <xf numFmtId="0" fontId="24" fillId="9" borderId="72" xfId="0" applyFont="1" applyFill="1" applyBorder="1" applyAlignment="1">
      <alignment horizontal="center" vertical="top"/>
    </xf>
    <xf numFmtId="0" fontId="24" fillId="9" borderId="4" xfId="0" applyFont="1" applyFill="1" applyBorder="1" applyAlignment="1">
      <alignment vertical="top"/>
    </xf>
    <xf numFmtId="0" fontId="24" fillId="9" borderId="41" xfId="0" applyFont="1" applyFill="1" applyBorder="1" applyAlignment="1">
      <alignment vertical="top"/>
    </xf>
    <xf numFmtId="0" fontId="24" fillId="9" borderId="41" xfId="0" applyFont="1" applyFill="1" applyBorder="1" applyAlignment="1">
      <alignment vertical="top" wrapText="1"/>
    </xf>
    <xf numFmtId="0" fontId="27" fillId="4" borderId="41" xfId="0" applyFont="1" applyFill="1" applyBorder="1" applyAlignment="1">
      <alignment vertical="top"/>
    </xf>
    <xf numFmtId="1" fontId="24" fillId="0" borderId="41" xfId="0" applyNumberFormat="1" applyFont="1" applyFill="1" applyBorder="1" applyAlignment="1" applyProtection="1">
      <alignment horizontal="left" vertical="top" wrapText="1"/>
      <protection locked="0"/>
    </xf>
    <xf numFmtId="0" fontId="24" fillId="4" borderId="5" xfId="0" applyFont="1" applyFill="1" applyBorder="1" applyAlignment="1">
      <alignment vertical="top"/>
    </xf>
    <xf numFmtId="0" fontId="24" fillId="9" borderId="83" xfId="0" applyFont="1" applyFill="1" applyBorder="1" applyAlignment="1">
      <alignment vertical="top"/>
    </xf>
    <xf numFmtId="0" fontId="24" fillId="9" borderId="46" xfId="0" applyFont="1" applyFill="1" applyBorder="1" applyAlignment="1">
      <alignment vertical="top"/>
    </xf>
    <xf numFmtId="0" fontId="27" fillId="4" borderId="46" xfId="0" applyFont="1" applyFill="1" applyBorder="1" applyAlignment="1">
      <alignment vertical="top"/>
    </xf>
    <xf numFmtId="1" fontId="24" fillId="11" borderId="46" xfId="0" applyNumberFormat="1" applyFont="1" applyFill="1" applyBorder="1" applyAlignment="1" applyProtection="1">
      <alignment horizontal="left" vertical="top"/>
      <protection locked="0"/>
    </xf>
    <xf numFmtId="1" fontId="24" fillId="0" borderId="46" xfId="0" applyNumberFormat="1" applyFont="1" applyFill="1" applyBorder="1" applyAlignment="1" applyProtection="1">
      <alignment horizontal="left" vertical="top"/>
      <protection locked="0"/>
    </xf>
    <xf numFmtId="0" fontId="24" fillId="25" borderId="14" xfId="0" applyFont="1" applyFill="1" applyBorder="1" applyAlignment="1">
      <alignment vertical="top" wrapText="1"/>
    </xf>
    <xf numFmtId="0" fontId="24" fillId="0" borderId="0" xfId="0" applyFont="1" applyFill="1"/>
    <xf numFmtId="0" fontId="24" fillId="25" borderId="43" xfId="0" applyFont="1" applyFill="1" applyBorder="1"/>
    <xf numFmtId="0" fontId="24" fillId="25" borderId="14" xfId="0" applyFont="1" applyFill="1" applyBorder="1"/>
    <xf numFmtId="0" fontId="24" fillId="4" borderId="14" xfId="0" applyFont="1" applyFill="1" applyBorder="1"/>
    <xf numFmtId="0" fontId="27" fillId="4" borderId="14" xfId="0" applyFont="1" applyFill="1" applyBorder="1"/>
    <xf numFmtId="2" fontId="24" fillId="11" borderId="41" xfId="0" applyNumberFormat="1" applyFont="1" applyFill="1" applyBorder="1" applyAlignment="1">
      <alignment horizontal="left" vertical="top" wrapText="1"/>
    </xf>
    <xf numFmtId="2" fontId="24" fillId="0" borderId="41" xfId="0" applyNumberFormat="1" applyFont="1" applyFill="1" applyBorder="1" applyAlignment="1">
      <alignment horizontal="left" vertical="top" wrapText="1"/>
    </xf>
    <xf numFmtId="0" fontId="24" fillId="0" borderId="0" xfId="0" applyFont="1"/>
    <xf numFmtId="0" fontId="24" fillId="16" borderId="61" xfId="0" applyFont="1" applyFill="1" applyBorder="1" applyAlignment="1">
      <alignment vertical="top" wrapText="1"/>
    </xf>
    <xf numFmtId="2" fontId="24" fillId="11" borderId="14" xfId="0" applyNumberFormat="1" applyFont="1" applyFill="1" applyBorder="1" applyAlignment="1">
      <alignment horizontal="left"/>
    </xf>
    <xf numFmtId="2" fontId="24" fillId="0" borderId="14" xfId="0" applyNumberFormat="1" applyFont="1" applyFill="1" applyBorder="1" applyAlignment="1">
      <alignment horizontal="left"/>
    </xf>
    <xf numFmtId="0" fontId="24" fillId="0" borderId="0" xfId="0" applyFont="1" applyFill="1" applyBorder="1" applyAlignment="1">
      <alignment vertical="top" wrapText="1"/>
    </xf>
    <xf numFmtId="0" fontId="26" fillId="0" borderId="0" xfId="0" applyFont="1" applyAlignment="1">
      <alignment horizontal="center"/>
    </xf>
    <xf numFmtId="0" fontId="24" fillId="25" borderId="43" xfId="0" applyFont="1" applyFill="1" applyBorder="1" applyAlignment="1">
      <alignment vertical="top"/>
    </xf>
    <xf numFmtId="0" fontId="24" fillId="25" borderId="14" xfId="0" applyFont="1" applyFill="1" applyBorder="1" applyAlignment="1">
      <alignment vertical="top"/>
    </xf>
    <xf numFmtId="0" fontId="24" fillId="4" borderId="14" xfId="0" applyFont="1" applyFill="1" applyBorder="1" applyAlignment="1">
      <alignment vertical="top" wrapText="1"/>
    </xf>
    <xf numFmtId="0" fontId="27" fillId="4" borderId="14" xfId="0" applyFont="1" applyFill="1" applyBorder="1" applyAlignment="1">
      <alignment vertical="top" wrapText="1"/>
    </xf>
    <xf numFmtId="2" fontId="24" fillId="11" borderId="14" xfId="0" applyNumberFormat="1" applyFont="1" applyFill="1" applyBorder="1" applyAlignment="1">
      <alignment horizontal="left" vertical="top" wrapText="1"/>
    </xf>
    <xf numFmtId="2" fontId="24" fillId="0" borderId="14" xfId="0" applyNumberFormat="1" applyFont="1" applyFill="1" applyBorder="1" applyAlignment="1">
      <alignment horizontal="left" vertical="top" wrapText="1"/>
    </xf>
    <xf numFmtId="0" fontId="24" fillId="0" borderId="0" xfId="0" applyFont="1" applyFill="1" applyBorder="1" applyAlignment="1">
      <alignment vertical="top"/>
    </xf>
    <xf numFmtId="0" fontId="24" fillId="16" borderId="62" xfId="0" applyFont="1" applyFill="1" applyBorder="1" applyAlignment="1">
      <alignment horizontal="center" vertical="top"/>
    </xf>
    <xf numFmtId="0" fontId="26" fillId="12" borderId="0" xfId="0" applyFont="1" applyFill="1" applyAlignment="1">
      <alignment horizontal="center" vertical="top"/>
    </xf>
    <xf numFmtId="0" fontId="24" fillId="0" borderId="14" xfId="0" applyFont="1" applyFill="1" applyBorder="1" applyAlignment="1">
      <alignment vertical="top" wrapText="1"/>
    </xf>
    <xf numFmtId="0" fontId="27" fillId="4" borderId="4" xfId="0" applyFont="1" applyFill="1" applyBorder="1" applyAlignment="1">
      <alignment vertical="top" wrapText="1"/>
    </xf>
    <xf numFmtId="0" fontId="24" fillId="20" borderId="41" xfId="0" applyFont="1" applyFill="1" applyBorder="1" applyAlignment="1" applyProtection="1">
      <alignment horizontal="center" vertical="top" wrapText="1"/>
      <protection locked="0"/>
    </xf>
    <xf numFmtId="0" fontId="24" fillId="0" borderId="41" xfId="0" applyFont="1" applyFill="1" applyBorder="1" applyAlignment="1" applyProtection="1">
      <alignment horizontal="center" vertical="top" wrapText="1"/>
      <protection locked="0"/>
    </xf>
    <xf numFmtId="0" fontId="24" fillId="0" borderId="6" xfId="0" applyFont="1" applyFill="1" applyBorder="1" applyAlignment="1">
      <alignment vertical="top"/>
    </xf>
    <xf numFmtId="0" fontId="24" fillId="12" borderId="0" xfId="0" applyFont="1" applyFill="1" applyBorder="1"/>
    <xf numFmtId="0" fontId="24" fillId="16" borderId="81" xfId="0" applyFont="1" applyFill="1" applyBorder="1" applyAlignment="1">
      <alignment horizontal="center"/>
    </xf>
    <xf numFmtId="0" fontId="24" fillId="0" borderId="1" xfId="0" applyFont="1" applyFill="1" applyBorder="1" applyAlignment="1">
      <alignment vertical="top"/>
    </xf>
    <xf numFmtId="0" fontId="26" fillId="12" borderId="1" xfId="0" applyFont="1" applyFill="1" applyBorder="1"/>
    <xf numFmtId="0" fontId="24" fillId="0" borderId="1" xfId="0" applyFont="1" applyFill="1" applyBorder="1" applyAlignment="1">
      <alignment vertical="top" wrapText="1"/>
    </xf>
    <xf numFmtId="0" fontId="24" fillId="12" borderId="5" xfId="0" applyFont="1" applyFill="1" applyBorder="1"/>
    <xf numFmtId="0" fontId="24" fillId="16" borderId="81" xfId="0" applyFont="1" applyFill="1" applyBorder="1" applyAlignment="1">
      <alignment horizontal="center" vertical="top"/>
    </xf>
    <xf numFmtId="0" fontId="24" fillId="12" borderId="5" xfId="0" applyFont="1" applyFill="1" applyBorder="1" applyAlignment="1">
      <alignment horizontal="center"/>
    </xf>
    <xf numFmtId="0" fontId="24" fillId="16" borderId="62" xfId="0" applyFont="1" applyFill="1" applyBorder="1" applyAlignment="1">
      <alignment horizontal="center"/>
    </xf>
    <xf numFmtId="0" fontId="26" fillId="12" borderId="0" xfId="0" applyFont="1" applyFill="1"/>
    <xf numFmtId="0" fontId="27" fillId="12" borderId="6" xfId="0" applyFont="1" applyFill="1" applyBorder="1" applyAlignment="1">
      <alignment vertical="top"/>
    </xf>
    <xf numFmtId="0" fontId="24" fillId="11" borderId="41" xfId="0" applyFont="1" applyFill="1" applyBorder="1" applyAlignment="1" applyProtection="1">
      <alignment horizontal="center" vertical="top"/>
      <protection locked="0"/>
    </xf>
    <xf numFmtId="0" fontId="24" fillId="0" borderId="41" xfId="0" applyFont="1" applyFill="1" applyBorder="1" applyAlignment="1" applyProtection="1">
      <alignment horizontal="center" vertical="top"/>
      <protection locked="0"/>
    </xf>
    <xf numFmtId="2" fontId="24" fillId="11" borderId="14" xfId="0" applyNumberFormat="1" applyFont="1" applyFill="1" applyBorder="1" applyAlignment="1" applyProtection="1">
      <alignment horizontal="left" vertical="top" wrapText="1"/>
      <protection locked="0"/>
    </xf>
    <xf numFmtId="2" fontId="24" fillId="0" borderId="14" xfId="0" applyNumberFormat="1" applyFont="1" applyFill="1" applyBorder="1" applyAlignment="1" applyProtection="1">
      <alignment horizontal="left" vertical="top" wrapText="1"/>
      <protection locked="0"/>
    </xf>
    <xf numFmtId="0" fontId="26" fillId="4" borderId="0" xfId="0" applyFont="1" applyFill="1" applyAlignment="1">
      <alignment vertical="top"/>
    </xf>
    <xf numFmtId="0" fontId="24" fillId="21" borderId="62" xfId="0" applyFont="1" applyFill="1" applyBorder="1" applyAlignment="1">
      <alignment horizontal="left"/>
    </xf>
    <xf numFmtId="0" fontId="24" fillId="21" borderId="62" xfId="0" applyFont="1" applyFill="1" applyBorder="1" applyAlignment="1">
      <alignment vertical="top"/>
    </xf>
    <xf numFmtId="0" fontId="24" fillId="12" borderId="80" xfId="0" applyFont="1" applyFill="1" applyBorder="1"/>
    <xf numFmtId="0" fontId="24" fillId="21" borderId="81" xfId="0" applyFont="1" applyFill="1" applyBorder="1" applyAlignment="1">
      <alignment horizontal="left" vertical="top"/>
    </xf>
    <xf numFmtId="0" fontId="24" fillId="21" borderId="72" xfId="0" applyFont="1" applyFill="1" applyBorder="1" applyAlignment="1">
      <alignment vertical="top"/>
    </xf>
    <xf numFmtId="0" fontId="24" fillId="25" borderId="14" xfId="0" applyFont="1" applyFill="1" applyBorder="1" applyAlignment="1">
      <alignment horizontal="left" vertical="top" wrapText="1"/>
    </xf>
    <xf numFmtId="0" fontId="24" fillId="4" borderId="14" xfId="0" applyFont="1" applyFill="1" applyBorder="1" applyAlignment="1">
      <alignment vertical="top"/>
    </xf>
    <xf numFmtId="0" fontId="27" fillId="4" borderId="14" xfId="0" applyFont="1" applyFill="1" applyBorder="1" applyAlignment="1">
      <alignment vertical="top"/>
    </xf>
    <xf numFmtId="2" fontId="24" fillId="11" borderId="14" xfId="0" applyNumberFormat="1" applyFont="1" applyFill="1" applyBorder="1" applyAlignment="1">
      <alignment horizontal="left" vertical="top"/>
    </xf>
    <xf numFmtId="2" fontId="24" fillId="0" borderId="14" xfId="0" applyNumberFormat="1" applyFont="1" applyFill="1" applyBorder="1" applyAlignment="1">
      <alignment horizontal="left" vertical="top"/>
    </xf>
    <xf numFmtId="0" fontId="24" fillId="12" borderId="51" xfId="0" applyFont="1" applyFill="1" applyBorder="1"/>
    <xf numFmtId="0" fontId="24" fillId="12" borderId="51" xfId="0" applyFont="1" applyFill="1" applyBorder="1" applyAlignment="1">
      <alignment vertical="top"/>
    </xf>
    <xf numFmtId="2" fontId="24" fillId="12" borderId="51" xfId="0" applyNumberFormat="1" applyFont="1" applyFill="1" applyBorder="1" applyAlignment="1" applyProtection="1">
      <alignment horizontal="left" vertical="top"/>
      <protection locked="0"/>
    </xf>
    <xf numFmtId="0" fontId="24" fillId="21" borderId="81" xfId="0" applyFont="1" applyFill="1" applyBorder="1" applyAlignment="1">
      <alignment vertical="top"/>
    </xf>
    <xf numFmtId="0" fontId="26" fillId="10" borderId="54" xfId="0" applyFont="1" applyFill="1" applyBorder="1" applyAlignment="1">
      <alignment wrapText="1"/>
    </xf>
    <xf numFmtId="0" fontId="24" fillId="10" borderId="51" xfId="0" applyFont="1" applyFill="1" applyBorder="1" applyAlignment="1">
      <alignment wrapText="1"/>
    </xf>
    <xf numFmtId="0" fontId="24" fillId="10" borderId="52" xfId="0" applyFont="1" applyFill="1" applyBorder="1" applyAlignment="1">
      <alignment wrapText="1"/>
    </xf>
    <xf numFmtId="0" fontId="24" fillId="12" borderId="15" xfId="0" applyFont="1" applyFill="1" applyBorder="1" applyAlignment="1">
      <alignment vertical="top"/>
    </xf>
    <xf numFmtId="2" fontId="24" fillId="12" borderId="15" xfId="0" applyNumberFormat="1" applyFont="1" applyFill="1" applyBorder="1" applyAlignment="1" applyProtection="1">
      <alignment horizontal="left" vertical="top"/>
      <protection locked="0"/>
    </xf>
    <xf numFmtId="0" fontId="26" fillId="10" borderId="55" xfId="0" applyFont="1" applyFill="1" applyBorder="1" applyAlignment="1">
      <alignment wrapText="1"/>
    </xf>
    <xf numFmtId="0" fontId="24" fillId="10" borderId="57" xfId="0" applyFont="1" applyFill="1" applyBorder="1" applyAlignment="1">
      <alignment wrapText="1"/>
    </xf>
    <xf numFmtId="0" fontId="27" fillId="4" borderId="57" xfId="0" applyFont="1" applyFill="1" applyBorder="1" applyAlignment="1">
      <alignment vertical="top"/>
    </xf>
    <xf numFmtId="2" fontId="24" fillId="11" borderId="57" xfId="0" applyNumberFormat="1" applyFont="1" applyFill="1" applyBorder="1" applyAlignment="1" applyProtection="1">
      <alignment horizontal="left" vertical="top"/>
      <protection locked="0"/>
    </xf>
    <xf numFmtId="2" fontId="24" fillId="0" borderId="57" xfId="0" applyNumberFormat="1" applyFont="1" applyFill="1" applyBorder="1" applyAlignment="1" applyProtection="1">
      <alignment horizontal="left" vertical="top"/>
      <protection locked="0"/>
    </xf>
    <xf numFmtId="0" fontId="24" fillId="10" borderId="13" xfId="0" applyFont="1" applyFill="1" applyBorder="1" applyAlignment="1">
      <alignment wrapText="1"/>
    </xf>
    <xf numFmtId="0" fontId="24" fillId="10" borderId="14" xfId="0" applyFont="1" applyFill="1" applyBorder="1" applyAlignment="1">
      <alignment wrapText="1"/>
    </xf>
    <xf numFmtId="2" fontId="24" fillId="11" borderId="14" xfId="0" applyNumberFormat="1" applyFont="1" applyFill="1" applyBorder="1" applyAlignment="1" applyProtection="1">
      <alignment horizontal="left" vertical="center"/>
      <protection locked="0"/>
    </xf>
    <xf numFmtId="2" fontId="24" fillId="0" borderId="14" xfId="0" applyNumberFormat="1" applyFont="1" applyFill="1" applyBorder="1" applyAlignment="1" applyProtection="1">
      <alignment horizontal="left" vertical="center"/>
      <protection locked="0"/>
    </xf>
    <xf numFmtId="2" fontId="24" fillId="11" borderId="14" xfId="0" applyNumberFormat="1" applyFont="1" applyFill="1" applyBorder="1" applyAlignment="1" applyProtection="1">
      <alignment horizontal="left" vertical="top"/>
      <protection locked="0"/>
    </xf>
    <xf numFmtId="2" fontId="24" fillId="0" borderId="14" xfId="0" applyNumberFormat="1" applyFont="1" applyFill="1" applyBorder="1" applyAlignment="1" applyProtection="1">
      <alignment horizontal="left" vertical="top"/>
      <protection locked="0"/>
    </xf>
    <xf numFmtId="0" fontId="26" fillId="10" borderId="13" xfId="0" applyFont="1" applyFill="1" applyBorder="1" applyAlignment="1">
      <alignment wrapText="1"/>
    </xf>
    <xf numFmtId="2" fontId="24" fillId="11" borderId="41" xfId="0" applyNumberFormat="1" applyFont="1" applyFill="1" applyBorder="1" applyAlignment="1" applyProtection="1">
      <alignment horizontal="left" vertical="top"/>
      <protection locked="0"/>
    </xf>
    <xf numFmtId="2" fontId="24" fillId="0" borderId="41" xfId="0" applyNumberFormat="1" applyFont="1" applyFill="1" applyBorder="1" applyAlignment="1" applyProtection="1">
      <alignment horizontal="left" vertical="top"/>
      <protection locked="0"/>
    </xf>
    <xf numFmtId="0" fontId="24" fillId="0" borderId="0" xfId="0" applyFont="1" applyFill="1" applyBorder="1" applyAlignment="1">
      <alignment horizontal="left" vertical="top"/>
    </xf>
    <xf numFmtId="0" fontId="24" fillId="10" borderId="90" xfId="0" applyFont="1" applyFill="1" applyBorder="1" applyAlignment="1">
      <alignment wrapText="1"/>
    </xf>
    <xf numFmtId="0" fontId="24" fillId="10" borderId="46" xfId="0" applyFont="1" applyFill="1" applyBorder="1" applyAlignment="1">
      <alignment wrapText="1"/>
    </xf>
    <xf numFmtId="2" fontId="24" fillId="11" borderId="46" xfId="0" applyNumberFormat="1" applyFont="1" applyFill="1" applyBorder="1" applyAlignment="1" applyProtection="1">
      <alignment horizontal="left" vertical="top"/>
      <protection locked="0"/>
    </xf>
    <xf numFmtId="2" fontId="24" fillId="0" borderId="46" xfId="0" applyNumberFormat="1" applyFont="1" applyFill="1" applyBorder="1" applyAlignment="1" applyProtection="1">
      <alignment horizontal="left" vertical="top"/>
      <protection locked="0"/>
    </xf>
    <xf numFmtId="0" fontId="24" fillId="12" borderId="20" xfId="0" applyFont="1" applyFill="1" applyBorder="1"/>
    <xf numFmtId="0" fontId="27" fillId="4" borderId="0" xfId="0" applyFont="1" applyFill="1" applyBorder="1" applyAlignment="1">
      <alignment vertical="top"/>
    </xf>
    <xf numFmtId="2" fontId="24" fillId="4" borderId="0" xfId="0" applyNumberFormat="1" applyFont="1" applyFill="1" applyBorder="1" applyAlignment="1" applyProtection="1">
      <alignment horizontal="left" vertical="top" wrapText="1"/>
      <protection locked="0"/>
    </xf>
    <xf numFmtId="0" fontId="26" fillId="6" borderId="54" xfId="0" applyFont="1" applyFill="1" applyBorder="1" applyAlignment="1">
      <alignment vertical="top"/>
    </xf>
    <xf numFmtId="0" fontId="24" fillId="6" borderId="51" xfId="0" applyFont="1" applyFill="1" applyBorder="1" applyAlignment="1">
      <alignment horizontal="left" vertical="top"/>
    </xf>
    <xf numFmtId="0" fontId="24" fillId="6" borderId="51" xfId="0" applyFont="1" applyFill="1" applyBorder="1" applyAlignment="1">
      <alignment vertical="top"/>
    </xf>
    <xf numFmtId="0" fontId="27" fillId="6" borderId="51" xfId="0" applyFont="1" applyFill="1" applyBorder="1" applyAlignment="1">
      <alignment vertical="top"/>
    </xf>
    <xf numFmtId="2" fontId="24" fillId="6" borderId="51" xfId="0" applyNumberFormat="1" applyFont="1" applyFill="1" applyBorder="1" applyAlignment="1" applyProtection="1">
      <alignment horizontal="left" vertical="top"/>
      <protection locked="0"/>
    </xf>
    <xf numFmtId="0" fontId="24" fillId="4" borderId="54" xfId="0" applyFont="1" applyFill="1" applyBorder="1" applyAlignment="1">
      <alignment vertical="top"/>
    </xf>
    <xf numFmtId="0" fontId="24" fillId="4" borderId="15" xfId="0" applyFont="1" applyFill="1" applyBorder="1" applyAlignment="1">
      <alignment vertical="top"/>
    </xf>
    <xf numFmtId="0" fontId="24" fillId="6" borderId="22" xfId="0" applyFont="1" applyFill="1" applyBorder="1" applyAlignment="1">
      <alignment vertical="top"/>
    </xf>
    <xf numFmtId="0" fontId="24" fillId="6" borderId="48" xfId="0" applyFont="1" applyFill="1" applyBorder="1" applyAlignment="1">
      <alignment vertical="top"/>
    </xf>
    <xf numFmtId="0" fontId="24" fillId="6" borderId="14" xfId="0" applyFont="1" applyFill="1" applyBorder="1" applyAlignment="1">
      <alignment vertical="top" wrapText="1"/>
    </xf>
    <xf numFmtId="0" fontId="24" fillId="6" borderId="41" xfId="0" applyFont="1" applyFill="1" applyBorder="1" applyAlignment="1">
      <alignment vertical="top"/>
    </xf>
    <xf numFmtId="0" fontId="24" fillId="6" borderId="47" xfId="0" applyFont="1" applyFill="1" applyBorder="1" applyAlignment="1">
      <alignment vertical="top"/>
    </xf>
    <xf numFmtId="0" fontId="24" fillId="6" borderId="14" xfId="0" applyFont="1" applyFill="1" applyBorder="1" applyAlignment="1">
      <alignment vertical="top"/>
    </xf>
    <xf numFmtId="0" fontId="24" fillId="6" borderId="44" xfId="0" applyFont="1" applyFill="1" applyBorder="1" applyAlignment="1">
      <alignment vertical="top"/>
    </xf>
    <xf numFmtId="0" fontId="27" fillId="0" borderId="14" xfId="0" applyFont="1" applyFill="1" applyBorder="1" applyAlignment="1">
      <alignment vertical="top"/>
    </xf>
    <xf numFmtId="0" fontId="24" fillId="17" borderId="47" xfId="0" applyFont="1" applyFill="1" applyBorder="1" applyAlignment="1">
      <alignment vertical="top"/>
    </xf>
    <xf numFmtId="0" fontId="24" fillId="6" borderId="23" xfId="0" applyFont="1" applyFill="1" applyBorder="1" applyAlignment="1">
      <alignment vertical="top"/>
    </xf>
    <xf numFmtId="0" fontId="27" fillId="0" borderId="41" xfId="0" applyFont="1" applyFill="1" applyBorder="1" applyAlignment="1">
      <alignment vertical="top"/>
    </xf>
    <xf numFmtId="0" fontId="24" fillId="17" borderId="45" xfId="0" applyFont="1" applyFill="1" applyBorder="1" applyAlignment="1">
      <alignment vertical="top"/>
    </xf>
    <xf numFmtId="0" fontId="24" fillId="17" borderId="46" xfId="0" applyFont="1" applyFill="1" applyBorder="1"/>
    <xf numFmtId="0" fontId="26" fillId="13" borderId="54" xfId="0" applyFont="1" applyFill="1" applyBorder="1"/>
    <xf numFmtId="0" fontId="24" fillId="13" borderId="53" xfId="0" applyFont="1" applyFill="1" applyBorder="1"/>
    <xf numFmtId="0" fontId="24" fillId="13" borderId="51" xfId="0" applyFont="1" applyFill="1" applyBorder="1"/>
    <xf numFmtId="0" fontId="24" fillId="13" borderId="51" xfId="0" applyFont="1" applyFill="1" applyBorder="1" applyAlignment="1">
      <alignment vertical="top"/>
    </xf>
    <xf numFmtId="2" fontId="24" fillId="13" borderId="51" xfId="0" applyNumberFormat="1" applyFont="1" applyFill="1" applyBorder="1" applyAlignment="1" applyProtection="1">
      <alignment horizontal="left" vertical="top"/>
      <protection locked="0"/>
    </xf>
    <xf numFmtId="0" fontId="24" fillId="12" borderId="10" xfId="0" applyFont="1" applyFill="1" applyBorder="1"/>
    <xf numFmtId="0" fontId="24" fillId="13" borderId="4" xfId="0" applyFont="1" applyFill="1" applyBorder="1" applyAlignment="1">
      <alignment vertical="top"/>
    </xf>
    <xf numFmtId="0" fontId="24" fillId="13" borderId="41" xfId="0" applyFont="1" applyFill="1" applyBorder="1" applyAlignment="1">
      <alignment vertical="top"/>
    </xf>
    <xf numFmtId="0" fontId="24" fillId="13" borderId="46" xfId="0" applyFont="1" applyFill="1" applyBorder="1" applyAlignment="1">
      <alignment vertical="top"/>
    </xf>
    <xf numFmtId="0" fontId="26" fillId="14" borderId="54" xfId="0" applyFont="1" applyFill="1" applyBorder="1"/>
    <xf numFmtId="0" fontId="24" fillId="14" borderId="53" xfId="0" applyFont="1" applyFill="1" applyBorder="1"/>
    <xf numFmtId="0" fontId="24" fillId="14" borderId="51" xfId="0" applyFont="1" applyFill="1" applyBorder="1"/>
    <xf numFmtId="0" fontId="24" fillId="14" borderId="51" xfId="0" applyFont="1" applyFill="1" applyBorder="1" applyAlignment="1">
      <alignment vertical="top"/>
    </xf>
    <xf numFmtId="2" fontId="24" fillId="14" borderId="51" xfId="0" applyNumberFormat="1" applyFont="1" applyFill="1" applyBorder="1" applyAlignment="1" applyProtection="1">
      <alignment horizontal="left" vertical="top"/>
      <protection locked="0"/>
    </xf>
    <xf numFmtId="0" fontId="24" fillId="14" borderId="22" xfId="0" applyFont="1" applyFill="1" applyBorder="1" applyAlignment="1">
      <alignment vertical="top"/>
    </xf>
    <xf numFmtId="0" fontId="24" fillId="14" borderId="44" xfId="0" applyFont="1" applyFill="1" applyBorder="1" applyAlignment="1">
      <alignment vertical="top"/>
    </xf>
    <xf numFmtId="0" fontId="24" fillId="14" borderId="14" xfId="0" applyFont="1" applyFill="1" applyBorder="1" applyAlignment="1">
      <alignment vertical="top"/>
    </xf>
    <xf numFmtId="0" fontId="24" fillId="14" borderId="26" xfId="0" applyFont="1" applyFill="1" applyBorder="1" applyAlignment="1">
      <alignment vertical="top"/>
    </xf>
    <xf numFmtId="0" fontId="26" fillId="15" borderId="54" xfId="0" applyFont="1" applyFill="1" applyBorder="1"/>
    <xf numFmtId="0" fontId="24" fillId="15" borderId="53" xfId="0" applyFont="1" applyFill="1" applyBorder="1"/>
    <xf numFmtId="0" fontId="24" fillId="15" borderId="51" xfId="0" applyFont="1" applyFill="1" applyBorder="1"/>
    <xf numFmtId="0" fontId="24" fillId="15" borderId="51" xfId="0" applyFont="1" applyFill="1" applyBorder="1" applyAlignment="1">
      <alignment vertical="top"/>
    </xf>
    <xf numFmtId="2" fontId="24" fillId="15" borderId="51" xfId="0" applyNumberFormat="1" applyFont="1" applyFill="1" applyBorder="1" applyAlignment="1" applyProtection="1">
      <alignment horizontal="left" vertical="top"/>
      <protection locked="0"/>
    </xf>
    <xf numFmtId="0" fontId="24" fillId="15" borderId="14" xfId="0" applyFont="1" applyFill="1" applyBorder="1" applyAlignment="1">
      <alignment vertical="top"/>
    </xf>
    <xf numFmtId="0" fontId="24" fillId="15" borderId="12" xfId="0" applyFont="1" applyFill="1" applyBorder="1" applyAlignment="1">
      <alignment vertical="top"/>
    </xf>
    <xf numFmtId="2" fontId="24" fillId="0" borderId="12" xfId="0" applyNumberFormat="1" applyFont="1" applyFill="1" applyBorder="1" applyAlignment="1" applyProtection="1">
      <alignment horizontal="left" vertical="top"/>
      <protection locked="0"/>
    </xf>
    <xf numFmtId="2" fontId="24" fillId="12" borderId="0" xfId="0" applyNumberFormat="1" applyFont="1" applyFill="1" applyAlignment="1">
      <alignment horizontal="left"/>
    </xf>
    <xf numFmtId="2" fontId="24" fillId="0" borderId="0" xfId="0" applyNumberFormat="1" applyFont="1" applyFill="1" applyAlignment="1">
      <alignment horizontal="left"/>
    </xf>
    <xf numFmtId="0" fontId="24" fillId="9" borderId="45" xfId="0" applyFont="1" applyFill="1" applyBorder="1" applyAlignment="1">
      <alignment vertical="top"/>
    </xf>
    <xf numFmtId="0" fontId="24" fillId="6" borderId="55" xfId="0" applyFont="1" applyFill="1" applyBorder="1" applyAlignment="1">
      <alignment vertical="top"/>
    </xf>
    <xf numFmtId="0" fontId="24" fillId="6" borderId="25" xfId="0" applyFont="1" applyFill="1" applyBorder="1" applyAlignment="1">
      <alignment vertical="top"/>
    </xf>
    <xf numFmtId="0" fontId="24" fillId="6" borderId="57" xfId="0" applyFont="1" applyFill="1" applyBorder="1" applyAlignment="1">
      <alignment vertical="top"/>
    </xf>
    <xf numFmtId="0" fontId="24" fillId="17" borderId="90" xfId="0" applyFont="1" applyFill="1" applyBorder="1" applyAlignment="1">
      <alignment vertical="top"/>
    </xf>
    <xf numFmtId="0" fontId="24" fillId="17" borderId="46" xfId="0" applyFont="1" applyFill="1" applyBorder="1" applyAlignment="1">
      <alignment vertical="top"/>
    </xf>
    <xf numFmtId="0" fontId="24" fillId="13" borderId="48" xfId="0" applyFont="1" applyFill="1" applyBorder="1" applyAlignment="1">
      <alignment vertical="top"/>
    </xf>
    <xf numFmtId="0" fontId="24" fillId="13" borderId="90" xfId="0" applyFont="1" applyFill="1" applyBorder="1" applyAlignment="1">
      <alignment vertical="top"/>
    </xf>
    <xf numFmtId="0" fontId="24" fillId="14" borderId="91" xfId="0" applyFont="1" applyFill="1" applyBorder="1" applyAlignment="1">
      <alignment vertical="top"/>
    </xf>
    <xf numFmtId="0" fontId="24" fillId="14" borderId="57" xfId="0" applyFont="1" applyFill="1" applyBorder="1" applyAlignment="1">
      <alignment vertical="top"/>
    </xf>
    <xf numFmtId="0" fontId="24" fillId="14" borderId="60" xfId="0" applyFont="1" applyFill="1" applyBorder="1" applyAlignment="1">
      <alignment vertical="top"/>
    </xf>
    <xf numFmtId="0" fontId="24" fillId="14" borderId="13" xfId="0" applyFont="1" applyFill="1" applyBorder="1" applyAlignment="1">
      <alignment vertical="top"/>
    </xf>
    <xf numFmtId="0" fontId="24" fillId="14" borderId="58" xfId="0" applyFont="1" applyFill="1" applyBorder="1" applyAlignment="1">
      <alignment vertical="top"/>
    </xf>
    <xf numFmtId="0" fontId="24" fillId="14" borderId="46" xfId="0" applyFont="1" applyFill="1" applyBorder="1" applyAlignment="1">
      <alignment vertical="top"/>
    </xf>
    <xf numFmtId="0" fontId="24" fillId="15" borderId="60" xfId="0" applyFont="1" applyFill="1" applyBorder="1" applyAlignment="1">
      <alignment vertical="top"/>
    </xf>
    <xf numFmtId="0" fontId="24" fillId="12" borderId="0" xfId="0" applyFont="1" applyFill="1" applyAlignment="1">
      <alignment wrapText="1"/>
    </xf>
    <xf numFmtId="0" fontId="4" fillId="6" borderId="0" xfId="0" applyFont="1" applyFill="1" applyBorder="1" applyAlignment="1">
      <alignment horizontal="right"/>
    </xf>
    <xf numFmtId="0" fontId="2" fillId="6" borderId="5" xfId="0" applyFont="1" applyFill="1" applyBorder="1" applyAlignment="1">
      <alignment horizontal="right"/>
    </xf>
    <xf numFmtId="0" fontId="4" fillId="6" borderId="5" xfId="0" applyFont="1" applyFill="1" applyBorder="1"/>
    <xf numFmtId="0" fontId="5" fillId="0" borderId="2" xfId="0" applyFont="1" applyFill="1" applyBorder="1"/>
    <xf numFmtId="1" fontId="3" fillId="0" borderId="8" xfId="0" applyNumberFormat="1" applyFont="1" applyFill="1" applyBorder="1"/>
    <xf numFmtId="2" fontId="3" fillId="0" borderId="0" xfId="0" applyNumberFormat="1" applyFont="1" applyFill="1" applyBorder="1" applyAlignment="1">
      <alignment horizontal="right"/>
    </xf>
    <xf numFmtId="1" fontId="3" fillId="0" borderId="2" xfId="0" applyNumberFormat="1" applyFont="1" applyFill="1" applyBorder="1"/>
    <xf numFmtId="169" fontId="3" fillId="0" borderId="8" xfId="0" applyNumberFormat="1" applyFont="1" applyFill="1" applyBorder="1"/>
    <xf numFmtId="169" fontId="3" fillId="0" borderId="2" xfId="0" applyNumberFormat="1" applyFont="1" applyFill="1" applyBorder="1"/>
    <xf numFmtId="1" fontId="3" fillId="0" borderId="2" xfId="0" applyNumberFormat="1" applyFont="1" applyFill="1" applyBorder="1" applyAlignment="1">
      <alignment horizontal="right"/>
    </xf>
    <xf numFmtId="2" fontId="6" fillId="0" borderId="6" xfId="0" applyNumberFormat="1" applyFont="1" applyFill="1" applyBorder="1" applyAlignment="1">
      <alignment horizontal="right"/>
    </xf>
    <xf numFmtId="0" fontId="2" fillId="0" borderId="8" xfId="0" applyFont="1" applyFill="1" applyBorder="1"/>
    <xf numFmtId="0" fontId="3" fillId="0" borderId="2" xfId="0" applyFont="1" applyFill="1" applyBorder="1"/>
    <xf numFmtId="0" fontId="5" fillId="12" borderId="0" xfId="0" applyFont="1" applyFill="1"/>
    <xf numFmtId="14" fontId="2" fillId="0" borderId="0" xfId="0" applyNumberFormat="1" applyFont="1" applyAlignment="1">
      <alignment vertical="top" wrapText="1"/>
    </xf>
    <xf numFmtId="0" fontId="26" fillId="12" borderId="43" xfId="0" applyFont="1" applyFill="1" applyBorder="1" applyAlignment="1">
      <alignment horizontal="center" vertical="top" wrapText="1"/>
    </xf>
    <xf numFmtId="0" fontId="26" fillId="12" borderId="56" xfId="0" applyFont="1" applyFill="1" applyBorder="1" applyAlignment="1">
      <alignment horizontal="center" vertical="top" wrapText="1"/>
    </xf>
    <xf numFmtId="0" fontId="26" fillId="12" borderId="43" xfId="0" applyFont="1" applyFill="1" applyBorder="1" applyAlignment="1">
      <alignment horizontal="left" vertical="top" wrapText="1"/>
    </xf>
    <xf numFmtId="0" fontId="26" fillId="9" borderId="56" xfId="0" applyFont="1" applyFill="1" applyBorder="1" applyAlignment="1">
      <alignment horizontal="left" vertical="top" wrapText="1"/>
    </xf>
    <xf numFmtId="0" fontId="24" fillId="21" borderId="72" xfId="0" applyFont="1" applyFill="1" applyBorder="1" applyAlignment="1">
      <alignment horizontal="left"/>
    </xf>
    <xf numFmtId="0" fontId="24" fillId="21" borderId="81" xfId="0" applyFont="1" applyFill="1" applyBorder="1" applyAlignment="1">
      <alignment horizontal="left"/>
    </xf>
    <xf numFmtId="0" fontId="24" fillId="12" borderId="8" xfId="0" applyFont="1" applyFill="1" applyBorder="1"/>
    <xf numFmtId="0" fontId="26" fillId="4" borderId="20" xfId="0" applyFont="1" applyFill="1" applyBorder="1" applyAlignment="1">
      <alignment vertical="top"/>
    </xf>
    <xf numFmtId="0" fontId="24" fillId="12" borderId="44" xfId="0" applyFont="1" applyFill="1" applyBorder="1"/>
    <xf numFmtId="0" fontId="24" fillId="12" borderId="74" xfId="0" applyFont="1" applyFill="1" applyBorder="1"/>
    <xf numFmtId="0" fontId="24" fillId="12" borderId="43" xfId="0" applyFont="1" applyFill="1" applyBorder="1" applyAlignment="1">
      <alignment wrapText="1"/>
    </xf>
    <xf numFmtId="0" fontId="24" fillId="12" borderId="43" xfId="0" applyFont="1" applyFill="1" applyBorder="1" applyAlignment="1">
      <alignment vertical="top" wrapText="1"/>
    </xf>
    <xf numFmtId="0" fontId="24" fillId="12" borderId="43" xfId="0" applyFont="1" applyFill="1" applyBorder="1"/>
    <xf numFmtId="0" fontId="24" fillId="21" borderId="97" xfId="0" applyFont="1" applyFill="1" applyBorder="1" applyAlignment="1">
      <alignment wrapText="1"/>
    </xf>
    <xf numFmtId="0" fontId="24" fillId="10" borderId="61" xfId="0" applyFont="1" applyFill="1" applyBorder="1" applyAlignment="1">
      <alignment vertical="top" wrapText="1"/>
    </xf>
    <xf numFmtId="1" fontId="24" fillId="4" borderId="18" xfId="0" applyNumberFormat="1" applyFont="1" applyFill="1" applyBorder="1" applyAlignment="1">
      <alignment horizontal="right" vertical="top" wrapText="1"/>
    </xf>
    <xf numFmtId="0" fontId="25" fillId="6" borderId="52" xfId="0" applyFont="1" applyFill="1" applyBorder="1" applyAlignment="1">
      <alignment vertical="top" wrapText="1"/>
    </xf>
    <xf numFmtId="0" fontId="24" fillId="4" borderId="18" xfId="0" applyFont="1" applyFill="1" applyBorder="1" applyAlignment="1">
      <alignment vertical="top" wrapText="1"/>
    </xf>
    <xf numFmtId="0" fontId="24" fillId="6" borderId="84" xfId="0" applyFont="1" applyFill="1" applyBorder="1" applyAlignment="1">
      <alignment vertical="top" wrapText="1"/>
    </xf>
    <xf numFmtId="0" fontId="24" fillId="6" borderId="98" xfId="0" applyFont="1" applyFill="1" applyBorder="1" applyAlignment="1">
      <alignment vertical="top" wrapText="1"/>
    </xf>
    <xf numFmtId="0" fontId="24" fillId="12" borderId="21" xfId="0" applyFont="1" applyFill="1" applyBorder="1" applyAlignment="1">
      <alignment wrapText="1"/>
    </xf>
    <xf numFmtId="0" fontId="24" fillId="13" borderId="52" xfId="0" applyFont="1" applyFill="1" applyBorder="1" applyAlignment="1">
      <alignment wrapText="1"/>
    </xf>
    <xf numFmtId="0" fontId="24" fillId="12" borderId="18" xfId="0" applyFont="1" applyFill="1" applyBorder="1" applyAlignment="1">
      <alignment wrapText="1"/>
    </xf>
    <xf numFmtId="0" fontId="24" fillId="13" borderId="98" xfId="0" applyFont="1" applyFill="1" applyBorder="1" applyAlignment="1">
      <alignment wrapText="1"/>
    </xf>
    <xf numFmtId="0" fontId="24" fillId="13" borderId="98" xfId="0" applyFont="1" applyFill="1" applyBorder="1" applyAlignment="1">
      <alignment vertical="top" wrapText="1"/>
    </xf>
    <xf numFmtId="0" fontId="24" fillId="13" borderId="61" xfId="0" applyFont="1" applyFill="1" applyBorder="1" applyAlignment="1">
      <alignment wrapText="1"/>
    </xf>
    <xf numFmtId="0" fontId="24" fillId="13" borderId="49" xfId="0" applyFont="1" applyFill="1" applyBorder="1" applyAlignment="1">
      <alignment wrapText="1"/>
    </xf>
    <xf numFmtId="0" fontId="24" fillId="14" borderId="52" xfId="0" applyFont="1" applyFill="1" applyBorder="1" applyAlignment="1">
      <alignment wrapText="1"/>
    </xf>
    <xf numFmtId="0" fontId="24" fillId="14" borderId="97" xfId="0" applyFont="1" applyFill="1" applyBorder="1" applyAlignment="1">
      <alignment vertical="top" wrapText="1"/>
    </xf>
    <xf numFmtId="0" fontId="24" fillId="14" borderId="61" xfId="0" applyFont="1" applyFill="1" applyBorder="1" applyAlignment="1">
      <alignment vertical="top" wrapText="1"/>
    </xf>
    <xf numFmtId="0" fontId="24" fillId="14" borderId="49" xfId="0" applyFont="1" applyFill="1" applyBorder="1" applyAlignment="1">
      <alignment vertical="top" wrapText="1"/>
    </xf>
    <xf numFmtId="0" fontId="24" fillId="15" borderId="52" xfId="0" applyFont="1" applyFill="1" applyBorder="1" applyAlignment="1">
      <alignment wrapText="1"/>
    </xf>
    <xf numFmtId="0" fontId="24" fillId="15" borderId="61" xfId="0" applyFont="1" applyFill="1" applyBorder="1" applyAlignment="1">
      <alignment vertical="top" wrapText="1"/>
    </xf>
    <xf numFmtId="0" fontId="24" fillId="15" borderId="73" xfId="0" applyFont="1" applyFill="1" applyBorder="1" applyAlignment="1">
      <alignment vertical="top" wrapText="1"/>
    </xf>
    <xf numFmtId="0" fontId="24" fillId="15" borderId="11" xfId="0" applyFont="1" applyFill="1" applyBorder="1" applyAlignment="1">
      <alignment vertical="top"/>
    </xf>
    <xf numFmtId="0" fontId="27" fillId="4" borderId="12" xfId="0" applyFont="1" applyFill="1" applyBorder="1" applyAlignment="1">
      <alignment vertical="top"/>
    </xf>
    <xf numFmtId="2" fontId="24" fillId="11" borderId="12" xfId="0" applyNumberFormat="1" applyFont="1" applyFill="1" applyBorder="1" applyAlignment="1" applyProtection="1">
      <alignment horizontal="left" vertical="top"/>
      <protection locked="0"/>
    </xf>
    <xf numFmtId="0" fontId="24" fillId="12" borderId="20" xfId="0" applyFont="1" applyFill="1" applyBorder="1" applyAlignment="1">
      <alignment vertical="top"/>
    </xf>
    <xf numFmtId="2" fontId="24" fillId="12" borderId="20" xfId="0" applyNumberFormat="1" applyFont="1" applyFill="1" applyBorder="1" applyAlignment="1" applyProtection="1">
      <alignment horizontal="left" vertical="top"/>
      <protection locked="0"/>
    </xf>
    <xf numFmtId="0" fontId="24" fillId="12" borderId="43" xfId="0" applyFont="1" applyFill="1" applyBorder="1" applyAlignment="1">
      <alignment horizontal="left" vertical="top" wrapText="1"/>
    </xf>
    <xf numFmtId="0" fontId="26" fillId="12" borderId="52" xfId="0" applyFont="1" applyFill="1" applyBorder="1" applyAlignment="1">
      <alignment horizontal="left" vertical="top" wrapText="1"/>
    </xf>
    <xf numFmtId="0" fontId="24" fillId="9" borderId="97" xfId="0" applyFont="1" applyFill="1" applyBorder="1" applyAlignment="1">
      <alignment horizontal="left" vertical="top" wrapText="1"/>
    </xf>
    <xf numFmtId="0" fontId="24" fillId="9" borderId="73" xfId="0" applyFont="1" applyFill="1" applyBorder="1" applyAlignment="1">
      <alignment horizontal="left" vertical="top" wrapText="1"/>
    </xf>
    <xf numFmtId="0" fontId="24" fillId="9" borderId="99" xfId="0" applyFont="1" applyFill="1" applyBorder="1" applyAlignment="1">
      <alignment horizontal="left" vertical="top" wrapText="1"/>
    </xf>
    <xf numFmtId="0" fontId="24" fillId="9" borderId="98" xfId="0" applyFont="1" applyFill="1" applyBorder="1" applyAlignment="1">
      <alignment horizontal="left" vertical="top" wrapText="1"/>
    </xf>
    <xf numFmtId="0" fontId="24" fillId="9" borderId="49" xfId="0" applyFont="1" applyFill="1" applyBorder="1" applyAlignment="1">
      <alignment vertical="top" wrapText="1"/>
    </xf>
    <xf numFmtId="0" fontId="24" fillId="8" borderId="61" xfId="0" applyFont="1" applyFill="1" applyBorder="1" applyAlignment="1">
      <alignment vertical="top" wrapText="1"/>
    </xf>
    <xf numFmtId="0" fontId="24" fillId="12" borderId="52" xfId="0" applyFont="1" applyFill="1" applyBorder="1" applyAlignment="1">
      <alignment wrapText="1"/>
    </xf>
    <xf numFmtId="0" fontId="26" fillId="12" borderId="0" xfId="0" applyFont="1" applyFill="1" applyBorder="1" applyAlignment="1">
      <alignment horizontal="center" vertical="top" wrapText="1"/>
    </xf>
    <xf numFmtId="0" fontId="26" fillId="12" borderId="0" xfId="0" applyFont="1" applyFill="1" applyBorder="1" applyAlignment="1">
      <alignment wrapText="1"/>
    </xf>
    <xf numFmtId="0" fontId="26" fillId="12" borderId="0" xfId="0" applyFont="1" applyFill="1" applyBorder="1"/>
    <xf numFmtId="0" fontId="24" fillId="12" borderId="0" xfId="0" applyFont="1" applyFill="1" applyBorder="1" applyAlignment="1">
      <alignment vertical="top" wrapText="1"/>
    </xf>
    <xf numFmtId="0" fontId="26" fillId="12" borderId="0" xfId="0" applyFont="1" applyFill="1" applyAlignment="1">
      <alignment horizontal="center"/>
    </xf>
    <xf numFmtId="0" fontId="24" fillId="12" borderId="0" xfId="0" applyFont="1" applyFill="1" applyBorder="1" applyAlignment="1">
      <alignment horizontal="center"/>
    </xf>
    <xf numFmtId="0" fontId="26" fillId="12" borderId="0" xfId="0" applyFont="1" applyFill="1" applyBorder="1" applyAlignment="1">
      <alignment horizontal="center"/>
    </xf>
    <xf numFmtId="0" fontId="24" fillId="12" borderId="6" xfId="0" applyFont="1" applyFill="1" applyBorder="1" applyAlignment="1">
      <alignment vertical="top"/>
    </xf>
    <xf numFmtId="0" fontId="24" fillId="16" borderId="62" xfId="0" applyFont="1" applyFill="1" applyBorder="1" applyAlignment="1">
      <alignment vertical="top" wrapText="1"/>
    </xf>
    <xf numFmtId="0" fontId="24" fillId="16" borderId="72" xfId="0" applyFont="1" applyFill="1" applyBorder="1" applyAlignment="1">
      <alignment vertical="top" wrapText="1"/>
    </xf>
    <xf numFmtId="0" fontId="24" fillId="16" borderId="81" xfId="0" applyFont="1" applyFill="1" applyBorder="1" applyAlignment="1">
      <alignment vertical="top" wrapText="1"/>
    </xf>
    <xf numFmtId="0" fontId="26" fillId="12" borderId="0" xfId="0" applyFont="1" applyFill="1" applyBorder="1" applyAlignment="1">
      <alignment vertical="top" wrapText="1"/>
    </xf>
    <xf numFmtId="0" fontId="24" fillId="12" borderId="7" xfId="0" applyFont="1" applyFill="1" applyBorder="1" applyAlignment="1">
      <alignment vertical="top"/>
    </xf>
    <xf numFmtId="0" fontId="24" fillId="12" borderId="1" xfId="0" applyFont="1" applyFill="1" applyBorder="1"/>
    <xf numFmtId="0" fontId="24" fillId="0" borderId="1" xfId="0" applyFont="1" applyFill="1" applyBorder="1"/>
    <xf numFmtId="0" fontId="24" fillId="12" borderId="5" xfId="0" applyFont="1" applyFill="1" applyBorder="1" applyAlignment="1">
      <alignment vertical="top" wrapText="1"/>
    </xf>
    <xf numFmtId="0" fontId="3" fillId="4" borderId="0" xfId="0" applyFont="1" applyFill="1" applyBorder="1" applyAlignment="1">
      <alignment horizontal="center"/>
    </xf>
    <xf numFmtId="168" fontId="0" fillId="22" borderId="14" xfId="0" applyNumberFormat="1" applyFill="1" applyBorder="1"/>
    <xf numFmtId="169" fontId="4" fillId="5" borderId="14" xfId="0" applyNumberFormat="1" applyFont="1" applyFill="1" applyBorder="1" applyAlignment="1">
      <alignment horizontal="right"/>
    </xf>
    <xf numFmtId="0" fontId="2" fillId="4" borderId="2" xfId="0" applyFont="1" applyFill="1" applyBorder="1" applyAlignment="1">
      <alignment horizontal="right"/>
    </xf>
    <xf numFmtId="1" fontId="4" fillId="12" borderId="0" xfId="0" applyNumberFormat="1" applyFont="1" applyFill="1" applyBorder="1" applyAlignment="1">
      <alignment horizontal="right"/>
    </xf>
    <xf numFmtId="0" fontId="24" fillId="27" borderId="14" xfId="0" applyFont="1" applyFill="1" applyBorder="1" applyAlignment="1">
      <alignment vertical="top" wrapText="1"/>
    </xf>
    <xf numFmtId="2" fontId="24" fillId="12" borderId="14" xfId="0" applyNumberFormat="1" applyFont="1" applyFill="1" applyBorder="1" applyAlignment="1" applyProtection="1">
      <alignment horizontal="left" vertical="top"/>
      <protection locked="0"/>
    </xf>
    <xf numFmtId="2" fontId="24" fillId="20" borderId="41" xfId="0" applyNumberFormat="1" applyFont="1" applyFill="1" applyBorder="1" applyAlignment="1" applyProtection="1">
      <alignment horizontal="left" vertical="top"/>
      <protection locked="0"/>
    </xf>
    <xf numFmtId="2" fontId="24" fillId="20" borderId="14" xfId="0" applyNumberFormat="1" applyFont="1" applyFill="1" applyBorder="1" applyAlignment="1" applyProtection="1">
      <alignment horizontal="left" vertical="top"/>
      <protection locked="0"/>
    </xf>
    <xf numFmtId="0" fontId="24" fillId="27" borderId="14" xfId="0" applyFont="1" applyFill="1" applyBorder="1" applyAlignment="1">
      <alignment vertical="top"/>
    </xf>
    <xf numFmtId="0" fontId="24" fillId="12" borderId="1" xfId="0" applyFont="1" applyFill="1" applyBorder="1" applyAlignment="1">
      <alignment vertical="top" wrapText="1"/>
    </xf>
    <xf numFmtId="1" fontId="24" fillId="12" borderId="1" xfId="0" applyNumberFormat="1" applyFont="1" applyFill="1" applyBorder="1" applyAlignment="1">
      <alignment horizontal="right" vertical="top" wrapText="1"/>
    </xf>
    <xf numFmtId="0" fontId="25" fillId="12" borderId="1" xfId="0" applyFont="1" applyFill="1" applyBorder="1" applyAlignment="1">
      <alignment vertical="top" wrapText="1"/>
    </xf>
    <xf numFmtId="0" fontId="24" fillId="12" borderId="1" xfId="0" applyFont="1" applyFill="1" applyBorder="1" applyAlignment="1">
      <alignment vertical="top"/>
    </xf>
    <xf numFmtId="0" fontId="24" fillId="12" borderId="1" xfId="0" applyFont="1" applyFill="1" applyBorder="1" applyAlignment="1">
      <alignment wrapText="1"/>
    </xf>
    <xf numFmtId="0" fontId="30" fillId="12" borderId="1" xfId="0" applyFont="1" applyFill="1" applyBorder="1" applyAlignment="1">
      <alignment vertical="top" wrapText="1"/>
    </xf>
    <xf numFmtId="0" fontId="24" fillId="4" borderId="17" xfId="0" applyFont="1" applyFill="1" applyBorder="1" applyAlignment="1">
      <alignment vertical="top"/>
    </xf>
    <xf numFmtId="0" fontId="24" fillId="12" borderId="17" xfId="0" applyFont="1" applyFill="1" applyBorder="1"/>
    <xf numFmtId="0" fontId="24" fillId="0" borderId="17" xfId="0" applyFont="1" applyFill="1" applyBorder="1" applyAlignment="1">
      <alignment wrapText="1"/>
    </xf>
    <xf numFmtId="0" fontId="24" fillId="12" borderId="17" xfId="0" applyFont="1" applyFill="1" applyBorder="1" applyAlignment="1">
      <alignment vertical="top"/>
    </xf>
    <xf numFmtId="169" fontId="24" fillId="11" borderId="41" xfId="0" applyNumberFormat="1" applyFont="1" applyFill="1" applyBorder="1" applyAlignment="1" applyProtection="1">
      <alignment horizontal="left" vertical="top"/>
      <protection locked="0"/>
    </xf>
    <xf numFmtId="169" fontId="24" fillId="0" borderId="41" xfId="0" applyNumberFormat="1" applyFont="1" applyFill="1" applyBorder="1" applyAlignment="1" applyProtection="1">
      <alignment horizontal="left" vertical="top"/>
      <protection locked="0"/>
    </xf>
    <xf numFmtId="0" fontId="24" fillId="12" borderId="17" xfId="0" applyFont="1" applyFill="1" applyBorder="1" applyAlignment="1">
      <alignment wrapText="1"/>
    </xf>
    <xf numFmtId="0" fontId="24" fillId="12" borderId="17" xfId="0" applyFont="1" applyFill="1" applyBorder="1" applyAlignment="1"/>
    <xf numFmtId="0" fontId="27" fillId="0" borderId="12" xfId="0" applyFont="1" applyFill="1" applyBorder="1" applyAlignment="1">
      <alignment vertical="top"/>
    </xf>
    <xf numFmtId="0" fontId="24" fillId="13" borderId="2" xfId="0" applyFont="1" applyFill="1" applyBorder="1" applyAlignment="1">
      <alignment vertical="top"/>
    </xf>
    <xf numFmtId="0" fontId="24" fillId="13" borderId="14" xfId="0" applyFont="1" applyFill="1" applyBorder="1" applyAlignment="1">
      <alignment vertical="top"/>
    </xf>
    <xf numFmtId="0" fontId="24" fillId="13" borderId="79" xfId="0" applyFont="1" applyFill="1" applyBorder="1" applyAlignment="1">
      <alignment vertical="top"/>
    </xf>
    <xf numFmtId="0" fontId="24" fillId="13" borderId="13" xfId="0" applyFont="1" applyFill="1" applyBorder="1" applyAlignment="1">
      <alignment vertical="top"/>
    </xf>
    <xf numFmtId="0" fontId="24" fillId="13" borderId="46" xfId="0" applyFont="1" applyFill="1" applyBorder="1"/>
    <xf numFmtId="0" fontId="27" fillId="0" borderId="46" xfId="0" applyFont="1" applyFill="1" applyBorder="1" applyAlignment="1">
      <alignment vertical="top"/>
    </xf>
    <xf numFmtId="0" fontId="2" fillId="0" borderId="0" xfId="0" applyFont="1" applyFill="1" applyAlignment="1">
      <alignment vertical="top" wrapText="1"/>
    </xf>
    <xf numFmtId="0" fontId="2" fillId="6" borderId="2" xfId="0" applyFont="1" applyFill="1" applyBorder="1"/>
    <xf numFmtId="170" fontId="0" fillId="19" borderId="14" xfId="0" applyNumberFormat="1" applyFill="1" applyBorder="1"/>
    <xf numFmtId="0" fontId="2" fillId="8" borderId="23" xfId="0" applyFont="1" applyFill="1" applyBorder="1"/>
    <xf numFmtId="0" fontId="2" fillId="0" borderId="2" xfId="0" applyFont="1" applyBorder="1"/>
    <xf numFmtId="166" fontId="0" fillId="19" borderId="0" xfId="0" applyNumberFormat="1" applyFill="1"/>
    <xf numFmtId="165" fontId="0" fillId="19" borderId="0" xfId="0" applyNumberFormat="1" applyFill="1"/>
    <xf numFmtId="169" fontId="4" fillId="2" borderId="0" xfId="0" applyNumberFormat="1" applyFont="1" applyFill="1" applyAlignment="1">
      <alignment horizontal="right"/>
    </xf>
    <xf numFmtId="169" fontId="4" fillId="0" borderId="0" xfId="0" applyNumberFormat="1" applyFont="1" applyAlignment="1">
      <alignment horizontal="right"/>
    </xf>
    <xf numFmtId="164" fontId="0" fillId="19" borderId="0" xfId="0" applyNumberFormat="1" applyFill="1"/>
    <xf numFmtId="173" fontId="0" fillId="19" borderId="0" xfId="0" applyNumberFormat="1" applyFill="1"/>
    <xf numFmtId="0" fontId="3" fillId="0" borderId="8" xfId="0" applyFont="1" applyBorder="1"/>
    <xf numFmtId="0" fontId="3" fillId="0" borderId="8" xfId="0" applyFont="1" applyFill="1" applyBorder="1"/>
    <xf numFmtId="0" fontId="31" fillId="0" borderId="0" xfId="0" applyFont="1"/>
    <xf numFmtId="0" fontId="31" fillId="0" borderId="0" xfId="0" applyFont="1" applyAlignment="1">
      <alignment vertical="top"/>
    </xf>
    <xf numFmtId="0" fontId="0" fillId="12" borderId="0" xfId="0" applyFill="1" applyBorder="1" applyAlignment="1">
      <alignment horizontal="right"/>
    </xf>
    <xf numFmtId="0" fontId="3" fillId="4" borderId="0" xfId="0" applyFont="1" applyFill="1" applyBorder="1" applyAlignment="1">
      <alignment horizontal="center"/>
    </xf>
    <xf numFmtId="0" fontId="0" fillId="6" borderId="0" xfId="0" applyFill="1" applyBorder="1" applyAlignment="1">
      <alignment horizontal="right"/>
    </xf>
    <xf numFmtId="0" fontId="0" fillId="4" borderId="0" xfId="0" applyFill="1" applyBorder="1" applyAlignment="1">
      <alignment horizontal="center"/>
    </xf>
    <xf numFmtId="0" fontId="4" fillId="6" borderId="8" xfId="0" applyFont="1" applyFill="1" applyBorder="1" applyAlignment="1">
      <alignment horizontal="right"/>
    </xf>
    <xf numFmtId="0" fontId="2" fillId="6" borderId="0" xfId="0" applyFont="1" applyFill="1" applyBorder="1" applyAlignment="1">
      <alignment horizontal="right"/>
    </xf>
    <xf numFmtId="0" fontId="4" fillId="6" borderId="0" xfId="0" applyFont="1" applyFill="1" applyBorder="1" applyAlignment="1">
      <alignment horizontal="right"/>
    </xf>
    <xf numFmtId="169" fontId="24" fillId="11" borderId="14" xfId="0" applyNumberFormat="1" applyFont="1" applyFill="1" applyBorder="1" applyAlignment="1" applyProtection="1">
      <alignment horizontal="left" vertical="top"/>
      <protection locked="0"/>
    </xf>
    <xf numFmtId="169" fontId="24" fillId="0" borderId="14" xfId="0" applyNumberFormat="1" applyFont="1" applyFill="1" applyBorder="1" applyAlignment="1" applyProtection="1">
      <alignment horizontal="left" vertical="top"/>
      <protection locked="0"/>
    </xf>
    <xf numFmtId="0" fontId="24" fillId="13" borderId="98" xfId="0" applyFont="1" applyFill="1" applyBorder="1" applyAlignment="1">
      <alignment horizontal="left" wrapText="1"/>
    </xf>
    <xf numFmtId="0" fontId="24" fillId="13" borderId="99" xfId="0" applyFont="1" applyFill="1" applyBorder="1" applyAlignment="1">
      <alignment vertical="top" wrapText="1"/>
    </xf>
    <xf numFmtId="0" fontId="2" fillId="0" borderId="0" xfId="0" applyFont="1" applyAlignment="1">
      <alignment wrapText="1"/>
    </xf>
    <xf numFmtId="0" fontId="2" fillId="0" borderId="0" xfId="0" applyFont="1" applyFill="1" applyAlignment="1">
      <alignment wrapText="1"/>
    </xf>
    <xf numFmtId="0" fontId="0" fillId="6" borderId="0" xfId="0" applyFill="1" applyBorder="1" applyAlignment="1">
      <alignment horizontal="right"/>
    </xf>
    <xf numFmtId="0" fontId="0" fillId="12" borderId="0" xfId="0" applyFill="1" applyBorder="1" applyAlignment="1">
      <alignment horizontal="right"/>
    </xf>
    <xf numFmtId="0" fontId="2" fillId="4" borderId="0" xfId="0" applyFont="1" applyFill="1" applyBorder="1" applyAlignment="1">
      <alignment horizontal="right"/>
    </xf>
    <xf numFmtId="1" fontId="24" fillId="11" borderId="57" xfId="0" applyNumberFormat="1" applyFont="1" applyFill="1" applyBorder="1" applyAlignment="1" applyProtection="1">
      <alignment horizontal="left" vertical="top"/>
      <protection locked="0"/>
    </xf>
    <xf numFmtId="1" fontId="24" fillId="0" borderId="57" xfId="0" applyNumberFormat="1" applyFont="1" applyFill="1" applyBorder="1" applyAlignment="1" applyProtection="1">
      <alignment horizontal="left" vertical="top"/>
      <protection locked="0"/>
    </xf>
    <xf numFmtId="0" fontId="24" fillId="26" borderId="26" xfId="0" applyFont="1" applyFill="1" applyBorder="1" applyAlignment="1">
      <alignment vertical="top" wrapText="1"/>
    </xf>
    <xf numFmtId="0" fontId="24" fillId="27" borderId="4" xfId="0" applyFont="1" applyFill="1" applyBorder="1" applyAlignment="1">
      <alignment vertical="top"/>
    </xf>
    <xf numFmtId="0" fontId="24" fillId="27" borderId="41" xfId="0" applyFont="1" applyFill="1" applyBorder="1" applyAlignment="1">
      <alignment vertical="top"/>
    </xf>
    <xf numFmtId="2" fontId="24" fillId="12" borderId="41" xfId="0" applyNumberFormat="1" applyFont="1" applyFill="1" applyBorder="1" applyAlignment="1" applyProtection="1">
      <alignment horizontal="left" vertical="top"/>
      <protection locked="0"/>
    </xf>
    <xf numFmtId="0" fontId="24" fillId="27" borderId="23" xfId="0" applyFont="1" applyFill="1" applyBorder="1" applyAlignment="1">
      <alignment vertical="top" wrapText="1"/>
    </xf>
    <xf numFmtId="170" fontId="24" fillId="11" borderId="41" xfId="0" applyNumberFormat="1" applyFont="1" applyFill="1" applyBorder="1" applyAlignment="1" applyProtection="1">
      <alignment horizontal="left" vertical="top"/>
      <protection locked="0"/>
    </xf>
    <xf numFmtId="170" fontId="24" fillId="0" borderId="41" xfId="0" applyNumberFormat="1" applyFont="1" applyFill="1" applyBorder="1" applyAlignment="1" applyProtection="1">
      <alignment horizontal="left" vertical="top"/>
      <protection locked="0"/>
    </xf>
    <xf numFmtId="1" fontId="24" fillId="11" borderId="41" xfId="0" applyNumberFormat="1" applyFont="1" applyFill="1" applyBorder="1" applyAlignment="1" applyProtection="1">
      <alignment horizontal="left" vertical="top"/>
      <protection locked="0"/>
    </xf>
    <xf numFmtId="1" fontId="24" fillId="0" borderId="41" xfId="0" applyNumberFormat="1" applyFont="1" applyFill="1" applyBorder="1" applyAlignment="1" applyProtection="1">
      <alignment horizontal="left" vertical="top"/>
      <protection locked="0"/>
    </xf>
    <xf numFmtId="0" fontId="24" fillId="27" borderId="44" xfId="0" applyFont="1" applyFill="1" applyBorder="1" applyAlignment="1">
      <alignment vertical="top" wrapText="1"/>
    </xf>
    <xf numFmtId="170" fontId="24" fillId="11" borderId="14" xfId="0" applyNumberFormat="1" applyFont="1" applyFill="1" applyBorder="1" applyAlignment="1" applyProtection="1">
      <alignment horizontal="left" vertical="top"/>
      <protection locked="0"/>
    </xf>
    <xf numFmtId="170" fontId="24" fillId="0" borderId="14" xfId="0" applyNumberFormat="1" applyFont="1" applyFill="1" applyBorder="1" applyAlignment="1" applyProtection="1">
      <alignment horizontal="left" vertical="top"/>
      <protection locked="0"/>
    </xf>
    <xf numFmtId="1" fontId="24" fillId="11" borderId="14" xfId="0" applyNumberFormat="1" applyFont="1" applyFill="1" applyBorder="1" applyAlignment="1" applyProtection="1">
      <alignment horizontal="left" vertical="top"/>
      <protection locked="0"/>
    </xf>
    <xf numFmtId="1" fontId="24" fillId="0" borderId="14" xfId="0" applyNumberFormat="1" applyFont="1" applyFill="1" applyBorder="1" applyAlignment="1" applyProtection="1">
      <alignment horizontal="left" vertical="top"/>
      <protection locked="0"/>
    </xf>
    <xf numFmtId="167" fontId="24" fillId="11" borderId="14" xfId="0" applyNumberFormat="1" applyFont="1" applyFill="1" applyBorder="1" applyAlignment="1" applyProtection="1">
      <alignment horizontal="left" vertical="top"/>
      <protection locked="0"/>
    </xf>
    <xf numFmtId="167" fontId="24" fillId="0" borderId="14" xfId="0" applyNumberFormat="1" applyFont="1" applyFill="1" applyBorder="1" applyAlignment="1" applyProtection="1">
      <alignment horizontal="left" vertical="top"/>
      <protection locked="0"/>
    </xf>
    <xf numFmtId="0" fontId="24" fillId="28" borderId="44" xfId="0" applyFont="1" applyFill="1" applyBorder="1" applyAlignment="1">
      <alignment vertical="top"/>
    </xf>
    <xf numFmtId="170" fontId="4" fillId="5" borderId="14" xfId="0" applyNumberFormat="1" applyFont="1" applyFill="1" applyBorder="1" applyAlignment="1">
      <alignment horizontal="right"/>
    </xf>
    <xf numFmtId="2" fontId="0" fillId="19" borderId="14" xfId="0" applyNumberFormat="1" applyFill="1" applyBorder="1"/>
    <xf numFmtId="0" fontId="0" fillId="5" borderId="100" xfId="0" applyFill="1" applyBorder="1"/>
    <xf numFmtId="0" fontId="0" fillId="12" borderId="19" xfId="0" applyFill="1" applyBorder="1"/>
    <xf numFmtId="0" fontId="0" fillId="12" borderId="20" xfId="0" applyFill="1" applyBorder="1"/>
    <xf numFmtId="0" fontId="0" fillId="12" borderId="21" xfId="0" applyFill="1" applyBorder="1"/>
    <xf numFmtId="0" fontId="2" fillId="12" borderId="0" xfId="0" applyFont="1" applyFill="1" applyBorder="1"/>
    <xf numFmtId="170" fontId="4" fillId="5" borderId="14" xfId="0" applyNumberFormat="1" applyFont="1" applyFill="1" applyBorder="1"/>
    <xf numFmtId="170" fontId="0" fillId="22" borderId="14" xfId="0" applyNumberFormat="1" applyFill="1" applyBorder="1"/>
    <xf numFmtId="0" fontId="2" fillId="6" borderId="2" xfId="0" applyFont="1" applyFill="1" applyBorder="1" applyAlignment="1">
      <alignment horizontal="left"/>
    </xf>
    <xf numFmtId="1" fontId="0" fillId="29" borderId="14" xfId="0" applyNumberFormat="1" applyFill="1" applyBorder="1"/>
    <xf numFmtId="170" fontId="0" fillId="19" borderId="0" xfId="0" applyNumberFormat="1" applyFill="1"/>
    <xf numFmtId="167" fontId="0" fillId="19" borderId="0" xfId="0" applyNumberFormat="1" applyFill="1"/>
    <xf numFmtId="174" fontId="0" fillId="19" borderId="0" xfId="0" applyNumberFormat="1" applyFill="1"/>
    <xf numFmtId="2" fontId="4" fillId="2" borderId="0" xfId="0" applyNumberFormat="1" applyFont="1" applyFill="1" applyAlignment="1">
      <alignment horizontal="right"/>
    </xf>
    <xf numFmtId="2" fontId="4" fillId="0" borderId="0" xfId="0" applyNumberFormat="1" applyFont="1" applyAlignment="1">
      <alignment horizontal="right"/>
    </xf>
    <xf numFmtId="0" fontId="2" fillId="8" borderId="6" xfId="0" applyFont="1" applyFill="1" applyBorder="1"/>
    <xf numFmtId="0" fontId="4" fillId="8" borderId="23" xfId="0" applyFont="1" applyFill="1" applyBorder="1"/>
    <xf numFmtId="169" fontId="0" fillId="29" borderId="0" xfId="0" applyNumberFormat="1" applyFill="1"/>
    <xf numFmtId="165" fontId="0" fillId="29" borderId="0" xfId="0" applyNumberFormat="1" applyFill="1"/>
    <xf numFmtId="164" fontId="0" fillId="29" borderId="0" xfId="0" applyNumberFormat="1" applyFill="1"/>
    <xf numFmtId="0" fontId="2" fillId="4" borderId="0" xfId="0" applyFont="1" applyFill="1" applyBorder="1" applyAlignment="1">
      <alignment horizontal="right"/>
    </xf>
    <xf numFmtId="0" fontId="3" fillId="4" borderId="0" xfId="0" applyFont="1" applyFill="1" applyBorder="1" applyAlignment="1">
      <alignment horizontal="center"/>
    </xf>
    <xf numFmtId="0" fontId="2" fillId="6" borderId="0" xfId="0" applyFont="1" applyFill="1" applyBorder="1" applyAlignment="1">
      <alignment horizontal="right"/>
    </xf>
    <xf numFmtId="169" fontId="2" fillId="22" borderId="14" xfId="0" applyNumberFormat="1" applyFont="1" applyFill="1" applyBorder="1"/>
    <xf numFmtId="2" fontId="24" fillId="20" borderId="41" xfId="0" applyNumberFormat="1" applyFont="1" applyFill="1" applyBorder="1" applyAlignment="1">
      <alignment horizontal="left" vertical="top" wrapText="1"/>
    </xf>
    <xf numFmtId="0" fontId="26" fillId="0" borderId="12" xfId="0" applyFont="1" applyFill="1" applyBorder="1"/>
    <xf numFmtId="0" fontId="26" fillId="0" borderId="3" xfId="0" applyFont="1" applyFill="1" applyBorder="1"/>
    <xf numFmtId="0" fontId="26" fillId="0" borderId="42" xfId="0" applyFont="1" applyFill="1" applyBorder="1"/>
    <xf numFmtId="2" fontId="26" fillId="0" borderId="42" xfId="0" applyNumberFormat="1" applyFont="1" applyFill="1" applyBorder="1" applyAlignment="1">
      <alignment horizontal="left" vertical="top" wrapText="1"/>
    </xf>
    <xf numFmtId="0" fontId="26" fillId="0" borderId="99" xfId="0" applyFont="1" applyFill="1" applyBorder="1" applyAlignment="1">
      <alignment horizontal="center" vertical="top" wrapText="1"/>
    </xf>
    <xf numFmtId="0" fontId="26" fillId="25" borderId="101" xfId="0" applyFont="1" applyFill="1" applyBorder="1" applyAlignment="1">
      <alignment vertical="top" wrapText="1"/>
    </xf>
    <xf numFmtId="0" fontId="24" fillId="25" borderId="102" xfId="0" applyFont="1" applyFill="1" applyBorder="1" applyAlignment="1">
      <alignment vertical="top" wrapText="1"/>
    </xf>
    <xf numFmtId="2" fontId="24" fillId="25" borderId="102" xfId="0" applyNumberFormat="1" applyFont="1" applyFill="1" applyBorder="1" applyAlignment="1">
      <alignment horizontal="left" vertical="top" wrapText="1"/>
    </xf>
    <xf numFmtId="0" fontId="24" fillId="25" borderId="103" xfId="0" applyFont="1" applyFill="1" applyBorder="1" applyAlignment="1">
      <alignment vertical="top" wrapText="1"/>
    </xf>
    <xf numFmtId="0" fontId="24" fillId="30" borderId="73" xfId="0" applyFont="1" applyFill="1" applyBorder="1" applyAlignment="1">
      <alignment horizontal="left" vertical="top" wrapText="1"/>
    </xf>
    <xf numFmtId="0" fontId="26" fillId="12" borderId="0" xfId="0" applyFont="1" applyFill="1" applyBorder="1" applyAlignment="1">
      <alignment vertical="top"/>
    </xf>
    <xf numFmtId="0" fontId="24" fillId="0" borderId="0" xfId="0" applyFont="1" applyFill="1" applyAlignment="1">
      <alignment vertical="top"/>
    </xf>
    <xf numFmtId="0" fontId="32" fillId="0" borderId="41" xfId="0" applyFont="1" applyFill="1" applyBorder="1" applyAlignment="1">
      <alignment vertical="top"/>
    </xf>
    <xf numFmtId="0" fontId="26" fillId="12" borderId="0" xfId="0" applyFont="1" applyFill="1" applyBorder="1" applyAlignment="1">
      <alignment horizontal="center" wrapText="1"/>
    </xf>
    <xf numFmtId="0" fontId="24" fillId="16" borderId="62" xfId="0" applyFont="1" applyFill="1" applyBorder="1" applyAlignment="1">
      <alignment horizontal="center" vertical="top" wrapText="1"/>
    </xf>
    <xf numFmtId="0" fontId="24" fillId="16" borderId="72" xfId="0" applyFont="1" applyFill="1" applyBorder="1" applyAlignment="1">
      <alignment horizontal="center" vertical="top" wrapText="1"/>
    </xf>
    <xf numFmtId="0" fontId="24" fillId="16" borderId="81" xfId="0" applyFont="1" applyFill="1" applyBorder="1" applyAlignment="1">
      <alignment horizontal="center" vertical="top" wrapText="1"/>
    </xf>
    <xf numFmtId="0" fontId="26" fillId="12" borderId="73" xfId="0" applyFont="1" applyFill="1" applyBorder="1" applyAlignment="1">
      <alignment horizontal="center" vertical="top" wrapText="1"/>
    </xf>
    <xf numFmtId="2" fontId="24" fillId="20" borderId="41" xfId="0" applyNumberFormat="1" applyFont="1" applyFill="1" applyBorder="1" applyAlignment="1">
      <alignment horizontal="center" vertical="center" wrapText="1"/>
    </xf>
    <xf numFmtId="1" fontId="24" fillId="11" borderId="41" xfId="0" applyNumberFormat="1" applyFont="1" applyFill="1" applyBorder="1" applyAlignment="1" applyProtection="1">
      <alignment horizontal="center" vertical="center" wrapText="1"/>
      <protection locked="0"/>
    </xf>
    <xf numFmtId="2" fontId="24" fillId="11" borderId="57" xfId="0" applyNumberFormat="1" applyFont="1" applyFill="1" applyBorder="1" applyAlignment="1" applyProtection="1">
      <alignment horizontal="center" vertical="top" wrapText="1"/>
      <protection locked="0"/>
    </xf>
    <xf numFmtId="0" fontId="24" fillId="16" borderId="98" xfId="0" applyFont="1" applyFill="1" applyBorder="1" applyAlignment="1">
      <alignment horizontal="left" vertical="top" wrapText="1"/>
    </xf>
    <xf numFmtId="0" fontId="0" fillId="19" borderId="14" xfId="0" applyFill="1" applyBorder="1" applyAlignment="1">
      <alignment horizontal="center"/>
    </xf>
    <xf numFmtId="0" fontId="2" fillId="19" borderId="14" xfId="0" applyFont="1" applyFill="1" applyBorder="1" applyAlignment="1">
      <alignment horizontal="right"/>
    </xf>
    <xf numFmtId="1" fontId="4" fillId="29" borderId="14" xfId="0" applyNumberFormat="1" applyFont="1" applyFill="1" applyBorder="1" applyAlignment="1">
      <alignment horizontal="right"/>
    </xf>
    <xf numFmtId="169" fontId="0" fillId="29" borderId="14" xfId="0" applyNumberFormat="1" applyFill="1" applyBorder="1" applyAlignment="1">
      <alignment horizontal="right"/>
    </xf>
    <xf numFmtId="170" fontId="24" fillId="11" borderId="12" xfId="0" applyNumberFormat="1" applyFont="1" applyFill="1" applyBorder="1" applyAlignment="1" applyProtection="1">
      <alignment horizontal="left" vertical="top"/>
      <protection locked="0"/>
    </xf>
    <xf numFmtId="170" fontId="24" fillId="0" borderId="12" xfId="0" applyNumberFormat="1" applyFont="1" applyFill="1" applyBorder="1" applyAlignment="1" applyProtection="1">
      <alignment horizontal="left" vertical="top"/>
      <protection locked="0"/>
    </xf>
    <xf numFmtId="3" fontId="0" fillId="19" borderId="14" xfId="0" applyNumberFormat="1" applyFill="1" applyBorder="1" applyAlignment="1">
      <alignment horizontal="right"/>
    </xf>
    <xf numFmtId="172" fontId="0" fillId="22" borderId="2" xfId="1" applyNumberFormat="1" applyFont="1" applyFill="1" applyBorder="1"/>
    <xf numFmtId="169" fontId="0" fillId="22" borderId="2" xfId="1" applyNumberFormat="1" applyFont="1" applyFill="1" applyBorder="1"/>
    <xf numFmtId="169" fontId="0" fillId="2" borderId="2" xfId="0" applyNumberFormat="1" applyFill="1" applyBorder="1"/>
    <xf numFmtId="175" fontId="0" fillId="22" borderId="2" xfId="1" applyNumberFormat="1" applyFont="1" applyFill="1" applyBorder="1"/>
    <xf numFmtId="2" fontId="0" fillId="16" borderId="0" xfId="0" applyNumberFormat="1" applyFill="1" applyAlignment="1">
      <alignment horizontal="center"/>
    </xf>
    <xf numFmtId="1" fontId="0" fillId="16" borderId="0" xfId="0" applyNumberFormat="1" applyFill="1" applyAlignment="1">
      <alignment horizontal="center"/>
    </xf>
    <xf numFmtId="1" fontId="3" fillId="22" borderId="0" xfId="0" applyNumberFormat="1" applyFont="1" applyFill="1" applyAlignment="1">
      <alignment horizontal="center"/>
    </xf>
    <xf numFmtId="3" fontId="0" fillId="22" borderId="2" xfId="0" applyNumberFormat="1" applyFill="1" applyBorder="1"/>
    <xf numFmtId="168" fontId="0" fillId="22" borderId="0" xfId="0" applyNumberFormat="1" applyFill="1" applyAlignment="1">
      <alignment horizontal="right"/>
    </xf>
    <xf numFmtId="168" fontId="0" fillId="0" borderId="0" xfId="0" applyNumberFormat="1" applyFill="1" applyAlignment="1">
      <alignment horizontal="right"/>
    </xf>
    <xf numFmtId="173" fontId="0" fillId="0" borderId="0" xfId="0" applyNumberFormat="1" applyFill="1" applyAlignment="1">
      <alignment horizontal="right"/>
    </xf>
    <xf numFmtId="174" fontId="0" fillId="0" borderId="0" xfId="0" applyNumberFormat="1" applyFill="1" applyAlignment="1">
      <alignment horizontal="right"/>
    </xf>
    <xf numFmtId="165" fontId="0" fillId="3" borderId="0" xfId="0" applyNumberFormat="1" applyFill="1" applyAlignment="1">
      <alignment horizontal="right"/>
    </xf>
    <xf numFmtId="167" fontId="0" fillId="22" borderId="0" xfId="0" applyNumberFormat="1" applyFill="1" applyAlignment="1">
      <alignment horizontal="right"/>
    </xf>
    <xf numFmtId="3" fontId="0" fillId="22" borderId="14" xfId="0" applyNumberFormat="1" applyFill="1" applyBorder="1"/>
    <xf numFmtId="3" fontId="0" fillId="3" borderId="14" xfId="0" applyNumberFormat="1" applyFill="1" applyBorder="1"/>
    <xf numFmtId="0" fontId="0" fillId="4" borderId="17" xfId="0" applyFill="1" applyBorder="1" applyAlignment="1">
      <alignment horizontal="center"/>
    </xf>
    <xf numFmtId="0" fontId="0" fillId="4" borderId="0" xfId="0" applyFill="1" applyBorder="1" applyAlignment="1">
      <alignment horizontal="center"/>
    </xf>
    <xf numFmtId="0" fontId="0" fillId="4" borderId="18" xfId="0" applyFill="1" applyBorder="1" applyAlignment="1">
      <alignment horizontal="center"/>
    </xf>
    <xf numFmtId="0" fontId="3" fillId="4" borderId="17" xfId="0" applyFont="1" applyFill="1" applyBorder="1" applyAlignment="1">
      <alignment horizontal="center"/>
    </xf>
    <xf numFmtId="0" fontId="3" fillId="4" borderId="0" xfId="0" applyFont="1" applyFill="1" applyBorder="1" applyAlignment="1">
      <alignment horizontal="center"/>
    </xf>
    <xf numFmtId="0" fontId="3" fillId="4" borderId="18" xfId="0" applyFont="1" applyFill="1" applyBorder="1" applyAlignment="1">
      <alignment horizontal="center"/>
    </xf>
    <xf numFmtId="0" fontId="4" fillId="4" borderId="17" xfId="0" applyFont="1" applyFill="1" applyBorder="1" applyAlignment="1">
      <alignment horizontal="right"/>
    </xf>
    <xf numFmtId="0" fontId="0" fillId="12" borderId="0" xfId="0" applyFill="1" applyBorder="1" applyAlignment="1">
      <alignment horizontal="right"/>
    </xf>
    <xf numFmtId="0" fontId="0" fillId="4" borderId="2" xfId="0" applyFill="1" applyBorder="1" applyAlignment="1">
      <alignment horizontal="right"/>
    </xf>
    <xf numFmtId="0" fontId="0" fillId="6" borderId="0" xfId="0" applyFill="1" applyBorder="1" applyAlignment="1">
      <alignment horizontal="right"/>
    </xf>
    <xf numFmtId="0" fontId="0" fillId="6" borderId="2" xfId="0" applyFill="1" applyBorder="1" applyAlignment="1">
      <alignment horizontal="right"/>
    </xf>
    <xf numFmtId="0" fontId="0" fillId="0" borderId="0" xfId="0" applyBorder="1" applyAlignment="1">
      <alignment horizontal="center"/>
    </xf>
    <xf numFmtId="0" fontId="0" fillId="0" borderId="18" xfId="0" applyBorder="1" applyAlignment="1">
      <alignment horizontal="center"/>
    </xf>
    <xf numFmtId="0" fontId="2" fillId="6" borderId="8" xfId="0" applyFont="1" applyFill="1" applyBorder="1" applyAlignment="1">
      <alignment horizontal="right"/>
    </xf>
    <xf numFmtId="0" fontId="2" fillId="4" borderId="17" xfId="0" applyFont="1" applyFill="1" applyBorder="1" applyAlignment="1">
      <alignment horizontal="right"/>
    </xf>
    <xf numFmtId="0" fontId="3" fillId="12" borderId="17" xfId="0" applyFont="1" applyFill="1" applyBorder="1" applyAlignment="1">
      <alignment horizontal="center"/>
    </xf>
    <xf numFmtId="0" fontId="3" fillId="12" borderId="0" xfId="0" applyFont="1" applyFill="1" applyBorder="1" applyAlignment="1">
      <alignment horizontal="center"/>
    </xf>
    <xf numFmtId="0" fontId="3" fillId="12" borderId="18" xfId="0" applyFont="1" applyFill="1" applyBorder="1" applyAlignment="1">
      <alignment horizontal="center"/>
    </xf>
    <xf numFmtId="0" fontId="4" fillId="6" borderId="8" xfId="0" applyFont="1" applyFill="1" applyBorder="1" applyAlignment="1">
      <alignment horizontal="right"/>
    </xf>
    <xf numFmtId="0" fontId="2" fillId="4" borderId="0" xfId="0" applyFont="1" applyFill="1" applyBorder="1" applyAlignment="1">
      <alignment horizontal="right"/>
    </xf>
    <xf numFmtId="0" fontId="4" fillId="4" borderId="2" xfId="0" applyFont="1" applyFill="1" applyBorder="1" applyAlignment="1">
      <alignment horizontal="right"/>
    </xf>
    <xf numFmtId="0" fontId="0" fillId="4" borderId="17" xfId="0" applyFill="1" applyBorder="1" applyAlignment="1">
      <alignment horizontal="right"/>
    </xf>
    <xf numFmtId="0" fontId="3" fillId="4" borderId="0" xfId="0" applyFont="1" applyFill="1" applyBorder="1" applyAlignment="1">
      <alignment horizontal="center" vertical="center"/>
    </xf>
    <xf numFmtId="0" fontId="2" fillId="6" borderId="0" xfId="0" applyFont="1" applyFill="1" applyBorder="1" applyAlignment="1">
      <alignment horizontal="right"/>
    </xf>
    <xf numFmtId="0" fontId="4" fillId="6" borderId="0" xfId="0" applyFont="1" applyFill="1" applyBorder="1" applyAlignment="1">
      <alignment horizontal="right"/>
    </xf>
    <xf numFmtId="0" fontId="0" fillId="4" borderId="0" xfId="0" applyFill="1" applyAlignment="1"/>
    <xf numFmtId="0" fontId="0" fillId="4" borderId="2" xfId="0" applyFill="1" applyBorder="1" applyAlignment="1"/>
    <xf numFmtId="0" fontId="2" fillId="12" borderId="0" xfId="0" applyFont="1" applyFill="1" applyBorder="1" applyAlignment="1">
      <alignment horizontal="right"/>
    </xf>
    <xf numFmtId="2" fontId="13" fillId="0" borderId="0" xfId="3" applyNumberFormat="1" applyFont="1" applyFill="1" applyAlignment="1">
      <alignment horizontal="center"/>
    </xf>
    <xf numFmtId="2" fontId="13" fillId="0" borderId="0" xfId="0" applyNumberFormat="1" applyFont="1" applyFill="1" applyAlignment="1">
      <alignment horizontal="center"/>
    </xf>
    <xf numFmtId="0" fontId="34" fillId="0" borderId="0" xfId="0" applyFont="1"/>
    <xf numFmtId="0" fontId="34" fillId="0" borderId="0" xfId="0" applyFont="1" applyAlignment="1">
      <alignment horizontal="left" vertical="center" readingOrder="1"/>
    </xf>
  </cellXfs>
  <cellStyles count="6">
    <cellStyle name="Comma" xfId="1" builtinId="3"/>
    <cellStyle name="Hyperlink" xfId="2" builtinId="8"/>
    <cellStyle name="Normal" xfId="0" builtinId="0"/>
    <cellStyle name="Normal 2" xfId="3"/>
    <cellStyle name="Normal 2 2" xfId="4"/>
    <cellStyle name="Normal 6" xf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6666"/>
      <rgbColor rgb="0099CC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99FF99"/>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6666"/>
      <color rgb="FF99FF99"/>
      <color rgb="FFFF7C80"/>
      <color rgb="FF99CCFF"/>
      <color rgb="FFFFFF99"/>
      <color rgb="FFFF0000"/>
      <color rgb="FFCCFFCC"/>
      <color rgb="FF92D050"/>
      <color rgb="FFFFCC66"/>
      <color rgb="FFB3BC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latin typeface="Arial" pitchFamily="34" charset="0"/>
                <a:cs typeface="Arial" pitchFamily="34" charset="0"/>
              </a:defRPr>
            </a:pPr>
            <a:r>
              <a:rPr lang="en-GB" sz="1200">
                <a:latin typeface="Arial" pitchFamily="34" charset="0"/>
                <a:cs typeface="Arial" pitchFamily="34" charset="0"/>
              </a:rPr>
              <a:t>Primary Energy Inputs and Total Greenhouse Gas Emissions by Process Contribution</a:t>
            </a:r>
          </a:p>
        </c:rich>
      </c:tx>
      <c:overlay val="0"/>
    </c:title>
    <c:autoTitleDeleted val="0"/>
    <c:plotArea>
      <c:layout>
        <c:manualLayout>
          <c:layoutTarget val="inner"/>
          <c:xMode val="edge"/>
          <c:yMode val="edge"/>
          <c:x val="8.4963402469154722E-2"/>
          <c:y val="0.14314048581765218"/>
          <c:w val="0.89675797753802011"/>
          <c:h val="0.37269408891456313"/>
        </c:manualLayout>
      </c:layout>
      <c:barChart>
        <c:barDir val="bar"/>
        <c:grouping val="percentStacked"/>
        <c:varyColors val="0"/>
        <c:ser>
          <c:idx val="0"/>
          <c:order val="0"/>
          <c:tx>
            <c:strRef>
              <c:f>SummaryEtEnergy!$A$13</c:f>
              <c:strCache>
                <c:ptCount val="1"/>
                <c:pt idx="0">
                  <c:v>Cultivation</c:v>
                </c:pt>
              </c:strCache>
            </c:strRef>
          </c:tx>
          <c:spPr>
            <a:solidFill>
              <a:srgbClr val="336600"/>
            </a:solidFill>
            <a:ln>
              <a:solidFill>
                <a:schemeClr val="tx1"/>
              </a:solidFill>
            </a:ln>
          </c:spPr>
          <c:invertIfNegative val="0"/>
          <c:cat>
            <c:strRef>
              <c:f>(SummaryEtEnergy!$B$11,SummaryEtEnergy!$F$11)</c:f>
              <c:strCache>
                <c:ptCount val="2"/>
                <c:pt idx="0">
                  <c:v>Primary Energy Inputs</c:v>
                </c:pt>
                <c:pt idx="1">
                  <c:v>Total Greenhouse Gas Emissions</c:v>
                </c:pt>
              </c:strCache>
            </c:strRef>
          </c:cat>
          <c:val>
            <c:numRef>
              <c:f>(SummaryEtEnergy!$B$13,SummaryEtEnergy!$F$13)</c:f>
              <c:numCache>
                <c:formatCode>0</c:formatCode>
                <c:ptCount val="2"/>
                <c:pt idx="0">
                  <c:v>2267.6113893076836</c:v>
                </c:pt>
                <c:pt idx="1">
                  <c:v>149.01731669390421</c:v>
                </c:pt>
              </c:numCache>
            </c:numRef>
          </c:val>
        </c:ser>
        <c:ser>
          <c:idx val="2"/>
          <c:order val="1"/>
          <c:tx>
            <c:strRef>
              <c:f>SummaryEtEnergy!$A$14</c:f>
              <c:strCache>
                <c:ptCount val="1"/>
                <c:pt idx="0">
                  <c:v>Harvesting and Baling</c:v>
                </c:pt>
              </c:strCache>
            </c:strRef>
          </c:tx>
          <c:spPr>
            <a:solidFill>
              <a:srgbClr val="78AF1E"/>
            </a:solidFill>
            <a:ln>
              <a:solidFill>
                <a:sysClr val="windowText" lastClr="000000"/>
              </a:solidFill>
            </a:ln>
          </c:spPr>
          <c:invertIfNegative val="0"/>
          <c:val>
            <c:numRef>
              <c:f>(SummaryEtEnergy!$B$14,SummaryEtEnergy!$F$14)</c:f>
              <c:numCache>
                <c:formatCode>0</c:formatCode>
                <c:ptCount val="2"/>
                <c:pt idx="0">
                  <c:v>369.22612973150552</c:v>
                </c:pt>
                <c:pt idx="1">
                  <c:v>28.741415322085793</c:v>
                </c:pt>
              </c:numCache>
            </c:numRef>
          </c:val>
        </c:ser>
        <c:ser>
          <c:idx val="4"/>
          <c:order val="2"/>
          <c:tx>
            <c:strRef>
              <c:f>SummaryEtEnergy!$A$15</c:f>
              <c:strCache>
                <c:ptCount val="1"/>
                <c:pt idx="0">
                  <c:v>Transport to Plant (Stage 1)</c:v>
                </c:pt>
              </c:strCache>
            </c:strRef>
          </c:tx>
          <c:spPr>
            <a:solidFill>
              <a:srgbClr val="000000"/>
            </a:solidFill>
            <a:ln>
              <a:solidFill>
                <a:schemeClr val="tx1"/>
              </a:solidFill>
            </a:ln>
          </c:spPr>
          <c:invertIfNegative val="0"/>
          <c:cat>
            <c:strRef>
              <c:f>(SummaryEtEnergy!$B$11,SummaryEtEnergy!$F$11)</c:f>
              <c:strCache>
                <c:ptCount val="2"/>
                <c:pt idx="0">
                  <c:v>Primary Energy Inputs</c:v>
                </c:pt>
                <c:pt idx="1">
                  <c:v>Total Greenhouse Gas Emissions</c:v>
                </c:pt>
              </c:strCache>
            </c:strRef>
          </c:cat>
          <c:val>
            <c:numRef>
              <c:f>(SummaryEtEnergy!$B$15,SummaryEtEnergy!$F$15)</c:f>
              <c:numCache>
                <c:formatCode>0</c:formatCode>
                <c:ptCount val="2"/>
                <c:pt idx="0">
                  <c:v>275.59665533211654</c:v>
                </c:pt>
                <c:pt idx="1">
                  <c:v>21.453080631205939</c:v>
                </c:pt>
              </c:numCache>
            </c:numRef>
          </c:val>
        </c:ser>
        <c:ser>
          <c:idx val="1"/>
          <c:order val="3"/>
          <c:tx>
            <c:strRef>
              <c:f>SummaryEtEnergy!$A$16</c:f>
              <c:strCache>
                <c:ptCount val="1"/>
                <c:pt idx="0">
                  <c:v>Transport to Plant (Stage 2)</c:v>
                </c:pt>
              </c:strCache>
            </c:strRef>
          </c:tx>
          <c:spPr>
            <a:solidFill>
              <a:srgbClr val="3B3B3B"/>
            </a:solidFill>
            <a:ln>
              <a:solidFill>
                <a:schemeClr val="tx1"/>
              </a:solidFill>
            </a:ln>
          </c:spPr>
          <c:invertIfNegative val="0"/>
          <c:val>
            <c:numRef>
              <c:f>(SummaryEtEnergy!$B$16,SummaryEtEnergy!$F$16)</c:f>
              <c:numCache>
                <c:formatCode>0</c:formatCode>
                <c:ptCount val="2"/>
                <c:pt idx="0">
                  <c:v>0</c:v>
                </c:pt>
                <c:pt idx="1">
                  <c:v>0</c:v>
                </c:pt>
              </c:numCache>
            </c:numRef>
          </c:val>
        </c:ser>
        <c:ser>
          <c:idx val="5"/>
          <c:order val="4"/>
          <c:tx>
            <c:strRef>
              <c:f>SummaryEtEnergy!$A$17</c:f>
              <c:strCache>
                <c:ptCount val="1"/>
                <c:pt idx="0">
                  <c:v>Biomass Milling</c:v>
                </c:pt>
              </c:strCache>
            </c:strRef>
          </c:tx>
          <c:spPr>
            <a:solidFill>
              <a:srgbClr val="641E1E"/>
            </a:solidFill>
            <a:ln>
              <a:solidFill>
                <a:schemeClr val="tx1"/>
              </a:solidFill>
            </a:ln>
          </c:spPr>
          <c:invertIfNegative val="0"/>
          <c:val>
            <c:numRef>
              <c:f>(SummaryEtEnergy!$B$17,SummaryEtEnergy!$F$17)</c:f>
              <c:numCache>
                <c:formatCode>0</c:formatCode>
                <c:ptCount val="2"/>
                <c:pt idx="0">
                  <c:v>0</c:v>
                </c:pt>
                <c:pt idx="1">
                  <c:v>0.25556250795873808</c:v>
                </c:pt>
              </c:numCache>
            </c:numRef>
          </c:val>
        </c:ser>
        <c:ser>
          <c:idx val="9"/>
          <c:order val="5"/>
          <c:tx>
            <c:strRef>
              <c:f>SummaryEtEnergy!$A$18</c:f>
              <c:strCache>
                <c:ptCount val="1"/>
                <c:pt idx="0">
                  <c:v>Pre-Treatment, Enzyme Production and Enzymatic Hydrolysis</c:v>
                </c:pt>
              </c:strCache>
            </c:strRef>
          </c:tx>
          <c:spPr>
            <a:solidFill>
              <a:srgbClr val="CC6600"/>
            </a:solidFill>
            <a:ln>
              <a:solidFill>
                <a:schemeClr val="tx1"/>
              </a:solidFill>
            </a:ln>
          </c:spPr>
          <c:invertIfNegative val="0"/>
          <c:val>
            <c:numRef>
              <c:f>(SummaryEtEnergy!$B$18,SummaryEtEnergy!$F$18)</c:f>
              <c:numCache>
                <c:formatCode>0</c:formatCode>
                <c:ptCount val="2"/>
                <c:pt idx="0">
                  <c:v>8239.0610076539524</c:v>
                </c:pt>
                <c:pt idx="1">
                  <c:v>579.07302355076104</c:v>
                </c:pt>
              </c:numCache>
            </c:numRef>
          </c:val>
        </c:ser>
        <c:ser>
          <c:idx val="3"/>
          <c:order val="6"/>
          <c:tx>
            <c:strRef>
              <c:f>SummaryEtEnergy!$A$19</c:f>
              <c:strCache>
                <c:ptCount val="1"/>
                <c:pt idx="0">
                  <c:v>Fermentation</c:v>
                </c:pt>
              </c:strCache>
            </c:strRef>
          </c:tx>
          <c:spPr>
            <a:solidFill>
              <a:srgbClr val="FFFF00"/>
            </a:solidFill>
            <a:ln>
              <a:solidFill>
                <a:schemeClr val="tx1"/>
              </a:solidFill>
            </a:ln>
          </c:spPr>
          <c:invertIfNegative val="0"/>
          <c:val>
            <c:numRef>
              <c:f>(SummaryEtEnergy!$B$19,SummaryEtEnergy!$F$19)</c:f>
              <c:numCache>
                <c:formatCode>0</c:formatCode>
                <c:ptCount val="2"/>
                <c:pt idx="0">
                  <c:v>0</c:v>
                </c:pt>
                <c:pt idx="1">
                  <c:v>3.78804705882353E-2</c:v>
                </c:pt>
              </c:numCache>
            </c:numRef>
          </c:val>
        </c:ser>
        <c:ser>
          <c:idx val="6"/>
          <c:order val="7"/>
          <c:tx>
            <c:strRef>
              <c:f>SummaryEtEnergy!$A$20</c:f>
              <c:strCache>
                <c:ptCount val="1"/>
                <c:pt idx="0">
                  <c:v>Ethanol Recovery</c:v>
                </c:pt>
              </c:strCache>
            </c:strRef>
          </c:tx>
          <c:spPr>
            <a:solidFill>
              <a:srgbClr val="FF9900"/>
            </a:solidFill>
            <a:ln>
              <a:solidFill>
                <a:schemeClr val="tx1"/>
              </a:solidFill>
            </a:ln>
          </c:spPr>
          <c:invertIfNegative val="0"/>
          <c:val>
            <c:numRef>
              <c:f>(SummaryEtEnergy!$B$20,SummaryEtEnergy!$F$20)</c:f>
              <c:numCache>
                <c:formatCode>0</c:formatCode>
                <c:ptCount val="2"/>
                <c:pt idx="0">
                  <c:v>0</c:v>
                </c:pt>
                <c:pt idx="1">
                  <c:v>3.5552400000000004</c:v>
                </c:pt>
              </c:numCache>
            </c:numRef>
          </c:val>
        </c:ser>
        <c:ser>
          <c:idx val="10"/>
          <c:order val="8"/>
          <c:tx>
            <c:strRef>
              <c:f>SummaryEtEnergy!$A$21</c:f>
              <c:strCache>
                <c:ptCount val="1"/>
                <c:pt idx="0">
                  <c:v>Waste Solids Pressure Filtration</c:v>
                </c:pt>
              </c:strCache>
            </c:strRef>
          </c:tx>
          <c:spPr>
            <a:solidFill>
              <a:srgbClr val="3333FF"/>
            </a:solidFill>
            <a:ln>
              <a:solidFill>
                <a:schemeClr val="tx1"/>
              </a:solidFill>
            </a:ln>
          </c:spPr>
          <c:invertIfNegative val="0"/>
          <c:val>
            <c:numRef>
              <c:f>(SummaryEtEnergy!$B$21,SummaryEtEnergy!$F$21)</c:f>
              <c:numCache>
                <c:formatCode>0</c:formatCode>
                <c:ptCount val="2"/>
                <c:pt idx="0">
                  <c:v>0</c:v>
                </c:pt>
                <c:pt idx="1">
                  <c:v>0.28153929141204587</c:v>
                </c:pt>
              </c:numCache>
            </c:numRef>
          </c:val>
        </c:ser>
        <c:ser>
          <c:idx val="11"/>
          <c:order val="9"/>
          <c:tx>
            <c:strRef>
              <c:f>SummaryEtEnergy!$A$22</c:f>
              <c:strCache>
                <c:ptCount val="1"/>
                <c:pt idx="0">
                  <c:v>Waste Water Treatment (AD)</c:v>
                </c:pt>
              </c:strCache>
            </c:strRef>
          </c:tx>
          <c:spPr>
            <a:solidFill>
              <a:srgbClr val="00FF00"/>
            </a:solidFill>
            <a:ln>
              <a:solidFill>
                <a:schemeClr val="tx1"/>
              </a:solidFill>
            </a:ln>
          </c:spPr>
          <c:invertIfNegative val="0"/>
          <c:val>
            <c:numRef>
              <c:f>(SummaryEtEnergy!$B$22,SummaryEtEnergy!$F$22)</c:f>
              <c:numCache>
                <c:formatCode>0</c:formatCode>
                <c:ptCount val="2"/>
                <c:pt idx="0">
                  <c:v>1274.9999999999998</c:v>
                </c:pt>
                <c:pt idx="1">
                  <c:v>76.871625441176477</c:v>
                </c:pt>
              </c:numCache>
            </c:numRef>
          </c:val>
        </c:ser>
        <c:ser>
          <c:idx val="8"/>
          <c:order val="10"/>
          <c:tx>
            <c:strRef>
              <c:f>SummaryEtEnergy!$A$23</c:f>
              <c:strCache>
                <c:ptCount val="1"/>
                <c:pt idx="0">
                  <c:v>Biorefinery Utilities</c:v>
                </c:pt>
              </c:strCache>
            </c:strRef>
          </c:tx>
          <c:spPr>
            <a:solidFill>
              <a:srgbClr val="FF6666"/>
            </a:solidFill>
            <a:ln>
              <a:solidFill>
                <a:sysClr val="windowText" lastClr="000000"/>
              </a:solidFill>
            </a:ln>
          </c:spPr>
          <c:invertIfNegative val="0"/>
          <c:val>
            <c:numRef>
              <c:f>(SummaryEtEnergy!$B$23,SummaryEtEnergy!$F$23)</c:f>
              <c:numCache>
                <c:formatCode>0</c:formatCode>
                <c:ptCount val="2"/>
                <c:pt idx="0">
                  <c:v>0</c:v>
                </c:pt>
                <c:pt idx="1">
                  <c:v>0.47476856470588247</c:v>
                </c:pt>
              </c:numCache>
            </c:numRef>
          </c:val>
        </c:ser>
        <c:ser>
          <c:idx val="12"/>
          <c:order val="11"/>
          <c:tx>
            <c:strRef>
              <c:f>SummaryEtEnergy!$A$24</c:f>
              <c:strCache>
                <c:ptCount val="1"/>
                <c:pt idx="0">
                  <c:v>Carbon Dioxide Recovered (Credit)</c:v>
                </c:pt>
              </c:strCache>
            </c:strRef>
          </c:tx>
          <c:spPr>
            <a:solidFill>
              <a:srgbClr val="00FFFF"/>
            </a:solidFill>
            <a:ln>
              <a:solidFill>
                <a:schemeClr val="tx1"/>
              </a:solidFill>
            </a:ln>
          </c:spPr>
          <c:invertIfNegative val="0"/>
          <c:val>
            <c:numRef>
              <c:f>(SummaryEtEnergy!$B$24,SummaryEtEnergy!$F$24)</c:f>
              <c:numCache>
                <c:formatCode>0</c:formatCode>
                <c:ptCount val="2"/>
                <c:pt idx="0">
                  <c:v>0</c:v>
                </c:pt>
                <c:pt idx="1">
                  <c:v>0</c:v>
                </c:pt>
              </c:numCache>
            </c:numRef>
          </c:val>
        </c:ser>
        <c:ser>
          <c:idx val="13"/>
          <c:order val="12"/>
          <c:tx>
            <c:strRef>
              <c:f>SummaryEtEnergy!$A$25</c:f>
              <c:strCache>
                <c:ptCount val="1"/>
                <c:pt idx="0">
                  <c:v>Electricity Sales (Credit)</c:v>
                </c:pt>
              </c:strCache>
            </c:strRef>
          </c:tx>
          <c:spPr>
            <a:solidFill>
              <a:srgbClr val="FF33CC"/>
            </a:solidFill>
            <a:ln>
              <a:solidFill>
                <a:schemeClr val="tx1"/>
              </a:solidFill>
            </a:ln>
          </c:spPr>
          <c:invertIfNegative val="0"/>
          <c:val>
            <c:numRef>
              <c:f>(SummaryEtEnergy!$B$25,SummaryEtEnergy!$F$25)</c:f>
              <c:numCache>
                <c:formatCode>0</c:formatCode>
                <c:ptCount val="2"/>
                <c:pt idx="0">
                  <c:v>0</c:v>
                </c:pt>
                <c:pt idx="1">
                  <c:v>-8.289537313773506</c:v>
                </c:pt>
              </c:numCache>
            </c:numRef>
          </c:val>
        </c:ser>
        <c:ser>
          <c:idx val="14"/>
          <c:order val="13"/>
          <c:tx>
            <c:strRef>
              <c:f>SummaryEtEnergy!$A$26</c:f>
              <c:strCache>
                <c:ptCount val="1"/>
                <c:pt idx="0">
                  <c:v>Biorefinery Plant</c:v>
                </c:pt>
              </c:strCache>
            </c:strRef>
          </c:tx>
          <c:spPr>
            <a:solidFill>
              <a:srgbClr val="7F7F7F"/>
            </a:solidFill>
            <a:ln>
              <a:solidFill>
                <a:schemeClr val="tx1"/>
              </a:solidFill>
            </a:ln>
          </c:spPr>
          <c:invertIfNegative val="0"/>
          <c:val>
            <c:numRef>
              <c:f>(SummaryEtEnergy!$B$26,SummaryEtEnergy!$F$26)</c:f>
              <c:numCache>
                <c:formatCode>0</c:formatCode>
                <c:ptCount val="2"/>
                <c:pt idx="0">
                  <c:v>0</c:v>
                </c:pt>
                <c:pt idx="1">
                  <c:v>0</c:v>
                </c:pt>
              </c:numCache>
            </c:numRef>
          </c:val>
        </c:ser>
        <c:ser>
          <c:idx val="15"/>
          <c:order val="14"/>
          <c:tx>
            <c:strRef>
              <c:f>SummaryEtEnergy!$A$27</c:f>
              <c:strCache>
                <c:ptCount val="1"/>
                <c:pt idx="0">
                  <c:v>Transport to Distribution Point (Stage 1)</c:v>
                </c:pt>
              </c:strCache>
            </c:strRef>
          </c:tx>
          <c:spPr>
            <a:solidFill>
              <a:srgbClr val="B6B6C8"/>
            </a:solidFill>
            <a:ln>
              <a:solidFill>
                <a:schemeClr val="tx1"/>
              </a:solidFill>
            </a:ln>
          </c:spPr>
          <c:invertIfNegative val="0"/>
          <c:val>
            <c:numRef>
              <c:f>(SummaryEtEnergy!$B$27,SummaryEtEnergy!$F$27)</c:f>
              <c:numCache>
                <c:formatCode>0</c:formatCode>
                <c:ptCount val="2"/>
                <c:pt idx="0">
                  <c:v>517.88672232212184</c:v>
                </c:pt>
                <c:pt idx="1">
                  <c:v>40.313499445117209</c:v>
                </c:pt>
              </c:numCache>
            </c:numRef>
          </c:val>
        </c:ser>
        <c:ser>
          <c:idx val="16"/>
          <c:order val="15"/>
          <c:tx>
            <c:strRef>
              <c:f>SummaryEtEnergy!$A$28</c:f>
              <c:strCache>
                <c:ptCount val="1"/>
                <c:pt idx="0">
                  <c:v>Transport to Distribution Point (Stage 2)</c:v>
                </c:pt>
              </c:strCache>
            </c:strRef>
          </c:tx>
          <c:spPr>
            <a:solidFill>
              <a:srgbClr val="C9FAC8"/>
            </a:solidFill>
            <a:ln>
              <a:solidFill>
                <a:schemeClr val="tx1"/>
              </a:solidFill>
            </a:ln>
          </c:spPr>
          <c:invertIfNegative val="0"/>
          <c:val>
            <c:numRef>
              <c:f>(SummaryEtEnergy!$B$28,SummaryEtEnergy!$F$28)</c:f>
              <c:numCache>
                <c:formatCode>0</c:formatCode>
                <c:ptCount val="2"/>
                <c:pt idx="0">
                  <c:v>0</c:v>
                </c:pt>
                <c:pt idx="1">
                  <c:v>0</c:v>
                </c:pt>
              </c:numCache>
            </c:numRef>
          </c:val>
        </c:ser>
        <c:ser>
          <c:idx val="7"/>
          <c:order val="16"/>
          <c:tx>
            <c:strRef>
              <c:f>SummaryEtEnergy!$A$29</c:f>
              <c:strCache>
                <c:ptCount val="1"/>
                <c:pt idx="0">
                  <c:v>Transport to Distribution Point (Stage 3)</c:v>
                </c:pt>
              </c:strCache>
            </c:strRef>
          </c:tx>
          <c:spPr>
            <a:solidFill>
              <a:srgbClr val="CC3300"/>
            </a:solidFill>
            <a:ln>
              <a:solidFill>
                <a:schemeClr val="tx1"/>
              </a:solidFill>
            </a:ln>
          </c:spPr>
          <c:invertIfNegative val="0"/>
          <c:val>
            <c:numRef>
              <c:f>(SummaryEtEnergy!$B$29,SummaryEtEnergy!$F$29)</c:f>
              <c:numCache>
                <c:formatCode>0</c:formatCode>
                <c:ptCount val="2"/>
                <c:pt idx="0">
                  <c:v>0</c:v>
                </c:pt>
                <c:pt idx="1">
                  <c:v>0</c:v>
                </c:pt>
              </c:numCache>
            </c:numRef>
          </c:val>
        </c:ser>
        <c:dLbls>
          <c:showLegendKey val="0"/>
          <c:showVal val="0"/>
          <c:showCatName val="0"/>
          <c:showSerName val="0"/>
          <c:showPercent val="0"/>
          <c:showBubbleSize val="0"/>
        </c:dLbls>
        <c:gapWidth val="75"/>
        <c:overlap val="100"/>
        <c:axId val="56032256"/>
        <c:axId val="83698432"/>
      </c:barChart>
      <c:catAx>
        <c:axId val="56032256"/>
        <c:scaling>
          <c:orientation val="minMax"/>
        </c:scaling>
        <c:delete val="0"/>
        <c:axPos val="l"/>
        <c:numFmt formatCode="General" sourceLinked="1"/>
        <c:majorTickMark val="none"/>
        <c:minorTickMark val="none"/>
        <c:tickLblPos val="nextTo"/>
        <c:crossAx val="83698432"/>
        <c:crosses val="autoZero"/>
        <c:auto val="1"/>
        <c:lblAlgn val="ctr"/>
        <c:lblOffset val="100"/>
        <c:noMultiLvlLbl val="0"/>
      </c:catAx>
      <c:valAx>
        <c:axId val="83698432"/>
        <c:scaling>
          <c:orientation val="minMax"/>
        </c:scaling>
        <c:delete val="0"/>
        <c:axPos val="b"/>
        <c:majorGridlines/>
        <c:numFmt formatCode="0%" sourceLinked="1"/>
        <c:majorTickMark val="none"/>
        <c:minorTickMark val="none"/>
        <c:tickLblPos val="nextTo"/>
        <c:spPr>
          <a:ln w="9525">
            <a:noFill/>
          </a:ln>
        </c:spPr>
        <c:crossAx val="56032256"/>
        <c:crosses val="autoZero"/>
        <c:crossBetween val="between"/>
      </c:valAx>
      <c:spPr>
        <a:ln>
          <a:solidFill>
            <a:schemeClr val="tx1"/>
          </a:solidFill>
        </a:ln>
      </c:spPr>
    </c:plotArea>
    <c:legend>
      <c:legendPos val="b"/>
      <c:layout>
        <c:manualLayout>
          <c:xMode val="edge"/>
          <c:yMode val="edge"/>
          <c:x val="1.3357212870924114E-2"/>
          <c:y val="0.6126978375490717"/>
          <c:w val="0.96411249933044096"/>
          <c:h val="0.38730229008913836"/>
        </c:manualLayout>
      </c:layout>
      <c:overlay val="0"/>
      <c:spPr>
        <a:ln>
          <a:solidFill>
            <a:sysClr val="windowText" lastClr="000000"/>
          </a:solidFill>
        </a:ln>
      </c:spPr>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latin typeface="Arial" pitchFamily="34" charset="0"/>
                <a:cs typeface="Arial" pitchFamily="34" charset="0"/>
              </a:defRPr>
            </a:pPr>
            <a:r>
              <a:rPr lang="en-GB" sz="1200">
                <a:latin typeface="Arial" pitchFamily="34" charset="0"/>
                <a:cs typeface="Arial" pitchFamily="34" charset="0"/>
              </a:rPr>
              <a:t>Primary Energy Inputs and Total Greenhouse Gas Emissions by Process Contribution</a:t>
            </a:r>
          </a:p>
        </c:rich>
      </c:tx>
      <c:overlay val="0"/>
    </c:title>
    <c:autoTitleDeleted val="0"/>
    <c:plotArea>
      <c:layout>
        <c:manualLayout>
          <c:layoutTarget val="inner"/>
          <c:xMode val="edge"/>
          <c:yMode val="edge"/>
          <c:x val="8.4963402469154722E-2"/>
          <c:y val="0.14314048581765218"/>
          <c:w val="0.89675797753802011"/>
          <c:h val="0.37269408891456313"/>
        </c:manualLayout>
      </c:layout>
      <c:barChart>
        <c:barDir val="bar"/>
        <c:grouping val="percentStacked"/>
        <c:varyColors val="0"/>
        <c:ser>
          <c:idx val="0"/>
          <c:order val="0"/>
          <c:tx>
            <c:strRef>
              <c:f>SummaryEtPrice!$A$13</c:f>
              <c:strCache>
                <c:ptCount val="1"/>
                <c:pt idx="0">
                  <c:v>Cultivation</c:v>
                </c:pt>
              </c:strCache>
            </c:strRef>
          </c:tx>
          <c:spPr>
            <a:solidFill>
              <a:srgbClr val="336600"/>
            </a:solidFill>
            <a:ln>
              <a:solidFill>
                <a:schemeClr val="tx1"/>
              </a:solidFill>
            </a:ln>
          </c:spPr>
          <c:invertIfNegative val="0"/>
          <c:cat>
            <c:strRef>
              <c:f>(SummaryEtPrice!$B$11,SummaryEtPrice!$F$11)</c:f>
              <c:strCache>
                <c:ptCount val="2"/>
                <c:pt idx="0">
                  <c:v>Primary Energy Inputs</c:v>
                </c:pt>
                <c:pt idx="1">
                  <c:v>Total Greenhouse Gas Emissions</c:v>
                </c:pt>
              </c:strCache>
            </c:strRef>
          </c:cat>
          <c:val>
            <c:numRef>
              <c:f>(SummaryEtPrice!$B$13,SummaryEtPrice!$F$13)</c:f>
              <c:numCache>
                <c:formatCode>0</c:formatCode>
                <c:ptCount val="2"/>
                <c:pt idx="0">
                  <c:v>2267.6113893076836</c:v>
                </c:pt>
                <c:pt idx="1">
                  <c:v>149.01731669390421</c:v>
                </c:pt>
              </c:numCache>
            </c:numRef>
          </c:val>
        </c:ser>
        <c:ser>
          <c:idx val="2"/>
          <c:order val="1"/>
          <c:tx>
            <c:strRef>
              <c:f>SummaryEtPrice!$A$14</c:f>
              <c:strCache>
                <c:ptCount val="1"/>
                <c:pt idx="0">
                  <c:v>Harvesting and Baling</c:v>
                </c:pt>
              </c:strCache>
            </c:strRef>
          </c:tx>
          <c:spPr>
            <a:solidFill>
              <a:srgbClr val="78AF1E"/>
            </a:solidFill>
            <a:ln>
              <a:solidFill>
                <a:sysClr val="windowText" lastClr="000000"/>
              </a:solidFill>
            </a:ln>
          </c:spPr>
          <c:invertIfNegative val="0"/>
          <c:val>
            <c:numRef>
              <c:f>(SummaryEtPrice!$B$14,SummaryEtPrice!$F$14)</c:f>
              <c:numCache>
                <c:formatCode>0</c:formatCode>
                <c:ptCount val="2"/>
                <c:pt idx="0">
                  <c:v>369.22612973150552</c:v>
                </c:pt>
                <c:pt idx="1">
                  <c:v>28.741415322085793</c:v>
                </c:pt>
              </c:numCache>
            </c:numRef>
          </c:val>
        </c:ser>
        <c:ser>
          <c:idx val="4"/>
          <c:order val="2"/>
          <c:tx>
            <c:strRef>
              <c:f>SummaryEtPrice!$A$15</c:f>
              <c:strCache>
                <c:ptCount val="1"/>
                <c:pt idx="0">
                  <c:v>Transport to Plant (Stage 1)</c:v>
                </c:pt>
              </c:strCache>
            </c:strRef>
          </c:tx>
          <c:spPr>
            <a:solidFill>
              <a:srgbClr val="000000"/>
            </a:solidFill>
            <a:ln>
              <a:solidFill>
                <a:schemeClr val="tx1"/>
              </a:solidFill>
            </a:ln>
          </c:spPr>
          <c:invertIfNegative val="0"/>
          <c:cat>
            <c:strRef>
              <c:f>(SummaryEtPrice!$B$11,SummaryEtPrice!$F$11)</c:f>
              <c:strCache>
                <c:ptCount val="2"/>
                <c:pt idx="0">
                  <c:v>Primary Energy Inputs</c:v>
                </c:pt>
                <c:pt idx="1">
                  <c:v>Total Greenhouse Gas Emissions</c:v>
                </c:pt>
              </c:strCache>
            </c:strRef>
          </c:cat>
          <c:val>
            <c:numRef>
              <c:f>(SummaryEtPrice!$B$15,SummaryEtPrice!$F$15)</c:f>
              <c:numCache>
                <c:formatCode>0</c:formatCode>
                <c:ptCount val="2"/>
                <c:pt idx="0">
                  <c:v>275.59665533211654</c:v>
                </c:pt>
                <c:pt idx="1">
                  <c:v>21.453080631205939</c:v>
                </c:pt>
              </c:numCache>
            </c:numRef>
          </c:val>
        </c:ser>
        <c:ser>
          <c:idx val="1"/>
          <c:order val="3"/>
          <c:tx>
            <c:strRef>
              <c:f>SummaryEtPrice!$A$16</c:f>
              <c:strCache>
                <c:ptCount val="1"/>
                <c:pt idx="0">
                  <c:v>Transport to Plant (Stage 2)</c:v>
                </c:pt>
              </c:strCache>
            </c:strRef>
          </c:tx>
          <c:spPr>
            <a:solidFill>
              <a:srgbClr val="3B3B3B"/>
            </a:solidFill>
            <a:ln>
              <a:solidFill>
                <a:schemeClr val="tx1"/>
              </a:solidFill>
            </a:ln>
          </c:spPr>
          <c:invertIfNegative val="0"/>
          <c:val>
            <c:numRef>
              <c:f>(SummaryEtPrice!$B$16,SummaryEtPrice!$F$16)</c:f>
              <c:numCache>
                <c:formatCode>0</c:formatCode>
                <c:ptCount val="2"/>
                <c:pt idx="0">
                  <c:v>0</c:v>
                </c:pt>
                <c:pt idx="1">
                  <c:v>0</c:v>
                </c:pt>
              </c:numCache>
            </c:numRef>
          </c:val>
        </c:ser>
        <c:ser>
          <c:idx val="5"/>
          <c:order val="4"/>
          <c:tx>
            <c:strRef>
              <c:f>SummaryEtPrice!$A$17</c:f>
              <c:strCache>
                <c:ptCount val="1"/>
                <c:pt idx="0">
                  <c:v>Biomass Milling</c:v>
                </c:pt>
              </c:strCache>
            </c:strRef>
          </c:tx>
          <c:spPr>
            <a:solidFill>
              <a:srgbClr val="641E1E"/>
            </a:solidFill>
            <a:ln>
              <a:solidFill>
                <a:schemeClr val="tx1"/>
              </a:solidFill>
            </a:ln>
          </c:spPr>
          <c:invertIfNegative val="0"/>
          <c:val>
            <c:numRef>
              <c:f>(SummaryEtPrice!$B$17,SummaryEtPrice!$F$17)</c:f>
              <c:numCache>
                <c:formatCode>0</c:formatCode>
                <c:ptCount val="2"/>
                <c:pt idx="0">
                  <c:v>0</c:v>
                </c:pt>
                <c:pt idx="1">
                  <c:v>0.25556250795873808</c:v>
                </c:pt>
              </c:numCache>
            </c:numRef>
          </c:val>
        </c:ser>
        <c:ser>
          <c:idx val="9"/>
          <c:order val="5"/>
          <c:tx>
            <c:strRef>
              <c:f>SummaryEtPrice!$A$18</c:f>
              <c:strCache>
                <c:ptCount val="1"/>
                <c:pt idx="0">
                  <c:v>Pre-Treatment, Enzyme Production and Enzymatic Hydrolysis</c:v>
                </c:pt>
              </c:strCache>
            </c:strRef>
          </c:tx>
          <c:spPr>
            <a:solidFill>
              <a:srgbClr val="CC6600"/>
            </a:solidFill>
            <a:ln>
              <a:solidFill>
                <a:schemeClr val="tx1"/>
              </a:solidFill>
            </a:ln>
          </c:spPr>
          <c:invertIfNegative val="0"/>
          <c:val>
            <c:numRef>
              <c:f>(SummaryEtPrice!$B$18,SummaryEtPrice!$F$18)</c:f>
              <c:numCache>
                <c:formatCode>0</c:formatCode>
                <c:ptCount val="2"/>
                <c:pt idx="0">
                  <c:v>8239.0610076539524</c:v>
                </c:pt>
                <c:pt idx="1">
                  <c:v>579.07302355076104</c:v>
                </c:pt>
              </c:numCache>
            </c:numRef>
          </c:val>
        </c:ser>
        <c:ser>
          <c:idx val="3"/>
          <c:order val="6"/>
          <c:tx>
            <c:strRef>
              <c:f>SummaryEtPrice!$A$19</c:f>
              <c:strCache>
                <c:ptCount val="1"/>
                <c:pt idx="0">
                  <c:v>Fermentation</c:v>
                </c:pt>
              </c:strCache>
            </c:strRef>
          </c:tx>
          <c:spPr>
            <a:solidFill>
              <a:srgbClr val="FFFF00"/>
            </a:solidFill>
            <a:ln>
              <a:solidFill>
                <a:schemeClr val="tx1"/>
              </a:solidFill>
            </a:ln>
          </c:spPr>
          <c:invertIfNegative val="0"/>
          <c:val>
            <c:numRef>
              <c:f>(SummaryEtPrice!$B$19,SummaryEtPrice!$F$19)</c:f>
              <c:numCache>
                <c:formatCode>0</c:formatCode>
                <c:ptCount val="2"/>
                <c:pt idx="0">
                  <c:v>0</c:v>
                </c:pt>
                <c:pt idx="1">
                  <c:v>3.78804705882353E-2</c:v>
                </c:pt>
              </c:numCache>
            </c:numRef>
          </c:val>
        </c:ser>
        <c:ser>
          <c:idx val="6"/>
          <c:order val="7"/>
          <c:tx>
            <c:strRef>
              <c:f>SummaryEtPrice!$A$20</c:f>
              <c:strCache>
                <c:ptCount val="1"/>
                <c:pt idx="0">
                  <c:v>Ethanol Recovery</c:v>
                </c:pt>
              </c:strCache>
            </c:strRef>
          </c:tx>
          <c:spPr>
            <a:solidFill>
              <a:srgbClr val="FF9900"/>
            </a:solidFill>
            <a:ln>
              <a:solidFill>
                <a:schemeClr val="tx1"/>
              </a:solidFill>
            </a:ln>
          </c:spPr>
          <c:invertIfNegative val="0"/>
          <c:val>
            <c:numRef>
              <c:f>(SummaryEtPrice!$B$20,SummaryEtPrice!$F$20)</c:f>
              <c:numCache>
                <c:formatCode>0</c:formatCode>
                <c:ptCount val="2"/>
                <c:pt idx="0">
                  <c:v>0</c:v>
                </c:pt>
                <c:pt idx="1">
                  <c:v>3.5552400000000004</c:v>
                </c:pt>
              </c:numCache>
            </c:numRef>
          </c:val>
        </c:ser>
        <c:ser>
          <c:idx val="10"/>
          <c:order val="8"/>
          <c:tx>
            <c:strRef>
              <c:f>SummaryEtPrice!$A$21</c:f>
              <c:strCache>
                <c:ptCount val="1"/>
                <c:pt idx="0">
                  <c:v>Waste Solids Pressure Filtration</c:v>
                </c:pt>
              </c:strCache>
            </c:strRef>
          </c:tx>
          <c:spPr>
            <a:solidFill>
              <a:srgbClr val="3333FF"/>
            </a:solidFill>
            <a:ln>
              <a:solidFill>
                <a:schemeClr val="tx1"/>
              </a:solidFill>
            </a:ln>
          </c:spPr>
          <c:invertIfNegative val="0"/>
          <c:val>
            <c:numRef>
              <c:f>(SummaryEtPrice!$B$21,SummaryEtPrice!$F$21)</c:f>
              <c:numCache>
                <c:formatCode>0</c:formatCode>
                <c:ptCount val="2"/>
                <c:pt idx="0">
                  <c:v>0</c:v>
                </c:pt>
                <c:pt idx="1">
                  <c:v>0.28153929141204587</c:v>
                </c:pt>
              </c:numCache>
            </c:numRef>
          </c:val>
        </c:ser>
        <c:ser>
          <c:idx val="11"/>
          <c:order val="9"/>
          <c:tx>
            <c:strRef>
              <c:f>SummaryEtPrice!$A$22</c:f>
              <c:strCache>
                <c:ptCount val="1"/>
                <c:pt idx="0">
                  <c:v>Waste Water Treatment (AD)</c:v>
                </c:pt>
              </c:strCache>
            </c:strRef>
          </c:tx>
          <c:spPr>
            <a:solidFill>
              <a:srgbClr val="00FF00"/>
            </a:solidFill>
            <a:ln>
              <a:solidFill>
                <a:schemeClr val="tx1"/>
              </a:solidFill>
            </a:ln>
          </c:spPr>
          <c:invertIfNegative val="0"/>
          <c:val>
            <c:numRef>
              <c:f>(SummaryEtPrice!$B$22,SummaryEtPrice!$F$22)</c:f>
              <c:numCache>
                <c:formatCode>0</c:formatCode>
                <c:ptCount val="2"/>
                <c:pt idx="0">
                  <c:v>1274.9999999999998</c:v>
                </c:pt>
                <c:pt idx="1">
                  <c:v>76.871625441176477</c:v>
                </c:pt>
              </c:numCache>
            </c:numRef>
          </c:val>
        </c:ser>
        <c:ser>
          <c:idx val="7"/>
          <c:order val="10"/>
          <c:tx>
            <c:strRef>
              <c:f>SummaryEtPrice!$A$23</c:f>
              <c:strCache>
                <c:ptCount val="1"/>
                <c:pt idx="0">
                  <c:v>Biorefinery Utilities</c:v>
                </c:pt>
              </c:strCache>
            </c:strRef>
          </c:tx>
          <c:spPr>
            <a:solidFill>
              <a:srgbClr val="FF6666"/>
            </a:solidFill>
            <a:ln>
              <a:solidFill>
                <a:sysClr val="windowText" lastClr="000000"/>
              </a:solidFill>
            </a:ln>
          </c:spPr>
          <c:invertIfNegative val="0"/>
          <c:val>
            <c:numRef>
              <c:f>(SummaryEtPrice!$B$23,SummaryEtPrice!$F$23)</c:f>
              <c:numCache>
                <c:formatCode>0</c:formatCode>
                <c:ptCount val="2"/>
                <c:pt idx="0">
                  <c:v>0</c:v>
                </c:pt>
                <c:pt idx="1">
                  <c:v>0</c:v>
                </c:pt>
              </c:numCache>
            </c:numRef>
          </c:val>
        </c:ser>
        <c:ser>
          <c:idx val="12"/>
          <c:order val="11"/>
          <c:tx>
            <c:strRef>
              <c:f>SummaryEtPrice!$A$24</c:f>
              <c:strCache>
                <c:ptCount val="1"/>
                <c:pt idx="0">
                  <c:v>Electricity Sales (Credit)</c:v>
                </c:pt>
              </c:strCache>
            </c:strRef>
          </c:tx>
          <c:spPr>
            <a:solidFill>
              <a:srgbClr val="00FFFF"/>
            </a:solidFill>
            <a:ln>
              <a:solidFill>
                <a:schemeClr val="tx1"/>
              </a:solidFill>
            </a:ln>
          </c:spPr>
          <c:invertIfNegative val="0"/>
          <c:val>
            <c:numRef>
              <c:f>(SummaryEtPrice!$B$24,SummaryEtPrice!$F$24)</c:f>
              <c:numCache>
                <c:formatCode>0</c:formatCode>
                <c:ptCount val="2"/>
                <c:pt idx="0">
                  <c:v>0</c:v>
                </c:pt>
                <c:pt idx="1">
                  <c:v>-8.289537313773506</c:v>
                </c:pt>
              </c:numCache>
            </c:numRef>
          </c:val>
        </c:ser>
        <c:ser>
          <c:idx val="13"/>
          <c:order val="12"/>
          <c:tx>
            <c:strRef>
              <c:f>SummaryEtPrice!$A$25</c:f>
              <c:strCache>
                <c:ptCount val="1"/>
                <c:pt idx="0">
                  <c:v>Biorefinery Plant</c:v>
                </c:pt>
              </c:strCache>
            </c:strRef>
          </c:tx>
          <c:spPr>
            <a:solidFill>
              <a:srgbClr val="FF33CC"/>
            </a:solidFill>
            <a:ln>
              <a:solidFill>
                <a:schemeClr val="tx1"/>
              </a:solidFill>
            </a:ln>
          </c:spPr>
          <c:invertIfNegative val="0"/>
          <c:val>
            <c:numRef>
              <c:f>(SummaryEtPrice!$B$25,SummaryEtPrice!$F$25)</c:f>
              <c:numCache>
                <c:formatCode>0</c:formatCode>
                <c:ptCount val="2"/>
                <c:pt idx="0">
                  <c:v>0</c:v>
                </c:pt>
                <c:pt idx="1">
                  <c:v>0</c:v>
                </c:pt>
              </c:numCache>
            </c:numRef>
          </c:val>
        </c:ser>
        <c:ser>
          <c:idx val="14"/>
          <c:order val="13"/>
          <c:tx>
            <c:strRef>
              <c:f>SummaryEtPrice!$A$26</c:f>
              <c:strCache>
                <c:ptCount val="1"/>
                <c:pt idx="0">
                  <c:v>Transport to Distribution Point (Stage 1)</c:v>
                </c:pt>
              </c:strCache>
            </c:strRef>
          </c:tx>
          <c:spPr>
            <a:solidFill>
              <a:srgbClr val="7F7F7F"/>
            </a:solidFill>
            <a:ln>
              <a:solidFill>
                <a:schemeClr val="tx1"/>
              </a:solidFill>
            </a:ln>
          </c:spPr>
          <c:invertIfNegative val="0"/>
          <c:val>
            <c:numRef>
              <c:f>(SummaryEtPrice!$B$26,SummaryEtPrice!$F$26)</c:f>
              <c:numCache>
                <c:formatCode>0</c:formatCode>
                <c:ptCount val="2"/>
                <c:pt idx="0">
                  <c:v>517.88672232212184</c:v>
                </c:pt>
                <c:pt idx="1">
                  <c:v>40.313499445117209</c:v>
                </c:pt>
              </c:numCache>
            </c:numRef>
          </c:val>
        </c:ser>
        <c:ser>
          <c:idx val="15"/>
          <c:order val="14"/>
          <c:tx>
            <c:strRef>
              <c:f>SummaryEtPrice!$A$27</c:f>
              <c:strCache>
                <c:ptCount val="1"/>
                <c:pt idx="0">
                  <c:v>Transport to Distribution Point (Stage 2)</c:v>
                </c:pt>
              </c:strCache>
            </c:strRef>
          </c:tx>
          <c:spPr>
            <a:solidFill>
              <a:srgbClr val="B6B6C8"/>
            </a:solidFill>
            <a:ln>
              <a:solidFill>
                <a:schemeClr val="tx1"/>
              </a:solidFill>
            </a:ln>
          </c:spPr>
          <c:invertIfNegative val="0"/>
          <c:val>
            <c:numRef>
              <c:f>(SummaryEtPrice!$B$27,SummaryEtPrice!$F$27)</c:f>
              <c:numCache>
                <c:formatCode>0</c:formatCode>
                <c:ptCount val="2"/>
                <c:pt idx="0">
                  <c:v>0</c:v>
                </c:pt>
                <c:pt idx="1">
                  <c:v>0</c:v>
                </c:pt>
              </c:numCache>
            </c:numRef>
          </c:val>
        </c:ser>
        <c:ser>
          <c:idx val="16"/>
          <c:order val="15"/>
          <c:tx>
            <c:strRef>
              <c:f>SummaryEtPrice!$A$28</c:f>
              <c:strCache>
                <c:ptCount val="1"/>
                <c:pt idx="0">
                  <c:v>Transport to Distribution Point (Stage 3)</c:v>
                </c:pt>
              </c:strCache>
            </c:strRef>
          </c:tx>
          <c:spPr>
            <a:solidFill>
              <a:srgbClr val="C9FAC8"/>
            </a:solidFill>
            <a:ln>
              <a:solidFill>
                <a:schemeClr val="tx1"/>
              </a:solidFill>
            </a:ln>
          </c:spPr>
          <c:invertIfNegative val="0"/>
          <c:val>
            <c:numRef>
              <c:f>(SummaryEtPrice!$B$28,SummaryEtPrice!$F$28)</c:f>
              <c:numCache>
                <c:formatCode>0</c:formatCode>
                <c:ptCount val="2"/>
                <c:pt idx="0">
                  <c:v>0</c:v>
                </c:pt>
                <c:pt idx="1">
                  <c:v>0</c:v>
                </c:pt>
              </c:numCache>
            </c:numRef>
          </c:val>
        </c:ser>
        <c:dLbls>
          <c:showLegendKey val="0"/>
          <c:showVal val="0"/>
          <c:showCatName val="0"/>
          <c:showSerName val="0"/>
          <c:showPercent val="0"/>
          <c:showBubbleSize val="0"/>
        </c:dLbls>
        <c:gapWidth val="75"/>
        <c:overlap val="100"/>
        <c:axId val="84059264"/>
        <c:axId val="84060800"/>
      </c:barChart>
      <c:catAx>
        <c:axId val="84059264"/>
        <c:scaling>
          <c:orientation val="minMax"/>
        </c:scaling>
        <c:delete val="0"/>
        <c:axPos val="l"/>
        <c:numFmt formatCode="General" sourceLinked="1"/>
        <c:majorTickMark val="none"/>
        <c:minorTickMark val="none"/>
        <c:tickLblPos val="nextTo"/>
        <c:crossAx val="84060800"/>
        <c:crosses val="autoZero"/>
        <c:auto val="1"/>
        <c:lblAlgn val="ctr"/>
        <c:lblOffset val="100"/>
        <c:noMultiLvlLbl val="0"/>
      </c:catAx>
      <c:valAx>
        <c:axId val="84060800"/>
        <c:scaling>
          <c:orientation val="minMax"/>
        </c:scaling>
        <c:delete val="0"/>
        <c:axPos val="b"/>
        <c:majorGridlines/>
        <c:numFmt formatCode="0%" sourceLinked="1"/>
        <c:majorTickMark val="none"/>
        <c:minorTickMark val="none"/>
        <c:tickLblPos val="nextTo"/>
        <c:spPr>
          <a:ln w="9525">
            <a:noFill/>
          </a:ln>
        </c:spPr>
        <c:crossAx val="84059264"/>
        <c:crosses val="autoZero"/>
        <c:crossBetween val="between"/>
      </c:valAx>
      <c:spPr>
        <a:ln>
          <a:solidFill>
            <a:schemeClr val="tx1"/>
          </a:solidFill>
        </a:ln>
      </c:spPr>
    </c:plotArea>
    <c:legend>
      <c:legendPos val="b"/>
      <c:layout>
        <c:manualLayout>
          <c:xMode val="edge"/>
          <c:yMode val="edge"/>
          <c:x val="1.3357212870924114E-2"/>
          <c:y val="0.6126978375490717"/>
          <c:w val="0.96698139369578195"/>
          <c:h val="0.38730220595335291"/>
        </c:manualLayout>
      </c:layout>
      <c:overlay val="0"/>
      <c:spPr>
        <a:ln>
          <a:solidFill>
            <a:sysClr val="windowText" lastClr="000000"/>
          </a:solidFill>
        </a:ln>
      </c:spPr>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latin typeface="Arial" pitchFamily="34" charset="0"/>
                <a:cs typeface="Arial" pitchFamily="34" charset="0"/>
              </a:defRPr>
            </a:pPr>
            <a:r>
              <a:rPr lang="en-GB" sz="1200">
                <a:latin typeface="Arial" pitchFamily="34" charset="0"/>
                <a:cs typeface="Arial" pitchFamily="34" charset="0"/>
              </a:rPr>
              <a:t>Primary Energy Inputs and Total Greenhouse Gas Emissions by Process Contribution</a:t>
            </a:r>
          </a:p>
        </c:rich>
      </c:tx>
      <c:overlay val="0"/>
    </c:title>
    <c:autoTitleDeleted val="0"/>
    <c:plotArea>
      <c:layout>
        <c:manualLayout>
          <c:layoutTarget val="inner"/>
          <c:xMode val="edge"/>
          <c:yMode val="edge"/>
          <c:x val="8.4963402469154722E-2"/>
          <c:y val="0.14314048581765218"/>
          <c:w val="0.89675797753802011"/>
          <c:h val="0.37269408891456313"/>
        </c:manualLayout>
      </c:layout>
      <c:barChart>
        <c:barDir val="bar"/>
        <c:grouping val="percentStacked"/>
        <c:varyColors val="0"/>
        <c:ser>
          <c:idx val="0"/>
          <c:order val="0"/>
          <c:tx>
            <c:strRef>
              <c:f>SummaryEtMass!$A$13</c:f>
              <c:strCache>
                <c:ptCount val="1"/>
                <c:pt idx="0">
                  <c:v>Cultivation</c:v>
                </c:pt>
              </c:strCache>
            </c:strRef>
          </c:tx>
          <c:spPr>
            <a:solidFill>
              <a:srgbClr val="336600"/>
            </a:solidFill>
            <a:ln>
              <a:solidFill>
                <a:schemeClr val="tx1"/>
              </a:solidFill>
            </a:ln>
          </c:spPr>
          <c:invertIfNegative val="0"/>
          <c:cat>
            <c:strRef>
              <c:f>(SummaryEtMass!$B$11,SummaryEtMass!$F$11)</c:f>
              <c:strCache>
                <c:ptCount val="2"/>
                <c:pt idx="0">
                  <c:v>Primary Energy Inputs</c:v>
                </c:pt>
                <c:pt idx="1">
                  <c:v>Total Greenhouse Gas Emissions</c:v>
                </c:pt>
              </c:strCache>
            </c:strRef>
          </c:cat>
          <c:val>
            <c:numRef>
              <c:f>(SummaryEtMass!$B$13,SummaryEtMass!$F$13)</c:f>
              <c:numCache>
                <c:formatCode>0</c:formatCode>
                <c:ptCount val="2"/>
                <c:pt idx="0">
                  <c:v>2267.6113893076836</c:v>
                </c:pt>
                <c:pt idx="1">
                  <c:v>149.01731669390421</c:v>
                </c:pt>
              </c:numCache>
            </c:numRef>
          </c:val>
        </c:ser>
        <c:ser>
          <c:idx val="2"/>
          <c:order val="1"/>
          <c:tx>
            <c:strRef>
              <c:f>SummaryEtMass!$A$14</c:f>
              <c:strCache>
                <c:ptCount val="1"/>
                <c:pt idx="0">
                  <c:v>Harvesting and Baling</c:v>
                </c:pt>
              </c:strCache>
            </c:strRef>
          </c:tx>
          <c:spPr>
            <a:solidFill>
              <a:srgbClr val="78AF1E"/>
            </a:solidFill>
            <a:ln>
              <a:solidFill>
                <a:sysClr val="windowText" lastClr="000000"/>
              </a:solidFill>
            </a:ln>
          </c:spPr>
          <c:invertIfNegative val="0"/>
          <c:val>
            <c:numRef>
              <c:f>(SummaryEtMass!$B$14,SummaryEtMass!$F$14)</c:f>
              <c:numCache>
                <c:formatCode>0</c:formatCode>
                <c:ptCount val="2"/>
                <c:pt idx="0">
                  <c:v>369.22612973150552</c:v>
                </c:pt>
                <c:pt idx="1">
                  <c:v>28.741415322085793</c:v>
                </c:pt>
              </c:numCache>
            </c:numRef>
          </c:val>
        </c:ser>
        <c:ser>
          <c:idx val="4"/>
          <c:order val="2"/>
          <c:tx>
            <c:strRef>
              <c:f>SummaryEtMass!$A$15</c:f>
              <c:strCache>
                <c:ptCount val="1"/>
                <c:pt idx="0">
                  <c:v>Transport to Plant (Stage 1)</c:v>
                </c:pt>
              </c:strCache>
            </c:strRef>
          </c:tx>
          <c:spPr>
            <a:solidFill>
              <a:srgbClr val="000000"/>
            </a:solidFill>
            <a:ln>
              <a:solidFill>
                <a:schemeClr val="tx1"/>
              </a:solidFill>
            </a:ln>
          </c:spPr>
          <c:invertIfNegative val="0"/>
          <c:cat>
            <c:strRef>
              <c:f>(SummaryEtMass!$B$11,SummaryEtMass!$F$11)</c:f>
              <c:strCache>
                <c:ptCount val="2"/>
                <c:pt idx="0">
                  <c:v>Primary Energy Inputs</c:v>
                </c:pt>
                <c:pt idx="1">
                  <c:v>Total Greenhouse Gas Emissions</c:v>
                </c:pt>
              </c:strCache>
            </c:strRef>
          </c:cat>
          <c:val>
            <c:numRef>
              <c:f>(SummaryEtMass!$B$15,SummaryEtMass!$F$15)</c:f>
              <c:numCache>
                <c:formatCode>0</c:formatCode>
                <c:ptCount val="2"/>
                <c:pt idx="0">
                  <c:v>275.59665533211654</c:v>
                </c:pt>
                <c:pt idx="1">
                  <c:v>21.277659555829835</c:v>
                </c:pt>
              </c:numCache>
            </c:numRef>
          </c:val>
        </c:ser>
        <c:ser>
          <c:idx val="1"/>
          <c:order val="3"/>
          <c:tx>
            <c:strRef>
              <c:f>SummaryEtMass!$A$16</c:f>
              <c:strCache>
                <c:ptCount val="1"/>
                <c:pt idx="0">
                  <c:v>Transport to Plant (Stage 2)</c:v>
                </c:pt>
              </c:strCache>
            </c:strRef>
          </c:tx>
          <c:spPr>
            <a:solidFill>
              <a:srgbClr val="3B3B3B"/>
            </a:solidFill>
            <a:ln>
              <a:solidFill>
                <a:schemeClr val="tx1"/>
              </a:solidFill>
            </a:ln>
          </c:spPr>
          <c:invertIfNegative val="0"/>
          <c:val>
            <c:numRef>
              <c:f>(SummaryEtMass!$B$16,SummaryEtMass!$F$16)</c:f>
              <c:numCache>
                <c:formatCode>0</c:formatCode>
                <c:ptCount val="2"/>
                <c:pt idx="0">
                  <c:v>0</c:v>
                </c:pt>
                <c:pt idx="1">
                  <c:v>0</c:v>
                </c:pt>
              </c:numCache>
            </c:numRef>
          </c:val>
        </c:ser>
        <c:ser>
          <c:idx val="5"/>
          <c:order val="4"/>
          <c:tx>
            <c:strRef>
              <c:f>SummaryEtMass!$A$17</c:f>
              <c:strCache>
                <c:ptCount val="1"/>
                <c:pt idx="0">
                  <c:v>Biomass Milling</c:v>
                </c:pt>
              </c:strCache>
            </c:strRef>
          </c:tx>
          <c:spPr>
            <a:solidFill>
              <a:srgbClr val="641E1E">
                <a:lumMod val="75000"/>
              </a:srgbClr>
            </a:solidFill>
            <a:ln>
              <a:solidFill>
                <a:sysClr val="windowText" lastClr="000000"/>
              </a:solidFill>
            </a:ln>
          </c:spPr>
          <c:invertIfNegative val="0"/>
          <c:val>
            <c:numRef>
              <c:f>(SummaryEtMass!$B$17,SummaryEtMass!$F$17)</c:f>
              <c:numCache>
                <c:formatCode>0</c:formatCode>
                <c:ptCount val="2"/>
                <c:pt idx="0">
                  <c:v>0</c:v>
                </c:pt>
                <c:pt idx="1">
                  <c:v>0.25556250795873808</c:v>
                </c:pt>
              </c:numCache>
            </c:numRef>
          </c:val>
        </c:ser>
        <c:ser>
          <c:idx val="6"/>
          <c:order val="5"/>
          <c:tx>
            <c:strRef>
              <c:f>SummaryEtMass!$A$18</c:f>
              <c:strCache>
                <c:ptCount val="1"/>
                <c:pt idx="0">
                  <c:v>Pre-Treatment, Enzyme Production and Enzymatic Hydrolysis</c:v>
                </c:pt>
              </c:strCache>
            </c:strRef>
          </c:tx>
          <c:spPr>
            <a:solidFill>
              <a:srgbClr val="FF9900"/>
            </a:solidFill>
            <a:ln>
              <a:solidFill>
                <a:schemeClr val="tx1"/>
              </a:solidFill>
            </a:ln>
          </c:spPr>
          <c:invertIfNegative val="0"/>
          <c:val>
            <c:numRef>
              <c:f>(SummaryEtMass!$B$18,SummaryEtMass!$F$18)</c:f>
              <c:numCache>
                <c:formatCode>0</c:formatCode>
                <c:ptCount val="2"/>
                <c:pt idx="0">
                  <c:v>8239.0610076539524</c:v>
                </c:pt>
                <c:pt idx="1">
                  <c:v>579.07302355076104</c:v>
                </c:pt>
              </c:numCache>
            </c:numRef>
          </c:val>
        </c:ser>
        <c:ser>
          <c:idx val="8"/>
          <c:order val="6"/>
          <c:tx>
            <c:strRef>
              <c:f>SummaryEtMass!$A$19</c:f>
              <c:strCache>
                <c:ptCount val="1"/>
                <c:pt idx="0">
                  <c:v>Fermentation</c:v>
                </c:pt>
              </c:strCache>
            </c:strRef>
          </c:tx>
          <c:spPr>
            <a:solidFill>
              <a:srgbClr val="FFFFCC"/>
            </a:solidFill>
            <a:ln>
              <a:solidFill>
                <a:schemeClr val="tx1"/>
              </a:solidFill>
            </a:ln>
          </c:spPr>
          <c:invertIfNegative val="0"/>
          <c:val>
            <c:numRef>
              <c:f>(SummaryEtMass!$B$19,SummaryEtMass!$F$19)</c:f>
              <c:numCache>
                <c:formatCode>0</c:formatCode>
                <c:ptCount val="2"/>
                <c:pt idx="0">
                  <c:v>0</c:v>
                </c:pt>
                <c:pt idx="1">
                  <c:v>3.78804705882353E-2</c:v>
                </c:pt>
              </c:numCache>
            </c:numRef>
          </c:val>
        </c:ser>
        <c:ser>
          <c:idx val="3"/>
          <c:order val="7"/>
          <c:tx>
            <c:strRef>
              <c:f>SummaryEtMass!$A$20</c:f>
              <c:strCache>
                <c:ptCount val="1"/>
                <c:pt idx="0">
                  <c:v>Ethanol Recovery</c:v>
                </c:pt>
              </c:strCache>
            </c:strRef>
          </c:tx>
          <c:spPr>
            <a:solidFill>
              <a:srgbClr val="FFFF00"/>
            </a:solidFill>
            <a:ln>
              <a:solidFill>
                <a:schemeClr val="tx1"/>
              </a:solidFill>
            </a:ln>
          </c:spPr>
          <c:invertIfNegative val="0"/>
          <c:val>
            <c:numRef>
              <c:f>(SummaryEtMass!$B$20,SummaryEtMass!$F$20)</c:f>
              <c:numCache>
                <c:formatCode>0</c:formatCode>
                <c:ptCount val="2"/>
                <c:pt idx="0">
                  <c:v>0</c:v>
                </c:pt>
                <c:pt idx="1">
                  <c:v>3.5552400000000004</c:v>
                </c:pt>
              </c:numCache>
            </c:numRef>
          </c:val>
        </c:ser>
        <c:ser>
          <c:idx val="9"/>
          <c:order val="8"/>
          <c:tx>
            <c:strRef>
              <c:f>SummaryEtMass!$A$21</c:f>
              <c:strCache>
                <c:ptCount val="1"/>
                <c:pt idx="0">
                  <c:v>Waste Solids Pressure Filtration</c:v>
                </c:pt>
              </c:strCache>
            </c:strRef>
          </c:tx>
          <c:spPr>
            <a:solidFill>
              <a:srgbClr val="CC6600"/>
            </a:solidFill>
            <a:ln>
              <a:solidFill>
                <a:schemeClr val="tx1"/>
              </a:solidFill>
            </a:ln>
          </c:spPr>
          <c:invertIfNegative val="0"/>
          <c:val>
            <c:numRef>
              <c:f>(SummaryEtMass!$B$21,SummaryEtMass!$F$21)</c:f>
              <c:numCache>
                <c:formatCode>0</c:formatCode>
                <c:ptCount val="2"/>
                <c:pt idx="0">
                  <c:v>0</c:v>
                </c:pt>
                <c:pt idx="1">
                  <c:v>0.28153929141204587</c:v>
                </c:pt>
              </c:numCache>
            </c:numRef>
          </c:val>
        </c:ser>
        <c:ser>
          <c:idx val="10"/>
          <c:order val="9"/>
          <c:tx>
            <c:strRef>
              <c:f>SummaryEtMass!$A$22</c:f>
              <c:strCache>
                <c:ptCount val="1"/>
                <c:pt idx="0">
                  <c:v>Waste Water Treatment (AD)</c:v>
                </c:pt>
              </c:strCache>
            </c:strRef>
          </c:tx>
          <c:spPr>
            <a:solidFill>
              <a:srgbClr val="3333FF"/>
            </a:solidFill>
            <a:ln>
              <a:solidFill>
                <a:schemeClr val="tx1"/>
              </a:solidFill>
            </a:ln>
          </c:spPr>
          <c:invertIfNegative val="0"/>
          <c:val>
            <c:numRef>
              <c:f>(SummaryEtMass!$B$22,SummaryEtMass!$F$22)</c:f>
              <c:numCache>
                <c:formatCode>0</c:formatCode>
                <c:ptCount val="2"/>
                <c:pt idx="0">
                  <c:v>1274.9999999999998</c:v>
                </c:pt>
                <c:pt idx="1">
                  <c:v>76.871625441176477</c:v>
                </c:pt>
              </c:numCache>
            </c:numRef>
          </c:val>
        </c:ser>
        <c:ser>
          <c:idx val="7"/>
          <c:order val="10"/>
          <c:tx>
            <c:strRef>
              <c:f>SummaryEtMass!$A$23</c:f>
              <c:strCache>
                <c:ptCount val="1"/>
                <c:pt idx="0">
                  <c:v>Biorefinery Utilities</c:v>
                </c:pt>
              </c:strCache>
            </c:strRef>
          </c:tx>
          <c:spPr>
            <a:solidFill>
              <a:srgbClr val="FF6666"/>
            </a:solidFill>
            <a:ln>
              <a:solidFill>
                <a:sysClr val="windowText" lastClr="000000"/>
              </a:solidFill>
            </a:ln>
          </c:spPr>
          <c:invertIfNegative val="0"/>
          <c:val>
            <c:numRef>
              <c:f>(SummaryEtMass!$B$23,SummaryEtMass!$F$23)</c:f>
              <c:numCache>
                <c:formatCode>0</c:formatCode>
                <c:ptCount val="2"/>
                <c:pt idx="0">
                  <c:v>0</c:v>
                </c:pt>
                <c:pt idx="1">
                  <c:v>0.47476856470588247</c:v>
                </c:pt>
              </c:numCache>
            </c:numRef>
          </c:val>
        </c:ser>
        <c:ser>
          <c:idx val="11"/>
          <c:order val="11"/>
          <c:tx>
            <c:strRef>
              <c:f>SummaryEtMass!$A$24</c:f>
              <c:strCache>
                <c:ptCount val="1"/>
                <c:pt idx="0">
                  <c:v>Electricity Sales (Credit)</c:v>
                </c:pt>
              </c:strCache>
            </c:strRef>
          </c:tx>
          <c:spPr>
            <a:solidFill>
              <a:srgbClr val="00FF00"/>
            </a:solidFill>
            <a:ln>
              <a:solidFill>
                <a:schemeClr val="tx1"/>
              </a:solidFill>
            </a:ln>
          </c:spPr>
          <c:invertIfNegative val="0"/>
          <c:val>
            <c:numRef>
              <c:f>(SummaryEtMass!$B$24,SummaryEtMass!$F$24)</c:f>
              <c:numCache>
                <c:formatCode>0</c:formatCode>
                <c:ptCount val="2"/>
                <c:pt idx="0">
                  <c:v>0</c:v>
                </c:pt>
                <c:pt idx="1">
                  <c:v>-8.289537313773506</c:v>
                </c:pt>
              </c:numCache>
            </c:numRef>
          </c:val>
        </c:ser>
        <c:ser>
          <c:idx val="12"/>
          <c:order val="12"/>
          <c:tx>
            <c:strRef>
              <c:f>SummaryEtMass!$A$25</c:f>
              <c:strCache>
                <c:ptCount val="1"/>
                <c:pt idx="0">
                  <c:v>Biorefinery Plant</c:v>
                </c:pt>
              </c:strCache>
            </c:strRef>
          </c:tx>
          <c:spPr>
            <a:solidFill>
              <a:srgbClr val="00FFFF"/>
            </a:solidFill>
            <a:ln>
              <a:solidFill>
                <a:schemeClr val="tx1"/>
              </a:solidFill>
            </a:ln>
          </c:spPr>
          <c:invertIfNegative val="0"/>
          <c:val>
            <c:numRef>
              <c:f>(SummaryEtMass!$B$25,SummaryEtMass!$F$25)</c:f>
              <c:numCache>
                <c:formatCode>0</c:formatCode>
                <c:ptCount val="2"/>
                <c:pt idx="0">
                  <c:v>0</c:v>
                </c:pt>
                <c:pt idx="1">
                  <c:v>0</c:v>
                </c:pt>
              </c:numCache>
            </c:numRef>
          </c:val>
        </c:ser>
        <c:ser>
          <c:idx val="13"/>
          <c:order val="13"/>
          <c:tx>
            <c:strRef>
              <c:f>SummaryEtMass!$A$26</c:f>
              <c:strCache>
                <c:ptCount val="1"/>
                <c:pt idx="0">
                  <c:v>Transport to Distribution Point (Stage 1)</c:v>
                </c:pt>
              </c:strCache>
            </c:strRef>
          </c:tx>
          <c:spPr>
            <a:solidFill>
              <a:srgbClr val="FF33CC"/>
            </a:solidFill>
            <a:ln>
              <a:solidFill>
                <a:schemeClr val="tx1"/>
              </a:solidFill>
            </a:ln>
          </c:spPr>
          <c:invertIfNegative val="0"/>
          <c:val>
            <c:numRef>
              <c:f>(SummaryEtMass!$B$26,SummaryEtMass!$F$26)</c:f>
              <c:numCache>
                <c:formatCode>0</c:formatCode>
                <c:ptCount val="2"/>
                <c:pt idx="0">
                  <c:v>517.88672232212184</c:v>
                </c:pt>
                <c:pt idx="1">
                  <c:v>40.313499445117209</c:v>
                </c:pt>
              </c:numCache>
            </c:numRef>
          </c:val>
        </c:ser>
        <c:ser>
          <c:idx val="14"/>
          <c:order val="14"/>
          <c:tx>
            <c:strRef>
              <c:f>SummaryEtMass!$A$27</c:f>
              <c:strCache>
                <c:ptCount val="1"/>
                <c:pt idx="0">
                  <c:v>Transport to Distribution Point (Stage 2)</c:v>
                </c:pt>
              </c:strCache>
            </c:strRef>
          </c:tx>
          <c:spPr>
            <a:solidFill>
              <a:srgbClr val="7F7F7F"/>
            </a:solidFill>
            <a:ln>
              <a:solidFill>
                <a:schemeClr val="tx1"/>
              </a:solidFill>
            </a:ln>
          </c:spPr>
          <c:invertIfNegative val="0"/>
          <c:val>
            <c:numRef>
              <c:f>(SummaryEtMass!$B$27,SummaryEtMass!$F$27)</c:f>
              <c:numCache>
                <c:formatCode>0</c:formatCode>
                <c:ptCount val="2"/>
                <c:pt idx="0">
                  <c:v>0</c:v>
                </c:pt>
                <c:pt idx="1">
                  <c:v>0</c:v>
                </c:pt>
              </c:numCache>
            </c:numRef>
          </c:val>
        </c:ser>
        <c:ser>
          <c:idx val="15"/>
          <c:order val="15"/>
          <c:tx>
            <c:strRef>
              <c:f>SummaryEtMass!$A$28</c:f>
              <c:strCache>
                <c:ptCount val="1"/>
                <c:pt idx="0">
                  <c:v>Transport to Distribution Point (Stage 3)</c:v>
                </c:pt>
              </c:strCache>
            </c:strRef>
          </c:tx>
          <c:spPr>
            <a:solidFill>
              <a:srgbClr val="B6B6C8"/>
            </a:solidFill>
            <a:ln>
              <a:solidFill>
                <a:schemeClr val="tx1"/>
              </a:solidFill>
            </a:ln>
          </c:spPr>
          <c:invertIfNegative val="0"/>
          <c:val>
            <c:numRef>
              <c:f>(SummaryEtMass!$B$28,SummaryEtMass!$F$28)</c:f>
              <c:numCache>
                <c:formatCode>0</c:formatCode>
                <c:ptCount val="2"/>
                <c:pt idx="0">
                  <c:v>0</c:v>
                </c:pt>
                <c:pt idx="1">
                  <c:v>0</c:v>
                </c:pt>
              </c:numCache>
            </c:numRef>
          </c:val>
        </c:ser>
        <c:dLbls>
          <c:showLegendKey val="0"/>
          <c:showVal val="0"/>
          <c:showCatName val="0"/>
          <c:showSerName val="0"/>
          <c:showPercent val="0"/>
          <c:showBubbleSize val="0"/>
        </c:dLbls>
        <c:gapWidth val="75"/>
        <c:overlap val="100"/>
        <c:axId val="86162432"/>
        <c:axId val="86164224"/>
      </c:barChart>
      <c:catAx>
        <c:axId val="86162432"/>
        <c:scaling>
          <c:orientation val="minMax"/>
        </c:scaling>
        <c:delete val="0"/>
        <c:axPos val="l"/>
        <c:numFmt formatCode="General" sourceLinked="1"/>
        <c:majorTickMark val="none"/>
        <c:minorTickMark val="none"/>
        <c:tickLblPos val="nextTo"/>
        <c:crossAx val="86164224"/>
        <c:crosses val="autoZero"/>
        <c:auto val="1"/>
        <c:lblAlgn val="ctr"/>
        <c:lblOffset val="100"/>
        <c:noMultiLvlLbl val="0"/>
      </c:catAx>
      <c:valAx>
        <c:axId val="86164224"/>
        <c:scaling>
          <c:orientation val="minMax"/>
        </c:scaling>
        <c:delete val="0"/>
        <c:axPos val="b"/>
        <c:majorGridlines/>
        <c:numFmt formatCode="0%" sourceLinked="1"/>
        <c:majorTickMark val="none"/>
        <c:minorTickMark val="none"/>
        <c:tickLblPos val="nextTo"/>
        <c:spPr>
          <a:ln w="9525">
            <a:noFill/>
          </a:ln>
        </c:spPr>
        <c:crossAx val="86162432"/>
        <c:crosses val="autoZero"/>
        <c:crossBetween val="between"/>
      </c:valAx>
      <c:spPr>
        <a:ln>
          <a:solidFill>
            <a:schemeClr val="tx1"/>
          </a:solidFill>
        </a:ln>
      </c:spPr>
    </c:plotArea>
    <c:legend>
      <c:legendPos val="b"/>
      <c:layout>
        <c:manualLayout>
          <c:xMode val="edge"/>
          <c:yMode val="edge"/>
          <c:x val="1.3357212870924114E-2"/>
          <c:y val="0.6126978375490717"/>
          <c:w val="0.96869067748191628"/>
          <c:h val="0.37898578668461069"/>
        </c:manualLayout>
      </c:layout>
      <c:overlay val="0"/>
      <c:spPr>
        <a:ln>
          <a:solidFill>
            <a:sysClr val="windowText" lastClr="000000"/>
          </a:solidFill>
        </a:ln>
      </c:spPr>
    </c:legend>
    <c:plotVisOnly val="1"/>
    <c:dispBlanksAs val="gap"/>
    <c:showDLblsOverMax val="0"/>
  </c:chart>
  <c:printSettings>
    <c:headerFooter/>
    <c:pageMargins b="0.75000000000000322" l="0.70000000000000062" r="0.70000000000000062" t="0.75000000000000322"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b="1" i="0" baseline="0">
                <a:latin typeface="Arial" pitchFamily="34" charset="0"/>
                <a:cs typeface="Arial" pitchFamily="34" charset="0"/>
              </a:rPr>
              <a:t>Total Greenhouse Gas Emissions by Process Contribution</a:t>
            </a:r>
          </a:p>
        </c:rich>
      </c:tx>
      <c:overlay val="0"/>
    </c:title>
    <c:autoTitleDeleted val="0"/>
    <c:plotArea>
      <c:layout>
        <c:manualLayout>
          <c:layoutTarget val="inner"/>
          <c:xMode val="edge"/>
          <c:yMode val="edge"/>
          <c:x val="3.4589402772664611E-2"/>
          <c:y val="0.14314048581765207"/>
          <c:w val="0.94713196440116998"/>
          <c:h val="0.31091802713850153"/>
        </c:manualLayout>
      </c:layout>
      <c:barChart>
        <c:barDir val="bar"/>
        <c:grouping val="percentStacked"/>
        <c:varyColors val="0"/>
        <c:ser>
          <c:idx val="0"/>
          <c:order val="0"/>
          <c:tx>
            <c:strRef>
              <c:f>SummaryEtSubstitution!$A$13</c:f>
              <c:strCache>
                <c:ptCount val="1"/>
                <c:pt idx="0">
                  <c:v>Cultivation</c:v>
                </c:pt>
              </c:strCache>
            </c:strRef>
          </c:tx>
          <c:spPr>
            <a:solidFill>
              <a:srgbClr val="CC3300"/>
            </a:solidFill>
            <a:ln>
              <a:solidFill>
                <a:schemeClr val="tx1"/>
              </a:solidFill>
            </a:ln>
          </c:spPr>
          <c:invertIfNegative val="0"/>
          <c:cat>
            <c:strRef>
              <c:f>SummaryEtSubstitution!$F$11</c:f>
              <c:strCache>
                <c:ptCount val="1"/>
                <c:pt idx="0">
                  <c:v>Total Greenhouse Gas Emissions</c:v>
                </c:pt>
              </c:strCache>
            </c:strRef>
          </c:cat>
          <c:val>
            <c:numRef>
              <c:f>SummaryEtSubstitution!$F$13</c:f>
              <c:numCache>
                <c:formatCode>0</c:formatCode>
                <c:ptCount val="1"/>
                <c:pt idx="0">
                  <c:v>149.01731669390421</c:v>
                </c:pt>
              </c:numCache>
            </c:numRef>
          </c:val>
        </c:ser>
        <c:ser>
          <c:idx val="5"/>
          <c:order val="1"/>
          <c:tx>
            <c:strRef>
              <c:f>SummaryEtSubstitution!$A$14</c:f>
              <c:strCache>
                <c:ptCount val="1"/>
                <c:pt idx="0">
                  <c:v>Harvesting and Baling</c:v>
                </c:pt>
              </c:strCache>
            </c:strRef>
          </c:tx>
          <c:spPr>
            <a:ln>
              <a:solidFill>
                <a:schemeClr val="accent1"/>
              </a:solidFill>
            </a:ln>
          </c:spPr>
          <c:invertIfNegative val="0"/>
          <c:cat>
            <c:strRef>
              <c:f>SummaryEtSubstitution!$F$11</c:f>
              <c:strCache>
                <c:ptCount val="1"/>
                <c:pt idx="0">
                  <c:v>Total Greenhouse Gas Emissions</c:v>
                </c:pt>
              </c:strCache>
            </c:strRef>
          </c:cat>
          <c:val>
            <c:numRef>
              <c:f>SummaryEtSubstitution!$F$14</c:f>
              <c:numCache>
                <c:formatCode>0</c:formatCode>
                <c:ptCount val="1"/>
                <c:pt idx="0">
                  <c:v>28.741415322085793</c:v>
                </c:pt>
              </c:numCache>
            </c:numRef>
          </c:val>
        </c:ser>
        <c:ser>
          <c:idx val="4"/>
          <c:order val="2"/>
          <c:tx>
            <c:strRef>
              <c:f>SummaryEtSubstitution!$A$15</c:f>
              <c:strCache>
                <c:ptCount val="1"/>
                <c:pt idx="0">
                  <c:v>Transport to Plant (Stage 1)</c:v>
                </c:pt>
              </c:strCache>
            </c:strRef>
          </c:tx>
          <c:spPr>
            <a:solidFill>
              <a:srgbClr val="DDDDDD"/>
            </a:solidFill>
            <a:ln>
              <a:solidFill>
                <a:schemeClr val="tx1"/>
              </a:solidFill>
            </a:ln>
          </c:spPr>
          <c:invertIfNegative val="0"/>
          <c:cat>
            <c:strRef>
              <c:f>SummaryEtSubstitution!$F$11</c:f>
              <c:strCache>
                <c:ptCount val="1"/>
                <c:pt idx="0">
                  <c:v>Total Greenhouse Gas Emissions</c:v>
                </c:pt>
              </c:strCache>
            </c:strRef>
          </c:cat>
          <c:val>
            <c:numRef>
              <c:f>SummaryEtSubstitution!$F$15</c:f>
              <c:numCache>
                <c:formatCode>0</c:formatCode>
                <c:ptCount val="1"/>
                <c:pt idx="0">
                  <c:v>21.453080631205939</c:v>
                </c:pt>
              </c:numCache>
            </c:numRef>
          </c:val>
        </c:ser>
        <c:ser>
          <c:idx val="1"/>
          <c:order val="3"/>
          <c:tx>
            <c:strRef>
              <c:f>SummaryEtSubstitution!$A$16</c:f>
              <c:strCache>
                <c:ptCount val="1"/>
                <c:pt idx="0">
                  <c:v>Transport to Plant (Stage 2)</c:v>
                </c:pt>
              </c:strCache>
            </c:strRef>
          </c:tx>
          <c:spPr>
            <a:solidFill>
              <a:srgbClr val="000000"/>
            </a:solidFill>
            <a:ln>
              <a:solidFill>
                <a:schemeClr val="tx1"/>
              </a:solidFill>
            </a:ln>
          </c:spPr>
          <c:invertIfNegative val="0"/>
          <c:cat>
            <c:strRef>
              <c:f>SummaryEtSubstitution!$F$11</c:f>
              <c:strCache>
                <c:ptCount val="1"/>
                <c:pt idx="0">
                  <c:v>Total Greenhouse Gas Emissions</c:v>
                </c:pt>
              </c:strCache>
            </c:strRef>
          </c:cat>
          <c:val>
            <c:numRef>
              <c:f>SummaryEtSubstitution!$F$16</c:f>
              <c:numCache>
                <c:formatCode>0</c:formatCode>
                <c:ptCount val="1"/>
                <c:pt idx="0">
                  <c:v>0</c:v>
                </c:pt>
              </c:numCache>
            </c:numRef>
          </c:val>
        </c:ser>
        <c:ser>
          <c:idx val="2"/>
          <c:order val="4"/>
          <c:tx>
            <c:strRef>
              <c:f>SummaryEtSubstitution!$A$17</c:f>
              <c:strCache>
                <c:ptCount val="1"/>
                <c:pt idx="0">
                  <c:v>Biomass Milling</c:v>
                </c:pt>
              </c:strCache>
            </c:strRef>
          </c:tx>
          <c:spPr>
            <a:solidFill>
              <a:srgbClr val="FF0000"/>
            </a:solidFill>
            <a:ln>
              <a:solidFill>
                <a:schemeClr val="tx1"/>
              </a:solidFill>
            </a:ln>
          </c:spPr>
          <c:invertIfNegative val="0"/>
          <c:cat>
            <c:strRef>
              <c:f>SummaryEtSubstitution!$F$11</c:f>
              <c:strCache>
                <c:ptCount val="1"/>
                <c:pt idx="0">
                  <c:v>Total Greenhouse Gas Emissions</c:v>
                </c:pt>
              </c:strCache>
            </c:strRef>
          </c:cat>
          <c:val>
            <c:numRef>
              <c:f>SummaryEtSubstitution!$F$17</c:f>
              <c:numCache>
                <c:formatCode>0</c:formatCode>
                <c:ptCount val="1"/>
                <c:pt idx="0">
                  <c:v>0.25556250795873808</c:v>
                </c:pt>
              </c:numCache>
            </c:numRef>
          </c:val>
        </c:ser>
        <c:ser>
          <c:idx val="8"/>
          <c:order val="5"/>
          <c:tx>
            <c:strRef>
              <c:f>SummaryEtSubstitution!$A$18</c:f>
              <c:strCache>
                <c:ptCount val="1"/>
                <c:pt idx="0">
                  <c:v>Pre-Treatment, Enzyme Production and Enzymatic Hydrolysis</c:v>
                </c:pt>
              </c:strCache>
            </c:strRef>
          </c:tx>
          <c:spPr>
            <a:solidFill>
              <a:srgbClr val="99CC00"/>
            </a:solidFill>
            <a:ln>
              <a:solidFill>
                <a:schemeClr val="tx1"/>
              </a:solidFill>
            </a:ln>
          </c:spPr>
          <c:invertIfNegative val="0"/>
          <c:cat>
            <c:strRef>
              <c:f>SummaryEtSubstitution!$F$11</c:f>
              <c:strCache>
                <c:ptCount val="1"/>
                <c:pt idx="0">
                  <c:v>Total Greenhouse Gas Emissions</c:v>
                </c:pt>
              </c:strCache>
            </c:strRef>
          </c:cat>
          <c:val>
            <c:numRef>
              <c:f>SummaryEtSubstitution!$F$18</c:f>
              <c:numCache>
                <c:formatCode>0</c:formatCode>
                <c:ptCount val="1"/>
                <c:pt idx="0">
                  <c:v>579.07302355076104</c:v>
                </c:pt>
              </c:numCache>
            </c:numRef>
          </c:val>
        </c:ser>
        <c:ser>
          <c:idx val="6"/>
          <c:order val="6"/>
          <c:tx>
            <c:strRef>
              <c:f>SummaryEtSubstitution!$A$19</c:f>
              <c:strCache>
                <c:ptCount val="1"/>
                <c:pt idx="0">
                  <c:v>Fermentation</c:v>
                </c:pt>
              </c:strCache>
            </c:strRef>
          </c:tx>
          <c:spPr>
            <a:solidFill>
              <a:srgbClr val="FF3300"/>
            </a:solidFill>
            <a:ln>
              <a:solidFill>
                <a:schemeClr val="tx1"/>
              </a:solidFill>
            </a:ln>
          </c:spPr>
          <c:invertIfNegative val="0"/>
          <c:cat>
            <c:strRef>
              <c:f>SummaryEtSubstitution!$F$11</c:f>
              <c:strCache>
                <c:ptCount val="1"/>
                <c:pt idx="0">
                  <c:v>Total Greenhouse Gas Emissions</c:v>
                </c:pt>
              </c:strCache>
            </c:strRef>
          </c:cat>
          <c:val>
            <c:numRef>
              <c:f>SummaryEtSubstitution!$F$19</c:f>
              <c:numCache>
                <c:formatCode>0</c:formatCode>
                <c:ptCount val="1"/>
                <c:pt idx="0">
                  <c:v>3.78804705882353E-2</c:v>
                </c:pt>
              </c:numCache>
            </c:numRef>
          </c:val>
        </c:ser>
        <c:ser>
          <c:idx val="7"/>
          <c:order val="7"/>
          <c:tx>
            <c:strRef>
              <c:f>SummaryEtSubstitution!$A$20</c:f>
              <c:strCache>
                <c:ptCount val="1"/>
                <c:pt idx="0">
                  <c:v>Ethanol Recovery</c:v>
                </c:pt>
              </c:strCache>
            </c:strRef>
          </c:tx>
          <c:spPr>
            <a:solidFill>
              <a:srgbClr val="FFFF00"/>
            </a:solidFill>
            <a:ln>
              <a:solidFill>
                <a:schemeClr val="tx1"/>
              </a:solidFill>
            </a:ln>
          </c:spPr>
          <c:invertIfNegative val="0"/>
          <c:cat>
            <c:strRef>
              <c:f>SummaryEtSubstitution!$F$11</c:f>
              <c:strCache>
                <c:ptCount val="1"/>
                <c:pt idx="0">
                  <c:v>Total Greenhouse Gas Emissions</c:v>
                </c:pt>
              </c:strCache>
            </c:strRef>
          </c:cat>
          <c:val>
            <c:numRef>
              <c:f>SummaryEtSubstitution!$F$20</c:f>
              <c:numCache>
                <c:formatCode>0</c:formatCode>
                <c:ptCount val="1"/>
                <c:pt idx="0">
                  <c:v>3.5552400000000004</c:v>
                </c:pt>
              </c:numCache>
            </c:numRef>
          </c:val>
        </c:ser>
        <c:ser>
          <c:idx val="9"/>
          <c:order val="8"/>
          <c:tx>
            <c:strRef>
              <c:f>SummaryEtSubstitution!$A$21</c:f>
              <c:strCache>
                <c:ptCount val="1"/>
                <c:pt idx="0">
                  <c:v>Waste Solids Pressure Filtration</c:v>
                </c:pt>
              </c:strCache>
            </c:strRef>
          </c:tx>
          <c:spPr>
            <a:solidFill>
              <a:srgbClr val="00FF00"/>
            </a:solidFill>
            <a:ln>
              <a:solidFill>
                <a:schemeClr val="tx1"/>
              </a:solidFill>
            </a:ln>
          </c:spPr>
          <c:invertIfNegative val="0"/>
          <c:cat>
            <c:strRef>
              <c:f>SummaryEtSubstitution!$F$11</c:f>
              <c:strCache>
                <c:ptCount val="1"/>
                <c:pt idx="0">
                  <c:v>Total Greenhouse Gas Emissions</c:v>
                </c:pt>
              </c:strCache>
            </c:strRef>
          </c:cat>
          <c:val>
            <c:numRef>
              <c:f>SummaryEtSubstitution!$F$21</c:f>
              <c:numCache>
                <c:formatCode>0</c:formatCode>
                <c:ptCount val="1"/>
                <c:pt idx="0">
                  <c:v>0.28153929141204587</c:v>
                </c:pt>
              </c:numCache>
            </c:numRef>
          </c:val>
        </c:ser>
        <c:ser>
          <c:idx val="10"/>
          <c:order val="9"/>
          <c:tx>
            <c:strRef>
              <c:f>SummaryEtSubstitution!$A$22</c:f>
              <c:strCache>
                <c:ptCount val="1"/>
                <c:pt idx="0">
                  <c:v>Waste Water Treatment (AD)</c:v>
                </c:pt>
              </c:strCache>
            </c:strRef>
          </c:tx>
          <c:spPr>
            <a:solidFill>
              <a:srgbClr val="006600"/>
            </a:solidFill>
            <a:ln>
              <a:solidFill>
                <a:schemeClr val="tx1"/>
              </a:solidFill>
            </a:ln>
          </c:spPr>
          <c:invertIfNegative val="0"/>
          <c:cat>
            <c:strRef>
              <c:f>SummaryEtSubstitution!$F$11</c:f>
              <c:strCache>
                <c:ptCount val="1"/>
                <c:pt idx="0">
                  <c:v>Total Greenhouse Gas Emissions</c:v>
                </c:pt>
              </c:strCache>
            </c:strRef>
          </c:cat>
          <c:val>
            <c:numRef>
              <c:f>SummaryEtSubstitution!$F$22</c:f>
              <c:numCache>
                <c:formatCode>0</c:formatCode>
                <c:ptCount val="1"/>
                <c:pt idx="0">
                  <c:v>76.871625441176477</c:v>
                </c:pt>
              </c:numCache>
            </c:numRef>
          </c:val>
        </c:ser>
        <c:ser>
          <c:idx val="3"/>
          <c:order val="10"/>
          <c:tx>
            <c:strRef>
              <c:f>SummaryEtSubstitution!$A$23</c:f>
              <c:strCache>
                <c:ptCount val="1"/>
                <c:pt idx="0">
                  <c:v>Biorefinery Utilities</c:v>
                </c:pt>
              </c:strCache>
            </c:strRef>
          </c:tx>
          <c:spPr>
            <a:solidFill>
              <a:srgbClr val="FF6666"/>
            </a:solidFill>
            <a:ln>
              <a:solidFill>
                <a:sysClr val="windowText" lastClr="000000"/>
              </a:solidFill>
            </a:ln>
          </c:spPr>
          <c:invertIfNegative val="0"/>
          <c:val>
            <c:numRef>
              <c:f>SummaryEtSubstitution!$F$23</c:f>
              <c:numCache>
                <c:formatCode>0</c:formatCode>
                <c:ptCount val="1"/>
                <c:pt idx="0">
                  <c:v>0.47476856470588247</c:v>
                </c:pt>
              </c:numCache>
            </c:numRef>
          </c:val>
        </c:ser>
        <c:ser>
          <c:idx val="12"/>
          <c:order val="11"/>
          <c:tx>
            <c:strRef>
              <c:f>SummaryEtSubstitution!$A$24</c:f>
              <c:strCache>
                <c:ptCount val="1"/>
                <c:pt idx="0">
                  <c:v>Electricity Sales (Credit)</c:v>
                </c:pt>
              </c:strCache>
            </c:strRef>
          </c:tx>
          <c:spPr>
            <a:solidFill>
              <a:srgbClr val="0033CC"/>
            </a:solidFill>
            <a:ln>
              <a:solidFill>
                <a:schemeClr val="tx1"/>
              </a:solidFill>
            </a:ln>
          </c:spPr>
          <c:invertIfNegative val="0"/>
          <c:cat>
            <c:strRef>
              <c:f>SummaryEtSubstitution!$F$11</c:f>
              <c:strCache>
                <c:ptCount val="1"/>
                <c:pt idx="0">
                  <c:v>Total Greenhouse Gas Emissions</c:v>
                </c:pt>
              </c:strCache>
            </c:strRef>
          </c:cat>
          <c:val>
            <c:numRef>
              <c:f>SummaryEtSubstitution!$F$24</c:f>
              <c:numCache>
                <c:formatCode>0</c:formatCode>
                <c:ptCount val="1"/>
                <c:pt idx="0">
                  <c:v>-8.289537313773506</c:v>
                </c:pt>
              </c:numCache>
            </c:numRef>
          </c:val>
        </c:ser>
        <c:ser>
          <c:idx val="11"/>
          <c:order val="12"/>
          <c:tx>
            <c:strRef>
              <c:f>SummaryEtSubstitution!$A$25</c:f>
              <c:strCache>
                <c:ptCount val="1"/>
                <c:pt idx="0">
                  <c:v>Co-Product Substitution Credits</c:v>
                </c:pt>
              </c:strCache>
            </c:strRef>
          </c:tx>
          <c:spPr>
            <a:solidFill>
              <a:srgbClr val="996633"/>
            </a:solidFill>
            <a:ln>
              <a:solidFill>
                <a:schemeClr val="tx1"/>
              </a:solidFill>
            </a:ln>
          </c:spPr>
          <c:invertIfNegative val="0"/>
          <c:cat>
            <c:strRef>
              <c:f>SummaryEtSubstitution!$F$11</c:f>
              <c:strCache>
                <c:ptCount val="1"/>
                <c:pt idx="0">
                  <c:v>Total Greenhouse Gas Emissions</c:v>
                </c:pt>
              </c:strCache>
            </c:strRef>
          </c:cat>
          <c:val>
            <c:numRef>
              <c:f>SummaryEtSubstitution!$F$25</c:f>
              <c:numCache>
                <c:formatCode>0</c:formatCode>
                <c:ptCount val="1"/>
                <c:pt idx="0">
                  <c:v>0</c:v>
                </c:pt>
              </c:numCache>
            </c:numRef>
          </c:val>
        </c:ser>
        <c:ser>
          <c:idx val="13"/>
          <c:order val="13"/>
          <c:tx>
            <c:strRef>
              <c:f>SummaryEtSubstitution!$A$26</c:f>
              <c:strCache>
                <c:ptCount val="1"/>
                <c:pt idx="0">
                  <c:v>Biorefinery Plant</c:v>
                </c:pt>
              </c:strCache>
            </c:strRef>
          </c:tx>
          <c:spPr>
            <a:solidFill>
              <a:schemeClr val="bg1">
                <a:lumMod val="85000"/>
              </a:schemeClr>
            </a:solidFill>
            <a:ln>
              <a:solidFill>
                <a:schemeClr val="tx1"/>
              </a:solidFill>
            </a:ln>
          </c:spPr>
          <c:invertIfNegative val="0"/>
          <c:cat>
            <c:strRef>
              <c:f>SummaryEtSubstitution!$F$11</c:f>
              <c:strCache>
                <c:ptCount val="1"/>
                <c:pt idx="0">
                  <c:v>Total Greenhouse Gas Emissions</c:v>
                </c:pt>
              </c:strCache>
            </c:strRef>
          </c:cat>
          <c:val>
            <c:numRef>
              <c:f>SummaryEtSubstitution!$F$26</c:f>
              <c:numCache>
                <c:formatCode>0</c:formatCode>
                <c:ptCount val="1"/>
                <c:pt idx="0">
                  <c:v>0</c:v>
                </c:pt>
              </c:numCache>
            </c:numRef>
          </c:val>
        </c:ser>
        <c:ser>
          <c:idx val="14"/>
          <c:order val="14"/>
          <c:tx>
            <c:strRef>
              <c:f>SummaryEtSubstitution!$A$27</c:f>
              <c:strCache>
                <c:ptCount val="1"/>
                <c:pt idx="0">
                  <c:v>Transport to Distribution Point (Stage 1)</c:v>
                </c:pt>
              </c:strCache>
            </c:strRef>
          </c:tx>
          <c:spPr>
            <a:solidFill>
              <a:srgbClr val="666699"/>
            </a:solidFill>
            <a:ln>
              <a:solidFill>
                <a:schemeClr val="tx1"/>
              </a:solidFill>
            </a:ln>
          </c:spPr>
          <c:invertIfNegative val="0"/>
          <c:cat>
            <c:strRef>
              <c:f>SummaryEtSubstitution!$F$11</c:f>
              <c:strCache>
                <c:ptCount val="1"/>
                <c:pt idx="0">
                  <c:v>Total Greenhouse Gas Emissions</c:v>
                </c:pt>
              </c:strCache>
            </c:strRef>
          </c:cat>
          <c:val>
            <c:numRef>
              <c:f>SummaryEtSubstitution!$F$27</c:f>
              <c:numCache>
                <c:formatCode>0</c:formatCode>
                <c:ptCount val="1"/>
                <c:pt idx="0">
                  <c:v>40.313499445117209</c:v>
                </c:pt>
              </c:numCache>
            </c:numRef>
          </c:val>
        </c:ser>
        <c:ser>
          <c:idx val="15"/>
          <c:order val="15"/>
          <c:tx>
            <c:strRef>
              <c:f>SummaryEtSubstitution!$A$28</c:f>
              <c:strCache>
                <c:ptCount val="1"/>
                <c:pt idx="0">
                  <c:v>Transport to Distribution Point (Stage 2)</c:v>
                </c:pt>
              </c:strCache>
            </c:strRef>
          </c:tx>
          <c:spPr>
            <a:solidFill>
              <a:srgbClr val="9900FF"/>
            </a:solidFill>
            <a:ln>
              <a:solidFill>
                <a:schemeClr val="tx1"/>
              </a:solidFill>
            </a:ln>
          </c:spPr>
          <c:invertIfNegative val="0"/>
          <c:cat>
            <c:strRef>
              <c:f>SummaryEtSubstitution!$F$11</c:f>
              <c:strCache>
                <c:ptCount val="1"/>
                <c:pt idx="0">
                  <c:v>Total Greenhouse Gas Emissions</c:v>
                </c:pt>
              </c:strCache>
            </c:strRef>
          </c:cat>
          <c:val>
            <c:numRef>
              <c:f>SummaryEtSubstitution!$F$28</c:f>
              <c:numCache>
                <c:formatCode>0</c:formatCode>
                <c:ptCount val="1"/>
                <c:pt idx="0">
                  <c:v>0</c:v>
                </c:pt>
              </c:numCache>
            </c:numRef>
          </c:val>
        </c:ser>
        <c:ser>
          <c:idx val="16"/>
          <c:order val="16"/>
          <c:tx>
            <c:strRef>
              <c:f>SummaryEtSubstitution!$A$29</c:f>
              <c:strCache>
                <c:ptCount val="1"/>
                <c:pt idx="0">
                  <c:v>Transport to Distribution Point (Stage 3)</c:v>
                </c:pt>
              </c:strCache>
            </c:strRef>
          </c:tx>
          <c:spPr>
            <a:solidFill>
              <a:srgbClr val="660066"/>
            </a:solidFill>
            <a:ln>
              <a:solidFill>
                <a:schemeClr val="tx1"/>
              </a:solidFill>
            </a:ln>
          </c:spPr>
          <c:invertIfNegative val="0"/>
          <c:cat>
            <c:strRef>
              <c:f>SummaryEtSubstitution!$F$11</c:f>
              <c:strCache>
                <c:ptCount val="1"/>
                <c:pt idx="0">
                  <c:v>Total Greenhouse Gas Emissions</c:v>
                </c:pt>
              </c:strCache>
            </c:strRef>
          </c:cat>
          <c:val>
            <c:numRef>
              <c:f>SummaryEtSubstitution!$F$29</c:f>
              <c:numCache>
                <c:formatCode>0</c:formatCode>
                <c:ptCount val="1"/>
                <c:pt idx="0">
                  <c:v>0</c:v>
                </c:pt>
              </c:numCache>
            </c:numRef>
          </c:val>
        </c:ser>
        <c:dLbls>
          <c:showLegendKey val="0"/>
          <c:showVal val="0"/>
          <c:showCatName val="0"/>
          <c:showSerName val="0"/>
          <c:showPercent val="0"/>
          <c:showBubbleSize val="0"/>
        </c:dLbls>
        <c:gapWidth val="75"/>
        <c:overlap val="100"/>
        <c:axId val="86452096"/>
        <c:axId val="86453632"/>
      </c:barChart>
      <c:catAx>
        <c:axId val="86452096"/>
        <c:scaling>
          <c:orientation val="minMax"/>
        </c:scaling>
        <c:delete val="1"/>
        <c:axPos val="l"/>
        <c:numFmt formatCode="General" sourceLinked="1"/>
        <c:majorTickMark val="none"/>
        <c:minorTickMark val="none"/>
        <c:tickLblPos val="none"/>
        <c:crossAx val="86453632"/>
        <c:crosses val="autoZero"/>
        <c:auto val="1"/>
        <c:lblAlgn val="ctr"/>
        <c:lblOffset val="100"/>
        <c:noMultiLvlLbl val="0"/>
      </c:catAx>
      <c:valAx>
        <c:axId val="86453632"/>
        <c:scaling>
          <c:orientation val="minMax"/>
        </c:scaling>
        <c:delete val="0"/>
        <c:axPos val="b"/>
        <c:majorGridlines/>
        <c:numFmt formatCode="0%" sourceLinked="1"/>
        <c:majorTickMark val="none"/>
        <c:minorTickMark val="none"/>
        <c:tickLblPos val="nextTo"/>
        <c:spPr>
          <a:ln w="9525">
            <a:noFill/>
          </a:ln>
        </c:spPr>
        <c:crossAx val="86452096"/>
        <c:crosses val="autoZero"/>
        <c:crossBetween val="between"/>
      </c:valAx>
      <c:spPr>
        <a:ln>
          <a:solidFill>
            <a:schemeClr val="tx1"/>
          </a:solidFill>
        </a:ln>
      </c:spPr>
    </c:plotArea>
    <c:legend>
      <c:legendPos val="b"/>
      <c:layout>
        <c:manualLayout>
          <c:xMode val="edge"/>
          <c:yMode val="edge"/>
          <c:x val="1.3374654057984553E-2"/>
          <c:y val="0.6190605903991766"/>
          <c:w val="0.95853239609416652"/>
          <c:h val="0.38093950167586405"/>
        </c:manualLayout>
      </c:layout>
      <c:overlay val="0"/>
    </c:legend>
    <c:plotVisOnly val="1"/>
    <c:dispBlanksAs val="gap"/>
    <c:showDLblsOverMax val="0"/>
  </c:chart>
  <c:printSettings>
    <c:headerFooter/>
    <c:pageMargins b="0.750000000000003" l="0.70000000000000062" r="0.70000000000000062" t="0.750000000000003"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245110</xdr:colOff>
      <xdr:row>21</xdr:row>
      <xdr:rowOff>64770</xdr:rowOff>
    </xdr:to>
    <xdr:pic>
      <xdr:nvPicPr>
        <xdr:cNvPr id="2" name="Picture 1" descr="http://www.york.ac.uk/org/cnap/SUNLIBB/members/downloads/SUNLIBB_logo%20RGB%20300dpi.jpg"/>
        <xdr:cNvPicPr/>
      </xdr:nvPicPr>
      <xdr:blipFill>
        <a:blip xmlns:r="http://schemas.openxmlformats.org/officeDocument/2006/relationships" r:embed="rId1" cstate="print"/>
        <a:srcRect/>
        <a:stretch>
          <a:fillRect/>
        </a:stretch>
      </xdr:blipFill>
      <xdr:spPr bwMode="auto">
        <a:xfrm>
          <a:off x="0" y="0"/>
          <a:ext cx="5731510" cy="346519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638176</xdr:colOff>
      <xdr:row>30</xdr:row>
      <xdr:rowOff>114300</xdr:rowOff>
    </xdr:from>
    <xdr:to>
      <xdr:col>5</xdr:col>
      <xdr:colOff>1657351</xdr:colOff>
      <xdr:row>49</xdr:row>
      <xdr:rowOff>19050</xdr:rowOff>
    </xdr:to>
    <xdr:graphicFrame macro="">
      <xdr:nvGraphicFramePr>
        <xdr:cNvPr id="97387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685801</xdr:colOff>
      <xdr:row>30</xdr:row>
      <xdr:rowOff>19050</xdr:rowOff>
    </xdr:from>
    <xdr:to>
      <xdr:col>5</xdr:col>
      <xdr:colOff>1647826</xdr:colOff>
      <xdr:row>47</xdr:row>
      <xdr:rowOff>114300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628650</xdr:colOff>
      <xdr:row>30</xdr:row>
      <xdr:rowOff>19049</xdr:rowOff>
    </xdr:from>
    <xdr:to>
      <xdr:col>6</xdr:col>
      <xdr:colOff>104776</xdr:colOff>
      <xdr:row>51</xdr:row>
      <xdr:rowOff>85725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847725</xdr:colOff>
      <xdr:row>31</xdr:row>
      <xdr:rowOff>19049</xdr:rowOff>
    </xdr:from>
    <xdr:to>
      <xdr:col>5</xdr:col>
      <xdr:colOff>1647825</xdr:colOff>
      <xdr:row>52</xdr:row>
      <xdr:rowOff>57149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Metro">
  <a:themeElements>
    <a:clrScheme name="Custom 1">
      <a:dk1>
        <a:sysClr val="windowText" lastClr="000000"/>
      </a:dk1>
      <a:lt1>
        <a:sysClr val="window" lastClr="FFFFFF"/>
      </a:lt1>
      <a:dk2>
        <a:srgbClr val="4E5B6F"/>
      </a:dk2>
      <a:lt2>
        <a:srgbClr val="D6ECFF"/>
      </a:lt2>
      <a:accent1>
        <a:srgbClr val="336600"/>
      </a:accent1>
      <a:accent2>
        <a:srgbClr val="78AF1E"/>
      </a:accent2>
      <a:accent3>
        <a:srgbClr val="000000"/>
      </a:accent3>
      <a:accent4>
        <a:srgbClr val="606060"/>
      </a:accent4>
      <a:accent5>
        <a:srgbClr val="641E1E"/>
      </a:accent5>
      <a:accent6>
        <a:srgbClr val="FFFFCC"/>
      </a:accent6>
      <a:hlink>
        <a:srgbClr val="EB8803"/>
      </a:hlink>
      <a:folHlink>
        <a:srgbClr val="5F7791"/>
      </a:folHlink>
    </a:clrScheme>
    <a:fontScheme name="Custom 1">
      <a:majorFont>
        <a:latin typeface="Trebuchet MS"/>
        <a:ea typeface=""/>
        <a:cs typeface=""/>
      </a:majorFont>
      <a:minorFont>
        <a:latin typeface="Trebuchet MS"/>
        <a:ea typeface=""/>
        <a:cs typeface=""/>
      </a:minorFont>
    </a:fontScheme>
    <a:fmtScheme name="Metro">
      <a:fillStyleLst>
        <a:solidFill>
          <a:schemeClr val="phClr"/>
        </a:solidFill>
        <a:gradFill rotWithShape="1">
          <a:gsLst>
            <a:gs pos="0">
              <a:schemeClr val="phClr">
                <a:tint val="25000"/>
                <a:satMod val="125000"/>
              </a:schemeClr>
            </a:gs>
            <a:gs pos="40000">
              <a:schemeClr val="phClr">
                <a:tint val="55000"/>
                <a:satMod val="130000"/>
              </a:schemeClr>
            </a:gs>
            <a:gs pos="50000">
              <a:schemeClr val="phClr">
                <a:tint val="59000"/>
                <a:satMod val="130000"/>
              </a:schemeClr>
            </a:gs>
            <a:gs pos="65000">
              <a:schemeClr val="phClr">
                <a:tint val="55000"/>
                <a:satMod val="130000"/>
              </a:schemeClr>
            </a:gs>
            <a:gs pos="100000">
              <a:schemeClr val="phClr">
                <a:tint val="20000"/>
                <a:satMod val="125000"/>
              </a:schemeClr>
            </a:gs>
          </a:gsLst>
          <a:lin ang="5400000" scaled="0"/>
        </a:gradFill>
        <a:gradFill rotWithShape="1">
          <a:gsLst>
            <a:gs pos="0">
              <a:schemeClr val="phClr">
                <a:tint val="48000"/>
                <a:satMod val="138000"/>
              </a:schemeClr>
            </a:gs>
            <a:gs pos="25000">
              <a:schemeClr val="phClr">
                <a:tint val="85000"/>
              </a:schemeClr>
            </a:gs>
            <a:gs pos="40000">
              <a:schemeClr val="phClr">
                <a:tint val="92000"/>
              </a:schemeClr>
            </a:gs>
            <a:gs pos="50000">
              <a:schemeClr val="phClr">
                <a:tint val="93000"/>
              </a:schemeClr>
            </a:gs>
            <a:gs pos="60000">
              <a:schemeClr val="phClr">
                <a:tint val="92000"/>
              </a:schemeClr>
            </a:gs>
            <a:gs pos="75000">
              <a:schemeClr val="phClr">
                <a:tint val="83000"/>
                <a:satMod val="108000"/>
              </a:schemeClr>
            </a:gs>
            <a:gs pos="100000">
              <a:schemeClr val="phClr">
                <a:tint val="48000"/>
                <a:satMod val="150000"/>
              </a:schemeClr>
            </a:gs>
          </a:gsLst>
          <a:lin ang="5400000" scaled="0"/>
        </a:gradFill>
      </a:fillStyleLst>
      <a:lnStyleLst>
        <a:ln w="12000" cap="flat" cmpd="sng" algn="ctr">
          <a:solidFill>
            <a:schemeClr val="phClr"/>
          </a:solidFill>
          <a:prstDash val="solid"/>
        </a:ln>
        <a:ln w="19050" cap="flat" cmpd="sng" algn="ctr">
          <a:solidFill>
            <a:schemeClr val="phClr"/>
          </a:solidFill>
          <a:prstDash val="solid"/>
        </a:ln>
        <a:ln w="38100" cap="flat" cmpd="sng" algn="ctr">
          <a:solidFill>
            <a:schemeClr val="phClr"/>
          </a:solidFill>
          <a:prstDash val="solid"/>
        </a:ln>
      </a:lnStyleLst>
      <a:effectStyleLst>
        <a:effectStyle>
          <a:effectLst>
            <a:glow rad="63500">
              <a:schemeClr val="phClr">
                <a:alpha val="45000"/>
                <a:satMod val="120000"/>
              </a:schemeClr>
            </a:glow>
          </a:effectLst>
        </a:effectStyle>
        <a:effectStyle>
          <a:effectLst>
            <a:glow rad="63500">
              <a:schemeClr val="phClr">
                <a:alpha val="45000"/>
                <a:satMod val="120000"/>
              </a:schemeClr>
            </a:glow>
          </a:effectLst>
          <a:scene3d>
            <a:camera prst="orthographicFront" fov="0">
              <a:rot lat="0" lon="0" rev="0"/>
            </a:camera>
            <a:lightRig rig="brightRoom" dir="tl">
              <a:rot lat="0" lon="0" rev="8700000"/>
            </a:lightRig>
          </a:scene3d>
          <a:sp3d>
            <a:bevelT w="0" h="0"/>
            <a:contourClr>
              <a:schemeClr val="phClr">
                <a:tint val="70000"/>
              </a:schemeClr>
            </a:contourClr>
          </a:sp3d>
        </a:effectStyle>
        <a:effectStyle>
          <a:effectLst>
            <a:glow rad="101500">
              <a:schemeClr val="phClr">
                <a:alpha val="42000"/>
                <a:satMod val="120000"/>
              </a:schemeClr>
            </a:glow>
          </a:effectLst>
          <a:scene3d>
            <a:camera prst="orthographicFront" fov="0">
              <a:rot lat="0" lon="0" rev="0"/>
            </a:camera>
            <a:lightRig rig="glow" dir="t">
              <a:rot lat="0" lon="0" rev="4800000"/>
            </a:lightRig>
          </a:scene3d>
          <a:sp3d prstMaterial="powder">
            <a:bevelT w="50800" h="50800"/>
            <a:contourClr>
              <a:schemeClr val="phClr"/>
            </a:contourClr>
          </a:sp3d>
        </a:effectStyle>
      </a:effectStyleLst>
      <a:bgFillStyleLst>
        <a:solidFill>
          <a:schemeClr val="phClr"/>
        </a:solidFill>
        <a:gradFill rotWithShape="1">
          <a:gsLst>
            <a:gs pos="0">
              <a:schemeClr val="bg1">
                <a:shade val="100000"/>
                <a:satMod val="150000"/>
              </a:schemeClr>
            </a:gs>
            <a:gs pos="65000">
              <a:schemeClr val="bg1">
                <a:shade val="90000"/>
                <a:satMod val="375000"/>
              </a:schemeClr>
            </a:gs>
            <a:gs pos="100000">
              <a:schemeClr val="phClr">
                <a:tint val="88000"/>
                <a:satMod val="400000"/>
              </a:schemeClr>
            </a:gs>
          </a:gsLst>
          <a:lin ang="5400000" scaled="0"/>
        </a:gradFill>
        <a:blipFill>
          <a:blip xmlns:r="http://schemas.openxmlformats.org/officeDocument/2006/relationships" r:embed="rId1">
            <a:duotone>
              <a:schemeClr val="phClr">
                <a:shade val="40000"/>
                <a:satMod val="180000"/>
              </a:schemeClr>
              <a:schemeClr val="phClr">
                <a:tint val="90000"/>
                <a:satMod val="200000"/>
              </a:schemeClr>
            </a:duotone>
          </a:blip>
          <a:tile tx="0" ty="0" sx="80000" sy="80000" flip="none" algn="tl"/>
        </a:blipFill>
      </a:bgFillStyleLst>
    </a:fmtScheme>
  </a:themeElements>
  <a:objectDefaults/>
  <a:extraClrSchemeLst/>
</a:theme>
</file>

<file path=xl/theme/themeOverride1.xml><?xml version="1.0" encoding="utf-8"?>
<a:themeOverride xmlns:a="http://schemas.openxmlformats.org/drawingml/2006/main">
  <a:clrScheme name="Custom 1">
    <a:dk1>
      <a:sysClr val="windowText" lastClr="000000"/>
    </a:dk1>
    <a:lt1>
      <a:sysClr val="window" lastClr="FFFFFF"/>
    </a:lt1>
    <a:dk2>
      <a:srgbClr val="4E5B6F"/>
    </a:dk2>
    <a:lt2>
      <a:srgbClr val="D6ECFF"/>
    </a:lt2>
    <a:accent1>
      <a:srgbClr val="336600"/>
    </a:accent1>
    <a:accent2>
      <a:srgbClr val="78AF1E"/>
    </a:accent2>
    <a:accent3>
      <a:srgbClr val="000000"/>
    </a:accent3>
    <a:accent4>
      <a:srgbClr val="606060"/>
    </a:accent4>
    <a:accent5>
      <a:srgbClr val="641E1E"/>
    </a:accent5>
    <a:accent6>
      <a:srgbClr val="FFFFCC"/>
    </a:accent6>
    <a:hlink>
      <a:srgbClr val="EB8803"/>
    </a:hlink>
    <a:folHlink>
      <a:srgbClr val="5F7791"/>
    </a:folHlink>
  </a:clrScheme>
  <a:fontScheme name="Custom 1">
    <a:majorFont>
      <a:latin typeface="Trebuchet MS"/>
      <a:ea typeface=""/>
      <a:cs typeface=""/>
    </a:majorFont>
    <a:minorFont>
      <a:latin typeface="Trebuchet MS"/>
      <a:ea typeface=""/>
      <a:cs typeface=""/>
    </a:minorFont>
  </a:fontScheme>
  <a:fmtScheme name="Metro">
    <a:fillStyleLst>
      <a:solidFill>
        <a:schemeClr val="phClr"/>
      </a:solidFill>
      <a:gradFill rotWithShape="1">
        <a:gsLst>
          <a:gs pos="0">
            <a:schemeClr val="phClr">
              <a:tint val="25000"/>
              <a:satMod val="125000"/>
            </a:schemeClr>
          </a:gs>
          <a:gs pos="40000">
            <a:schemeClr val="phClr">
              <a:tint val="55000"/>
              <a:satMod val="130000"/>
            </a:schemeClr>
          </a:gs>
          <a:gs pos="50000">
            <a:schemeClr val="phClr">
              <a:tint val="59000"/>
              <a:satMod val="130000"/>
            </a:schemeClr>
          </a:gs>
          <a:gs pos="65000">
            <a:schemeClr val="phClr">
              <a:tint val="55000"/>
              <a:satMod val="130000"/>
            </a:schemeClr>
          </a:gs>
          <a:gs pos="100000">
            <a:schemeClr val="phClr">
              <a:tint val="20000"/>
              <a:satMod val="125000"/>
            </a:schemeClr>
          </a:gs>
        </a:gsLst>
        <a:lin ang="5400000" scaled="0"/>
      </a:gradFill>
      <a:gradFill rotWithShape="1">
        <a:gsLst>
          <a:gs pos="0">
            <a:schemeClr val="phClr">
              <a:tint val="48000"/>
              <a:satMod val="138000"/>
            </a:schemeClr>
          </a:gs>
          <a:gs pos="25000">
            <a:schemeClr val="phClr">
              <a:tint val="85000"/>
            </a:schemeClr>
          </a:gs>
          <a:gs pos="40000">
            <a:schemeClr val="phClr">
              <a:tint val="92000"/>
            </a:schemeClr>
          </a:gs>
          <a:gs pos="50000">
            <a:schemeClr val="phClr">
              <a:tint val="93000"/>
            </a:schemeClr>
          </a:gs>
          <a:gs pos="60000">
            <a:schemeClr val="phClr">
              <a:tint val="92000"/>
            </a:schemeClr>
          </a:gs>
          <a:gs pos="75000">
            <a:schemeClr val="phClr">
              <a:tint val="83000"/>
              <a:satMod val="108000"/>
            </a:schemeClr>
          </a:gs>
          <a:gs pos="100000">
            <a:schemeClr val="phClr">
              <a:tint val="48000"/>
              <a:satMod val="150000"/>
            </a:schemeClr>
          </a:gs>
        </a:gsLst>
        <a:lin ang="5400000" scaled="0"/>
      </a:gradFill>
    </a:fillStyleLst>
    <a:lnStyleLst>
      <a:ln w="12000" cap="flat" cmpd="sng" algn="ctr">
        <a:solidFill>
          <a:schemeClr val="phClr"/>
        </a:solidFill>
        <a:prstDash val="solid"/>
      </a:ln>
      <a:ln w="19050" cap="flat" cmpd="sng" algn="ctr">
        <a:solidFill>
          <a:schemeClr val="phClr"/>
        </a:solidFill>
        <a:prstDash val="solid"/>
      </a:ln>
      <a:ln w="38100" cap="flat" cmpd="sng" algn="ctr">
        <a:solidFill>
          <a:schemeClr val="phClr"/>
        </a:solidFill>
        <a:prstDash val="solid"/>
      </a:ln>
    </a:lnStyleLst>
    <a:effectStyleLst>
      <a:effectStyle>
        <a:effectLst>
          <a:glow rad="63500">
            <a:schemeClr val="phClr">
              <a:alpha val="45000"/>
              <a:satMod val="120000"/>
            </a:schemeClr>
          </a:glow>
        </a:effectLst>
      </a:effectStyle>
      <a:effectStyle>
        <a:effectLst>
          <a:glow rad="63500">
            <a:schemeClr val="phClr">
              <a:alpha val="45000"/>
              <a:satMod val="120000"/>
            </a:schemeClr>
          </a:glow>
        </a:effectLst>
        <a:scene3d>
          <a:camera prst="orthographicFront" fov="0">
            <a:rot lat="0" lon="0" rev="0"/>
          </a:camera>
          <a:lightRig rig="brightRoom" dir="tl">
            <a:rot lat="0" lon="0" rev="8700000"/>
          </a:lightRig>
        </a:scene3d>
        <a:sp3d>
          <a:bevelT w="0" h="0"/>
          <a:contourClr>
            <a:schemeClr val="phClr">
              <a:tint val="70000"/>
            </a:schemeClr>
          </a:contourClr>
        </a:sp3d>
      </a:effectStyle>
      <a:effectStyle>
        <a:effectLst>
          <a:glow rad="101500">
            <a:schemeClr val="phClr">
              <a:alpha val="42000"/>
              <a:satMod val="120000"/>
            </a:schemeClr>
          </a:glow>
        </a:effectLst>
        <a:scene3d>
          <a:camera prst="orthographicFront" fov="0">
            <a:rot lat="0" lon="0" rev="0"/>
          </a:camera>
          <a:lightRig rig="glow" dir="t">
            <a:rot lat="0" lon="0" rev="4800000"/>
          </a:lightRig>
        </a:scene3d>
        <a:sp3d prstMaterial="powder">
          <a:bevelT w="50800" h="50800"/>
          <a:contourClr>
            <a:schemeClr val="phClr"/>
          </a:contourClr>
        </a:sp3d>
      </a:effectStyle>
    </a:effectStyleLst>
    <a:bgFillStyleLst>
      <a:solidFill>
        <a:schemeClr val="phClr"/>
      </a:solidFill>
      <a:gradFill rotWithShape="1">
        <a:gsLst>
          <a:gs pos="0">
            <a:schemeClr val="bg1">
              <a:shade val="100000"/>
              <a:satMod val="150000"/>
            </a:schemeClr>
          </a:gs>
          <a:gs pos="65000">
            <a:schemeClr val="bg1">
              <a:shade val="90000"/>
              <a:satMod val="375000"/>
            </a:schemeClr>
          </a:gs>
          <a:gs pos="100000">
            <a:schemeClr val="phClr">
              <a:tint val="88000"/>
              <a:satMod val="400000"/>
            </a:schemeClr>
          </a:gs>
        </a:gsLst>
        <a:lin ang="5400000" scaled="0"/>
      </a:gradFill>
      <a:blipFill>
        <a:blip xmlns:r="http://schemas.openxmlformats.org/officeDocument/2006/relationships" r:embed="rId1">
          <a:duotone>
            <a:schemeClr val="phClr">
              <a:shade val="40000"/>
              <a:satMod val="180000"/>
            </a:schemeClr>
            <a:schemeClr val="phClr">
              <a:tint val="90000"/>
              <a:satMod val="200000"/>
            </a:schemeClr>
          </a:duotone>
        </a:blip>
        <a:tile tx="0" ty="0" sx="80000" sy="80000" flip="none" algn="tl"/>
      </a:blipFill>
    </a:bgFillStyleLst>
  </a:fmtScheme>
</a:themeOverride>
</file>

<file path=xl/theme/themeOverride2.xml><?xml version="1.0" encoding="utf-8"?>
<a:themeOverride xmlns:a="http://schemas.openxmlformats.org/drawingml/2006/main">
  <a:clrScheme name="Custom 1">
    <a:dk1>
      <a:sysClr val="windowText" lastClr="000000"/>
    </a:dk1>
    <a:lt1>
      <a:sysClr val="window" lastClr="FFFFFF"/>
    </a:lt1>
    <a:dk2>
      <a:srgbClr val="4E5B6F"/>
    </a:dk2>
    <a:lt2>
      <a:srgbClr val="D6ECFF"/>
    </a:lt2>
    <a:accent1>
      <a:srgbClr val="336600"/>
    </a:accent1>
    <a:accent2>
      <a:srgbClr val="78AF1E"/>
    </a:accent2>
    <a:accent3>
      <a:srgbClr val="000000"/>
    </a:accent3>
    <a:accent4>
      <a:srgbClr val="606060"/>
    </a:accent4>
    <a:accent5>
      <a:srgbClr val="641E1E"/>
    </a:accent5>
    <a:accent6>
      <a:srgbClr val="FFFFCC"/>
    </a:accent6>
    <a:hlink>
      <a:srgbClr val="EB8803"/>
    </a:hlink>
    <a:folHlink>
      <a:srgbClr val="5F7791"/>
    </a:folHlink>
  </a:clrScheme>
  <a:fontScheme name="Custom 1">
    <a:majorFont>
      <a:latin typeface="Trebuchet MS"/>
      <a:ea typeface=""/>
      <a:cs typeface=""/>
    </a:majorFont>
    <a:minorFont>
      <a:latin typeface="Trebuchet MS"/>
      <a:ea typeface=""/>
      <a:cs typeface=""/>
    </a:minorFont>
  </a:fontScheme>
  <a:fmtScheme name="Metro">
    <a:fillStyleLst>
      <a:solidFill>
        <a:schemeClr val="phClr"/>
      </a:solidFill>
      <a:gradFill rotWithShape="1">
        <a:gsLst>
          <a:gs pos="0">
            <a:schemeClr val="phClr">
              <a:tint val="25000"/>
              <a:satMod val="125000"/>
            </a:schemeClr>
          </a:gs>
          <a:gs pos="40000">
            <a:schemeClr val="phClr">
              <a:tint val="55000"/>
              <a:satMod val="130000"/>
            </a:schemeClr>
          </a:gs>
          <a:gs pos="50000">
            <a:schemeClr val="phClr">
              <a:tint val="59000"/>
              <a:satMod val="130000"/>
            </a:schemeClr>
          </a:gs>
          <a:gs pos="65000">
            <a:schemeClr val="phClr">
              <a:tint val="55000"/>
              <a:satMod val="130000"/>
            </a:schemeClr>
          </a:gs>
          <a:gs pos="100000">
            <a:schemeClr val="phClr">
              <a:tint val="20000"/>
              <a:satMod val="125000"/>
            </a:schemeClr>
          </a:gs>
        </a:gsLst>
        <a:lin ang="5400000" scaled="0"/>
      </a:gradFill>
      <a:gradFill rotWithShape="1">
        <a:gsLst>
          <a:gs pos="0">
            <a:schemeClr val="phClr">
              <a:tint val="48000"/>
              <a:satMod val="138000"/>
            </a:schemeClr>
          </a:gs>
          <a:gs pos="25000">
            <a:schemeClr val="phClr">
              <a:tint val="85000"/>
            </a:schemeClr>
          </a:gs>
          <a:gs pos="40000">
            <a:schemeClr val="phClr">
              <a:tint val="92000"/>
            </a:schemeClr>
          </a:gs>
          <a:gs pos="50000">
            <a:schemeClr val="phClr">
              <a:tint val="93000"/>
            </a:schemeClr>
          </a:gs>
          <a:gs pos="60000">
            <a:schemeClr val="phClr">
              <a:tint val="92000"/>
            </a:schemeClr>
          </a:gs>
          <a:gs pos="75000">
            <a:schemeClr val="phClr">
              <a:tint val="83000"/>
              <a:satMod val="108000"/>
            </a:schemeClr>
          </a:gs>
          <a:gs pos="100000">
            <a:schemeClr val="phClr">
              <a:tint val="48000"/>
              <a:satMod val="150000"/>
            </a:schemeClr>
          </a:gs>
        </a:gsLst>
        <a:lin ang="5400000" scaled="0"/>
      </a:gradFill>
    </a:fillStyleLst>
    <a:lnStyleLst>
      <a:ln w="12000" cap="flat" cmpd="sng" algn="ctr">
        <a:solidFill>
          <a:schemeClr val="phClr"/>
        </a:solidFill>
        <a:prstDash val="solid"/>
      </a:ln>
      <a:ln w="19050" cap="flat" cmpd="sng" algn="ctr">
        <a:solidFill>
          <a:schemeClr val="phClr"/>
        </a:solidFill>
        <a:prstDash val="solid"/>
      </a:ln>
      <a:ln w="38100" cap="flat" cmpd="sng" algn="ctr">
        <a:solidFill>
          <a:schemeClr val="phClr"/>
        </a:solidFill>
        <a:prstDash val="solid"/>
      </a:ln>
    </a:lnStyleLst>
    <a:effectStyleLst>
      <a:effectStyle>
        <a:effectLst>
          <a:glow rad="63500">
            <a:schemeClr val="phClr">
              <a:alpha val="45000"/>
              <a:satMod val="120000"/>
            </a:schemeClr>
          </a:glow>
        </a:effectLst>
      </a:effectStyle>
      <a:effectStyle>
        <a:effectLst>
          <a:glow rad="63500">
            <a:schemeClr val="phClr">
              <a:alpha val="45000"/>
              <a:satMod val="120000"/>
            </a:schemeClr>
          </a:glow>
        </a:effectLst>
        <a:scene3d>
          <a:camera prst="orthographicFront" fov="0">
            <a:rot lat="0" lon="0" rev="0"/>
          </a:camera>
          <a:lightRig rig="brightRoom" dir="tl">
            <a:rot lat="0" lon="0" rev="8700000"/>
          </a:lightRig>
        </a:scene3d>
        <a:sp3d>
          <a:bevelT w="0" h="0"/>
          <a:contourClr>
            <a:schemeClr val="phClr">
              <a:tint val="70000"/>
            </a:schemeClr>
          </a:contourClr>
        </a:sp3d>
      </a:effectStyle>
      <a:effectStyle>
        <a:effectLst>
          <a:glow rad="101500">
            <a:schemeClr val="phClr">
              <a:alpha val="42000"/>
              <a:satMod val="120000"/>
            </a:schemeClr>
          </a:glow>
        </a:effectLst>
        <a:scene3d>
          <a:camera prst="orthographicFront" fov="0">
            <a:rot lat="0" lon="0" rev="0"/>
          </a:camera>
          <a:lightRig rig="glow" dir="t">
            <a:rot lat="0" lon="0" rev="4800000"/>
          </a:lightRig>
        </a:scene3d>
        <a:sp3d prstMaterial="powder">
          <a:bevelT w="50800" h="50800"/>
          <a:contourClr>
            <a:schemeClr val="phClr"/>
          </a:contourClr>
        </a:sp3d>
      </a:effectStyle>
    </a:effectStyleLst>
    <a:bgFillStyleLst>
      <a:solidFill>
        <a:schemeClr val="phClr"/>
      </a:solidFill>
      <a:gradFill rotWithShape="1">
        <a:gsLst>
          <a:gs pos="0">
            <a:schemeClr val="bg1">
              <a:shade val="100000"/>
              <a:satMod val="150000"/>
            </a:schemeClr>
          </a:gs>
          <a:gs pos="65000">
            <a:schemeClr val="bg1">
              <a:shade val="90000"/>
              <a:satMod val="375000"/>
            </a:schemeClr>
          </a:gs>
          <a:gs pos="100000">
            <a:schemeClr val="phClr">
              <a:tint val="88000"/>
              <a:satMod val="400000"/>
            </a:schemeClr>
          </a:gs>
        </a:gsLst>
        <a:lin ang="5400000" scaled="0"/>
      </a:gradFill>
      <a:blipFill>
        <a:blip xmlns:r="http://schemas.openxmlformats.org/officeDocument/2006/relationships" r:embed="rId1">
          <a:duotone>
            <a:schemeClr val="phClr">
              <a:shade val="40000"/>
              <a:satMod val="180000"/>
            </a:schemeClr>
            <a:schemeClr val="phClr">
              <a:tint val="90000"/>
              <a:satMod val="200000"/>
            </a:schemeClr>
          </a:duotone>
        </a:blip>
        <a:tile tx="0" ty="0" sx="80000" sy="80000" flip="none" algn="tl"/>
      </a:blipFill>
    </a:bgFillStyleLst>
  </a:fmtScheme>
</a:themeOverride>
</file>

<file path=xl/theme/themeOverride3.xml><?xml version="1.0" encoding="utf-8"?>
<a:themeOverride xmlns:a="http://schemas.openxmlformats.org/drawingml/2006/main">
  <a:clrScheme name="Custom 1">
    <a:dk1>
      <a:sysClr val="windowText" lastClr="000000"/>
    </a:dk1>
    <a:lt1>
      <a:sysClr val="window" lastClr="FFFFFF"/>
    </a:lt1>
    <a:dk2>
      <a:srgbClr val="4E5B6F"/>
    </a:dk2>
    <a:lt2>
      <a:srgbClr val="D6ECFF"/>
    </a:lt2>
    <a:accent1>
      <a:srgbClr val="336600"/>
    </a:accent1>
    <a:accent2>
      <a:srgbClr val="78AF1E"/>
    </a:accent2>
    <a:accent3>
      <a:srgbClr val="000000"/>
    </a:accent3>
    <a:accent4>
      <a:srgbClr val="606060"/>
    </a:accent4>
    <a:accent5>
      <a:srgbClr val="641E1E"/>
    </a:accent5>
    <a:accent6>
      <a:srgbClr val="FFFFCC"/>
    </a:accent6>
    <a:hlink>
      <a:srgbClr val="EB8803"/>
    </a:hlink>
    <a:folHlink>
      <a:srgbClr val="5F7791"/>
    </a:folHlink>
  </a:clrScheme>
  <a:fontScheme name="Custom 1">
    <a:majorFont>
      <a:latin typeface="Trebuchet MS"/>
      <a:ea typeface=""/>
      <a:cs typeface=""/>
    </a:majorFont>
    <a:minorFont>
      <a:latin typeface="Trebuchet MS"/>
      <a:ea typeface=""/>
      <a:cs typeface=""/>
    </a:minorFont>
  </a:fontScheme>
  <a:fmtScheme name="Metro">
    <a:fillStyleLst>
      <a:solidFill>
        <a:schemeClr val="phClr"/>
      </a:solidFill>
      <a:gradFill rotWithShape="1">
        <a:gsLst>
          <a:gs pos="0">
            <a:schemeClr val="phClr">
              <a:tint val="25000"/>
              <a:satMod val="125000"/>
            </a:schemeClr>
          </a:gs>
          <a:gs pos="40000">
            <a:schemeClr val="phClr">
              <a:tint val="55000"/>
              <a:satMod val="130000"/>
            </a:schemeClr>
          </a:gs>
          <a:gs pos="50000">
            <a:schemeClr val="phClr">
              <a:tint val="59000"/>
              <a:satMod val="130000"/>
            </a:schemeClr>
          </a:gs>
          <a:gs pos="65000">
            <a:schemeClr val="phClr">
              <a:tint val="55000"/>
              <a:satMod val="130000"/>
            </a:schemeClr>
          </a:gs>
          <a:gs pos="100000">
            <a:schemeClr val="phClr">
              <a:tint val="20000"/>
              <a:satMod val="125000"/>
            </a:schemeClr>
          </a:gs>
        </a:gsLst>
        <a:lin ang="5400000" scaled="0"/>
      </a:gradFill>
      <a:gradFill rotWithShape="1">
        <a:gsLst>
          <a:gs pos="0">
            <a:schemeClr val="phClr">
              <a:tint val="48000"/>
              <a:satMod val="138000"/>
            </a:schemeClr>
          </a:gs>
          <a:gs pos="25000">
            <a:schemeClr val="phClr">
              <a:tint val="85000"/>
            </a:schemeClr>
          </a:gs>
          <a:gs pos="40000">
            <a:schemeClr val="phClr">
              <a:tint val="92000"/>
            </a:schemeClr>
          </a:gs>
          <a:gs pos="50000">
            <a:schemeClr val="phClr">
              <a:tint val="93000"/>
            </a:schemeClr>
          </a:gs>
          <a:gs pos="60000">
            <a:schemeClr val="phClr">
              <a:tint val="92000"/>
            </a:schemeClr>
          </a:gs>
          <a:gs pos="75000">
            <a:schemeClr val="phClr">
              <a:tint val="83000"/>
              <a:satMod val="108000"/>
            </a:schemeClr>
          </a:gs>
          <a:gs pos="100000">
            <a:schemeClr val="phClr">
              <a:tint val="48000"/>
              <a:satMod val="150000"/>
            </a:schemeClr>
          </a:gs>
        </a:gsLst>
        <a:lin ang="5400000" scaled="0"/>
      </a:gradFill>
    </a:fillStyleLst>
    <a:lnStyleLst>
      <a:ln w="12000" cap="flat" cmpd="sng" algn="ctr">
        <a:solidFill>
          <a:schemeClr val="phClr"/>
        </a:solidFill>
        <a:prstDash val="solid"/>
      </a:ln>
      <a:ln w="19050" cap="flat" cmpd="sng" algn="ctr">
        <a:solidFill>
          <a:schemeClr val="phClr"/>
        </a:solidFill>
        <a:prstDash val="solid"/>
      </a:ln>
      <a:ln w="38100" cap="flat" cmpd="sng" algn="ctr">
        <a:solidFill>
          <a:schemeClr val="phClr"/>
        </a:solidFill>
        <a:prstDash val="solid"/>
      </a:ln>
    </a:lnStyleLst>
    <a:effectStyleLst>
      <a:effectStyle>
        <a:effectLst>
          <a:glow rad="63500">
            <a:schemeClr val="phClr">
              <a:alpha val="45000"/>
              <a:satMod val="120000"/>
            </a:schemeClr>
          </a:glow>
        </a:effectLst>
      </a:effectStyle>
      <a:effectStyle>
        <a:effectLst>
          <a:glow rad="63500">
            <a:schemeClr val="phClr">
              <a:alpha val="45000"/>
              <a:satMod val="120000"/>
            </a:schemeClr>
          </a:glow>
        </a:effectLst>
        <a:scene3d>
          <a:camera prst="orthographicFront" fov="0">
            <a:rot lat="0" lon="0" rev="0"/>
          </a:camera>
          <a:lightRig rig="brightRoom" dir="tl">
            <a:rot lat="0" lon="0" rev="8700000"/>
          </a:lightRig>
        </a:scene3d>
        <a:sp3d>
          <a:bevelT w="0" h="0"/>
          <a:contourClr>
            <a:schemeClr val="phClr">
              <a:tint val="70000"/>
            </a:schemeClr>
          </a:contourClr>
        </a:sp3d>
      </a:effectStyle>
      <a:effectStyle>
        <a:effectLst>
          <a:glow rad="101500">
            <a:schemeClr val="phClr">
              <a:alpha val="42000"/>
              <a:satMod val="120000"/>
            </a:schemeClr>
          </a:glow>
        </a:effectLst>
        <a:scene3d>
          <a:camera prst="orthographicFront" fov="0">
            <a:rot lat="0" lon="0" rev="0"/>
          </a:camera>
          <a:lightRig rig="glow" dir="t">
            <a:rot lat="0" lon="0" rev="4800000"/>
          </a:lightRig>
        </a:scene3d>
        <a:sp3d prstMaterial="powder">
          <a:bevelT w="50800" h="50800"/>
          <a:contourClr>
            <a:schemeClr val="phClr"/>
          </a:contourClr>
        </a:sp3d>
      </a:effectStyle>
    </a:effectStyleLst>
    <a:bgFillStyleLst>
      <a:solidFill>
        <a:schemeClr val="phClr"/>
      </a:solidFill>
      <a:gradFill rotWithShape="1">
        <a:gsLst>
          <a:gs pos="0">
            <a:schemeClr val="bg1">
              <a:shade val="100000"/>
              <a:satMod val="150000"/>
            </a:schemeClr>
          </a:gs>
          <a:gs pos="65000">
            <a:schemeClr val="bg1">
              <a:shade val="90000"/>
              <a:satMod val="375000"/>
            </a:schemeClr>
          </a:gs>
          <a:gs pos="100000">
            <a:schemeClr val="phClr">
              <a:tint val="88000"/>
              <a:satMod val="400000"/>
            </a:schemeClr>
          </a:gs>
        </a:gsLst>
        <a:lin ang="5400000" scaled="0"/>
      </a:gradFill>
      <a:blipFill>
        <a:blip xmlns:r="http://schemas.openxmlformats.org/officeDocument/2006/relationships" r:embed="rId1">
          <a:duotone>
            <a:schemeClr val="phClr">
              <a:shade val="40000"/>
              <a:satMod val="180000"/>
            </a:schemeClr>
            <a:schemeClr val="phClr">
              <a:tint val="90000"/>
              <a:satMod val="200000"/>
            </a:schemeClr>
          </a:duotone>
        </a:blip>
        <a:tile tx="0" ty="0" sx="80000" sy="80000" flip="none" algn="tl"/>
      </a:blip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27.bin"/><Relationship Id="rId3" Type="http://schemas.openxmlformats.org/officeDocument/2006/relationships/hyperlink" Target="http://www.xe.com/ucc/%20accessed%2016/05/11" TargetMode="External"/><Relationship Id="rId7" Type="http://schemas.openxmlformats.org/officeDocument/2006/relationships/hyperlink" Target="http://www.ipcc.ch/ipccreports/assessment-reports.php" TargetMode="External"/><Relationship Id="rId2" Type="http://schemas.openxmlformats.org/officeDocument/2006/relationships/hyperlink" Target="http://www.ipcc.ch/ipccreports/assessment-reports.php" TargetMode="External"/><Relationship Id="rId1" Type="http://schemas.openxmlformats.org/officeDocument/2006/relationships/hyperlink" Target="http://www.ipcc.ch/ipccreports/assessment-reports.php" TargetMode="External"/><Relationship Id="rId6" Type="http://schemas.openxmlformats.org/officeDocument/2006/relationships/hyperlink" Target="http://www.renewablefuelsagency.gov.uk/carboncalculator%20-%20Default%20values%20accessed%2009/05/11" TargetMode="External"/><Relationship Id="rId5" Type="http://schemas.openxmlformats.org/officeDocument/2006/relationships/hyperlink" Target="http://www.inflationdata.com/inflation/Inflation_Calculators/Inflation_Rate_Calculator.asp" TargetMode="External"/><Relationship Id="rId4" Type="http://schemas.openxmlformats.org/officeDocument/2006/relationships/hyperlink" Target="http://en.wikipedia.org/wiki/Heat_of_combustion%20accessed%2016/05/11"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
  <sheetViews>
    <sheetView topLeftCell="A81" workbookViewId="0">
      <selection activeCell="A45" sqref="A45"/>
    </sheetView>
  </sheetViews>
  <sheetFormatPr defaultRowHeight="13.2" x14ac:dyDescent="0.25"/>
  <sheetData>
    <row r="1" spans="1:26" x14ac:dyDescent="0.25">
      <c r="A1" s="224"/>
      <c r="B1" s="224"/>
      <c r="C1" s="224"/>
      <c r="D1" s="224"/>
      <c r="E1" s="224"/>
      <c r="F1" s="224"/>
      <c r="G1" s="224"/>
      <c r="H1" s="224"/>
      <c r="I1" s="224"/>
      <c r="J1" s="224"/>
      <c r="K1" s="224"/>
      <c r="L1" s="224"/>
      <c r="M1" s="224"/>
      <c r="N1" s="224"/>
      <c r="O1" s="224"/>
      <c r="P1" s="224"/>
      <c r="Q1" s="224"/>
      <c r="R1" s="224"/>
      <c r="S1" s="224"/>
      <c r="T1" s="224"/>
      <c r="U1" s="224"/>
      <c r="V1" s="224"/>
      <c r="W1" s="224"/>
      <c r="X1" s="224"/>
      <c r="Y1" s="224"/>
      <c r="Z1" s="224"/>
    </row>
    <row r="2" spans="1:26" x14ac:dyDescent="0.25">
      <c r="A2" s="224"/>
      <c r="B2" s="224"/>
      <c r="C2" s="224"/>
      <c r="D2" s="224"/>
      <c r="E2" s="224"/>
      <c r="F2" s="224"/>
      <c r="G2" s="224"/>
      <c r="H2" s="224"/>
      <c r="I2" s="224"/>
      <c r="J2" s="224"/>
      <c r="K2" s="224"/>
      <c r="L2" s="224"/>
      <c r="M2" s="224"/>
      <c r="N2" s="224"/>
      <c r="O2" s="224"/>
      <c r="P2" s="224"/>
      <c r="Q2" s="224"/>
      <c r="R2" s="224"/>
      <c r="S2" s="224"/>
      <c r="T2" s="224"/>
      <c r="U2" s="224"/>
      <c r="V2" s="224"/>
      <c r="W2" s="224"/>
      <c r="X2" s="224"/>
      <c r="Y2" s="224"/>
      <c r="Z2" s="224"/>
    </row>
    <row r="3" spans="1:26" x14ac:dyDescent="0.25">
      <c r="A3" s="224"/>
      <c r="B3" s="224"/>
      <c r="C3" s="224"/>
      <c r="D3" s="224"/>
      <c r="E3" s="224"/>
      <c r="F3" s="224"/>
      <c r="G3" s="224"/>
      <c r="H3" s="224"/>
      <c r="I3" s="224"/>
      <c r="J3" s="224"/>
      <c r="K3" s="224"/>
      <c r="L3" s="224"/>
      <c r="M3" s="224"/>
      <c r="N3" s="224"/>
      <c r="O3" s="224"/>
      <c r="P3" s="224"/>
      <c r="Q3" s="224"/>
      <c r="R3" s="224"/>
      <c r="S3" s="224"/>
      <c r="T3" s="224"/>
      <c r="U3" s="224"/>
      <c r="V3" s="224"/>
      <c r="W3" s="224"/>
      <c r="X3" s="224"/>
      <c r="Y3" s="224"/>
      <c r="Z3" s="224"/>
    </row>
    <row r="4" spans="1:26" x14ac:dyDescent="0.25">
      <c r="A4" s="224"/>
      <c r="B4" s="224"/>
      <c r="C4" s="224"/>
      <c r="D4" s="224"/>
      <c r="E4" s="224"/>
      <c r="F4" s="224"/>
      <c r="G4" s="224"/>
      <c r="H4" s="224"/>
      <c r="I4" s="224"/>
      <c r="J4" s="224"/>
      <c r="K4" s="224"/>
      <c r="L4" s="224"/>
      <c r="M4" s="224"/>
      <c r="N4" s="224"/>
      <c r="O4" s="224"/>
      <c r="P4" s="224"/>
      <c r="Q4" s="224"/>
      <c r="R4" s="224"/>
      <c r="S4" s="224"/>
      <c r="T4" s="224"/>
      <c r="U4" s="224"/>
      <c r="V4" s="224"/>
      <c r="W4" s="224"/>
      <c r="X4" s="224"/>
      <c r="Y4" s="224"/>
      <c r="Z4" s="224"/>
    </row>
    <row r="5" spans="1:26" x14ac:dyDescent="0.25">
      <c r="A5" s="224"/>
      <c r="B5" s="224"/>
      <c r="C5" s="224"/>
      <c r="D5" s="224"/>
      <c r="E5" s="224"/>
      <c r="F5" s="224"/>
      <c r="G5" s="224"/>
      <c r="H5" s="224"/>
      <c r="I5" s="224"/>
      <c r="J5" s="224"/>
      <c r="K5" s="224"/>
      <c r="L5" s="224"/>
      <c r="M5" s="224"/>
      <c r="N5" s="224"/>
      <c r="O5" s="224"/>
      <c r="P5" s="224"/>
      <c r="Q5" s="224"/>
      <c r="R5" s="224"/>
      <c r="S5" s="224"/>
      <c r="T5" s="224"/>
      <c r="U5" s="224"/>
      <c r="V5" s="224"/>
      <c r="W5" s="224"/>
      <c r="X5" s="224"/>
      <c r="Y5" s="224"/>
      <c r="Z5" s="224"/>
    </row>
    <row r="6" spans="1:26" x14ac:dyDescent="0.25">
      <c r="A6" s="224"/>
      <c r="B6" s="224"/>
      <c r="C6" s="224"/>
      <c r="D6" s="224"/>
      <c r="E6" s="224"/>
      <c r="F6" s="224"/>
      <c r="G6" s="224"/>
      <c r="H6" s="224"/>
      <c r="I6" s="224"/>
      <c r="J6" s="224"/>
      <c r="K6" s="224"/>
      <c r="L6" s="224"/>
      <c r="M6" s="224"/>
      <c r="N6" s="224"/>
      <c r="O6" s="224"/>
      <c r="P6" s="224"/>
      <c r="Q6" s="224"/>
      <c r="R6" s="224"/>
      <c r="S6" s="224"/>
      <c r="T6" s="224"/>
      <c r="U6" s="224"/>
      <c r="V6" s="224"/>
      <c r="W6" s="224"/>
      <c r="X6" s="224"/>
      <c r="Y6" s="224"/>
      <c r="Z6" s="224"/>
    </row>
    <row r="7" spans="1:26" x14ac:dyDescent="0.25">
      <c r="A7" s="224"/>
      <c r="B7" s="224"/>
      <c r="C7" s="224"/>
      <c r="D7" s="224"/>
      <c r="E7" s="224"/>
      <c r="F7" s="224"/>
      <c r="G7" s="224"/>
      <c r="H7" s="224"/>
      <c r="I7" s="224"/>
      <c r="J7" s="224"/>
      <c r="K7" s="224"/>
      <c r="L7" s="224"/>
      <c r="M7" s="224"/>
      <c r="N7" s="224"/>
      <c r="O7" s="224"/>
      <c r="P7" s="224"/>
      <c r="Q7" s="224"/>
      <c r="R7" s="224"/>
      <c r="S7" s="224"/>
      <c r="T7" s="224"/>
      <c r="U7" s="224"/>
      <c r="V7" s="224"/>
      <c r="W7" s="224"/>
      <c r="X7" s="224"/>
      <c r="Y7" s="224"/>
      <c r="Z7" s="224"/>
    </row>
    <row r="8" spans="1:26" x14ac:dyDescent="0.25">
      <c r="A8" s="224"/>
      <c r="B8" s="224"/>
      <c r="C8" s="224"/>
      <c r="D8" s="224"/>
      <c r="E8" s="224"/>
      <c r="F8" s="224"/>
      <c r="G8" s="224"/>
      <c r="H8" s="224"/>
      <c r="I8" s="224"/>
      <c r="J8" s="224"/>
      <c r="K8" s="224"/>
      <c r="L8" s="224"/>
      <c r="M8" s="224"/>
      <c r="N8" s="224"/>
      <c r="O8" s="224"/>
      <c r="P8" s="224"/>
      <c r="Q8" s="224"/>
      <c r="R8" s="224"/>
      <c r="S8" s="224"/>
      <c r="T8" s="224"/>
      <c r="U8" s="224"/>
      <c r="V8" s="224"/>
      <c r="W8" s="224"/>
      <c r="X8" s="224"/>
      <c r="Y8" s="224"/>
      <c r="Z8" s="224"/>
    </row>
    <row r="9" spans="1:26" x14ac:dyDescent="0.25">
      <c r="A9" s="224"/>
      <c r="B9" s="224"/>
      <c r="C9" s="224"/>
      <c r="D9" s="224"/>
      <c r="E9" s="224"/>
      <c r="F9" s="224"/>
      <c r="G9" s="224"/>
      <c r="H9" s="224"/>
      <c r="I9" s="224"/>
      <c r="J9" s="224"/>
      <c r="K9" s="224"/>
      <c r="L9" s="224"/>
      <c r="M9" s="224"/>
      <c r="N9" s="224"/>
      <c r="O9" s="224"/>
      <c r="P9" s="224"/>
      <c r="Q9" s="224"/>
      <c r="R9" s="224"/>
      <c r="S9" s="224"/>
      <c r="T9" s="224"/>
      <c r="U9" s="224"/>
      <c r="V9" s="224"/>
      <c r="W9" s="224"/>
      <c r="X9" s="224"/>
      <c r="Y9" s="224"/>
      <c r="Z9" s="224"/>
    </row>
    <row r="10" spans="1:26" x14ac:dyDescent="0.25">
      <c r="A10" s="224"/>
      <c r="B10" s="224"/>
      <c r="C10" s="224"/>
      <c r="D10" s="224"/>
      <c r="E10" s="224"/>
      <c r="F10" s="224"/>
      <c r="G10" s="224"/>
      <c r="H10" s="224"/>
      <c r="I10" s="224"/>
      <c r="J10" s="224"/>
      <c r="K10" s="224"/>
      <c r="L10" s="224"/>
      <c r="M10" s="224"/>
      <c r="N10" s="224"/>
      <c r="O10" s="224"/>
      <c r="P10" s="224"/>
      <c r="Q10" s="224"/>
      <c r="R10" s="224"/>
      <c r="S10" s="224"/>
      <c r="T10" s="224"/>
      <c r="U10" s="224"/>
      <c r="V10" s="224"/>
      <c r="W10" s="224"/>
      <c r="X10" s="224"/>
      <c r="Y10" s="224"/>
      <c r="Z10" s="224"/>
    </row>
    <row r="11" spans="1:26" x14ac:dyDescent="0.25">
      <c r="A11" s="224"/>
      <c r="B11" s="224"/>
      <c r="C11" s="224"/>
      <c r="D11" s="224"/>
      <c r="E11" s="224"/>
      <c r="F11" s="224"/>
      <c r="G11" s="224"/>
      <c r="H11" s="224"/>
      <c r="I11" s="224"/>
      <c r="J11" s="224"/>
      <c r="K11" s="224"/>
      <c r="L11" s="224"/>
      <c r="M11" s="224"/>
      <c r="N11" s="224"/>
      <c r="O11" s="224"/>
      <c r="P11" s="224"/>
      <c r="Q11" s="224"/>
      <c r="R11" s="224"/>
      <c r="S11" s="224"/>
      <c r="T11" s="224"/>
      <c r="U11" s="224"/>
      <c r="V11" s="224"/>
      <c r="W11" s="224"/>
      <c r="X11" s="224"/>
      <c r="Y11" s="224"/>
      <c r="Z11" s="224"/>
    </row>
    <row r="12" spans="1:26" x14ac:dyDescent="0.25">
      <c r="A12" s="224"/>
      <c r="B12" s="224"/>
      <c r="C12" s="224"/>
      <c r="D12" s="224"/>
      <c r="E12" s="224"/>
      <c r="F12" s="224"/>
      <c r="G12" s="224"/>
      <c r="H12" s="224"/>
      <c r="I12" s="224"/>
      <c r="J12" s="224"/>
      <c r="K12" s="224"/>
      <c r="L12" s="224"/>
      <c r="M12" s="224"/>
      <c r="N12" s="224"/>
      <c r="O12" s="224"/>
      <c r="P12" s="224"/>
      <c r="Q12" s="224"/>
      <c r="R12" s="224"/>
      <c r="S12" s="224"/>
      <c r="T12" s="224"/>
      <c r="U12" s="224"/>
      <c r="V12" s="224"/>
      <c r="W12" s="224"/>
      <c r="X12" s="224"/>
      <c r="Y12" s="224"/>
      <c r="Z12" s="224"/>
    </row>
    <row r="13" spans="1:26" x14ac:dyDescent="0.25">
      <c r="A13" s="224"/>
      <c r="B13" s="224"/>
      <c r="C13" s="224"/>
      <c r="D13" s="224"/>
      <c r="E13" s="224"/>
      <c r="F13" s="224"/>
      <c r="G13" s="224"/>
      <c r="H13" s="224"/>
      <c r="I13" s="224"/>
      <c r="J13" s="224"/>
      <c r="K13" s="224"/>
      <c r="L13" s="224"/>
      <c r="M13" s="224"/>
      <c r="N13" s="224"/>
      <c r="O13" s="224"/>
      <c r="P13" s="224"/>
      <c r="Q13" s="224"/>
      <c r="R13" s="224"/>
      <c r="S13" s="224"/>
      <c r="T13" s="224"/>
      <c r="U13" s="224"/>
      <c r="V13" s="224"/>
      <c r="W13" s="224"/>
      <c r="X13" s="224"/>
      <c r="Y13" s="224"/>
      <c r="Z13" s="224"/>
    </row>
    <row r="14" spans="1:26" x14ac:dyDescent="0.25">
      <c r="A14" s="224"/>
      <c r="B14" s="224"/>
      <c r="C14" s="224"/>
      <c r="D14" s="224"/>
      <c r="E14" s="224"/>
      <c r="F14" s="224"/>
      <c r="G14" s="224"/>
      <c r="H14" s="224"/>
      <c r="I14" s="224"/>
      <c r="J14" s="224"/>
      <c r="K14" s="224"/>
      <c r="L14" s="224"/>
      <c r="M14" s="224"/>
      <c r="N14" s="224"/>
      <c r="O14" s="224"/>
      <c r="P14" s="224"/>
      <c r="Q14" s="224"/>
      <c r="R14" s="224"/>
      <c r="S14" s="224"/>
      <c r="T14" s="224"/>
      <c r="U14" s="224"/>
      <c r="V14" s="224"/>
      <c r="W14" s="224"/>
      <c r="X14" s="224"/>
      <c r="Y14" s="224"/>
      <c r="Z14" s="224"/>
    </row>
    <row r="15" spans="1:26" x14ac:dyDescent="0.25">
      <c r="A15" s="224"/>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row>
    <row r="16" spans="1:26"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row>
    <row r="17" spans="1:26" x14ac:dyDescent="0.25">
      <c r="A17" s="224"/>
      <c r="B17" s="224"/>
      <c r="C17" s="224"/>
      <c r="D17" s="224"/>
      <c r="E17" s="224"/>
      <c r="F17" s="224"/>
      <c r="G17" s="224"/>
      <c r="H17" s="224"/>
      <c r="I17" s="224"/>
      <c r="J17" s="224"/>
      <c r="K17" s="224"/>
      <c r="L17" s="224"/>
      <c r="M17" s="224"/>
      <c r="N17" s="224"/>
      <c r="O17" s="224"/>
      <c r="P17" s="224"/>
      <c r="Q17" s="224"/>
      <c r="R17" s="224"/>
      <c r="S17" s="224"/>
      <c r="T17" s="224"/>
      <c r="U17" s="224"/>
      <c r="V17" s="224"/>
      <c r="W17" s="224"/>
      <c r="X17" s="224"/>
      <c r="Y17" s="224"/>
      <c r="Z17" s="224"/>
    </row>
    <row r="18" spans="1:26"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row>
    <row r="19" spans="1:26" x14ac:dyDescent="0.25">
      <c r="A19" s="224"/>
      <c r="B19" s="224"/>
      <c r="C19" s="224"/>
      <c r="D19" s="224"/>
      <c r="E19" s="224"/>
      <c r="F19" s="224"/>
      <c r="G19" s="224"/>
      <c r="H19" s="224"/>
      <c r="I19" s="224"/>
      <c r="J19" s="224"/>
      <c r="K19" s="224"/>
      <c r="L19" s="224"/>
      <c r="M19" s="224"/>
      <c r="N19" s="224"/>
      <c r="O19" s="224"/>
      <c r="P19" s="224"/>
      <c r="Q19" s="224"/>
      <c r="R19" s="224"/>
      <c r="S19" s="224"/>
      <c r="T19" s="224"/>
      <c r="U19" s="224"/>
      <c r="V19" s="224"/>
      <c r="W19" s="224"/>
      <c r="X19" s="224"/>
      <c r="Y19" s="224"/>
      <c r="Z19" s="224"/>
    </row>
    <row r="20" spans="1:26" x14ac:dyDescent="0.25">
      <c r="A20" s="224"/>
      <c r="B20" s="224"/>
      <c r="C20" s="224"/>
      <c r="D20" s="224"/>
      <c r="E20" s="224"/>
      <c r="F20" s="224"/>
      <c r="G20" s="224"/>
      <c r="H20" s="224"/>
      <c r="I20" s="224"/>
      <c r="J20" s="224"/>
      <c r="K20" s="224"/>
      <c r="L20" s="224"/>
      <c r="M20" s="224"/>
      <c r="N20" s="224"/>
      <c r="O20" s="224"/>
      <c r="P20" s="224"/>
      <c r="Q20" s="224"/>
      <c r="R20" s="224"/>
      <c r="S20" s="224"/>
      <c r="T20" s="224"/>
      <c r="U20" s="224"/>
      <c r="V20" s="224"/>
      <c r="W20" s="224"/>
      <c r="X20" s="224"/>
      <c r="Y20" s="224"/>
      <c r="Z20" s="224"/>
    </row>
    <row r="21" spans="1:26" x14ac:dyDescent="0.25">
      <c r="A21" s="224"/>
      <c r="B21" s="224"/>
      <c r="C21" s="224"/>
      <c r="D21" s="224"/>
      <c r="E21" s="224"/>
      <c r="F21" s="224"/>
      <c r="G21" s="224"/>
      <c r="H21" s="224"/>
      <c r="I21" s="224"/>
      <c r="J21" s="224"/>
      <c r="K21" s="224"/>
      <c r="L21" s="224"/>
      <c r="M21" s="224"/>
      <c r="N21" s="224"/>
      <c r="O21" s="224"/>
      <c r="P21" s="224"/>
      <c r="Q21" s="224"/>
      <c r="R21" s="224"/>
      <c r="S21" s="224"/>
      <c r="T21" s="224"/>
      <c r="U21" s="224"/>
      <c r="V21" s="224"/>
      <c r="W21" s="224"/>
      <c r="X21" s="224"/>
      <c r="Y21" s="224"/>
      <c r="Z21" s="224"/>
    </row>
    <row r="22" spans="1:26"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row>
    <row r="23" spans="1:26" x14ac:dyDescent="0.25">
      <c r="A23" s="224"/>
      <c r="B23" s="224"/>
      <c r="C23" s="224"/>
      <c r="D23" s="224"/>
      <c r="E23" s="224"/>
      <c r="F23" s="224"/>
      <c r="G23" s="224"/>
      <c r="H23" s="224"/>
      <c r="I23" s="224"/>
      <c r="J23" s="224"/>
      <c r="K23" s="224"/>
      <c r="L23" s="224"/>
      <c r="M23" s="224"/>
      <c r="N23" s="224"/>
      <c r="O23" s="224"/>
      <c r="P23" s="224"/>
      <c r="Q23" s="224"/>
      <c r="R23" s="224"/>
      <c r="S23" s="224"/>
      <c r="T23" s="224"/>
      <c r="U23" s="224"/>
      <c r="V23" s="224"/>
      <c r="W23" s="224"/>
      <c r="X23" s="224"/>
      <c r="Y23" s="224"/>
      <c r="Z23" s="224"/>
    </row>
    <row r="24" spans="1:26" x14ac:dyDescent="0.25">
      <c r="A24" s="224"/>
      <c r="B24" s="224"/>
      <c r="C24" s="224"/>
      <c r="D24" s="224"/>
      <c r="E24" s="224"/>
      <c r="F24" s="224"/>
      <c r="G24" s="224"/>
      <c r="H24" s="224"/>
      <c r="I24" s="224"/>
      <c r="J24" s="224"/>
      <c r="K24" s="224"/>
      <c r="L24" s="224"/>
      <c r="M24" s="224"/>
      <c r="N24" s="224"/>
      <c r="O24" s="224"/>
      <c r="P24" s="224"/>
      <c r="Q24" s="224"/>
      <c r="R24" s="224"/>
      <c r="S24" s="224"/>
      <c r="T24" s="224"/>
      <c r="U24" s="224"/>
      <c r="V24" s="224"/>
      <c r="W24" s="224"/>
      <c r="X24" s="224"/>
      <c r="Y24" s="224"/>
      <c r="Z24" s="224"/>
    </row>
    <row r="25" spans="1:26" x14ac:dyDescent="0.25">
      <c r="A25" s="224"/>
      <c r="B25" s="224"/>
      <c r="C25" s="224"/>
      <c r="D25" s="224"/>
      <c r="E25" s="224"/>
      <c r="F25" s="224"/>
      <c r="G25" s="224"/>
      <c r="H25" s="224"/>
      <c r="I25" s="224"/>
      <c r="J25" s="224"/>
      <c r="K25" s="224"/>
      <c r="L25" s="224"/>
      <c r="M25" s="224"/>
      <c r="N25" s="224"/>
      <c r="O25" s="224"/>
      <c r="P25" s="224"/>
      <c r="Q25" s="224"/>
      <c r="R25" s="224"/>
      <c r="S25" s="224"/>
      <c r="T25" s="224"/>
      <c r="U25" s="224"/>
      <c r="V25" s="224"/>
      <c r="W25" s="224"/>
      <c r="X25" s="224"/>
      <c r="Y25" s="224"/>
      <c r="Z25" s="224"/>
    </row>
    <row r="26" spans="1:26" x14ac:dyDescent="0.25">
      <c r="A26" s="839" t="s">
        <v>974</v>
      </c>
      <c r="B26" s="224"/>
      <c r="C26" s="224"/>
      <c r="D26" s="224"/>
      <c r="E26" s="224"/>
      <c r="F26" s="224"/>
      <c r="G26" s="224"/>
      <c r="H26" s="224"/>
      <c r="I26" s="224"/>
      <c r="J26" s="224"/>
      <c r="K26" s="224"/>
      <c r="L26" s="224"/>
      <c r="M26" s="224"/>
      <c r="N26" s="224"/>
      <c r="O26" s="224"/>
      <c r="P26" s="224"/>
      <c r="Q26" s="224"/>
      <c r="R26" s="224"/>
      <c r="S26" s="224"/>
      <c r="T26" s="224"/>
      <c r="U26" s="224"/>
      <c r="V26" s="224"/>
      <c r="W26" s="224"/>
      <c r="X26" s="224"/>
      <c r="Y26" s="224"/>
      <c r="Z26" s="224"/>
    </row>
    <row r="27" spans="1:26" x14ac:dyDescent="0.25">
      <c r="A27" s="224"/>
      <c r="B27" s="224"/>
      <c r="C27" s="224"/>
      <c r="D27" s="224"/>
      <c r="E27" s="224"/>
      <c r="F27" s="224"/>
      <c r="G27" s="224"/>
      <c r="H27" s="224"/>
      <c r="I27" s="224"/>
      <c r="J27" s="224"/>
      <c r="K27" s="224"/>
      <c r="L27" s="224"/>
      <c r="M27" s="224"/>
      <c r="N27" s="224"/>
      <c r="O27" s="224"/>
      <c r="P27" s="224"/>
      <c r="Q27" s="224"/>
      <c r="R27" s="224"/>
      <c r="S27" s="224"/>
      <c r="T27" s="224"/>
      <c r="U27" s="224"/>
      <c r="V27" s="224"/>
      <c r="W27" s="224"/>
      <c r="X27" s="224"/>
      <c r="Y27" s="224"/>
      <c r="Z27" s="224"/>
    </row>
    <row r="28" spans="1:26" x14ac:dyDescent="0.25">
      <c r="A28" s="840" t="s">
        <v>975</v>
      </c>
      <c r="B28" s="224"/>
      <c r="C28" s="224"/>
      <c r="D28" s="224"/>
      <c r="E28" s="224"/>
      <c r="F28" s="224"/>
      <c r="G28" s="224"/>
      <c r="H28" s="224"/>
      <c r="I28" s="224"/>
      <c r="J28" s="224"/>
      <c r="K28" s="224"/>
      <c r="L28" s="224"/>
      <c r="M28" s="224"/>
      <c r="N28" s="224"/>
      <c r="O28" s="224"/>
      <c r="P28" s="224"/>
      <c r="Q28" s="224"/>
      <c r="R28" s="224"/>
      <c r="S28" s="224"/>
      <c r="T28" s="224"/>
      <c r="U28" s="224"/>
      <c r="V28" s="224"/>
      <c r="W28" s="224"/>
      <c r="X28" s="224"/>
      <c r="Y28" s="224"/>
      <c r="Z28" s="224"/>
    </row>
    <row r="29" spans="1:26" x14ac:dyDescent="0.25">
      <c r="A29" s="224"/>
      <c r="B29" s="224"/>
      <c r="C29" s="224"/>
      <c r="D29" s="224"/>
      <c r="E29" s="224"/>
      <c r="F29" s="224"/>
      <c r="G29" s="224"/>
      <c r="H29" s="224"/>
      <c r="I29" s="224"/>
      <c r="J29" s="224"/>
      <c r="K29" s="224"/>
      <c r="L29" s="224"/>
      <c r="M29" s="224"/>
      <c r="N29" s="224"/>
      <c r="O29" s="224"/>
      <c r="P29" s="224"/>
      <c r="Q29" s="224"/>
      <c r="R29" s="224"/>
      <c r="S29" s="224"/>
      <c r="T29" s="224"/>
      <c r="U29" s="224"/>
      <c r="V29" s="224"/>
      <c r="W29" s="224"/>
      <c r="X29" s="224"/>
      <c r="Y29" s="224"/>
      <c r="Z29" s="224"/>
    </row>
    <row r="30" spans="1:26" x14ac:dyDescent="0.25">
      <c r="A30" s="839" t="s">
        <v>976</v>
      </c>
      <c r="B30" s="224"/>
      <c r="C30" s="224"/>
      <c r="D30" s="224"/>
      <c r="E30" s="224"/>
      <c r="F30" s="224"/>
      <c r="G30" s="224"/>
      <c r="H30" s="224"/>
      <c r="I30" s="224"/>
      <c r="J30" s="224"/>
      <c r="K30" s="224"/>
      <c r="L30" s="224"/>
      <c r="M30" s="224"/>
      <c r="N30" s="224"/>
      <c r="O30" s="224"/>
      <c r="P30" s="224"/>
      <c r="Q30" s="224"/>
      <c r="R30" s="224"/>
      <c r="S30" s="224"/>
      <c r="T30" s="224"/>
      <c r="U30" s="224"/>
      <c r="V30" s="224"/>
      <c r="W30" s="224"/>
      <c r="X30" s="224"/>
      <c r="Y30" s="224"/>
      <c r="Z30" s="224"/>
    </row>
    <row r="31" spans="1:26" x14ac:dyDescent="0.25">
      <c r="A31" s="839" t="s">
        <v>1976</v>
      </c>
      <c r="B31" s="224"/>
      <c r="C31" s="224"/>
      <c r="D31" s="224"/>
      <c r="E31" s="224"/>
      <c r="F31" s="224"/>
      <c r="G31" s="224"/>
      <c r="H31" s="224"/>
      <c r="I31" s="224"/>
      <c r="J31" s="224"/>
      <c r="K31" s="224"/>
      <c r="L31" s="224"/>
      <c r="M31" s="224"/>
      <c r="N31" s="224"/>
      <c r="O31" s="224"/>
      <c r="P31" s="224"/>
      <c r="Q31" s="224"/>
      <c r="R31" s="224"/>
      <c r="S31" s="224"/>
      <c r="T31" s="224"/>
      <c r="U31" s="224"/>
      <c r="V31" s="224"/>
      <c r="W31" s="224"/>
      <c r="X31" s="224"/>
      <c r="Y31" s="224"/>
      <c r="Z31" s="224"/>
    </row>
    <row r="32" spans="1:26" x14ac:dyDescent="0.25">
      <c r="A32" s="839" t="s">
        <v>1487</v>
      </c>
      <c r="B32" s="224"/>
      <c r="C32" s="224"/>
      <c r="D32" s="224"/>
      <c r="E32" s="224"/>
      <c r="F32" s="224"/>
      <c r="G32" s="224"/>
      <c r="H32" s="224"/>
      <c r="I32" s="224"/>
      <c r="J32" s="224"/>
      <c r="K32" s="224"/>
      <c r="L32" s="224"/>
      <c r="M32" s="224"/>
      <c r="N32" s="224"/>
      <c r="O32" s="224"/>
      <c r="P32" s="224"/>
      <c r="Q32" s="224"/>
      <c r="R32" s="224"/>
      <c r="S32" s="224"/>
      <c r="T32" s="224"/>
      <c r="U32" s="224"/>
      <c r="V32" s="224"/>
      <c r="W32" s="224"/>
      <c r="X32" s="224"/>
      <c r="Y32" s="224"/>
      <c r="Z32" s="224"/>
    </row>
    <row r="33" spans="1:26" x14ac:dyDescent="0.25">
      <c r="A33" s="224"/>
      <c r="B33" s="224"/>
      <c r="C33" s="224"/>
      <c r="D33" s="224"/>
      <c r="E33" s="224"/>
      <c r="F33" s="224"/>
      <c r="G33" s="224"/>
      <c r="H33" s="224"/>
      <c r="I33" s="224"/>
      <c r="J33" s="224"/>
      <c r="K33" s="224"/>
      <c r="L33" s="224"/>
      <c r="M33" s="224"/>
      <c r="N33" s="224"/>
      <c r="O33" s="224"/>
      <c r="P33" s="224"/>
      <c r="Q33" s="224"/>
      <c r="R33" s="224"/>
      <c r="S33" s="224"/>
      <c r="T33" s="224"/>
      <c r="U33" s="224"/>
      <c r="V33" s="224"/>
      <c r="W33" s="224"/>
      <c r="X33" s="224"/>
      <c r="Y33" s="224"/>
      <c r="Z33" s="224"/>
    </row>
    <row r="34" spans="1:26" x14ac:dyDescent="0.25">
      <c r="A34" s="839" t="s">
        <v>1488</v>
      </c>
      <c r="B34" s="224"/>
      <c r="C34" s="224"/>
      <c r="D34" s="224"/>
      <c r="E34" s="224"/>
      <c r="F34" s="224"/>
      <c r="G34" s="224"/>
      <c r="H34" s="224"/>
      <c r="I34" s="224"/>
      <c r="J34" s="224"/>
      <c r="K34" s="224"/>
      <c r="L34" s="224"/>
      <c r="M34" s="224"/>
      <c r="N34" s="224"/>
      <c r="O34" s="224"/>
      <c r="P34" s="224"/>
      <c r="Q34" s="224"/>
      <c r="R34" s="224"/>
      <c r="S34" s="224"/>
      <c r="T34" s="224"/>
      <c r="U34" s="224"/>
      <c r="V34" s="224"/>
      <c r="W34" s="224"/>
      <c r="X34" s="224"/>
      <c r="Y34" s="224"/>
      <c r="Z34" s="224"/>
    </row>
    <row r="35" spans="1:26" x14ac:dyDescent="0.25">
      <c r="A35" s="224"/>
      <c r="B35" s="224"/>
      <c r="C35" s="224"/>
      <c r="D35" s="224"/>
      <c r="E35" s="224"/>
      <c r="F35" s="224"/>
      <c r="G35" s="224"/>
      <c r="H35" s="224"/>
      <c r="I35" s="224"/>
      <c r="J35" s="224"/>
      <c r="K35" s="224"/>
      <c r="L35" s="224"/>
      <c r="M35" s="224"/>
      <c r="N35" s="224"/>
      <c r="O35" s="224"/>
      <c r="P35" s="224"/>
      <c r="Q35" s="224"/>
      <c r="R35" s="224"/>
      <c r="S35" s="224"/>
      <c r="T35" s="224"/>
      <c r="U35" s="224"/>
      <c r="V35" s="224"/>
      <c r="W35" s="224"/>
      <c r="X35" s="224"/>
      <c r="Y35" s="224"/>
      <c r="Z35" s="224"/>
    </row>
    <row r="36" spans="1:26" x14ac:dyDescent="0.25">
      <c r="A36" s="839" t="s">
        <v>1485</v>
      </c>
      <c r="B36" s="224"/>
      <c r="C36" s="224"/>
      <c r="D36" s="224"/>
      <c r="E36" s="224"/>
      <c r="F36" s="224"/>
      <c r="G36" s="224"/>
      <c r="H36" s="224"/>
      <c r="I36" s="224"/>
      <c r="J36" s="224"/>
      <c r="K36" s="224"/>
      <c r="L36" s="224"/>
      <c r="M36" s="224"/>
      <c r="N36" s="224"/>
      <c r="O36" s="224"/>
      <c r="P36" s="224"/>
      <c r="Q36" s="224"/>
      <c r="R36" s="224"/>
      <c r="S36" s="224"/>
      <c r="T36" s="224"/>
      <c r="U36" s="224"/>
      <c r="V36" s="224"/>
      <c r="W36" s="224"/>
      <c r="X36" s="224"/>
      <c r="Y36" s="224"/>
      <c r="Z36" s="224"/>
    </row>
    <row r="37" spans="1:26" x14ac:dyDescent="0.25">
      <c r="A37" s="224"/>
      <c r="B37" s="224"/>
      <c r="C37" s="224"/>
      <c r="D37" s="224"/>
      <c r="E37" s="224"/>
      <c r="F37" s="224"/>
      <c r="G37" s="224"/>
      <c r="H37" s="224"/>
      <c r="I37" s="224"/>
      <c r="J37" s="224"/>
      <c r="K37" s="224"/>
      <c r="L37" s="224"/>
      <c r="M37" s="224"/>
      <c r="N37" s="224"/>
      <c r="O37" s="224"/>
      <c r="P37" s="224"/>
      <c r="Q37" s="224"/>
      <c r="R37" s="224"/>
      <c r="S37" s="224"/>
      <c r="T37" s="224"/>
      <c r="U37" s="224"/>
      <c r="V37" s="224"/>
      <c r="W37" s="224"/>
      <c r="X37" s="224"/>
      <c r="Y37" s="224"/>
      <c r="Z37" s="224"/>
    </row>
    <row r="38" spans="1:26" x14ac:dyDescent="0.25">
      <c r="A38" s="839" t="s">
        <v>977</v>
      </c>
      <c r="B38" s="224"/>
      <c r="C38" s="224"/>
      <c r="D38" s="224"/>
      <c r="E38" s="224"/>
      <c r="F38" s="224"/>
      <c r="G38" s="224"/>
      <c r="H38" s="224"/>
      <c r="I38" s="224"/>
      <c r="J38" s="224"/>
      <c r="K38" s="224"/>
      <c r="L38" s="224"/>
      <c r="M38" s="224"/>
      <c r="N38" s="224"/>
      <c r="O38" s="224"/>
      <c r="P38" s="224"/>
      <c r="Q38" s="224"/>
      <c r="R38" s="224"/>
      <c r="S38" s="224"/>
      <c r="T38" s="224"/>
      <c r="U38" s="224"/>
      <c r="V38" s="224"/>
      <c r="W38" s="224"/>
      <c r="X38" s="224"/>
      <c r="Y38" s="224"/>
      <c r="Z38" s="224"/>
    </row>
    <row r="39" spans="1:26" x14ac:dyDescent="0.25">
      <c r="A39" s="224"/>
      <c r="B39" s="224"/>
      <c r="C39" s="224"/>
      <c r="D39" s="224"/>
      <c r="E39" s="224"/>
      <c r="F39" s="224"/>
      <c r="G39" s="224"/>
      <c r="H39" s="224"/>
      <c r="I39" s="224"/>
      <c r="J39" s="224"/>
      <c r="K39" s="224"/>
      <c r="L39" s="224"/>
      <c r="M39" s="224"/>
      <c r="N39" s="224"/>
      <c r="O39" s="224"/>
      <c r="P39" s="224"/>
      <c r="Q39" s="224"/>
      <c r="R39" s="224"/>
      <c r="S39" s="224"/>
      <c r="T39" s="224"/>
      <c r="U39" s="224"/>
      <c r="V39" s="224"/>
      <c r="W39" s="224"/>
      <c r="X39" s="224"/>
      <c r="Y39" s="224"/>
      <c r="Z39" s="224"/>
    </row>
    <row r="40" spans="1:26" x14ac:dyDescent="0.25">
      <c r="A40" s="923" t="s">
        <v>1979</v>
      </c>
      <c r="B40" s="224"/>
      <c r="C40" s="224"/>
      <c r="D40" s="224"/>
      <c r="E40" s="224"/>
      <c r="F40" s="224"/>
      <c r="G40" s="224"/>
      <c r="H40" s="224"/>
      <c r="I40" s="224"/>
      <c r="J40" s="224"/>
      <c r="K40" s="224"/>
      <c r="L40" s="224"/>
      <c r="M40" s="224"/>
      <c r="N40" s="224"/>
      <c r="O40" s="224"/>
      <c r="P40" s="224"/>
      <c r="Q40" s="224"/>
      <c r="R40" s="224"/>
      <c r="S40" s="224"/>
      <c r="T40" s="224"/>
      <c r="U40" s="224"/>
      <c r="V40" s="224"/>
      <c r="W40" s="224"/>
      <c r="X40" s="224"/>
      <c r="Y40" s="224"/>
      <c r="Z40" s="224"/>
    </row>
    <row r="41" spans="1:26" x14ac:dyDescent="0.25">
      <c r="A41" s="839" t="s">
        <v>1981</v>
      </c>
      <c r="B41" s="224"/>
      <c r="C41" s="224"/>
      <c r="D41" s="224"/>
      <c r="E41" s="224"/>
      <c r="F41" s="224"/>
      <c r="G41" s="224"/>
      <c r="H41" s="224"/>
      <c r="I41" s="224"/>
      <c r="J41" s="224"/>
      <c r="K41" s="224"/>
      <c r="L41" s="224"/>
      <c r="M41" s="224"/>
      <c r="N41" s="224"/>
      <c r="O41" s="224"/>
      <c r="P41" s="224"/>
      <c r="Q41" s="224"/>
      <c r="R41" s="224"/>
      <c r="S41" s="224"/>
      <c r="T41" s="224"/>
      <c r="U41" s="224"/>
      <c r="V41" s="224"/>
      <c r="W41" s="224"/>
      <c r="X41" s="224"/>
      <c r="Y41" s="224"/>
      <c r="Z41" s="224"/>
    </row>
    <row r="42" spans="1:26" x14ac:dyDescent="0.25">
      <c r="A42" s="2" t="s">
        <v>1980</v>
      </c>
      <c r="B42" s="224"/>
      <c r="C42" s="224"/>
      <c r="D42" s="224"/>
      <c r="E42" s="224"/>
      <c r="F42" s="224"/>
      <c r="G42" s="224"/>
      <c r="H42" s="224"/>
      <c r="I42" s="224"/>
      <c r="J42" s="224"/>
      <c r="K42" s="224"/>
      <c r="L42" s="224"/>
      <c r="M42" s="224"/>
      <c r="N42" s="224"/>
      <c r="O42" s="224"/>
      <c r="P42" s="224"/>
      <c r="Q42" s="224"/>
      <c r="R42" s="224"/>
      <c r="S42" s="224"/>
      <c r="T42" s="224"/>
      <c r="U42" s="224"/>
      <c r="V42" s="224"/>
      <c r="W42" s="224"/>
      <c r="X42" s="224"/>
      <c r="Y42" s="224"/>
      <c r="Z42" s="224"/>
    </row>
    <row r="43" spans="1:26" x14ac:dyDescent="0.25">
      <c r="B43" s="224"/>
      <c r="C43" s="224"/>
      <c r="D43" s="224"/>
      <c r="E43" s="224"/>
      <c r="F43" s="224"/>
      <c r="G43" s="224"/>
      <c r="H43" s="224"/>
      <c r="I43" s="224"/>
      <c r="J43" s="224"/>
      <c r="K43" s="224"/>
      <c r="L43" s="224"/>
      <c r="M43" s="224"/>
      <c r="N43" s="224"/>
      <c r="O43" s="224"/>
      <c r="P43" s="224"/>
      <c r="Q43" s="224"/>
      <c r="R43" s="224"/>
      <c r="S43" s="224"/>
      <c r="T43" s="224"/>
      <c r="U43" s="224"/>
      <c r="V43" s="224"/>
      <c r="W43" s="224"/>
      <c r="X43" s="224"/>
      <c r="Y43" s="224"/>
      <c r="Z43" s="224"/>
    </row>
    <row r="44" spans="1:26" x14ac:dyDescent="0.25">
      <c r="A44" s="2" t="s">
        <v>1982</v>
      </c>
      <c r="B44" s="224"/>
      <c r="C44" s="224"/>
      <c r="D44" s="224"/>
      <c r="E44" s="224"/>
      <c r="F44" s="224"/>
      <c r="G44" s="224"/>
      <c r="H44" s="224"/>
      <c r="I44" s="224"/>
      <c r="J44" s="224"/>
      <c r="K44" s="224"/>
      <c r="L44" s="224"/>
      <c r="M44" s="224"/>
      <c r="N44" s="224"/>
      <c r="O44" s="224"/>
      <c r="P44" s="224"/>
      <c r="Q44" s="224"/>
      <c r="R44" s="224"/>
      <c r="S44" s="224"/>
      <c r="T44" s="224"/>
      <c r="U44" s="224"/>
      <c r="V44" s="224"/>
      <c r="W44" s="224"/>
      <c r="X44" s="224"/>
      <c r="Y44" s="224"/>
      <c r="Z44" s="224"/>
    </row>
    <row r="45" spans="1:26" x14ac:dyDescent="0.25">
      <c r="B45" s="224"/>
      <c r="C45" s="224"/>
      <c r="D45" s="224"/>
      <c r="E45" s="224"/>
      <c r="F45" s="224"/>
      <c r="G45" s="224"/>
      <c r="H45" s="224"/>
      <c r="I45" s="224"/>
      <c r="J45" s="224"/>
      <c r="K45" s="224"/>
      <c r="L45" s="224"/>
      <c r="M45" s="224"/>
      <c r="N45" s="224"/>
      <c r="O45" s="224"/>
      <c r="P45" s="224"/>
      <c r="Q45" s="224"/>
      <c r="R45" s="224"/>
      <c r="S45" s="224"/>
      <c r="T45" s="224"/>
      <c r="U45" s="224"/>
      <c r="V45" s="224"/>
      <c r="W45" s="224"/>
      <c r="X45" s="224"/>
      <c r="Y45" s="224"/>
      <c r="Z45" s="224"/>
    </row>
    <row r="46" spans="1:26" x14ac:dyDescent="0.25">
      <c r="B46" s="224"/>
      <c r="C46" s="224"/>
      <c r="D46" s="224"/>
      <c r="E46" s="224"/>
      <c r="F46" s="224"/>
      <c r="G46" s="224"/>
      <c r="H46" s="224"/>
      <c r="I46" s="224"/>
      <c r="J46" s="224"/>
      <c r="K46" s="224"/>
      <c r="L46" s="224"/>
      <c r="M46" s="224"/>
      <c r="N46" s="224"/>
      <c r="O46" s="224"/>
      <c r="P46" s="224"/>
      <c r="Q46" s="224"/>
      <c r="R46" s="224"/>
      <c r="S46" s="224"/>
      <c r="T46" s="224"/>
      <c r="U46" s="224"/>
      <c r="V46" s="224"/>
      <c r="W46" s="224"/>
      <c r="X46" s="224"/>
      <c r="Y46" s="224"/>
      <c r="Z46" s="224"/>
    </row>
    <row r="47" spans="1:26" x14ac:dyDescent="0.25">
      <c r="A47" s="1579" t="s">
        <v>1977</v>
      </c>
      <c r="B47" s="224"/>
      <c r="C47" s="224"/>
      <c r="D47" s="224"/>
      <c r="E47" s="224"/>
      <c r="F47" s="224"/>
      <c r="G47" s="224"/>
      <c r="H47" s="224"/>
      <c r="I47" s="224"/>
      <c r="J47" s="224"/>
      <c r="K47" s="224"/>
      <c r="L47" s="224"/>
      <c r="M47" s="224"/>
      <c r="N47" s="224"/>
      <c r="O47" s="224"/>
      <c r="P47" s="224"/>
      <c r="Q47" s="224"/>
      <c r="R47" s="224"/>
      <c r="S47" s="224"/>
      <c r="T47" s="224"/>
      <c r="U47" s="224"/>
      <c r="V47" s="224"/>
      <c r="W47" s="224"/>
      <c r="X47" s="224"/>
      <c r="Y47" s="224"/>
      <c r="Z47" s="224"/>
    </row>
    <row r="48" spans="1:26" x14ac:dyDescent="0.25">
      <c r="A48" s="1578" t="s">
        <v>1978</v>
      </c>
      <c r="B48" s="224"/>
      <c r="C48" s="224"/>
      <c r="D48" s="224"/>
      <c r="E48" s="224"/>
      <c r="F48" s="224"/>
      <c r="G48" s="224"/>
      <c r="H48" s="224"/>
      <c r="I48" s="224"/>
      <c r="J48" s="224"/>
      <c r="K48" s="224"/>
      <c r="L48" s="224"/>
      <c r="M48" s="224"/>
      <c r="N48" s="224"/>
      <c r="O48" s="224"/>
      <c r="P48" s="224"/>
      <c r="Q48" s="224"/>
      <c r="R48" s="224"/>
      <c r="S48" s="224"/>
      <c r="T48" s="224"/>
      <c r="U48" s="224"/>
      <c r="V48" s="224"/>
      <c r="W48" s="224"/>
      <c r="X48" s="224"/>
      <c r="Y48" s="224"/>
      <c r="Z48" s="224"/>
    </row>
    <row r="49" spans="1:26" x14ac:dyDescent="0.25">
      <c r="A49" s="224"/>
      <c r="B49" s="224"/>
      <c r="C49" s="224"/>
      <c r="D49" s="224"/>
      <c r="E49" s="224"/>
      <c r="F49" s="224"/>
      <c r="G49" s="224"/>
      <c r="H49" s="224"/>
      <c r="I49" s="224"/>
      <c r="J49" s="224"/>
      <c r="K49" s="224"/>
      <c r="L49" s="224"/>
      <c r="M49" s="224"/>
      <c r="N49" s="224"/>
      <c r="O49" s="224"/>
      <c r="P49" s="224"/>
      <c r="Q49" s="224"/>
      <c r="R49" s="224"/>
      <c r="S49" s="224"/>
      <c r="T49" s="224"/>
      <c r="U49" s="224"/>
      <c r="V49" s="224"/>
      <c r="W49" s="224"/>
      <c r="X49" s="224"/>
      <c r="Y49" s="224"/>
      <c r="Z49" s="224"/>
    </row>
    <row r="50" spans="1:26" x14ac:dyDescent="0.25">
      <c r="A50" s="224"/>
      <c r="B50" s="224"/>
      <c r="C50" s="224"/>
      <c r="D50" s="224"/>
      <c r="E50" s="224"/>
      <c r="F50" s="224"/>
      <c r="G50" s="224"/>
      <c r="H50" s="224"/>
      <c r="I50" s="224"/>
      <c r="J50" s="224"/>
      <c r="K50" s="224"/>
      <c r="L50" s="224"/>
      <c r="M50" s="224"/>
      <c r="N50" s="224"/>
      <c r="O50" s="224"/>
      <c r="P50" s="224"/>
      <c r="Q50" s="224"/>
      <c r="R50" s="224"/>
      <c r="S50" s="224"/>
      <c r="T50" s="224"/>
      <c r="U50" s="224"/>
      <c r="V50" s="224"/>
      <c r="W50" s="224"/>
      <c r="X50" s="224"/>
      <c r="Y50" s="224"/>
      <c r="Z50" s="224"/>
    </row>
    <row r="51" spans="1:26" x14ac:dyDescent="0.25">
      <c r="A51" s="224"/>
      <c r="B51" s="224"/>
      <c r="C51" s="224"/>
      <c r="D51" s="224"/>
      <c r="E51" s="224"/>
      <c r="F51" s="224"/>
      <c r="G51" s="224"/>
      <c r="H51" s="224"/>
      <c r="I51" s="224"/>
      <c r="J51" s="224"/>
      <c r="K51" s="224"/>
      <c r="L51" s="224"/>
      <c r="M51" s="224"/>
      <c r="N51" s="224"/>
      <c r="O51" s="224"/>
      <c r="P51" s="224"/>
      <c r="Q51" s="224"/>
      <c r="R51" s="224"/>
      <c r="S51" s="224"/>
      <c r="T51" s="224"/>
      <c r="U51" s="224"/>
      <c r="V51" s="224"/>
      <c r="W51" s="224"/>
      <c r="X51" s="224"/>
      <c r="Y51" s="224"/>
      <c r="Z51" s="224"/>
    </row>
    <row r="52" spans="1:26" x14ac:dyDescent="0.25">
      <c r="A52" s="224"/>
      <c r="B52" s="224"/>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row>
    <row r="53" spans="1:26" x14ac:dyDescent="0.25">
      <c r="A53" s="224"/>
      <c r="B53" s="224"/>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row>
    <row r="54" spans="1:26" x14ac:dyDescent="0.25">
      <c r="A54" s="224"/>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row>
    <row r="55" spans="1:26" x14ac:dyDescent="0.25">
      <c r="A55" s="224"/>
      <c r="B55" s="224"/>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row>
    <row r="56" spans="1:26" x14ac:dyDescent="0.25">
      <c r="A56" s="224"/>
      <c r="B56" s="224"/>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row>
    <row r="57" spans="1:26" x14ac:dyDescent="0.25">
      <c r="A57" s="224"/>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row>
    <row r="58" spans="1:26" x14ac:dyDescent="0.25">
      <c r="A58" s="224"/>
      <c r="B58" s="224"/>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row>
    <row r="59" spans="1:26" x14ac:dyDescent="0.25">
      <c r="A59" s="224"/>
      <c r="B59" s="224"/>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row>
    <row r="60" spans="1:26" x14ac:dyDescent="0.25">
      <c r="A60" s="224"/>
      <c r="B60" s="224"/>
      <c r="C60" s="224"/>
      <c r="D60" s="224"/>
      <c r="E60" s="224"/>
      <c r="F60" s="224"/>
      <c r="G60" s="224"/>
      <c r="H60" s="224"/>
      <c r="I60" s="224"/>
      <c r="J60" s="224"/>
      <c r="K60" s="224"/>
      <c r="L60" s="224"/>
      <c r="M60" s="224"/>
      <c r="N60" s="224"/>
      <c r="O60" s="224"/>
      <c r="P60" s="224"/>
      <c r="Q60" s="224"/>
      <c r="R60" s="224"/>
      <c r="S60" s="224"/>
      <c r="T60" s="224"/>
      <c r="U60" s="224"/>
      <c r="V60" s="224"/>
      <c r="W60" s="224"/>
      <c r="X60" s="224"/>
      <c r="Y60" s="224"/>
      <c r="Z60" s="224"/>
    </row>
    <row r="61" spans="1:26" x14ac:dyDescent="0.25">
      <c r="A61" s="224"/>
      <c r="B61" s="224"/>
      <c r="C61" s="224"/>
      <c r="D61" s="224"/>
      <c r="E61" s="224"/>
      <c r="F61" s="224"/>
      <c r="G61" s="224"/>
      <c r="H61" s="224"/>
      <c r="I61" s="224"/>
      <c r="J61" s="224"/>
      <c r="K61" s="224"/>
      <c r="L61" s="224"/>
      <c r="M61" s="224"/>
      <c r="N61" s="224"/>
      <c r="O61" s="224"/>
      <c r="P61" s="224"/>
      <c r="Q61" s="224"/>
      <c r="R61" s="224"/>
      <c r="S61" s="224"/>
      <c r="T61" s="224"/>
      <c r="U61" s="224"/>
      <c r="V61" s="224"/>
      <c r="W61" s="224"/>
      <c r="X61" s="224"/>
      <c r="Y61" s="224"/>
      <c r="Z61" s="224"/>
    </row>
    <row r="62" spans="1:26" x14ac:dyDescent="0.25">
      <c r="A62" s="224"/>
      <c r="B62" s="224"/>
      <c r="C62" s="224"/>
      <c r="D62" s="224"/>
      <c r="E62" s="224"/>
      <c r="F62" s="224"/>
      <c r="G62" s="224"/>
      <c r="H62" s="224"/>
      <c r="I62" s="224"/>
      <c r="J62" s="224"/>
      <c r="K62" s="224"/>
      <c r="L62" s="224"/>
      <c r="M62" s="224"/>
      <c r="N62" s="224"/>
      <c r="O62" s="224"/>
      <c r="P62" s="224"/>
      <c r="Q62" s="224"/>
      <c r="R62" s="224"/>
      <c r="S62" s="224"/>
      <c r="T62" s="224"/>
      <c r="U62" s="224"/>
      <c r="V62" s="224"/>
      <c r="W62" s="224"/>
      <c r="X62" s="224"/>
      <c r="Y62" s="224"/>
      <c r="Z62" s="224"/>
    </row>
    <row r="63" spans="1:26" x14ac:dyDescent="0.25">
      <c r="A63" s="224"/>
      <c r="B63" s="224"/>
      <c r="C63" s="224"/>
      <c r="D63" s="224"/>
      <c r="E63" s="224"/>
      <c r="F63" s="224"/>
      <c r="G63" s="224"/>
      <c r="H63" s="224"/>
      <c r="I63" s="224"/>
      <c r="J63" s="224"/>
      <c r="K63" s="224"/>
      <c r="L63" s="224"/>
      <c r="M63" s="224"/>
      <c r="N63" s="224"/>
      <c r="O63" s="224"/>
      <c r="P63" s="224"/>
      <c r="Q63" s="224"/>
      <c r="R63" s="224"/>
      <c r="S63" s="224"/>
      <c r="T63" s="224"/>
      <c r="U63" s="224"/>
      <c r="V63" s="224"/>
      <c r="W63" s="224"/>
      <c r="X63" s="224"/>
      <c r="Y63" s="224"/>
      <c r="Z63" s="224"/>
    </row>
    <row r="64" spans="1:26" x14ac:dyDescent="0.25">
      <c r="A64" s="224"/>
      <c r="B64" s="224"/>
      <c r="C64" s="224"/>
      <c r="D64" s="224"/>
      <c r="E64" s="224"/>
      <c r="F64" s="224"/>
      <c r="G64" s="224"/>
      <c r="H64" s="224"/>
      <c r="I64" s="224"/>
      <c r="J64" s="224"/>
      <c r="K64" s="224"/>
      <c r="L64" s="224"/>
      <c r="M64" s="224"/>
      <c r="N64" s="224"/>
      <c r="O64" s="224"/>
      <c r="P64" s="224"/>
      <c r="Q64" s="224"/>
      <c r="R64" s="224"/>
      <c r="S64" s="224"/>
      <c r="T64" s="224"/>
      <c r="U64" s="224"/>
      <c r="V64" s="224"/>
      <c r="W64" s="224"/>
      <c r="X64" s="224"/>
      <c r="Y64" s="224"/>
      <c r="Z64" s="224"/>
    </row>
    <row r="65" spans="1:26" x14ac:dyDescent="0.25">
      <c r="A65" s="224"/>
      <c r="B65" s="224"/>
      <c r="C65" s="224"/>
      <c r="D65" s="224"/>
      <c r="E65" s="224"/>
      <c r="F65" s="224"/>
      <c r="G65" s="224"/>
      <c r="H65" s="224"/>
      <c r="I65" s="224"/>
      <c r="J65" s="224"/>
      <c r="K65" s="224"/>
      <c r="L65" s="224"/>
      <c r="M65" s="224"/>
      <c r="N65" s="224"/>
      <c r="O65" s="224"/>
      <c r="P65" s="224"/>
      <c r="Q65" s="224"/>
      <c r="R65" s="224"/>
      <c r="S65" s="224"/>
      <c r="T65" s="224"/>
      <c r="U65" s="224"/>
      <c r="V65" s="224"/>
      <c r="W65" s="224"/>
      <c r="X65" s="224"/>
      <c r="Y65" s="224"/>
      <c r="Z65" s="224"/>
    </row>
    <row r="66" spans="1:26" x14ac:dyDescent="0.25">
      <c r="A66" s="224"/>
      <c r="B66" s="224"/>
      <c r="C66" s="224"/>
      <c r="D66" s="224"/>
      <c r="E66" s="224"/>
      <c r="F66" s="224"/>
      <c r="G66" s="224"/>
      <c r="H66" s="224"/>
      <c r="I66" s="224"/>
      <c r="J66" s="224"/>
      <c r="K66" s="224"/>
      <c r="L66" s="224"/>
      <c r="M66" s="224"/>
      <c r="N66" s="224"/>
      <c r="O66" s="224"/>
      <c r="P66" s="224"/>
      <c r="Q66" s="224"/>
      <c r="R66" s="224"/>
      <c r="S66" s="224"/>
      <c r="T66" s="224"/>
      <c r="U66" s="224"/>
      <c r="V66" s="224"/>
      <c r="W66" s="224"/>
      <c r="X66" s="224"/>
      <c r="Y66" s="224"/>
      <c r="Z66" s="224"/>
    </row>
    <row r="67" spans="1:26" x14ac:dyDescent="0.25">
      <c r="A67" s="224"/>
      <c r="B67" s="224"/>
      <c r="C67" s="224"/>
      <c r="D67" s="224"/>
      <c r="E67" s="224"/>
      <c r="F67" s="224"/>
      <c r="G67" s="224"/>
      <c r="H67" s="224"/>
      <c r="I67" s="224"/>
      <c r="J67" s="224"/>
      <c r="K67" s="224"/>
      <c r="L67" s="224"/>
      <c r="M67" s="224"/>
      <c r="N67" s="224"/>
      <c r="O67" s="224"/>
      <c r="P67" s="224"/>
      <c r="Q67" s="224"/>
      <c r="R67" s="224"/>
      <c r="S67" s="224"/>
      <c r="T67" s="224"/>
      <c r="U67" s="224"/>
      <c r="V67" s="224"/>
      <c r="W67" s="224"/>
      <c r="X67" s="224"/>
      <c r="Y67" s="224"/>
      <c r="Z67" s="224"/>
    </row>
    <row r="68" spans="1:26" x14ac:dyDescent="0.25">
      <c r="A68" s="224"/>
      <c r="B68" s="224"/>
      <c r="C68" s="224"/>
      <c r="D68" s="224"/>
      <c r="E68" s="224"/>
      <c r="F68" s="224"/>
      <c r="G68" s="224"/>
      <c r="H68" s="224"/>
      <c r="I68" s="224"/>
      <c r="J68" s="224"/>
      <c r="K68" s="224"/>
      <c r="L68" s="224"/>
      <c r="M68" s="224"/>
      <c r="N68" s="224"/>
      <c r="O68" s="224"/>
      <c r="P68" s="224"/>
      <c r="Q68" s="224"/>
      <c r="R68" s="224"/>
      <c r="S68" s="224"/>
      <c r="T68" s="224"/>
      <c r="U68" s="224"/>
      <c r="V68" s="224"/>
      <c r="W68" s="224"/>
      <c r="X68" s="224"/>
      <c r="Y68" s="224"/>
      <c r="Z68" s="224"/>
    </row>
    <row r="69" spans="1:26" x14ac:dyDescent="0.25">
      <c r="A69" s="224"/>
      <c r="B69" s="224"/>
      <c r="C69" s="224"/>
      <c r="D69" s="224"/>
      <c r="E69" s="224"/>
      <c r="F69" s="224"/>
      <c r="G69" s="224"/>
      <c r="H69" s="224"/>
      <c r="I69" s="224"/>
      <c r="J69" s="224"/>
      <c r="K69" s="224"/>
      <c r="L69" s="224"/>
      <c r="M69" s="224"/>
      <c r="N69" s="224"/>
      <c r="O69" s="224"/>
      <c r="P69" s="224"/>
      <c r="Q69" s="224"/>
      <c r="R69" s="224"/>
      <c r="S69" s="224"/>
      <c r="T69" s="224"/>
      <c r="U69" s="224"/>
      <c r="V69" s="224"/>
      <c r="W69" s="224"/>
      <c r="X69" s="224"/>
      <c r="Y69" s="224"/>
      <c r="Z69" s="224"/>
    </row>
    <row r="70" spans="1:26" x14ac:dyDescent="0.25">
      <c r="A70" s="224"/>
      <c r="B70" s="224"/>
      <c r="C70" s="224"/>
      <c r="D70" s="224"/>
      <c r="E70" s="224"/>
      <c r="F70" s="224"/>
      <c r="G70" s="224"/>
      <c r="H70" s="224"/>
      <c r="I70" s="224"/>
      <c r="J70" s="224"/>
      <c r="K70" s="224"/>
      <c r="L70" s="224"/>
      <c r="M70" s="224"/>
      <c r="N70" s="224"/>
      <c r="O70" s="224"/>
      <c r="P70" s="224"/>
      <c r="Q70" s="224"/>
      <c r="R70" s="224"/>
      <c r="S70" s="224"/>
      <c r="T70" s="224"/>
      <c r="U70" s="224"/>
      <c r="V70" s="224"/>
      <c r="W70" s="224"/>
      <c r="X70" s="224"/>
      <c r="Y70" s="224"/>
      <c r="Z70" s="224"/>
    </row>
    <row r="71" spans="1:26" x14ac:dyDescent="0.25">
      <c r="A71" s="224"/>
      <c r="B71" s="224"/>
      <c r="C71" s="224"/>
      <c r="D71" s="224"/>
      <c r="E71" s="224"/>
      <c r="F71" s="224"/>
      <c r="G71" s="224"/>
      <c r="H71" s="224"/>
      <c r="I71" s="224"/>
      <c r="J71" s="224"/>
      <c r="K71" s="224"/>
      <c r="L71" s="224"/>
      <c r="M71" s="224"/>
      <c r="N71" s="224"/>
      <c r="O71" s="224"/>
      <c r="P71" s="224"/>
      <c r="Q71" s="224"/>
      <c r="R71" s="224"/>
      <c r="S71" s="224"/>
      <c r="T71" s="224"/>
      <c r="U71" s="224"/>
      <c r="V71" s="224"/>
      <c r="W71" s="224"/>
      <c r="X71" s="224"/>
      <c r="Y71" s="224"/>
      <c r="Z71" s="224"/>
    </row>
    <row r="72" spans="1:26" x14ac:dyDescent="0.25">
      <c r="A72" s="224"/>
      <c r="B72" s="224"/>
      <c r="C72" s="224"/>
      <c r="D72" s="224"/>
      <c r="E72" s="224"/>
      <c r="F72" s="224"/>
      <c r="G72" s="224"/>
      <c r="H72" s="224"/>
      <c r="I72" s="224"/>
      <c r="J72" s="224"/>
      <c r="K72" s="224"/>
      <c r="L72" s="224"/>
      <c r="M72" s="224"/>
      <c r="N72" s="224"/>
      <c r="O72" s="224"/>
      <c r="P72" s="224"/>
      <c r="Q72" s="224"/>
      <c r="R72" s="224"/>
      <c r="S72" s="224"/>
      <c r="T72" s="224"/>
      <c r="U72" s="224"/>
      <c r="V72" s="224"/>
      <c r="W72" s="224"/>
      <c r="X72" s="224"/>
      <c r="Y72" s="224"/>
      <c r="Z72" s="224"/>
    </row>
    <row r="73" spans="1:26" x14ac:dyDescent="0.25">
      <c r="A73" s="224"/>
      <c r="B73" s="224"/>
      <c r="C73" s="224"/>
      <c r="D73" s="224"/>
      <c r="E73" s="224"/>
      <c r="F73" s="224"/>
      <c r="G73" s="224"/>
      <c r="H73" s="224"/>
      <c r="I73" s="224"/>
      <c r="J73" s="224"/>
      <c r="K73" s="224"/>
      <c r="L73" s="224"/>
      <c r="M73" s="224"/>
      <c r="N73" s="224"/>
      <c r="O73" s="224"/>
      <c r="P73" s="224"/>
      <c r="Q73" s="224"/>
      <c r="R73" s="224"/>
      <c r="S73" s="224"/>
      <c r="T73" s="224"/>
      <c r="U73" s="224"/>
      <c r="V73" s="224"/>
      <c r="W73" s="224"/>
      <c r="X73" s="224"/>
      <c r="Y73" s="224"/>
      <c r="Z73" s="224"/>
    </row>
    <row r="74" spans="1:26" x14ac:dyDescent="0.25">
      <c r="A74" s="224"/>
      <c r="B74" s="224"/>
      <c r="C74" s="224"/>
      <c r="D74" s="224"/>
      <c r="E74" s="224"/>
      <c r="F74" s="224"/>
      <c r="G74" s="224"/>
      <c r="H74" s="224"/>
      <c r="I74" s="224"/>
      <c r="J74" s="224"/>
      <c r="K74" s="224"/>
      <c r="L74" s="224"/>
      <c r="M74" s="224"/>
      <c r="N74" s="224"/>
      <c r="O74" s="224"/>
      <c r="P74" s="224"/>
      <c r="Q74" s="224"/>
      <c r="R74" s="224"/>
      <c r="S74" s="224"/>
      <c r="T74" s="224"/>
      <c r="U74" s="224"/>
      <c r="V74" s="224"/>
      <c r="W74" s="224"/>
      <c r="X74" s="224"/>
      <c r="Y74" s="224"/>
      <c r="Z74" s="224"/>
    </row>
    <row r="75" spans="1:26" x14ac:dyDescent="0.25">
      <c r="A75" s="224"/>
      <c r="B75" s="224"/>
      <c r="C75" s="224"/>
      <c r="D75" s="224"/>
      <c r="E75" s="224"/>
      <c r="F75" s="224"/>
      <c r="G75" s="224"/>
      <c r="H75" s="224"/>
      <c r="I75" s="224"/>
      <c r="J75" s="224"/>
      <c r="K75" s="224"/>
      <c r="L75" s="224"/>
      <c r="M75" s="224"/>
      <c r="N75" s="224"/>
      <c r="O75" s="224"/>
      <c r="P75" s="224"/>
      <c r="Q75" s="224"/>
      <c r="R75" s="224"/>
      <c r="S75" s="224"/>
      <c r="T75" s="224"/>
      <c r="U75" s="224"/>
      <c r="V75" s="224"/>
      <c r="W75" s="224"/>
      <c r="X75" s="224"/>
      <c r="Y75" s="224"/>
      <c r="Z75" s="224"/>
    </row>
    <row r="76" spans="1:26" x14ac:dyDescent="0.25">
      <c r="A76" s="224"/>
      <c r="B76" s="224"/>
      <c r="C76" s="224"/>
      <c r="D76" s="224"/>
      <c r="E76" s="224"/>
      <c r="F76" s="224"/>
      <c r="G76" s="224"/>
      <c r="H76" s="224"/>
      <c r="I76" s="224"/>
      <c r="J76" s="224"/>
      <c r="K76" s="224"/>
      <c r="L76" s="224"/>
      <c r="M76" s="224"/>
      <c r="N76" s="224"/>
      <c r="O76" s="224"/>
      <c r="P76" s="224"/>
      <c r="Q76" s="224"/>
      <c r="R76" s="224"/>
      <c r="S76" s="224"/>
      <c r="T76" s="224"/>
      <c r="U76" s="224"/>
      <c r="V76" s="224"/>
      <c r="W76" s="224"/>
      <c r="X76" s="224"/>
      <c r="Y76" s="224"/>
      <c r="Z76" s="224"/>
    </row>
    <row r="77" spans="1:26" x14ac:dyDescent="0.25">
      <c r="A77" s="224"/>
      <c r="B77" s="224"/>
      <c r="C77" s="224"/>
      <c r="D77" s="224"/>
      <c r="E77" s="224"/>
      <c r="F77" s="224"/>
      <c r="G77" s="224"/>
      <c r="H77" s="224"/>
      <c r="I77" s="224"/>
      <c r="J77" s="224"/>
      <c r="K77" s="224"/>
      <c r="L77" s="224"/>
      <c r="M77" s="224"/>
      <c r="N77" s="224"/>
      <c r="O77" s="224"/>
      <c r="P77" s="224"/>
      <c r="Q77" s="224"/>
      <c r="R77" s="224"/>
      <c r="S77" s="224"/>
      <c r="T77" s="224"/>
      <c r="U77" s="224"/>
      <c r="V77" s="224"/>
      <c r="W77" s="224"/>
      <c r="X77" s="224"/>
      <c r="Y77" s="224"/>
      <c r="Z77" s="224"/>
    </row>
    <row r="78" spans="1:26" x14ac:dyDescent="0.25">
      <c r="A78" s="224"/>
      <c r="B78" s="224"/>
      <c r="C78" s="224"/>
      <c r="D78" s="224"/>
      <c r="E78" s="224"/>
      <c r="F78" s="224"/>
      <c r="G78" s="224"/>
      <c r="H78" s="224"/>
      <c r="I78" s="224"/>
      <c r="J78" s="224"/>
      <c r="K78" s="224"/>
      <c r="L78" s="224"/>
      <c r="M78" s="224"/>
      <c r="N78" s="224"/>
      <c r="O78" s="224"/>
      <c r="P78" s="224"/>
      <c r="Q78" s="224"/>
      <c r="R78" s="224"/>
      <c r="S78" s="224"/>
      <c r="T78" s="224"/>
      <c r="U78" s="224"/>
      <c r="V78" s="224"/>
      <c r="W78" s="224"/>
      <c r="X78" s="224"/>
      <c r="Y78" s="224"/>
      <c r="Z78" s="224"/>
    </row>
    <row r="79" spans="1:26" x14ac:dyDescent="0.25">
      <c r="A79" s="224"/>
      <c r="B79" s="224"/>
      <c r="C79" s="224"/>
      <c r="D79" s="224"/>
      <c r="E79" s="224"/>
      <c r="F79" s="224"/>
      <c r="G79" s="224"/>
      <c r="H79" s="224"/>
      <c r="I79" s="224"/>
      <c r="J79" s="224"/>
      <c r="K79" s="224"/>
      <c r="L79" s="224"/>
      <c r="M79" s="224"/>
      <c r="N79" s="224"/>
      <c r="O79" s="224"/>
      <c r="P79" s="224"/>
      <c r="Q79" s="224"/>
      <c r="R79" s="224"/>
      <c r="S79" s="224"/>
      <c r="T79" s="224"/>
      <c r="U79" s="224"/>
      <c r="V79" s="224"/>
      <c r="W79" s="224"/>
      <c r="X79" s="224"/>
      <c r="Y79" s="224"/>
      <c r="Z79" s="224"/>
    </row>
    <row r="80" spans="1:26" x14ac:dyDescent="0.25">
      <c r="A80" s="224"/>
      <c r="B80" s="224"/>
      <c r="C80" s="224"/>
      <c r="D80" s="224"/>
      <c r="E80" s="224"/>
      <c r="F80" s="224"/>
      <c r="G80" s="224"/>
      <c r="H80" s="224"/>
      <c r="I80" s="224"/>
      <c r="J80" s="224"/>
      <c r="K80" s="224"/>
      <c r="L80" s="224"/>
      <c r="M80" s="224"/>
      <c r="N80" s="224"/>
      <c r="O80" s="224"/>
      <c r="P80" s="224"/>
      <c r="Q80" s="224"/>
      <c r="R80" s="224"/>
      <c r="S80" s="224"/>
      <c r="T80" s="224"/>
      <c r="U80" s="224"/>
      <c r="V80" s="224"/>
      <c r="W80" s="224"/>
      <c r="X80" s="224"/>
      <c r="Y80" s="224"/>
      <c r="Z80" s="224"/>
    </row>
    <row r="81" spans="1:26" x14ac:dyDescent="0.25">
      <c r="A81" s="224"/>
      <c r="B81" s="224"/>
      <c r="C81" s="224"/>
      <c r="D81" s="224"/>
      <c r="E81" s="224"/>
      <c r="F81" s="224"/>
      <c r="G81" s="224"/>
      <c r="H81" s="224"/>
      <c r="I81" s="224"/>
      <c r="J81" s="224"/>
      <c r="K81" s="224"/>
      <c r="L81" s="224"/>
      <c r="M81" s="224"/>
      <c r="N81" s="224"/>
      <c r="O81" s="224"/>
      <c r="P81" s="224"/>
      <c r="Q81" s="224"/>
      <c r="R81" s="224"/>
      <c r="S81" s="224"/>
      <c r="T81" s="224"/>
      <c r="U81" s="224"/>
      <c r="V81" s="224"/>
      <c r="W81" s="224"/>
      <c r="X81" s="224"/>
      <c r="Y81" s="224"/>
      <c r="Z81" s="224"/>
    </row>
    <row r="82" spans="1:26" x14ac:dyDescent="0.25">
      <c r="A82" s="224"/>
      <c r="B82" s="224"/>
      <c r="C82" s="224"/>
      <c r="D82" s="224"/>
      <c r="E82" s="224"/>
      <c r="F82" s="224"/>
      <c r="G82" s="224"/>
      <c r="H82" s="224"/>
      <c r="I82" s="224"/>
      <c r="J82" s="224"/>
      <c r="K82" s="224"/>
      <c r="L82" s="224"/>
      <c r="M82" s="224"/>
      <c r="N82" s="224"/>
      <c r="O82" s="224"/>
      <c r="P82" s="224"/>
      <c r="Q82" s="224"/>
      <c r="R82" s="224"/>
      <c r="S82" s="224"/>
      <c r="T82" s="224"/>
      <c r="U82" s="224"/>
      <c r="V82" s="224"/>
      <c r="W82" s="224"/>
      <c r="X82" s="224"/>
      <c r="Y82" s="224"/>
      <c r="Z82" s="224"/>
    </row>
    <row r="83" spans="1:26" x14ac:dyDescent="0.25">
      <c r="A83" s="224"/>
      <c r="B83" s="224"/>
      <c r="C83" s="224"/>
      <c r="D83" s="224"/>
      <c r="E83" s="224"/>
      <c r="F83" s="224"/>
      <c r="G83" s="224"/>
      <c r="H83" s="224"/>
      <c r="I83" s="224"/>
      <c r="J83" s="224"/>
      <c r="K83" s="224"/>
      <c r="L83" s="224"/>
      <c r="M83" s="224"/>
      <c r="N83" s="224"/>
      <c r="O83" s="224"/>
      <c r="P83" s="224"/>
      <c r="Q83" s="224"/>
      <c r="R83" s="224"/>
      <c r="S83" s="224"/>
      <c r="T83" s="224"/>
      <c r="U83" s="224"/>
      <c r="V83" s="224"/>
      <c r="W83" s="224"/>
      <c r="X83" s="224"/>
      <c r="Y83" s="224"/>
      <c r="Z83" s="224"/>
    </row>
    <row r="84" spans="1:26" x14ac:dyDescent="0.25">
      <c r="A84" s="224"/>
      <c r="B84" s="224"/>
      <c r="C84" s="224"/>
      <c r="D84" s="224"/>
      <c r="E84" s="224"/>
      <c r="F84" s="224"/>
      <c r="G84" s="224"/>
      <c r="H84" s="224"/>
      <c r="I84" s="224"/>
      <c r="J84" s="224"/>
      <c r="K84" s="224"/>
      <c r="L84" s="224"/>
      <c r="M84" s="224"/>
      <c r="N84" s="224"/>
      <c r="O84" s="224"/>
      <c r="P84" s="224"/>
      <c r="Q84" s="224"/>
      <c r="R84" s="224"/>
      <c r="S84" s="224"/>
      <c r="T84" s="224"/>
      <c r="U84" s="224"/>
      <c r="V84" s="224"/>
      <c r="W84" s="224"/>
      <c r="X84" s="224"/>
      <c r="Y84" s="224"/>
      <c r="Z84" s="224"/>
    </row>
    <row r="85" spans="1:26" x14ac:dyDescent="0.25">
      <c r="A85" s="224"/>
      <c r="B85" s="224"/>
      <c r="C85" s="224"/>
      <c r="D85" s="224"/>
      <c r="E85" s="224"/>
      <c r="F85" s="224"/>
      <c r="G85" s="224"/>
      <c r="H85" s="224"/>
      <c r="I85" s="224"/>
      <c r="J85" s="224"/>
      <c r="K85" s="224"/>
      <c r="L85" s="224"/>
      <c r="M85" s="224"/>
      <c r="N85" s="224"/>
      <c r="O85" s="224"/>
      <c r="P85" s="224"/>
      <c r="Q85" s="224"/>
      <c r="R85" s="224"/>
      <c r="S85" s="224"/>
      <c r="T85" s="224"/>
      <c r="U85" s="224"/>
      <c r="V85" s="224"/>
      <c r="W85" s="224"/>
      <c r="X85" s="224"/>
      <c r="Y85" s="224"/>
      <c r="Z85" s="224"/>
    </row>
    <row r="86" spans="1:26" x14ac:dyDescent="0.25">
      <c r="A86" s="224"/>
      <c r="B86" s="224"/>
      <c r="C86" s="224"/>
      <c r="D86" s="224"/>
      <c r="E86" s="224"/>
      <c r="F86" s="224"/>
      <c r="G86" s="224"/>
      <c r="H86" s="224"/>
      <c r="I86" s="224"/>
      <c r="J86" s="224"/>
      <c r="K86" s="224"/>
      <c r="L86" s="224"/>
      <c r="M86" s="224"/>
      <c r="N86" s="224"/>
      <c r="O86" s="224"/>
      <c r="P86" s="224"/>
      <c r="Q86" s="224"/>
      <c r="R86" s="224"/>
      <c r="S86" s="224"/>
      <c r="T86" s="224"/>
      <c r="U86" s="224"/>
      <c r="V86" s="224"/>
      <c r="W86" s="224"/>
      <c r="X86" s="224"/>
      <c r="Y86" s="224"/>
      <c r="Z86" s="224"/>
    </row>
    <row r="87" spans="1:26" x14ac:dyDescent="0.25">
      <c r="A87" s="224"/>
      <c r="B87" s="224"/>
      <c r="C87" s="224"/>
      <c r="D87" s="224"/>
      <c r="E87" s="224"/>
      <c r="F87" s="224"/>
      <c r="G87" s="224"/>
      <c r="H87" s="224"/>
      <c r="I87" s="224"/>
      <c r="J87" s="224"/>
      <c r="K87" s="224"/>
      <c r="L87" s="224"/>
      <c r="M87" s="224"/>
      <c r="N87" s="224"/>
      <c r="O87" s="224"/>
      <c r="P87" s="224"/>
      <c r="Q87" s="224"/>
      <c r="R87" s="224"/>
      <c r="S87" s="224"/>
      <c r="T87" s="224"/>
      <c r="U87" s="224"/>
      <c r="V87" s="224"/>
      <c r="W87" s="224"/>
      <c r="X87" s="224"/>
      <c r="Y87" s="224"/>
      <c r="Z87" s="224"/>
    </row>
    <row r="88" spans="1:26" x14ac:dyDescent="0.25">
      <c r="A88" s="224"/>
      <c r="B88" s="224"/>
      <c r="C88" s="224"/>
      <c r="D88" s="224"/>
      <c r="E88" s="224"/>
      <c r="F88" s="224"/>
      <c r="G88" s="224"/>
      <c r="H88" s="224"/>
      <c r="I88" s="224"/>
      <c r="J88" s="224"/>
      <c r="K88" s="224"/>
      <c r="L88" s="224"/>
      <c r="M88" s="224"/>
      <c r="N88" s="224"/>
      <c r="O88" s="224"/>
      <c r="P88" s="224"/>
      <c r="Q88" s="224"/>
      <c r="R88" s="224"/>
      <c r="S88" s="224"/>
      <c r="T88" s="224"/>
      <c r="U88" s="224"/>
      <c r="V88" s="224"/>
      <c r="W88" s="224"/>
      <c r="X88" s="224"/>
      <c r="Y88" s="224"/>
      <c r="Z88" s="224"/>
    </row>
    <row r="89" spans="1:26" x14ac:dyDescent="0.25">
      <c r="A89" s="224"/>
      <c r="B89" s="224"/>
      <c r="C89" s="224"/>
      <c r="D89" s="224"/>
      <c r="E89" s="224"/>
      <c r="F89" s="224"/>
      <c r="G89" s="224"/>
      <c r="H89" s="224"/>
      <c r="I89" s="224"/>
      <c r="J89" s="224"/>
      <c r="K89" s="224"/>
      <c r="L89" s="224"/>
      <c r="M89" s="224"/>
      <c r="N89" s="224"/>
      <c r="O89" s="224"/>
      <c r="P89" s="224"/>
      <c r="Q89" s="224"/>
      <c r="R89" s="224"/>
      <c r="S89" s="224"/>
      <c r="T89" s="224"/>
      <c r="U89" s="224"/>
      <c r="V89" s="224"/>
      <c r="W89" s="224"/>
      <c r="X89" s="224"/>
      <c r="Y89" s="224"/>
      <c r="Z89" s="224"/>
    </row>
    <row r="90" spans="1:26" x14ac:dyDescent="0.25">
      <c r="A90" s="224"/>
      <c r="B90" s="224"/>
      <c r="C90" s="224"/>
      <c r="D90" s="224"/>
      <c r="E90" s="224"/>
      <c r="F90" s="224"/>
      <c r="G90" s="224"/>
      <c r="H90" s="224"/>
      <c r="I90" s="224"/>
      <c r="J90" s="224"/>
      <c r="K90" s="224"/>
      <c r="L90" s="224"/>
      <c r="M90" s="224"/>
      <c r="N90" s="224"/>
      <c r="O90" s="224"/>
      <c r="P90" s="224"/>
      <c r="Q90" s="224"/>
      <c r="R90" s="224"/>
      <c r="S90" s="224"/>
      <c r="T90" s="224"/>
      <c r="U90" s="224"/>
      <c r="V90" s="224"/>
      <c r="W90" s="224"/>
      <c r="X90" s="224"/>
      <c r="Y90" s="224"/>
      <c r="Z90" s="224"/>
    </row>
    <row r="91" spans="1:26" x14ac:dyDescent="0.25">
      <c r="A91" s="224"/>
      <c r="B91" s="224"/>
      <c r="C91" s="224"/>
      <c r="D91" s="224"/>
      <c r="E91" s="224"/>
      <c r="F91" s="224"/>
      <c r="G91" s="224"/>
      <c r="H91" s="224"/>
      <c r="I91" s="224"/>
      <c r="J91" s="224"/>
      <c r="K91" s="224"/>
      <c r="L91" s="224"/>
      <c r="M91" s="224"/>
      <c r="N91" s="224"/>
      <c r="O91" s="224"/>
      <c r="P91" s="224"/>
      <c r="Q91" s="224"/>
      <c r="R91" s="224"/>
      <c r="S91" s="224"/>
      <c r="T91" s="224"/>
      <c r="U91" s="224"/>
      <c r="V91" s="224"/>
      <c r="W91" s="224"/>
      <c r="X91" s="224"/>
      <c r="Y91" s="224"/>
      <c r="Z91" s="224"/>
    </row>
    <row r="92" spans="1:26" x14ac:dyDescent="0.25">
      <c r="A92" s="224"/>
      <c r="B92" s="224"/>
      <c r="C92" s="224"/>
      <c r="D92" s="224"/>
      <c r="E92" s="224"/>
      <c r="F92" s="224"/>
      <c r="G92" s="224"/>
      <c r="H92" s="224"/>
      <c r="I92" s="224"/>
      <c r="J92" s="224"/>
      <c r="K92" s="224"/>
      <c r="L92" s="224"/>
      <c r="M92" s="224"/>
      <c r="N92" s="224"/>
      <c r="O92" s="224"/>
      <c r="P92" s="224"/>
      <c r="Q92" s="224"/>
      <c r="R92" s="224"/>
      <c r="S92" s="224"/>
      <c r="T92" s="224"/>
      <c r="U92" s="224"/>
      <c r="V92" s="224"/>
      <c r="W92" s="224"/>
      <c r="X92" s="224"/>
      <c r="Y92" s="224"/>
      <c r="Z92" s="224"/>
    </row>
    <row r="93" spans="1:26" x14ac:dyDescent="0.25">
      <c r="A93" s="224"/>
      <c r="B93" s="224"/>
      <c r="C93" s="224"/>
      <c r="D93" s="224"/>
      <c r="E93" s="224"/>
      <c r="F93" s="224"/>
      <c r="G93" s="224"/>
      <c r="H93" s="224"/>
      <c r="I93" s="224"/>
      <c r="J93" s="224"/>
      <c r="K93" s="224"/>
      <c r="L93" s="224"/>
      <c r="M93" s="224"/>
      <c r="N93" s="224"/>
      <c r="O93" s="224"/>
      <c r="P93" s="224"/>
      <c r="Q93" s="224"/>
      <c r="R93" s="224"/>
      <c r="S93" s="224"/>
      <c r="T93" s="224"/>
      <c r="U93" s="224"/>
      <c r="V93" s="224"/>
      <c r="W93" s="224"/>
      <c r="X93" s="224"/>
      <c r="Y93" s="224"/>
      <c r="Z93" s="224"/>
    </row>
    <row r="94" spans="1:26" x14ac:dyDescent="0.25">
      <c r="A94" s="224"/>
      <c r="B94" s="224"/>
      <c r="C94" s="224"/>
      <c r="D94" s="224"/>
      <c r="E94" s="224"/>
      <c r="F94" s="224"/>
      <c r="G94" s="224"/>
      <c r="H94" s="224"/>
      <c r="I94" s="224"/>
      <c r="J94" s="224"/>
      <c r="K94" s="224"/>
      <c r="L94" s="224"/>
      <c r="M94" s="224"/>
      <c r="N94" s="224"/>
      <c r="O94" s="224"/>
      <c r="P94" s="224"/>
      <c r="Q94" s="224"/>
      <c r="R94" s="224"/>
      <c r="S94" s="224"/>
      <c r="T94" s="224"/>
      <c r="U94" s="224"/>
      <c r="V94" s="224"/>
      <c r="W94" s="224"/>
      <c r="X94" s="224"/>
      <c r="Y94" s="224"/>
      <c r="Z94" s="224"/>
    </row>
    <row r="95" spans="1:26" x14ac:dyDescent="0.25">
      <c r="A95" s="224"/>
      <c r="B95" s="224"/>
      <c r="C95" s="224"/>
      <c r="D95" s="224"/>
      <c r="E95" s="224"/>
      <c r="F95" s="224"/>
      <c r="G95" s="224"/>
      <c r="H95" s="224"/>
      <c r="I95" s="224"/>
      <c r="J95" s="224"/>
      <c r="K95" s="224"/>
      <c r="L95" s="224"/>
      <c r="M95" s="224"/>
      <c r="N95" s="224"/>
      <c r="O95" s="224"/>
      <c r="P95" s="224"/>
      <c r="Q95" s="224"/>
      <c r="R95" s="224"/>
      <c r="S95" s="224"/>
      <c r="T95" s="224"/>
      <c r="U95" s="224"/>
      <c r="V95" s="224"/>
      <c r="W95" s="224"/>
      <c r="X95" s="224"/>
      <c r="Y95" s="224"/>
      <c r="Z95" s="224"/>
    </row>
    <row r="96" spans="1:26" x14ac:dyDescent="0.25">
      <c r="A96" s="224"/>
      <c r="B96" s="224"/>
      <c r="C96" s="224"/>
      <c r="D96" s="224"/>
      <c r="E96" s="224"/>
      <c r="F96" s="224"/>
      <c r="G96" s="224"/>
      <c r="H96" s="224"/>
      <c r="I96" s="224"/>
      <c r="J96" s="224"/>
      <c r="K96" s="224"/>
      <c r="L96" s="224"/>
      <c r="M96" s="224"/>
      <c r="N96" s="224"/>
      <c r="O96" s="224"/>
      <c r="P96" s="224"/>
      <c r="Q96" s="224"/>
      <c r="R96" s="224"/>
      <c r="S96" s="224"/>
      <c r="T96" s="224"/>
      <c r="U96" s="224"/>
      <c r="V96" s="224"/>
      <c r="W96" s="224"/>
      <c r="X96" s="224"/>
      <c r="Y96" s="224"/>
      <c r="Z96" s="224"/>
    </row>
    <row r="97" spans="1:26" x14ac:dyDescent="0.25">
      <c r="A97" s="224"/>
      <c r="B97" s="224"/>
      <c r="C97" s="224"/>
      <c r="D97" s="224"/>
      <c r="E97" s="224"/>
      <c r="F97" s="224"/>
      <c r="G97" s="224"/>
      <c r="H97" s="224"/>
      <c r="I97" s="224"/>
      <c r="J97" s="224"/>
      <c r="K97" s="224"/>
      <c r="L97" s="224"/>
      <c r="M97" s="224"/>
      <c r="N97" s="224"/>
      <c r="O97" s="224"/>
      <c r="P97" s="224"/>
      <c r="Q97" s="224"/>
      <c r="R97" s="224"/>
      <c r="S97" s="224"/>
      <c r="T97" s="224"/>
      <c r="U97" s="224"/>
      <c r="V97" s="224"/>
      <c r="W97" s="224"/>
      <c r="X97" s="224"/>
      <c r="Y97" s="224"/>
      <c r="Z97" s="224"/>
    </row>
    <row r="98" spans="1:26" x14ac:dyDescent="0.25">
      <c r="A98" s="224"/>
      <c r="B98" s="224"/>
      <c r="C98" s="224"/>
      <c r="D98" s="224"/>
      <c r="E98" s="224"/>
      <c r="F98" s="224"/>
      <c r="G98" s="224"/>
      <c r="H98" s="224"/>
      <c r="I98" s="224"/>
      <c r="J98" s="224"/>
      <c r="K98" s="224"/>
      <c r="L98" s="224"/>
      <c r="M98" s="224"/>
      <c r="N98" s="224"/>
      <c r="O98" s="224"/>
      <c r="P98" s="224"/>
      <c r="Q98" s="224"/>
      <c r="R98" s="224"/>
      <c r="S98" s="224"/>
      <c r="T98" s="224"/>
      <c r="U98" s="224"/>
      <c r="V98" s="224"/>
      <c r="W98" s="224"/>
      <c r="X98" s="224"/>
      <c r="Y98" s="224"/>
      <c r="Z98" s="224"/>
    </row>
    <row r="99" spans="1:26" x14ac:dyDescent="0.25">
      <c r="A99" s="224"/>
      <c r="B99" s="224"/>
      <c r="C99" s="224"/>
      <c r="D99" s="224"/>
      <c r="E99" s="224"/>
      <c r="F99" s="224"/>
      <c r="G99" s="224"/>
      <c r="H99" s="224"/>
      <c r="I99" s="224"/>
      <c r="J99" s="224"/>
      <c r="K99" s="224"/>
      <c r="L99" s="224"/>
      <c r="M99" s="224"/>
      <c r="N99" s="224"/>
      <c r="O99" s="224"/>
      <c r="P99" s="224"/>
      <c r="Q99" s="224"/>
      <c r="R99" s="224"/>
      <c r="S99" s="224"/>
      <c r="T99" s="224"/>
      <c r="U99" s="224"/>
      <c r="V99" s="224"/>
      <c r="W99" s="224"/>
      <c r="X99" s="224"/>
      <c r="Y99" s="224"/>
      <c r="Z99" s="224"/>
    </row>
    <row r="100" spans="1:26" x14ac:dyDescent="0.25">
      <c r="A100" s="224"/>
      <c r="B100" s="224"/>
      <c r="C100" s="224"/>
      <c r="D100" s="224"/>
      <c r="E100" s="224"/>
      <c r="F100" s="224"/>
      <c r="G100" s="224"/>
      <c r="H100" s="224"/>
      <c r="I100" s="224"/>
      <c r="J100" s="224"/>
      <c r="K100" s="224"/>
      <c r="L100" s="224"/>
      <c r="M100" s="224"/>
      <c r="N100" s="224"/>
      <c r="O100" s="224"/>
      <c r="P100" s="224"/>
      <c r="Q100" s="224"/>
      <c r="R100" s="224"/>
      <c r="S100" s="224"/>
      <c r="T100" s="224"/>
      <c r="U100" s="224"/>
      <c r="V100" s="224"/>
      <c r="W100" s="224"/>
      <c r="X100" s="224"/>
      <c r="Y100" s="224"/>
      <c r="Z100" s="224"/>
    </row>
  </sheetData>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50"/>
  <sheetViews>
    <sheetView zoomScaleNormal="100" workbookViewId="0"/>
  </sheetViews>
  <sheetFormatPr defaultRowHeight="13.2" x14ac:dyDescent="0.25"/>
  <cols>
    <col min="1" max="1" width="123.88671875" customWidth="1"/>
    <col min="2" max="2" width="23.6640625" style="30" customWidth="1"/>
    <col min="3" max="3" width="18.6640625" style="24" customWidth="1"/>
    <col min="4" max="4" width="19.5546875" style="24" customWidth="1"/>
    <col min="5" max="5" width="25.88671875" style="30" customWidth="1"/>
    <col min="6" max="6" width="25.109375" style="24" customWidth="1"/>
    <col min="7" max="7" width="25.5546875" style="16" customWidth="1"/>
    <col min="8" max="8" width="81" customWidth="1"/>
    <col min="9" max="9" width="25" style="24" customWidth="1"/>
    <col min="10" max="10" width="28.6640625" style="16" customWidth="1"/>
    <col min="11" max="11" width="28" customWidth="1"/>
    <col min="12" max="12" width="29.88671875" style="24" customWidth="1"/>
    <col min="13" max="13" width="30.44140625" style="16" customWidth="1"/>
    <col min="14" max="14" width="24.88671875" customWidth="1"/>
    <col min="15" max="15" width="9.109375" style="24"/>
    <col min="16" max="16" width="29.44140625" style="16" customWidth="1"/>
  </cols>
  <sheetData>
    <row r="1" spans="1:16" x14ac:dyDescent="0.25">
      <c r="A1" s="92" t="s">
        <v>1827</v>
      </c>
      <c r="B1" s="82"/>
      <c r="C1" s="369"/>
      <c r="D1" s="82"/>
      <c r="E1" s="82"/>
      <c r="F1" s="82"/>
      <c r="G1" s="82"/>
      <c r="H1" s="34"/>
      <c r="I1" s="82"/>
      <c r="J1" s="82"/>
      <c r="K1" s="82"/>
      <c r="L1" s="82"/>
      <c r="M1" s="82"/>
      <c r="N1" s="34"/>
      <c r="O1" s="82"/>
      <c r="P1" s="370"/>
    </row>
    <row r="2" spans="1:16" x14ac:dyDescent="0.25">
      <c r="A2" s="82"/>
      <c r="B2" s="82"/>
      <c r="C2" s="369"/>
      <c r="D2" s="82"/>
      <c r="E2" s="82"/>
      <c r="F2" s="82"/>
      <c r="G2" s="82"/>
      <c r="H2" s="34"/>
      <c r="I2" s="82"/>
      <c r="J2" s="82"/>
      <c r="K2" s="82"/>
      <c r="L2" s="82"/>
      <c r="M2" s="82"/>
      <c r="N2" s="34"/>
      <c r="O2" s="82"/>
      <c r="P2" s="370"/>
    </row>
    <row r="3" spans="1:16" x14ac:dyDescent="0.25">
      <c r="A3" s="35" t="str">
        <f>SummaryEtEnergy!A3</f>
        <v>Produced by Onesmus Mwabonje, Charlotte Hatto and Nigel Mortimer, North Energy Associates Ltd., on 9 November 2014 for the SUNLIBB Project</v>
      </c>
      <c r="B3" s="82"/>
      <c r="C3" s="369"/>
      <c r="D3" s="82"/>
      <c r="E3" s="82"/>
      <c r="F3" s="82"/>
      <c r="G3" s="82"/>
      <c r="H3" s="34"/>
      <c r="I3" s="82"/>
      <c r="J3" s="82"/>
      <c r="K3" s="82"/>
      <c r="L3" s="82"/>
      <c r="M3" s="82"/>
      <c r="N3" s="34"/>
      <c r="O3" s="82"/>
      <c r="P3" s="370"/>
    </row>
    <row r="4" spans="1:16" x14ac:dyDescent="0.25">
      <c r="A4" s="82"/>
      <c r="B4" s="82"/>
      <c r="C4" s="369"/>
      <c r="D4" s="82"/>
      <c r="E4" s="82"/>
      <c r="F4" s="82"/>
      <c r="G4" s="82"/>
      <c r="H4" s="34"/>
      <c r="I4" s="82"/>
      <c r="J4" s="82"/>
      <c r="K4" s="82"/>
      <c r="L4" s="82"/>
      <c r="M4" s="82"/>
      <c r="N4" s="34"/>
      <c r="O4" s="82"/>
      <c r="P4" s="370"/>
    </row>
    <row r="5" spans="1:16" x14ac:dyDescent="0.25">
      <c r="A5" s="82" t="s">
        <v>238</v>
      </c>
      <c r="B5" s="1090" t="s">
        <v>1484</v>
      </c>
      <c r="C5" s="369"/>
      <c r="D5" s="82"/>
      <c r="E5" s="82"/>
      <c r="F5" s="82"/>
      <c r="G5" s="82"/>
      <c r="H5" s="34"/>
      <c r="I5" s="82"/>
      <c r="J5" s="82"/>
      <c r="K5" s="82"/>
      <c r="L5" s="82"/>
      <c r="M5" s="82"/>
      <c r="N5" s="34"/>
      <c r="O5" s="82"/>
      <c r="P5" s="370"/>
    </row>
    <row r="6" spans="1:16" x14ac:dyDescent="0.25">
      <c r="A6" s="82" t="s">
        <v>241</v>
      </c>
      <c r="B6" s="232" t="s">
        <v>450</v>
      </c>
      <c r="C6" s="369"/>
      <c r="D6" s="82"/>
      <c r="E6" s="82"/>
      <c r="F6" s="82"/>
      <c r="G6" s="82"/>
      <c r="H6" s="34"/>
      <c r="I6" s="82"/>
      <c r="J6" s="82"/>
      <c r="K6" s="82"/>
      <c r="L6" s="82"/>
      <c r="M6" s="82"/>
      <c r="N6" s="34"/>
      <c r="O6" s="82"/>
      <c r="P6" s="370"/>
    </row>
    <row r="7" spans="1:16" x14ac:dyDescent="0.25">
      <c r="A7" s="82" t="s">
        <v>239</v>
      </c>
      <c r="B7" s="1090" t="s">
        <v>1422</v>
      </c>
      <c r="C7" s="369"/>
      <c r="D7" s="82"/>
      <c r="E7" s="82"/>
      <c r="F7" s="82"/>
      <c r="G7" s="82"/>
      <c r="H7" s="34"/>
      <c r="I7" s="82"/>
      <c r="J7" s="82"/>
      <c r="K7" s="82"/>
      <c r="L7" s="82"/>
      <c r="M7" s="82"/>
      <c r="N7" s="34"/>
      <c r="O7" s="82"/>
      <c r="P7" s="370"/>
    </row>
    <row r="8" spans="1:16" x14ac:dyDescent="0.25">
      <c r="A8" s="82" t="s">
        <v>240</v>
      </c>
      <c r="B8" s="352">
        <v>2010</v>
      </c>
      <c r="C8" s="369"/>
      <c r="D8" s="82"/>
      <c r="E8" s="82"/>
      <c r="F8" s="82"/>
      <c r="G8" s="82"/>
      <c r="H8" s="34"/>
      <c r="I8" s="82"/>
      <c r="J8" s="82"/>
      <c r="K8" s="82"/>
      <c r="L8" s="82"/>
      <c r="M8" s="82"/>
      <c r="N8" s="34"/>
      <c r="O8" s="82"/>
      <c r="P8" s="370"/>
    </row>
    <row r="9" spans="1:16" x14ac:dyDescent="0.25">
      <c r="A9" s="82"/>
      <c r="B9" s="82"/>
      <c r="C9" s="369"/>
      <c r="D9" s="82"/>
      <c r="E9" s="82"/>
      <c r="F9" s="82"/>
      <c r="G9" s="82"/>
      <c r="H9" s="34"/>
      <c r="I9" s="82"/>
      <c r="J9" s="82"/>
      <c r="K9" s="82"/>
      <c r="L9" s="82"/>
      <c r="M9" s="82"/>
      <c r="N9" s="34"/>
      <c r="O9" s="82"/>
      <c r="P9" s="370"/>
    </row>
    <row r="10" spans="1:16" ht="13.8" thickBot="1" x14ac:dyDescent="0.3">
      <c r="A10" s="33" t="s">
        <v>425</v>
      </c>
      <c r="B10" s="82"/>
      <c r="C10" s="369"/>
      <c r="D10" s="82"/>
      <c r="E10" s="82"/>
      <c r="F10" s="82"/>
      <c r="G10" s="82"/>
      <c r="H10" s="33" t="s">
        <v>159</v>
      </c>
      <c r="I10" s="82"/>
      <c r="J10" s="369"/>
      <c r="K10" s="70"/>
      <c r="L10" s="70"/>
      <c r="M10" s="70"/>
      <c r="N10" s="34"/>
      <c r="O10" s="82"/>
      <c r="P10" s="370"/>
    </row>
    <row r="11" spans="1:16" ht="30.75" customHeight="1" x14ac:dyDescent="0.25">
      <c r="A11" s="36" t="s">
        <v>39</v>
      </c>
      <c r="B11" s="37" t="s">
        <v>933</v>
      </c>
      <c r="C11" s="372" t="s">
        <v>23</v>
      </c>
      <c r="D11" s="37" t="s">
        <v>24</v>
      </c>
      <c r="E11" s="37" t="s">
        <v>25</v>
      </c>
      <c r="F11" s="371" t="s">
        <v>26</v>
      </c>
      <c r="G11" s="370"/>
      <c r="H11" s="36" t="s">
        <v>39</v>
      </c>
      <c r="I11" s="373" t="s">
        <v>933</v>
      </c>
      <c r="J11" s="37" t="s">
        <v>23</v>
      </c>
      <c r="K11" s="373" t="s">
        <v>24</v>
      </c>
      <c r="L11" s="373" t="s">
        <v>25</v>
      </c>
      <c r="M11" s="812" t="s">
        <v>26</v>
      </c>
      <c r="N11" s="82"/>
      <c r="O11" s="82"/>
      <c r="P11" s="370"/>
    </row>
    <row r="12" spans="1:16" ht="17.25" customHeight="1" x14ac:dyDescent="0.35">
      <c r="A12" s="38"/>
      <c r="B12" s="39" t="s">
        <v>451</v>
      </c>
      <c r="C12" s="39" t="s">
        <v>452</v>
      </c>
      <c r="D12" s="39" t="s">
        <v>452</v>
      </c>
      <c r="E12" s="39" t="s">
        <v>452</v>
      </c>
      <c r="F12" s="513" t="s">
        <v>452</v>
      </c>
      <c r="G12" s="370"/>
      <c r="H12" s="38"/>
      <c r="I12" s="374" t="s">
        <v>453</v>
      </c>
      <c r="J12" s="39" t="s">
        <v>454</v>
      </c>
      <c r="K12" s="39" t="s">
        <v>454</v>
      </c>
      <c r="L12" s="39" t="s">
        <v>454</v>
      </c>
      <c r="M12" s="513" t="s">
        <v>454</v>
      </c>
      <c r="N12" s="82"/>
      <c r="O12" s="82"/>
      <c r="P12" s="370"/>
    </row>
    <row r="13" spans="1:16" x14ac:dyDescent="0.25">
      <c r="A13" s="416" t="s">
        <v>41</v>
      </c>
      <c r="B13" s="375">
        <f>B118</f>
        <v>2267.6113893076836</v>
      </c>
      <c r="C13" s="375">
        <f>E118</f>
        <v>128.59027267043217</v>
      </c>
      <c r="D13" s="376">
        <f>GlobalWarmingPotentials!$B$11*H118</f>
        <v>1.2350896991376179</v>
      </c>
      <c r="E13" s="375">
        <f>GlobalWarmingPotentials!$C$11*K118</f>
        <v>19.191954324334397</v>
      </c>
      <c r="F13" s="377">
        <f t="shared" ref="F13:F29" si="0">SUM(C13:E13)</f>
        <v>149.01731669390421</v>
      </c>
      <c r="G13" s="378"/>
      <c r="H13" s="416" t="s">
        <v>41</v>
      </c>
      <c r="I13" s="375">
        <f>D118</f>
        <v>168.23950701664418</v>
      </c>
      <c r="J13" s="375">
        <f>G118</f>
        <v>9.6502802677548889</v>
      </c>
      <c r="K13" s="376">
        <f>GlobalWarmingPotentials!$B$11*J118</f>
        <v>0.10599746538778106</v>
      </c>
      <c r="L13" s="380">
        <f>GlobalWarmingPotentials!$C$11*M118</f>
        <v>2.01169648758797E-5</v>
      </c>
      <c r="M13" s="417">
        <f t="shared" ref="M13:M29" si="1">SUM(J13:L13)</f>
        <v>9.7562978501075452</v>
      </c>
      <c r="N13" s="34"/>
      <c r="O13" s="82"/>
      <c r="P13" s="370"/>
    </row>
    <row r="14" spans="1:16" x14ac:dyDescent="0.25">
      <c r="A14" s="1020" t="s">
        <v>1253</v>
      </c>
      <c r="B14" s="375">
        <f>B146</f>
        <v>369.22612973150552</v>
      </c>
      <c r="C14" s="375">
        <f>E146</f>
        <v>26.49619011120776</v>
      </c>
      <c r="D14" s="376">
        <f>GlobalWarmingPotentials!$B$11*H146</f>
        <v>0.12663114234966824</v>
      </c>
      <c r="E14" s="375">
        <f>GlobalWarmingPotentials!$C$11*K146</f>
        <v>2.1185940685283629</v>
      </c>
      <c r="F14" s="377">
        <f t="shared" ref="F14" si="2">SUM(C14:E14)</f>
        <v>28.741415322085793</v>
      </c>
      <c r="G14" s="378"/>
      <c r="H14" s="1020" t="s">
        <v>1253</v>
      </c>
      <c r="I14" s="375">
        <f>D146</f>
        <v>0</v>
      </c>
      <c r="J14" s="375">
        <f>G146</f>
        <v>0</v>
      </c>
      <c r="K14" s="376">
        <f>GlobalWarmingPotentials!$B$11*J146</f>
        <v>0</v>
      </c>
      <c r="L14" s="380">
        <f>GlobalWarmingPotentials!$C$11*M146</f>
        <v>0</v>
      </c>
      <c r="M14" s="417">
        <f t="shared" ref="M14" si="3">SUM(J14:L14)</f>
        <v>0</v>
      </c>
      <c r="N14" s="34"/>
      <c r="O14" s="82"/>
      <c r="P14" s="370"/>
    </row>
    <row r="15" spans="1:16" x14ac:dyDescent="0.25">
      <c r="A15" s="416" t="s">
        <v>876</v>
      </c>
      <c r="B15" s="375">
        <f>B180</f>
        <v>275.59665533211654</v>
      </c>
      <c r="C15" s="375">
        <f>E180</f>
        <v>19.777206393823835</v>
      </c>
      <c r="D15" s="376">
        <f>GlobalWarmingPotentials!$B$11*H180</f>
        <v>9.4519635752300935E-2</v>
      </c>
      <c r="E15" s="375">
        <f>GlobalWarmingPotentials!$C$11*K180</f>
        <v>1.5813546016298001</v>
      </c>
      <c r="F15" s="377">
        <f t="shared" si="0"/>
        <v>21.453080631205939</v>
      </c>
      <c r="G15" s="378"/>
      <c r="H15" s="416" t="s">
        <v>876</v>
      </c>
      <c r="I15" s="375">
        <f>D180</f>
        <v>12.953042800609477</v>
      </c>
      <c r="J15" s="375">
        <f>G180</f>
        <v>0.92952870050972014</v>
      </c>
      <c r="K15" s="376">
        <f>GlobalWarmingPotentials!$B$11*J180</f>
        <v>4.4424228803581437E-3</v>
      </c>
      <c r="L15" s="375">
        <f>GlobalWarmingPotentials!$C$11*M180</f>
        <v>7.43236662766006E-2</v>
      </c>
      <c r="M15" s="377">
        <f t="shared" si="1"/>
        <v>1.008294789666679</v>
      </c>
      <c r="N15" s="34"/>
      <c r="O15" s="82"/>
      <c r="P15" s="370"/>
    </row>
    <row r="16" spans="1:16" x14ac:dyDescent="0.25">
      <c r="A16" s="416" t="s">
        <v>877</v>
      </c>
      <c r="B16" s="375">
        <f>B214</f>
        <v>0</v>
      </c>
      <c r="C16" s="375">
        <f>E214</f>
        <v>0</v>
      </c>
      <c r="D16" s="376">
        <f>GlobalWarmingPotentials!$B$11*H214</f>
        <v>0</v>
      </c>
      <c r="E16" s="375">
        <f>GlobalWarmingPotentials!$C$11*K214</f>
        <v>0</v>
      </c>
      <c r="F16" s="377">
        <f>SUM(C16:E16)</f>
        <v>0</v>
      </c>
      <c r="G16" s="378"/>
      <c r="H16" s="416" t="s">
        <v>877</v>
      </c>
      <c r="I16" s="375">
        <f>D214</f>
        <v>0</v>
      </c>
      <c r="J16" s="375">
        <f>G214</f>
        <v>0</v>
      </c>
      <c r="K16" s="376">
        <f>GlobalWarmingPotentials!$B$11*J214</f>
        <v>0</v>
      </c>
      <c r="L16" s="375">
        <f>GlobalWarmingPotentials!$C$11*M214</f>
        <v>0</v>
      </c>
      <c r="M16" s="377">
        <f t="shared" si="1"/>
        <v>0</v>
      </c>
      <c r="N16" s="34"/>
      <c r="O16" s="82"/>
      <c r="P16" s="370"/>
    </row>
    <row r="17" spans="1:16" x14ac:dyDescent="0.25">
      <c r="A17" s="1061" t="s">
        <v>1739</v>
      </c>
      <c r="B17" s="375">
        <f>B220</f>
        <v>0</v>
      </c>
      <c r="C17" s="375">
        <f>E220</f>
        <v>0</v>
      </c>
      <c r="D17" s="376">
        <f>GlobalWarmingPotentials!$B$11*H220</f>
        <v>5.2575471225858469E-2</v>
      </c>
      <c r="E17" s="375">
        <f>GlobalWarmingPotentials!$C$11*K220</f>
        <v>0.20298703673287963</v>
      </c>
      <c r="F17" s="377">
        <f t="shared" si="0"/>
        <v>0.25556250795873808</v>
      </c>
      <c r="G17" s="378"/>
      <c r="H17" s="381" t="s">
        <v>1739</v>
      </c>
      <c r="I17" s="375">
        <f>D220</f>
        <v>0</v>
      </c>
      <c r="J17" s="375">
        <f>G220</f>
        <v>0</v>
      </c>
      <c r="K17" s="376">
        <f>GlobalWarmingPotentials!$B$11*J220</f>
        <v>0</v>
      </c>
      <c r="L17" s="375">
        <f>GlobalWarmingPotentials!$C$11*M220</f>
        <v>0</v>
      </c>
      <c r="M17" s="377">
        <f t="shared" si="1"/>
        <v>0</v>
      </c>
      <c r="N17" s="34"/>
      <c r="O17" s="82"/>
      <c r="P17" s="370"/>
    </row>
    <row r="18" spans="1:16" x14ac:dyDescent="0.25">
      <c r="A18" s="1061" t="s">
        <v>1805</v>
      </c>
      <c r="B18" s="379">
        <f>B237</f>
        <v>8239.0610076539524</v>
      </c>
      <c r="C18" s="379">
        <f>E237</f>
        <v>520.95369617105189</v>
      </c>
      <c r="D18" s="376">
        <f>GlobalWarmingPotentials!$B$11*H237</f>
        <v>17.303893648306993</v>
      </c>
      <c r="E18" s="375">
        <f>GlobalWarmingPotentials!$C$11*K237</f>
        <v>40.815433731402173</v>
      </c>
      <c r="F18" s="377">
        <f>SUM(C18:E18)</f>
        <v>579.07302355076104</v>
      </c>
      <c r="G18" s="378"/>
      <c r="H18" s="1061" t="s">
        <v>1805</v>
      </c>
      <c r="I18" s="379">
        <f>D237</f>
        <v>786.7316995671614</v>
      </c>
      <c r="J18" s="379">
        <f>G237</f>
        <v>49.43723316863327</v>
      </c>
      <c r="K18" s="376">
        <f>GlobalWarmingPotentials!$B$11*J237</f>
        <v>1.7521889488268372</v>
      </c>
      <c r="L18" s="375">
        <f>GlobalWarmingPotentials!$C$11*M237</f>
        <v>0.20278976584307196</v>
      </c>
      <c r="M18" s="377">
        <f>SUM(J18:L18)</f>
        <v>51.392211883303176</v>
      </c>
      <c r="N18" s="34"/>
      <c r="O18" s="82"/>
      <c r="P18" s="370"/>
    </row>
    <row r="19" spans="1:16" x14ac:dyDescent="0.25">
      <c r="A19" s="381" t="s">
        <v>411</v>
      </c>
      <c r="B19" s="379">
        <f>B244</f>
        <v>0</v>
      </c>
      <c r="C19" s="379">
        <f>E244</f>
        <v>0</v>
      </c>
      <c r="D19" s="376">
        <f>GlobalWarmingPotentials!$B$11*H244</f>
        <v>7.792941176470591E-3</v>
      </c>
      <c r="E19" s="375">
        <f>GlobalWarmingPotentials!$C$11*K244</f>
        <v>3.0087529411764707E-2</v>
      </c>
      <c r="F19" s="377">
        <f t="shared" si="0"/>
        <v>3.78804705882353E-2</v>
      </c>
      <c r="G19" s="378"/>
      <c r="H19" s="381" t="s">
        <v>411</v>
      </c>
      <c r="I19" s="379">
        <f>D244</f>
        <v>0</v>
      </c>
      <c r="J19" s="379">
        <f>G244</f>
        <v>0</v>
      </c>
      <c r="K19" s="376">
        <f>GlobalWarmingPotentials!$B$11*J244</f>
        <v>0</v>
      </c>
      <c r="L19" s="375">
        <f>GlobalWarmingPotentials!$C$11*M244</f>
        <v>0</v>
      </c>
      <c r="M19" s="377">
        <f t="shared" si="1"/>
        <v>0</v>
      </c>
      <c r="N19" s="34"/>
      <c r="O19" s="82"/>
      <c r="P19" s="370"/>
    </row>
    <row r="20" spans="1:16" x14ac:dyDescent="0.25">
      <c r="A20" s="381" t="s">
        <v>1806</v>
      </c>
      <c r="B20" s="379">
        <f>B251</f>
        <v>0</v>
      </c>
      <c r="C20" s="379">
        <f>E251</f>
        <v>0</v>
      </c>
      <c r="D20" s="376">
        <f>GlobalWarmingPotentials!$B$11*H251</f>
        <v>0.73140000000000005</v>
      </c>
      <c r="E20" s="375">
        <f>GlobalWarmingPotentials!$C$11*K251</f>
        <v>2.8238400000000001</v>
      </c>
      <c r="F20" s="377">
        <f t="shared" si="0"/>
        <v>3.5552400000000004</v>
      </c>
      <c r="G20" s="378"/>
      <c r="H20" s="381" t="s">
        <v>1806</v>
      </c>
      <c r="I20" s="379">
        <f>D251</f>
        <v>0</v>
      </c>
      <c r="J20" s="379">
        <f>G251</f>
        <v>0</v>
      </c>
      <c r="K20" s="376">
        <f>GlobalWarmingPotentials!$B$11*J251</f>
        <v>0</v>
      </c>
      <c r="L20" s="375">
        <f>GlobalWarmingPotentials!$C$11*M251</f>
        <v>0</v>
      </c>
      <c r="M20" s="377">
        <f t="shared" si="1"/>
        <v>0</v>
      </c>
      <c r="N20" s="34"/>
      <c r="O20" s="82"/>
      <c r="P20" s="370"/>
    </row>
    <row r="21" spans="1:16" x14ac:dyDescent="0.25">
      <c r="A21" s="381" t="s">
        <v>1808</v>
      </c>
      <c r="B21" s="379">
        <f>B258</f>
        <v>0</v>
      </c>
      <c r="C21" s="379">
        <f>E258</f>
        <v>0</v>
      </c>
      <c r="D21" s="376">
        <f>GlobalWarmingPotentials!$B$11*H258</f>
        <v>5.7919532222513913E-2</v>
      </c>
      <c r="E21" s="375">
        <f>GlobalWarmingPotentials!$C$11*K258</f>
        <v>0.22361975918953195</v>
      </c>
      <c r="F21" s="377">
        <f t="shared" si="0"/>
        <v>0.28153929141204587</v>
      </c>
      <c r="G21" s="378"/>
      <c r="H21" s="381" t="s">
        <v>1808</v>
      </c>
      <c r="I21" s="379">
        <f>D258</f>
        <v>0</v>
      </c>
      <c r="J21" s="379">
        <f>G258</f>
        <v>0</v>
      </c>
      <c r="K21" s="376">
        <f>GlobalWarmingPotentials!$B$11*J258</f>
        <v>0</v>
      </c>
      <c r="L21" s="375">
        <f>GlobalWarmingPotentials!$C$11*M258</f>
        <v>0</v>
      </c>
      <c r="M21" s="377">
        <f t="shared" si="1"/>
        <v>0</v>
      </c>
      <c r="N21" s="34"/>
      <c r="O21" s="82"/>
      <c r="P21" s="370"/>
    </row>
    <row r="22" spans="1:16" x14ac:dyDescent="0.25">
      <c r="A22" s="381" t="s">
        <v>907</v>
      </c>
      <c r="B22" s="379">
        <f>B265</f>
        <v>1274.9999999999998</v>
      </c>
      <c r="C22" s="379">
        <f>E265</f>
        <v>71.400000000000006</v>
      </c>
      <c r="D22" s="376">
        <f>GlobalWarmingPotentials!$B$11*H265</f>
        <v>4.9106183823529408</v>
      </c>
      <c r="E22" s="375">
        <f>GlobalWarmingPotentials!$C$11*K265</f>
        <v>0.5610070588235293</v>
      </c>
      <c r="F22" s="377">
        <f t="shared" si="0"/>
        <v>76.871625441176477</v>
      </c>
      <c r="G22" s="378"/>
      <c r="H22" s="381" t="s">
        <v>907</v>
      </c>
      <c r="I22" s="379">
        <f>D265</f>
        <v>191.24999999999997</v>
      </c>
      <c r="J22" s="379">
        <f>G265</f>
        <v>10.8375</v>
      </c>
      <c r="K22" s="376">
        <f>GlobalWarmingPotentials!$B$11*J265</f>
        <v>0.71846249999999989</v>
      </c>
      <c r="L22" s="375">
        <f>GlobalWarmingPotentials!$C$11*M265</f>
        <v>0</v>
      </c>
      <c r="M22" s="377">
        <f t="shared" si="1"/>
        <v>11.5559625</v>
      </c>
      <c r="N22" s="34"/>
      <c r="O22" s="82"/>
      <c r="P22" s="370"/>
    </row>
    <row r="23" spans="1:16" x14ac:dyDescent="0.25">
      <c r="A23" s="1061" t="s">
        <v>1830</v>
      </c>
      <c r="B23" s="379">
        <f>B271</f>
        <v>0</v>
      </c>
      <c r="C23" s="379">
        <f>E271</f>
        <v>0</v>
      </c>
      <c r="D23" s="376">
        <f>GlobalWarmingPotentials!$B$11*H271</f>
        <v>9.767152941176474E-2</v>
      </c>
      <c r="E23" s="375">
        <f>GlobalWarmingPotentials!$C$11*K271</f>
        <v>0.3770970352941177</v>
      </c>
      <c r="F23" s="377">
        <f t="shared" ref="F23" si="4">SUM(C23:E23)</f>
        <v>0.47476856470588247</v>
      </c>
      <c r="G23" s="378"/>
      <c r="H23" s="1061" t="s">
        <v>1830</v>
      </c>
      <c r="I23" s="379">
        <f>D271</f>
        <v>0</v>
      </c>
      <c r="J23" s="379">
        <f>G271</f>
        <v>0</v>
      </c>
      <c r="K23" s="376">
        <f>GlobalWarmingPotentials!$B$11*J271</f>
        <v>0</v>
      </c>
      <c r="L23" s="375">
        <f>GlobalWarmingPotentials!$C$11*M271</f>
        <v>0</v>
      </c>
      <c r="M23" s="377">
        <f t="shared" ref="M23" si="5">SUM(J23:L23)</f>
        <v>0</v>
      </c>
      <c r="N23" s="34"/>
      <c r="O23" s="82"/>
      <c r="P23" s="370"/>
    </row>
    <row r="24" spans="1:16" x14ac:dyDescent="0.25">
      <c r="A24" s="381" t="s">
        <v>903</v>
      </c>
      <c r="B24" s="379">
        <f>B277</f>
        <v>0</v>
      </c>
      <c r="C24" s="379">
        <f>E277</f>
        <v>0</v>
      </c>
      <c r="D24" s="376">
        <f>GlobalWarmingPotentials!$B$11*H277</f>
        <v>-1.7053609858389147</v>
      </c>
      <c r="E24" s="375">
        <f>GlobalWarmingPotentials!$C$11*K277</f>
        <v>-6.5841763279345917</v>
      </c>
      <c r="F24" s="377">
        <f t="shared" si="0"/>
        <v>-8.289537313773506</v>
      </c>
      <c r="G24" s="378"/>
      <c r="H24" s="381" t="s">
        <v>903</v>
      </c>
      <c r="I24" s="379">
        <f>D277</f>
        <v>0</v>
      </c>
      <c r="J24" s="379">
        <f>G277</f>
        <v>0</v>
      </c>
      <c r="K24" s="376">
        <f>GlobalWarmingPotentials!$B$11*J277</f>
        <v>0</v>
      </c>
      <c r="L24" s="375">
        <f>GlobalWarmingPotentials!$C$11*M277</f>
        <v>0</v>
      </c>
      <c r="M24" s="377">
        <f t="shared" si="1"/>
        <v>0</v>
      </c>
      <c r="N24" s="34"/>
      <c r="O24" s="82"/>
      <c r="P24" s="370"/>
    </row>
    <row r="25" spans="1:16" x14ac:dyDescent="0.25">
      <c r="A25" s="416" t="s">
        <v>972</v>
      </c>
      <c r="B25" s="379">
        <f>B286</f>
        <v>0</v>
      </c>
      <c r="C25" s="379">
        <f>E286</f>
        <v>0</v>
      </c>
      <c r="D25" s="376">
        <f>GlobalWarmingPotentials!$B$11*H286</f>
        <v>0</v>
      </c>
      <c r="E25" s="375">
        <f>GlobalWarmingPotentials!$C$11*K286</f>
        <v>0</v>
      </c>
      <c r="F25" s="377">
        <f>N286</f>
        <v>0</v>
      </c>
      <c r="G25" s="378"/>
      <c r="H25" s="416" t="s">
        <v>972</v>
      </c>
      <c r="I25" s="379">
        <f>D286</f>
        <v>0</v>
      </c>
      <c r="J25" s="379">
        <f>G286</f>
        <v>0</v>
      </c>
      <c r="K25" s="376">
        <f>GlobalWarmingPotentials!$B$11*J286</f>
        <v>0</v>
      </c>
      <c r="L25" s="375">
        <f>GlobalWarmingPotentials!$C$11*M286</f>
        <v>0</v>
      </c>
      <c r="M25" s="377">
        <f>P286</f>
        <v>0</v>
      </c>
      <c r="N25" s="34"/>
      <c r="O25" s="82"/>
      <c r="P25" s="370"/>
    </row>
    <row r="26" spans="1:16" x14ac:dyDescent="0.25">
      <c r="A26" s="416" t="s">
        <v>879</v>
      </c>
      <c r="B26" s="379">
        <f>B396</f>
        <v>0</v>
      </c>
      <c r="C26" s="379">
        <f>E396</f>
        <v>0</v>
      </c>
      <c r="D26" s="376">
        <f>GlobalWarmingPotentials!$B$11*H396</f>
        <v>0</v>
      </c>
      <c r="E26" s="375">
        <f>GlobalWarmingPotentials!$C$11*K396</f>
        <v>0</v>
      </c>
      <c r="F26" s="377">
        <f t="shared" si="0"/>
        <v>0</v>
      </c>
      <c r="G26" s="378"/>
      <c r="H26" s="416" t="s">
        <v>879</v>
      </c>
      <c r="I26" s="379">
        <f>D396</f>
        <v>0</v>
      </c>
      <c r="J26" s="379">
        <f>G396</f>
        <v>0</v>
      </c>
      <c r="K26" s="376">
        <f>GlobalWarmingPotentials!$B$11*J396</f>
        <v>0</v>
      </c>
      <c r="L26" s="375">
        <f>GlobalWarmingPotentials!$C$11*M396</f>
        <v>0</v>
      </c>
      <c r="M26" s="377">
        <f t="shared" si="1"/>
        <v>0</v>
      </c>
      <c r="N26" s="34"/>
      <c r="O26" s="82"/>
      <c r="P26" s="370"/>
    </row>
    <row r="27" spans="1:16" x14ac:dyDescent="0.25">
      <c r="A27" s="416" t="s">
        <v>908</v>
      </c>
      <c r="B27" s="379">
        <f>B320</f>
        <v>517.88672232212184</v>
      </c>
      <c r="C27" s="379">
        <f>E320</f>
        <v>37.164284826471004</v>
      </c>
      <c r="D27" s="376">
        <f>GlobalWarmingPotentials!$B$11*H320</f>
        <v>0.1776163222875497</v>
      </c>
      <c r="E27" s="375">
        <f>GlobalWarmingPotentials!$C$11*K320</f>
        <v>2.9715982963586582</v>
      </c>
      <c r="F27" s="377">
        <f t="shared" si="0"/>
        <v>40.313499445117209</v>
      </c>
      <c r="G27" s="378"/>
      <c r="H27" s="416" t="s">
        <v>908</v>
      </c>
      <c r="I27" s="379">
        <f>D320</f>
        <v>24.34067594913973</v>
      </c>
      <c r="J27" s="379">
        <f>G320</f>
        <v>1.7467213868441371</v>
      </c>
      <c r="K27" s="376">
        <f>GlobalWarmingPotentials!$B$11*J320</f>
        <v>8.3479671475148367E-3</v>
      </c>
      <c r="L27" s="375">
        <f>GlobalWarmingPotentials!$C$11*M320</f>
        <v>0.13966511992885694</v>
      </c>
      <c r="M27" s="377">
        <f t="shared" si="1"/>
        <v>1.894734473920509</v>
      </c>
      <c r="N27" s="34"/>
      <c r="O27" s="82"/>
      <c r="P27" s="370"/>
    </row>
    <row r="28" spans="1:16" x14ac:dyDescent="0.25">
      <c r="A28" s="416" t="s">
        <v>911</v>
      </c>
      <c r="B28" s="808">
        <f>B354</f>
        <v>0</v>
      </c>
      <c r="C28" s="808">
        <f>E354</f>
        <v>0</v>
      </c>
      <c r="D28" s="379">
        <f>GlobalWarmingPotentials!$B$11*H354</f>
        <v>0</v>
      </c>
      <c r="E28" s="379">
        <f>GlobalWarmingPotentials!$C$11*K354</f>
        <v>0</v>
      </c>
      <c r="F28" s="813">
        <f t="shared" si="0"/>
        <v>0</v>
      </c>
      <c r="G28" s="809"/>
      <c r="H28" s="416" t="s">
        <v>911</v>
      </c>
      <c r="I28" s="808">
        <f>D354</f>
        <v>0</v>
      </c>
      <c r="J28" s="808">
        <f>G354</f>
        <v>0</v>
      </c>
      <c r="K28" s="379">
        <f>GlobalWarmingPotentials!$B$11*J354</f>
        <v>0</v>
      </c>
      <c r="L28" s="379">
        <f>GlobalWarmingPotentials!$C$11*M354</f>
        <v>0</v>
      </c>
      <c r="M28" s="813">
        <f t="shared" si="1"/>
        <v>0</v>
      </c>
      <c r="N28" s="34"/>
      <c r="O28" s="82"/>
      <c r="P28" s="370"/>
    </row>
    <row r="29" spans="1:16" x14ac:dyDescent="0.25">
      <c r="A29" s="416" t="s">
        <v>912</v>
      </c>
      <c r="B29" s="808">
        <f>B388</f>
        <v>0</v>
      </c>
      <c r="C29" s="808">
        <f>E388</f>
        <v>0</v>
      </c>
      <c r="D29" s="379">
        <f>GlobalWarmingPotentials!$B$11*H388</f>
        <v>0</v>
      </c>
      <c r="E29" s="379">
        <f>GlobalWarmingPotentials!$C$11*K388</f>
        <v>0</v>
      </c>
      <c r="F29" s="813">
        <f t="shared" si="0"/>
        <v>0</v>
      </c>
      <c r="G29" s="809"/>
      <c r="H29" s="416" t="s">
        <v>912</v>
      </c>
      <c r="I29" s="808">
        <f>D388</f>
        <v>0</v>
      </c>
      <c r="J29" s="808">
        <f>G388</f>
        <v>0</v>
      </c>
      <c r="K29" s="379">
        <f>GlobalWarmingPotentials!$B$11*J388</f>
        <v>0</v>
      </c>
      <c r="L29" s="379">
        <f>GlobalWarmingPotentials!$C$11*M388</f>
        <v>0</v>
      </c>
      <c r="M29" s="813">
        <f t="shared" si="1"/>
        <v>0</v>
      </c>
      <c r="N29" s="34"/>
      <c r="O29" s="82"/>
      <c r="P29" s="370"/>
    </row>
    <row r="30" spans="1:16" ht="13.8" thickBot="1" x14ac:dyDescent="0.3">
      <c r="A30" s="382" t="s">
        <v>375</v>
      </c>
      <c r="B30" s="838" t="s">
        <v>973</v>
      </c>
      <c r="C30" s="838" t="s">
        <v>973</v>
      </c>
      <c r="D30" s="838" t="s">
        <v>973</v>
      </c>
      <c r="E30" s="838" t="s">
        <v>973</v>
      </c>
      <c r="F30" s="811">
        <f>SUM(F13:F29)</f>
        <v>891.78541460514214</v>
      </c>
      <c r="G30" s="810"/>
      <c r="H30" s="382" t="s">
        <v>375</v>
      </c>
      <c r="I30" s="838" t="s">
        <v>973</v>
      </c>
      <c r="J30" s="838" t="s">
        <v>973</v>
      </c>
      <c r="K30" s="838" t="s">
        <v>973</v>
      </c>
      <c r="L30" s="838" t="s">
        <v>973</v>
      </c>
      <c r="M30" s="811">
        <f>SQRT(SUMSQ(M13:M29))</f>
        <v>53.614286681902982</v>
      </c>
      <c r="N30" s="82"/>
      <c r="O30" s="82"/>
      <c r="P30" s="370"/>
    </row>
    <row r="31" spans="1:16" x14ac:dyDescent="0.25">
      <c r="A31" s="34"/>
      <c r="B31" s="82"/>
      <c r="C31" s="369"/>
      <c r="D31" s="82"/>
      <c r="E31" s="82"/>
      <c r="F31" s="82"/>
      <c r="G31" s="82"/>
      <c r="H31" s="60"/>
      <c r="I31" s="82"/>
      <c r="J31" s="82"/>
      <c r="K31" s="60"/>
      <c r="L31" s="60"/>
      <c r="M31" s="60"/>
      <c r="N31" s="34"/>
      <c r="O31" s="82"/>
      <c r="P31" s="370"/>
    </row>
    <row r="32" spans="1:16" x14ac:dyDescent="0.25">
      <c r="A32" s="34"/>
      <c r="B32" s="82"/>
      <c r="C32" s="369"/>
      <c r="D32" s="82"/>
      <c r="E32" s="82"/>
      <c r="F32" s="82"/>
      <c r="G32" s="82"/>
      <c r="H32" s="82"/>
      <c r="I32" s="82"/>
      <c r="J32" s="82"/>
      <c r="K32" s="82"/>
      <c r="L32" s="82"/>
      <c r="M32" s="82"/>
      <c r="N32" s="34"/>
      <c r="O32" s="82"/>
      <c r="P32" s="370"/>
    </row>
    <row r="33" spans="1:16" x14ac:dyDescent="0.25">
      <c r="A33" s="34"/>
      <c r="B33" s="82"/>
      <c r="C33" s="369"/>
      <c r="D33" s="82"/>
      <c r="E33" s="82"/>
      <c r="F33" s="82"/>
      <c r="G33" s="82"/>
      <c r="H33" s="82"/>
      <c r="I33" s="82"/>
      <c r="J33" s="82"/>
      <c r="K33" s="82"/>
      <c r="L33" s="82"/>
      <c r="M33" s="82"/>
      <c r="N33" s="34"/>
      <c r="O33" s="82"/>
      <c r="P33" s="370"/>
    </row>
    <row r="34" spans="1:16" x14ac:dyDescent="0.25">
      <c r="A34" s="34"/>
      <c r="B34" s="82"/>
      <c r="C34" s="369"/>
      <c r="D34" s="82"/>
      <c r="E34" s="82"/>
      <c r="F34" s="82"/>
      <c r="G34" s="82"/>
      <c r="H34" s="82"/>
      <c r="I34" s="82"/>
      <c r="J34" s="82"/>
      <c r="K34" s="82"/>
      <c r="L34" s="82"/>
      <c r="M34" s="82"/>
      <c r="N34" s="34"/>
      <c r="O34" s="82"/>
      <c r="P34" s="370"/>
    </row>
    <row r="35" spans="1:16" x14ac:dyDescent="0.25">
      <c r="A35" s="34"/>
      <c r="B35" s="82"/>
      <c r="C35" s="369"/>
      <c r="D35" s="82"/>
      <c r="E35" s="82"/>
      <c r="F35" s="82"/>
      <c r="G35" s="82"/>
      <c r="H35" s="82"/>
      <c r="I35" s="82"/>
      <c r="J35" s="82"/>
      <c r="K35" s="82"/>
      <c r="L35" s="82"/>
      <c r="M35" s="82"/>
      <c r="N35" s="34"/>
      <c r="O35" s="82"/>
      <c r="P35" s="370"/>
    </row>
    <row r="36" spans="1:16" x14ac:dyDescent="0.25">
      <c r="A36" s="34"/>
      <c r="B36" s="82"/>
      <c r="C36" s="369"/>
      <c r="D36" s="82"/>
      <c r="E36" s="82"/>
      <c r="F36" s="82"/>
      <c r="G36" s="82"/>
      <c r="H36" s="82"/>
      <c r="I36" s="82"/>
      <c r="J36" s="82"/>
      <c r="K36" s="82"/>
      <c r="L36" s="82"/>
      <c r="M36" s="82"/>
      <c r="N36" s="34"/>
      <c r="O36" s="82"/>
      <c r="P36" s="370"/>
    </row>
    <row r="37" spans="1:16" x14ac:dyDescent="0.25">
      <c r="A37" s="34"/>
      <c r="B37" s="82"/>
      <c r="C37" s="369"/>
      <c r="D37" s="82"/>
      <c r="E37" s="82"/>
      <c r="F37" s="82"/>
      <c r="G37" s="82"/>
      <c r="H37" s="82"/>
      <c r="I37" s="82"/>
      <c r="J37" s="82"/>
      <c r="K37" s="82"/>
      <c r="L37" s="82"/>
      <c r="M37" s="82"/>
      <c r="N37" s="34"/>
      <c r="O37" s="82"/>
      <c r="P37" s="370"/>
    </row>
    <row r="38" spans="1:16" x14ac:dyDescent="0.25">
      <c r="A38" s="34"/>
      <c r="B38" s="82"/>
      <c r="C38" s="369"/>
      <c r="D38" s="82"/>
      <c r="E38" s="82"/>
      <c r="F38" s="82"/>
      <c r="G38" s="82"/>
      <c r="H38" s="82"/>
      <c r="I38" s="82"/>
      <c r="J38" s="82"/>
      <c r="K38" s="82"/>
      <c r="L38" s="82"/>
      <c r="M38" s="82"/>
      <c r="N38" s="34"/>
      <c r="O38" s="82"/>
      <c r="P38" s="370"/>
    </row>
    <row r="39" spans="1:16" x14ac:dyDescent="0.25">
      <c r="A39" s="34"/>
      <c r="B39" s="82"/>
      <c r="C39" s="369"/>
      <c r="D39" s="82"/>
      <c r="E39" s="82"/>
      <c r="F39" s="82"/>
      <c r="G39" s="82"/>
      <c r="H39" s="82"/>
      <c r="I39" s="82"/>
      <c r="J39" s="82"/>
      <c r="K39" s="82"/>
      <c r="L39" s="82"/>
      <c r="M39" s="82"/>
      <c r="N39" s="34"/>
      <c r="O39" s="82"/>
      <c r="P39" s="370"/>
    </row>
    <row r="40" spans="1:16" x14ac:dyDescent="0.25">
      <c r="A40" s="34"/>
      <c r="B40" s="82"/>
      <c r="C40" s="369"/>
      <c r="D40" s="82"/>
      <c r="E40" s="82"/>
      <c r="F40" s="82"/>
      <c r="G40" s="82"/>
      <c r="H40" s="82"/>
      <c r="I40" s="82"/>
      <c r="J40" s="82"/>
      <c r="K40" s="82"/>
      <c r="L40" s="82"/>
      <c r="M40" s="82"/>
      <c r="N40" s="34"/>
      <c r="O40" s="82"/>
      <c r="P40" s="370"/>
    </row>
    <row r="41" spans="1:16" x14ac:dyDescent="0.25">
      <c r="A41" s="34"/>
      <c r="B41" s="82"/>
      <c r="C41" s="369"/>
      <c r="D41" s="82"/>
      <c r="E41" s="82"/>
      <c r="F41" s="82"/>
      <c r="G41" s="82"/>
      <c r="H41" s="82"/>
      <c r="I41" s="82"/>
      <c r="J41" s="82"/>
      <c r="K41" s="82"/>
      <c r="L41" s="82"/>
      <c r="M41" s="82"/>
      <c r="N41" s="34"/>
      <c r="O41" s="82"/>
      <c r="P41" s="370"/>
    </row>
    <row r="42" spans="1:16" x14ac:dyDescent="0.25">
      <c r="A42" s="34"/>
      <c r="B42" s="82"/>
      <c r="C42" s="369"/>
      <c r="D42" s="82"/>
      <c r="E42" s="82"/>
      <c r="F42" s="82"/>
      <c r="G42" s="82"/>
      <c r="H42" s="82"/>
      <c r="I42" s="82"/>
      <c r="J42" s="82"/>
      <c r="K42" s="82"/>
      <c r="L42" s="82"/>
      <c r="M42" s="82"/>
      <c r="N42" s="34"/>
      <c r="O42" s="82"/>
      <c r="P42" s="370"/>
    </row>
    <row r="43" spans="1:16" x14ac:dyDescent="0.25">
      <c r="A43" s="34"/>
      <c r="B43" s="82"/>
      <c r="C43" s="369"/>
      <c r="D43" s="82"/>
      <c r="E43" s="82"/>
      <c r="F43" s="82"/>
      <c r="G43" s="82"/>
      <c r="H43" s="82"/>
      <c r="I43" s="82"/>
      <c r="J43" s="82"/>
      <c r="K43" s="82"/>
      <c r="L43" s="82"/>
      <c r="M43" s="82"/>
      <c r="N43" s="34"/>
      <c r="O43" s="82"/>
      <c r="P43" s="370"/>
    </row>
    <row r="44" spans="1:16" x14ac:dyDescent="0.25">
      <c r="A44" s="34"/>
      <c r="B44" s="82"/>
      <c r="C44" s="369"/>
      <c r="D44" s="82"/>
      <c r="E44" s="82"/>
      <c r="F44" s="82"/>
      <c r="G44" s="82"/>
      <c r="H44" s="82"/>
      <c r="I44" s="82"/>
      <c r="J44" s="82"/>
      <c r="K44" s="82"/>
      <c r="L44" s="82"/>
      <c r="M44" s="82"/>
      <c r="N44" s="34"/>
      <c r="O44" s="82"/>
      <c r="P44" s="370"/>
    </row>
    <row r="45" spans="1:16" x14ac:dyDescent="0.25">
      <c r="A45" s="34"/>
      <c r="B45" s="82"/>
      <c r="C45" s="369"/>
      <c r="D45" s="82"/>
      <c r="E45" s="82"/>
      <c r="F45" s="82"/>
      <c r="G45" s="82"/>
      <c r="H45" s="82"/>
      <c r="I45" s="82"/>
      <c r="J45" s="82"/>
      <c r="K45" s="82"/>
      <c r="L45" s="82"/>
      <c r="M45" s="82"/>
      <c r="N45" s="34"/>
      <c r="O45" s="82"/>
      <c r="P45" s="370"/>
    </row>
    <row r="46" spans="1:16" x14ac:dyDescent="0.25">
      <c r="A46" s="34"/>
      <c r="B46" s="82"/>
      <c r="C46" s="369"/>
      <c r="D46" s="82"/>
      <c r="E46" s="82"/>
      <c r="F46" s="82"/>
      <c r="G46" s="82"/>
      <c r="H46" s="82"/>
      <c r="I46" s="82"/>
      <c r="J46" s="82"/>
      <c r="K46" s="82"/>
      <c r="L46" s="82"/>
      <c r="M46" s="82"/>
      <c r="N46" s="34"/>
      <c r="O46" s="82"/>
      <c r="P46" s="370"/>
    </row>
    <row r="47" spans="1:16" x14ac:dyDescent="0.25">
      <c r="A47" s="34"/>
      <c r="B47" s="82"/>
      <c r="C47" s="369"/>
      <c r="D47" s="82"/>
      <c r="E47" s="82"/>
      <c r="F47" s="82"/>
      <c r="G47" s="82"/>
      <c r="H47" s="82"/>
      <c r="I47" s="82"/>
      <c r="J47" s="82"/>
      <c r="K47" s="82"/>
      <c r="L47" s="82"/>
      <c r="M47" s="82"/>
      <c r="N47" s="34"/>
      <c r="O47" s="82"/>
      <c r="P47" s="82"/>
    </row>
    <row r="48" spans="1:16" x14ac:dyDescent="0.25">
      <c r="A48" s="34"/>
      <c r="B48" s="82"/>
      <c r="C48" s="369"/>
      <c r="D48" s="82"/>
      <c r="E48" s="82"/>
      <c r="F48" s="82"/>
      <c r="G48" s="82"/>
      <c r="H48" s="82"/>
      <c r="I48" s="82"/>
      <c r="J48" s="82"/>
      <c r="K48" s="82"/>
      <c r="L48" s="82"/>
      <c r="M48" s="82"/>
      <c r="N48" s="34"/>
      <c r="O48" s="82"/>
      <c r="P48" s="82"/>
    </row>
    <row r="49" spans="1:16" x14ac:dyDescent="0.25">
      <c r="A49" s="34"/>
      <c r="B49" s="82"/>
      <c r="C49" s="369"/>
      <c r="D49" s="82"/>
      <c r="E49" s="82"/>
      <c r="F49" s="82"/>
      <c r="G49" s="82"/>
      <c r="H49" s="82"/>
      <c r="I49" s="82"/>
      <c r="J49" s="82"/>
      <c r="K49" s="82"/>
      <c r="L49" s="82"/>
      <c r="M49" s="82"/>
      <c r="N49" s="34"/>
      <c r="O49" s="82"/>
      <c r="P49" s="82"/>
    </row>
    <row r="50" spans="1:16" x14ac:dyDescent="0.25">
      <c r="A50" s="34"/>
      <c r="B50" s="82"/>
      <c r="C50" s="369"/>
      <c r="D50" s="82"/>
      <c r="E50" s="82"/>
      <c r="F50" s="82"/>
      <c r="G50" s="82"/>
      <c r="H50" s="82"/>
      <c r="I50" s="82"/>
      <c r="J50" s="82"/>
      <c r="K50" s="82"/>
      <c r="L50" s="82"/>
      <c r="M50" s="82"/>
      <c r="N50" s="34"/>
      <c r="O50" s="82"/>
      <c r="P50" s="82"/>
    </row>
    <row r="51" spans="1:16" x14ac:dyDescent="0.25">
      <c r="A51" s="34"/>
      <c r="B51" s="82"/>
      <c r="C51" s="369"/>
      <c r="D51" s="82"/>
      <c r="E51" s="82"/>
      <c r="F51" s="82"/>
      <c r="G51" s="82"/>
      <c r="H51" s="82"/>
      <c r="I51" s="82"/>
      <c r="J51" s="82"/>
      <c r="K51" s="82"/>
      <c r="L51" s="82"/>
      <c r="M51" s="82"/>
      <c r="N51" s="34"/>
      <c r="O51" s="82"/>
      <c r="P51" s="82"/>
    </row>
    <row r="52" spans="1:16" x14ac:dyDescent="0.25">
      <c r="A52" s="34"/>
      <c r="B52" s="82"/>
      <c r="C52" s="369"/>
      <c r="D52" s="82"/>
      <c r="E52" s="82"/>
      <c r="F52" s="82"/>
      <c r="G52" s="82"/>
      <c r="H52" s="82"/>
      <c r="I52" s="82"/>
      <c r="J52" s="82"/>
      <c r="K52" s="82"/>
      <c r="L52" s="82"/>
      <c r="M52" s="82"/>
      <c r="N52" s="34"/>
      <c r="O52" s="82"/>
      <c r="P52" s="82"/>
    </row>
    <row r="53" spans="1:16" x14ac:dyDescent="0.25">
      <c r="A53" s="34"/>
      <c r="B53" s="82"/>
      <c r="C53" s="369"/>
      <c r="D53" s="82"/>
      <c r="E53" s="82"/>
      <c r="F53" s="82"/>
      <c r="G53" s="82"/>
      <c r="H53" s="82"/>
      <c r="I53" s="82"/>
      <c r="J53" s="82"/>
      <c r="K53" s="82"/>
      <c r="L53" s="82"/>
      <c r="M53" s="82"/>
      <c r="N53" s="34"/>
      <c r="O53" s="82"/>
      <c r="P53" s="82"/>
    </row>
    <row r="54" spans="1:16" x14ac:dyDescent="0.25">
      <c r="A54" s="34"/>
      <c r="B54" s="82"/>
      <c r="C54" s="369"/>
      <c r="D54" s="82"/>
      <c r="E54" s="82"/>
      <c r="F54" s="82"/>
      <c r="G54" s="82"/>
      <c r="H54" s="82"/>
      <c r="I54" s="82"/>
      <c r="J54" s="82"/>
      <c r="K54" s="82"/>
      <c r="L54" s="82"/>
      <c r="M54" s="82"/>
      <c r="N54" s="34"/>
      <c r="O54" s="82"/>
      <c r="P54" s="370"/>
    </row>
    <row r="55" spans="1:16" x14ac:dyDescent="0.25">
      <c r="A55" s="33" t="s">
        <v>44</v>
      </c>
      <c r="B55" s="92"/>
      <c r="C55" s="92"/>
      <c r="D55" s="92"/>
      <c r="E55" s="92"/>
      <c r="F55" s="92"/>
      <c r="G55" s="92"/>
      <c r="H55" s="92"/>
      <c r="I55" s="92"/>
      <c r="J55" s="384"/>
      <c r="K55" s="92"/>
      <c r="L55" s="92"/>
      <c r="M55" s="384"/>
      <c r="N55" s="33"/>
      <c r="O55" s="92"/>
      <c r="P55" s="385"/>
    </row>
    <row r="56" spans="1:16" x14ac:dyDescent="0.25">
      <c r="A56" s="40"/>
      <c r="B56" s="40"/>
      <c r="C56" s="40"/>
      <c r="D56" s="40"/>
      <c r="E56" s="40"/>
      <c r="F56" s="40"/>
      <c r="G56" s="40"/>
      <c r="H56" s="40"/>
      <c r="I56" s="40"/>
      <c r="J56" s="41"/>
      <c r="K56" s="40"/>
      <c r="L56" s="40"/>
      <c r="M56" s="41"/>
      <c r="N56" s="40"/>
      <c r="O56" s="40"/>
      <c r="P56" s="386"/>
    </row>
    <row r="57" spans="1:16" x14ac:dyDescent="0.25">
      <c r="A57" s="22" t="s">
        <v>243</v>
      </c>
      <c r="B57" s="29" t="s">
        <v>22</v>
      </c>
      <c r="C57" s="23"/>
      <c r="D57" s="22"/>
      <c r="E57" s="29" t="s">
        <v>23</v>
      </c>
      <c r="F57" s="23"/>
      <c r="G57" s="19"/>
      <c r="H57" s="7" t="s">
        <v>24</v>
      </c>
      <c r="I57" s="23"/>
      <c r="J57" s="19"/>
      <c r="K57" s="7" t="s">
        <v>25</v>
      </c>
      <c r="L57" s="23"/>
      <c r="M57" s="19"/>
      <c r="N57" s="7" t="s">
        <v>26</v>
      </c>
      <c r="O57" s="23"/>
      <c r="P57" s="19"/>
    </row>
    <row r="58" spans="1:16" x14ac:dyDescent="0.25">
      <c r="A58" s="23"/>
    </row>
    <row r="59" spans="1:16" ht="14.4" x14ac:dyDescent="0.3">
      <c r="A59" s="21"/>
      <c r="B59" s="28" t="s">
        <v>880</v>
      </c>
      <c r="C59" s="21" t="s">
        <v>21</v>
      </c>
      <c r="D59" s="21" t="s">
        <v>881</v>
      </c>
      <c r="E59" s="28" t="s">
        <v>882</v>
      </c>
      <c r="F59" s="21" t="s">
        <v>21</v>
      </c>
      <c r="G59" s="20" t="s">
        <v>883</v>
      </c>
      <c r="H59" s="28" t="s">
        <v>884</v>
      </c>
      <c r="I59" s="21" t="s">
        <v>21</v>
      </c>
      <c r="J59" s="20" t="s">
        <v>885</v>
      </c>
      <c r="K59" s="28" t="s">
        <v>886</v>
      </c>
      <c r="L59" s="21" t="s">
        <v>21</v>
      </c>
      <c r="M59" s="20" t="s">
        <v>887</v>
      </c>
      <c r="N59" s="28" t="s">
        <v>888</v>
      </c>
      <c r="O59" s="21" t="s">
        <v>21</v>
      </c>
      <c r="P59" s="20" t="s">
        <v>889</v>
      </c>
    </row>
    <row r="60" spans="1:16" x14ac:dyDescent="0.25">
      <c r="A60" s="154" t="s">
        <v>20</v>
      </c>
    </row>
    <row r="61" spans="1:16" x14ac:dyDescent="0.25">
      <c r="A61" s="154"/>
    </row>
    <row r="62" spans="1:16" x14ac:dyDescent="0.25">
      <c r="A62" s="507" t="str">
        <f>Cultivation!A21</f>
        <v>MAIN LAND USE</v>
      </c>
      <c r="B62" s="729"/>
      <c r="C62" s="992"/>
      <c r="D62" s="736"/>
      <c r="E62" s="729"/>
      <c r="F62" s="992"/>
      <c r="G62" s="736"/>
      <c r="H62" s="505"/>
      <c r="I62" s="992"/>
      <c r="J62" s="506"/>
      <c r="K62" s="505"/>
      <c r="L62" s="992"/>
      <c r="M62" s="506"/>
      <c r="N62" s="729"/>
      <c r="O62" s="992"/>
      <c r="P62" s="758"/>
    </row>
    <row r="63" spans="1:16" s="5" customFormat="1" x14ac:dyDescent="0.25">
      <c r="A63" s="507" t="str">
        <f>Cultivation!A22</f>
        <v>Diesel Fuel:</v>
      </c>
      <c r="B63" s="727">
        <f>(Unitflowchart!$S$17*Cultivation!J22)/Unitflowchart!$S$383</f>
        <v>0</v>
      </c>
      <c r="C63" s="26">
        <f t="shared" ref="C63:C72" si="6">(B63/B$398)*100</f>
        <v>0</v>
      </c>
      <c r="D63" s="148">
        <f>(Unitflowchart!$S$17*Cultivation!K22)/Unitflowchart!$S$383</f>
        <v>0</v>
      </c>
      <c r="E63" s="727">
        <f>(Unitflowchart!$S$17*Cultivation!P22)/Unitflowchart!$S$383</f>
        <v>0</v>
      </c>
      <c r="F63" s="26">
        <f t="shared" ref="F63:F72" si="7">(E63/E$398)*100</f>
        <v>0</v>
      </c>
      <c r="G63" s="148">
        <f>(Unitflowchart!$S$17*Cultivation!Q22)/Unitflowchart!$S$383</f>
        <v>0</v>
      </c>
      <c r="H63" s="165">
        <f>(Unitflowchart!$S$17*Cultivation!V22)/Unitflowchart!$S$383</f>
        <v>0</v>
      </c>
      <c r="I63" s="26">
        <f t="shared" ref="I63:I72" si="8">(H63/H$398)*100</f>
        <v>0</v>
      </c>
      <c r="J63" s="214">
        <f>(Unitflowchart!$S$17*Cultivation!W22)/Unitflowchart!$S$383</f>
        <v>0</v>
      </c>
      <c r="K63" s="165">
        <f>(Unitflowchart!$S$17*Cultivation!AB22)/Unitflowchart!$S$383</f>
        <v>0</v>
      </c>
      <c r="L63" s="26">
        <f t="shared" ref="L63:L72" si="9">(K63/K$398)*100</f>
        <v>0</v>
      </c>
      <c r="M63" s="214">
        <f>(Unitflowchart!$S$17*Cultivation!AC22)/Unitflowchart!$S$383</f>
        <v>0</v>
      </c>
      <c r="N63" s="727">
        <f>E63+(GlobalWarmingPotentials!$B$11*H63)+(GlobalWarmingPotentials!$C$11*K63)</f>
        <v>0</v>
      </c>
      <c r="O63" s="26">
        <f>(N63/N$398)*100</f>
        <v>0</v>
      </c>
      <c r="P63" s="756">
        <f>SQRT((G63^2)+((GlobalWarmingPotentials!$B$11*J63)^2)+((GlobalWarmingPotentials!$C$11*M63)^2))</f>
        <v>0</v>
      </c>
    </row>
    <row r="64" spans="1:16" x14ac:dyDescent="0.25">
      <c r="A64" s="507" t="str">
        <f>Cultivation!A23</f>
        <v>subsoiling</v>
      </c>
      <c r="B64" s="727">
        <f>(Unitflowchart!$S$17*Cultivation!J23)/Unitflowchart!$S$383</f>
        <v>37.584063592008938</v>
      </c>
      <c r="C64" s="26">
        <f t="shared" si="6"/>
        <v>0.29035039192861195</v>
      </c>
      <c r="D64" s="148">
        <f>(Unitflowchart!$S$17*Cultivation!K23)/Unitflowchart!$S$383</f>
        <v>0</v>
      </c>
      <c r="E64" s="727">
        <f>(Unitflowchart!$S$17*Cultivation!P23)/Unitflowchart!$S$383</f>
        <v>2.6970856445337263</v>
      </c>
      <c r="F64" s="26">
        <f t="shared" si="7"/>
        <v>0.33529925054278692</v>
      </c>
      <c r="G64" s="148">
        <f>(Unitflowchart!$S$17*Cultivation!Q23)/Unitflowchart!$S$383</f>
        <v>0</v>
      </c>
      <c r="H64" s="165">
        <f>(Unitflowchart!$S$17*Cultivation!V23)/Unitflowchart!$S$383</f>
        <v>5.604333806823326E-4</v>
      </c>
      <c r="I64" s="26">
        <f t="shared" si="8"/>
        <v>5.5824004780688517E-2</v>
      </c>
      <c r="J64" s="214">
        <f>(Unitflowchart!$S$17*Cultivation!W23)/Unitflowchart!$S$383</f>
        <v>0</v>
      </c>
      <c r="K64" s="165">
        <f>(Unitflowchart!$S$17*Cultivation!AB23)/Unitflowchart!$S$383</f>
        <v>7.2856339488703258E-4</v>
      </c>
      <c r="L64" s="26">
        <f t="shared" si="9"/>
        <v>0.33531857212435473</v>
      </c>
      <c r="M64" s="214">
        <f>(Unitflowchart!$S$17*Cultivation!AC23)/Unitflowchart!$S$383</f>
        <v>0</v>
      </c>
      <c r="N64" s="755"/>
      <c r="O64" s="26"/>
      <c r="P64" s="757"/>
    </row>
    <row r="65" spans="1:16" x14ac:dyDescent="0.25">
      <c r="A65" s="507" t="str">
        <f>Cultivation!A24</f>
        <v>ploughing</v>
      </c>
      <c r="B65" s="727">
        <f>(Unitflowchart!$S$17*Cultivation!J24)/Unitflowchart!$S$383</f>
        <v>37.600836367946258</v>
      </c>
      <c r="C65" s="26">
        <f t="shared" si="6"/>
        <v>0.29047996764772516</v>
      </c>
      <c r="D65" s="148">
        <f>(Unitflowchart!$S$17*Cultivation!K24)/Unitflowchart!$S$383</f>
        <v>0</v>
      </c>
      <c r="E65" s="727">
        <f>(Unitflowchart!$S$17*Cultivation!P24)/Unitflowchart!$S$383</f>
        <v>2.6982892826951184</v>
      </c>
      <c r="F65" s="26">
        <f t="shared" si="7"/>
        <v>0.33544888575153803</v>
      </c>
      <c r="G65" s="148">
        <f>(Unitflowchart!$S$17*Cultivation!Q24)/Unitflowchart!$S$383</f>
        <v>0</v>
      </c>
      <c r="H65" s="165">
        <f>(Unitflowchart!$S$17*Cultivation!V24)/Unitflowchart!$S$383</f>
        <v>5.6068348731327141E-4</v>
      </c>
      <c r="I65" s="26">
        <f t="shared" si="8"/>
        <v>5.5848917561123208E-2</v>
      </c>
      <c r="J65" s="214">
        <f>(Unitflowchart!$S$17*Cultivation!W24)/Unitflowchart!$S$383</f>
        <v>0</v>
      </c>
      <c r="K65" s="165">
        <f>(Unitflowchart!$S$17*Cultivation!AB24)/Unitflowchart!$S$383</f>
        <v>7.2888853350725272E-4</v>
      </c>
      <c r="L65" s="26">
        <f t="shared" si="9"/>
        <v>0.33546821595581788</v>
      </c>
      <c r="M65" s="214">
        <f>(Unitflowchart!$S$17*Cultivation!AC24)/Unitflowchart!$S$383</f>
        <v>0</v>
      </c>
      <c r="N65" s="729"/>
      <c r="O65" s="26"/>
      <c r="P65" s="758"/>
    </row>
    <row r="66" spans="1:16" x14ac:dyDescent="0.25">
      <c r="A66" s="507" t="str">
        <f>Cultivation!A25</f>
        <v>rotavating/power harrowing</v>
      </c>
      <c r="B66" s="727">
        <f>(Unitflowchart!$S$17*Cultivation!J25)/Unitflowchart!$S$383</f>
        <v>19.680057099797409</v>
      </c>
      <c r="C66" s="26">
        <f t="shared" si="6"/>
        <v>0.15203551042624791</v>
      </c>
      <c r="D66" s="148">
        <f>(Unitflowchart!$S$17*Cultivation!K25)/Unitflowchart!$S$383</f>
        <v>0</v>
      </c>
      <c r="E66" s="727">
        <f>(Unitflowchart!$S$17*Cultivation!P25)/Unitflowchart!$S$383</f>
        <v>1.4122687760339239</v>
      </c>
      <c r="F66" s="26">
        <f t="shared" si="7"/>
        <v>0.17557197826805321</v>
      </c>
      <c r="G66" s="148">
        <f>(Unitflowchart!$S$17*Cultivation!Q25)/Unitflowchart!$S$383</f>
        <v>0</v>
      </c>
      <c r="H66" s="165">
        <f>(Unitflowchart!$S$17*Cultivation!V25)/Unitflowchart!$S$383</f>
        <v>2.9345844696808811E-4</v>
      </c>
      <c r="I66" s="26">
        <f t="shared" si="8"/>
        <v>2.9230995710024833E-2</v>
      </c>
      <c r="J66" s="214">
        <f>(Unitflowchart!$S$17*Cultivation!W25)/Unitflowchart!$S$383</f>
        <v>0</v>
      </c>
      <c r="K66" s="165">
        <f>(Unitflowchart!$S$17*Cultivation!AB25)/Unitflowchart!$S$383</f>
        <v>3.8149598105851457E-4</v>
      </c>
      <c r="L66" s="26">
        <f t="shared" si="9"/>
        <v>0.17558209558353677</v>
      </c>
      <c r="M66" s="214">
        <f>(Unitflowchart!$S$17*Cultivation!AC25)/Unitflowchart!$S$383</f>
        <v>0</v>
      </c>
      <c r="N66" s="727">
        <f>E66+(GlobalWarmingPotentials!$B$11*H66)+(GlobalWarmingPotentials!$C$11*K66)</f>
        <v>1.5319411307075104</v>
      </c>
      <c r="O66" s="26">
        <f t="shared" ref="O66:O72" si="10">(N66/N$398)*100</f>
        <v>0.17178360462262232</v>
      </c>
      <c r="P66" s="756">
        <f>SQRT((G66^2)+((GlobalWarmingPotentials!$B$11*J66)^2)+((GlobalWarmingPotentials!$C$11*M66)^2))</f>
        <v>0</v>
      </c>
    </row>
    <row r="67" spans="1:16" x14ac:dyDescent="0.25">
      <c r="A67" s="507" t="str">
        <f>Cultivation!A26</f>
        <v xml:space="preserve">planting </v>
      </c>
      <c r="B67" s="727">
        <f>(Unitflowchart!$S$17*Cultivation!J26)/Unitflowchart!$S$383</f>
        <v>32.800095166329015</v>
      </c>
      <c r="C67" s="26">
        <f t="shared" si="6"/>
        <v>0.25339251737707985</v>
      </c>
      <c r="D67" s="148">
        <f>(Unitflowchart!$S$17*Cultivation!K26)/Unitflowchart!$S$383</f>
        <v>0</v>
      </c>
      <c r="E67" s="727">
        <f>(Unitflowchart!$S$17*Cultivation!P26)/Unitflowchart!$S$383</f>
        <v>2.3537812933898734</v>
      </c>
      <c r="F67" s="26">
        <f t="shared" si="7"/>
        <v>0.2926199637800887</v>
      </c>
      <c r="G67" s="148">
        <f>(Unitflowchart!$S$17*Cultivation!Q26)/Unitflowchart!$S$383</f>
        <v>0</v>
      </c>
      <c r="H67" s="165">
        <f>(Unitflowchart!$S$17*Cultivation!V26)/Unitflowchart!$S$383</f>
        <v>4.8909741161348025E-4</v>
      </c>
      <c r="I67" s="26">
        <f t="shared" si="8"/>
        <v>4.8718326183374724E-2</v>
      </c>
      <c r="J67" s="214">
        <f>(Unitflowchart!$S$17*Cultivation!W26)/Unitflowchart!$S$383</f>
        <v>0</v>
      </c>
      <c r="K67" s="165">
        <f>(Unitflowchart!$S$17*Cultivation!AB26)/Unitflowchart!$S$383</f>
        <v>6.3582663509752419E-4</v>
      </c>
      <c r="L67" s="26">
        <f t="shared" si="9"/>
        <v>0.29263682597256124</v>
      </c>
      <c r="M67" s="214">
        <f>(Unitflowchart!$S$17*Cultivation!AC26)/Unitflowchart!$S$383</f>
        <v>0</v>
      </c>
      <c r="N67" s="727">
        <f>E67+(GlobalWarmingPotentials!$B$11*H67)+(GlobalWarmingPotentials!$C$11*K67)</f>
        <v>2.5532352178458506</v>
      </c>
      <c r="O67" s="26">
        <f t="shared" si="10"/>
        <v>0.28630600770437048</v>
      </c>
      <c r="P67" s="756">
        <f>SQRT((G67^2)+((GlobalWarmingPotentials!$B$11*J67)^2)+((GlobalWarmingPotentials!$C$11*M67)^2))</f>
        <v>0</v>
      </c>
    </row>
    <row r="68" spans="1:16" x14ac:dyDescent="0.25">
      <c r="A68" s="507" t="str">
        <f>Cultivation!A27</f>
        <v>rolling</v>
      </c>
      <c r="B68" s="727">
        <f>(Unitflowchart!$S$17*Cultivation!J27)/Unitflowchart!$S$383</f>
        <v>5.9040171299392217</v>
      </c>
      <c r="C68" s="26">
        <f t="shared" si="6"/>
        <v>4.5610653127874365E-2</v>
      </c>
      <c r="D68" s="148">
        <f>(Unitflowchart!$S$17*Cultivation!K27)/Unitflowchart!$S$383</f>
        <v>0</v>
      </c>
      <c r="E68" s="727">
        <f>(Unitflowchart!$S$17*Cultivation!P27)/Unitflowchart!$S$383</f>
        <v>0.4236806328101772</v>
      </c>
      <c r="F68" s="26">
        <f t="shared" si="7"/>
        <v>5.2671593480415974E-2</v>
      </c>
      <c r="G68" s="148">
        <f>(Unitflowchart!$S$17*Cultivation!Q27)/Unitflowchart!$S$383</f>
        <v>0</v>
      </c>
      <c r="H68" s="165">
        <f>(Unitflowchart!$S$17*Cultivation!V27)/Unitflowchart!$S$383</f>
        <v>8.8037534090426424E-5</v>
      </c>
      <c r="I68" s="26">
        <f t="shared" si="8"/>
        <v>8.7692987130074482E-3</v>
      </c>
      <c r="J68" s="214">
        <f>(Unitflowchart!$S$17*Cultivation!W27)/Unitflowchart!$S$383</f>
        <v>0</v>
      </c>
      <c r="K68" s="165">
        <f>(Unitflowchart!$S$17*Cultivation!AB27)/Unitflowchart!$S$383</f>
        <v>1.1444879431755436E-4</v>
      </c>
      <c r="L68" s="26">
        <f t="shared" si="9"/>
        <v>5.2674628675061029E-2</v>
      </c>
      <c r="M68" s="214">
        <f>(Unitflowchart!$S$17*Cultivation!AC27)/Unitflowchart!$S$383</f>
        <v>0</v>
      </c>
      <c r="N68" s="727">
        <f>E68+(GlobalWarmingPotentials!$B$11*H68)+(GlobalWarmingPotentials!$C$11*K68)</f>
        <v>0.45958233921225311</v>
      </c>
      <c r="O68" s="26">
        <f t="shared" si="10"/>
        <v>5.1535081386786689E-2</v>
      </c>
      <c r="P68" s="756">
        <f>SQRT((G68^2)+((GlobalWarmingPotentials!$B$11*J68)^2)+((GlobalWarmingPotentials!$C$11*M68)^2))</f>
        <v>0</v>
      </c>
    </row>
    <row r="69" spans="1:16" x14ac:dyDescent="0.25">
      <c r="A69" s="507" t="str">
        <f>Cultivation!A28</f>
        <v>fertilizer application</v>
      </c>
      <c r="B69" s="727">
        <f>(Unitflowchart!$S$17*Cultivation!J28)/Unitflowchart!$S$383</f>
        <v>147.60042824848057</v>
      </c>
      <c r="C69" s="26">
        <f t="shared" si="6"/>
        <v>1.1402663281968595</v>
      </c>
      <c r="D69" s="148">
        <f>(Unitflowchart!$S$17*Cultivation!K28)/Unitflowchart!$S$383</f>
        <v>0</v>
      </c>
      <c r="E69" s="727">
        <f>(Unitflowchart!$S$17*Cultivation!P28)/Unitflowchart!$S$383</f>
        <v>10.59201582025443</v>
      </c>
      <c r="F69" s="26">
        <f t="shared" si="7"/>
        <v>1.3167898370103992</v>
      </c>
      <c r="G69" s="148">
        <f>(Unitflowchart!$S$17*Cultivation!Q28)/Unitflowchart!$S$383</f>
        <v>0</v>
      </c>
      <c r="H69" s="165">
        <f>(Unitflowchart!$S$17*Cultivation!V28)/Unitflowchart!$S$383</f>
        <v>2.2009383522606607E-3</v>
      </c>
      <c r="I69" s="26">
        <f t="shared" si="8"/>
        <v>0.21923246782518624</v>
      </c>
      <c r="J69" s="214">
        <f>(Unitflowchart!$S$17*Cultivation!W28)/Unitflowchart!$S$383</f>
        <v>0</v>
      </c>
      <c r="K69" s="165">
        <f>(Unitflowchart!$S$17*Cultivation!AB28)/Unitflowchart!$S$383</f>
        <v>2.8612198579388596E-3</v>
      </c>
      <c r="L69" s="26">
        <f t="shared" si="9"/>
        <v>1.3168657168765259</v>
      </c>
      <c r="M69" s="214">
        <f>(Unitflowchart!$S$17*Cultivation!AC28)/Unitflowchart!$S$383</f>
        <v>0</v>
      </c>
      <c r="N69" s="727">
        <f>E69+(GlobalWarmingPotentials!$B$11*H69)+(GlobalWarmingPotentials!$C$11*K69)</f>
        <v>11.489558480306327</v>
      </c>
      <c r="O69" s="26">
        <f t="shared" si="10"/>
        <v>1.288377034669667</v>
      </c>
      <c r="P69" s="756">
        <f>SQRT((G69^2)+((GlobalWarmingPotentials!$B$11*J69)^2)+((GlobalWarmingPotentials!$C$11*M69)^2))</f>
        <v>0</v>
      </c>
    </row>
    <row r="70" spans="1:16" x14ac:dyDescent="0.25">
      <c r="A70" s="507" t="str">
        <f>Cultivation!A29</f>
        <v>herbicide application</v>
      </c>
      <c r="B70" s="727">
        <f>(Unitflowchart!$S$17*Cultivation!J29)/Unitflowchart!$S$383</f>
        <v>11.808034259878443</v>
      </c>
      <c r="C70" s="26">
        <f t="shared" si="6"/>
        <v>9.122130625574873E-2</v>
      </c>
      <c r="D70" s="148">
        <f>(Unitflowchart!$S$17*Cultivation!K29)/Unitflowchart!$S$383</f>
        <v>0</v>
      </c>
      <c r="E70" s="727">
        <f>(Unitflowchart!$S$17*Cultivation!P29)/Unitflowchart!$S$383</f>
        <v>0.84736126562035441</v>
      </c>
      <c r="F70" s="26">
        <f t="shared" si="7"/>
        <v>0.10534318696083195</v>
      </c>
      <c r="G70" s="148">
        <f>(Unitflowchart!$S$17*Cultivation!Q29)/Unitflowchart!$S$383</f>
        <v>0</v>
      </c>
      <c r="H70" s="165">
        <f>(Unitflowchart!$S$17*Cultivation!V29)/Unitflowchart!$S$383</f>
        <v>1.7607506818085285E-4</v>
      </c>
      <c r="I70" s="26">
        <f t="shared" si="8"/>
        <v>1.7538597426014896E-2</v>
      </c>
      <c r="J70" s="214">
        <f>(Unitflowchart!$S$17*Cultivation!W29)/Unitflowchart!$S$383</f>
        <v>0</v>
      </c>
      <c r="K70" s="165">
        <f>(Unitflowchart!$S$17*Cultivation!AB29)/Unitflowchart!$S$383</f>
        <v>2.2889758863510871E-4</v>
      </c>
      <c r="L70" s="26">
        <f t="shared" si="9"/>
        <v>0.10534925735012206</v>
      </c>
      <c r="M70" s="214">
        <f>(Unitflowchart!$S$17*Cultivation!AC29)/Unitflowchart!$S$383</f>
        <v>0</v>
      </c>
      <c r="N70" s="727">
        <f>E70+(GlobalWarmingPotentials!$B$11*H70)+(GlobalWarmingPotentials!$C$11*K70)</f>
        <v>0.91916467842450622</v>
      </c>
      <c r="O70" s="26">
        <f t="shared" si="10"/>
        <v>0.10307016277357338</v>
      </c>
      <c r="P70" s="756">
        <f>SQRT((G70^2)+((GlobalWarmingPotentials!$B$11*J70)^2)+((GlobalWarmingPotentials!$C$11*M70)^2))</f>
        <v>0</v>
      </c>
    </row>
    <row r="71" spans="1:16" x14ac:dyDescent="0.25">
      <c r="A71" s="507" t="str">
        <f>Cultivation!A30</f>
        <v>weed cultivating</v>
      </c>
      <c r="B71" s="727">
        <f>(Unitflowchart!$S$17*Cultivation!J30)/Unitflowchart!$S$383</f>
        <v>5.9040171299392217</v>
      </c>
      <c r="C71" s="26">
        <f t="shared" si="6"/>
        <v>4.5610653127874365E-2</v>
      </c>
      <c r="D71" s="148">
        <f>(Unitflowchart!$S$17*Cultivation!K30)/Unitflowchart!$S$383</f>
        <v>0</v>
      </c>
      <c r="E71" s="727">
        <f>(Unitflowchart!$S$17*Cultivation!P30)/Unitflowchart!$S$383</f>
        <v>0.4236806328101772</v>
      </c>
      <c r="F71" s="26">
        <f t="shared" si="7"/>
        <v>5.2671593480415974E-2</v>
      </c>
      <c r="G71" s="148">
        <f>(Unitflowchart!$S$17*Cultivation!Q30)/Unitflowchart!$S$383</f>
        <v>0</v>
      </c>
      <c r="H71" s="165">
        <f>(Unitflowchart!$S$17*Cultivation!V30)/Unitflowchart!$S$383</f>
        <v>8.8037534090426424E-5</v>
      </c>
      <c r="I71" s="26">
        <f t="shared" si="8"/>
        <v>8.7692987130074482E-3</v>
      </c>
      <c r="J71" s="214">
        <f>(Unitflowchart!$S$17*Cultivation!W30)/Unitflowchart!$S$383</f>
        <v>0</v>
      </c>
      <c r="K71" s="165">
        <f>(Unitflowchart!$S$17*Cultivation!AB30)/Unitflowchart!$S$383</f>
        <v>1.1444879431755436E-4</v>
      </c>
      <c r="L71" s="26">
        <f t="shared" si="9"/>
        <v>5.2674628675061029E-2</v>
      </c>
      <c r="M71" s="214">
        <f>(Unitflowchart!$S$17*Cultivation!AC30)/Unitflowchart!$S$383</f>
        <v>0</v>
      </c>
      <c r="N71" s="727">
        <f>E71+(GlobalWarmingPotentials!$B$11*H71)+(GlobalWarmingPotentials!$C$11*K71)</f>
        <v>0.45958233921225311</v>
      </c>
      <c r="O71" s="26">
        <f t="shared" si="10"/>
        <v>5.1535081386786689E-2</v>
      </c>
      <c r="P71" s="756">
        <f>SQRT((G71^2)+((GlobalWarmingPotentials!$B$11*J71)^2)+((GlobalWarmingPotentials!$C$11*M71)^2))</f>
        <v>0</v>
      </c>
    </row>
    <row r="72" spans="1:16" x14ac:dyDescent="0.25">
      <c r="A72" s="507" t="str">
        <f>Cultivation!A31</f>
        <v>residue removal</v>
      </c>
      <c r="B72" s="727">
        <f>(Unitflowchart!$S$17*Cultivation!J31)/Unitflowchart!$S$383</f>
        <v>52.480152266126431</v>
      </c>
      <c r="C72" s="26">
        <f t="shared" si="6"/>
        <v>0.40542802780332782</v>
      </c>
      <c r="D72" s="148">
        <f>(Unitflowchart!$S$17*Cultivation!K31)/Unitflowchart!$S$383</f>
        <v>0</v>
      </c>
      <c r="E72" s="727">
        <f>(Unitflowchart!$S$17*Cultivation!P31)/Unitflowchart!$S$383</f>
        <v>3.7660500694237977</v>
      </c>
      <c r="F72" s="26">
        <f t="shared" si="7"/>
        <v>0.46819194204814202</v>
      </c>
      <c r="G72" s="148">
        <f>(Unitflowchart!$S$17*Cultivation!Q31)/Unitflowchart!$S$383</f>
        <v>0</v>
      </c>
      <c r="H72" s="165">
        <f>(Unitflowchart!$S$17*Cultivation!V31)/Unitflowchart!$S$383</f>
        <v>7.8255585858156835E-4</v>
      </c>
      <c r="I72" s="26">
        <f t="shared" si="8"/>
        <v>7.7949321893399565E-2</v>
      </c>
      <c r="J72" s="214">
        <f>(Unitflowchart!$S$17*Cultivation!W31)/Unitflowchart!$S$383</f>
        <v>0</v>
      </c>
      <c r="K72" s="165">
        <f>(Unitflowchart!$S$17*Cultivation!AB31)/Unitflowchart!$S$383</f>
        <v>1.0173226161560389E-3</v>
      </c>
      <c r="L72" s="26">
        <f t="shared" si="9"/>
        <v>0.46821892155609801</v>
      </c>
      <c r="M72" s="214">
        <f>(Unitflowchart!$S$17*Cultivation!AC31)/Unitflowchart!$S$383</f>
        <v>0</v>
      </c>
      <c r="N72" s="727">
        <f>E72+(GlobalWarmingPotentials!$B$11*H72)+(GlobalWarmingPotentials!$C$11*K72)</f>
        <v>4.085176348553361</v>
      </c>
      <c r="O72" s="26">
        <f t="shared" si="10"/>
        <v>0.4580896123269928</v>
      </c>
      <c r="P72" s="756">
        <f>SQRT((G72^2)+((GlobalWarmingPotentials!$B$11*J72)^2)+((GlobalWarmingPotentials!$C$11*M72)^2))</f>
        <v>0</v>
      </c>
    </row>
    <row r="73" spans="1:16" s="43" customFormat="1" x14ac:dyDescent="0.25">
      <c r="A73" s="507"/>
      <c r="B73" s="729"/>
      <c r="C73" s="992"/>
      <c r="D73" s="736"/>
      <c r="E73" s="729"/>
      <c r="F73" s="992"/>
      <c r="G73" s="736"/>
      <c r="H73" s="505"/>
      <c r="I73" s="992"/>
      <c r="J73" s="506"/>
      <c r="K73" s="505"/>
      <c r="L73" s="992"/>
      <c r="M73" s="506"/>
      <c r="N73" s="729"/>
      <c r="O73" s="992"/>
      <c r="P73" s="758"/>
    </row>
    <row r="74" spans="1:16" s="5" customFormat="1" x14ac:dyDescent="0.25">
      <c r="A74" s="1320" t="str">
        <f>Cultivation!A33</f>
        <v>Sub-Totals for Diesel Fuel</v>
      </c>
      <c r="B74" s="999">
        <f>(Unitflowchart!$S$17*Cultivation!J33)/Unitflowchart!$S$383</f>
        <v>351.36170126044561</v>
      </c>
      <c r="C74" s="997">
        <f>(B74/B$398)*100</f>
        <v>2.7143953558913503</v>
      </c>
      <c r="D74" s="998">
        <f>(Unitflowchart!$S$17*Cultivation!K33)/Unitflowchart!$S$383</f>
        <v>0</v>
      </c>
      <c r="E74" s="999">
        <f>(Unitflowchart!$S$17*Cultivation!P33)/Unitflowchart!$S$383</f>
        <v>25.214213417571582</v>
      </c>
      <c r="F74" s="997">
        <f>(E74/E$398)*100</f>
        <v>3.1346082313226726</v>
      </c>
      <c r="G74" s="998">
        <f>(Unitflowchart!$S$17*Cultivation!Q33)/Unitflowchart!$S$383</f>
        <v>0</v>
      </c>
      <c r="H74" s="1000">
        <f>(Unitflowchart!$S$17*Cultivation!V33)/Unitflowchart!$S$383</f>
        <v>5.2393170737811082E-3</v>
      </c>
      <c r="I74" s="997">
        <f>(H74/H$398)*100</f>
        <v>0.52188122880582699</v>
      </c>
      <c r="J74" s="1001">
        <f>(Unitflowchart!$S$17*Cultivation!W33)/Unitflowchart!$S$383</f>
        <v>0</v>
      </c>
      <c r="K74" s="1000">
        <f>(Unitflowchart!$S$17*Cultivation!AB33)/Unitflowchart!$S$383</f>
        <v>6.8111121959154395E-3</v>
      </c>
      <c r="L74" s="997">
        <f>(K74/K$398)*100</f>
        <v>3.1347888627691383</v>
      </c>
      <c r="M74" s="1001">
        <f>(Unitflowchart!$S$17*Cultivation!AC33)/Unitflowchart!$S$383</f>
        <v>0</v>
      </c>
      <c r="N74" s="999">
        <f>E74+(GlobalWarmingPotentials!$B$11*H74)+(GlobalWarmingPotentials!$C$11*K74)</f>
        <v>27.350806920259515</v>
      </c>
      <c r="O74" s="997">
        <f>(N74/N$398)*100</f>
        <v>3.0669717705990625</v>
      </c>
      <c r="P74" s="1062">
        <f>SQRT((G74^2)+((GlobalWarmingPotentials!$B$11*J74)^2)+((GlobalWarmingPotentials!$C$11*M74)^2))</f>
        <v>0</v>
      </c>
    </row>
    <row r="75" spans="1:16" s="43" customFormat="1" x14ac:dyDescent="0.25">
      <c r="A75" s="507"/>
      <c r="B75" s="729"/>
      <c r="C75" s="992"/>
      <c r="D75" s="736"/>
      <c r="E75" s="729"/>
      <c r="F75" s="992"/>
      <c r="G75" s="736"/>
      <c r="H75" s="505"/>
      <c r="I75" s="992"/>
      <c r="J75" s="506"/>
      <c r="K75" s="505"/>
      <c r="L75" s="992"/>
      <c r="M75" s="506"/>
      <c r="N75" s="729"/>
      <c r="O75" s="992"/>
      <c r="P75" s="758"/>
    </row>
    <row r="76" spans="1:16" x14ac:dyDescent="0.25">
      <c r="A76" s="507" t="str">
        <f>Cultivation!A35</f>
        <v>Machinery:</v>
      </c>
      <c r="B76" s="727">
        <f>(Unitflowchart!$S$17*Cultivation!J35)/Unitflowchart!$S$383</f>
        <v>0</v>
      </c>
      <c r="C76" s="26">
        <f t="shared" ref="C76:C85" si="11">(B76/B$398)*100</f>
        <v>0</v>
      </c>
      <c r="D76" s="148">
        <f>(Unitflowchart!$S$17*Cultivation!K35)/Unitflowchart!$S$383</f>
        <v>0</v>
      </c>
      <c r="E76" s="727">
        <f>(Unitflowchart!$S$17*Cultivation!P35)/Unitflowchart!$S$383</f>
        <v>0</v>
      </c>
      <c r="F76" s="26">
        <f t="shared" ref="F76:F85" si="12">(E76/E$398)*100</f>
        <v>0</v>
      </c>
      <c r="G76" s="148">
        <f>(Unitflowchart!$S$17*Cultivation!Q35)/Unitflowchart!$S$383</f>
        <v>0</v>
      </c>
      <c r="H76" s="165">
        <f>(Unitflowchart!$S$17*Cultivation!V35)/Unitflowchart!$S$383</f>
        <v>0</v>
      </c>
      <c r="I76" s="26">
        <f t="shared" ref="I76:I85" si="13">(H76/H$398)*100</f>
        <v>0</v>
      </c>
      <c r="J76" s="214">
        <f>(Unitflowchart!$S$17*Cultivation!W35)/Unitflowchart!$S$383</f>
        <v>0</v>
      </c>
      <c r="K76" s="165">
        <f>(Unitflowchart!$S$17*Cultivation!AB35)/Unitflowchart!$S$383</f>
        <v>0</v>
      </c>
      <c r="L76" s="26">
        <f t="shared" ref="L76:L85" si="14">(K76/K$398)*100</f>
        <v>0</v>
      </c>
      <c r="M76" s="214">
        <f>(Unitflowchart!$S$17*Cultivation!AC35)/Unitflowchart!$S$383</f>
        <v>0</v>
      </c>
      <c r="N76" s="727">
        <f>E76+(GlobalWarmingPotentials!$B$11*H76)+(GlobalWarmingPotentials!$C$11*K76)</f>
        <v>0</v>
      </c>
      <c r="O76" s="26">
        <f t="shared" ref="O76:O85" si="15">(N76/N$398)*100</f>
        <v>0</v>
      </c>
      <c r="P76" s="756">
        <f>SQRT((G76^2)+((GlobalWarmingPotentials!$B$11*J76)^2)+((GlobalWarmingPotentials!$C$11*M76)^2))</f>
        <v>0</v>
      </c>
    </row>
    <row r="77" spans="1:16" x14ac:dyDescent="0.25">
      <c r="A77" s="507" t="str">
        <f>Cultivation!A36</f>
        <v>subsoiling</v>
      </c>
      <c r="B77" s="727">
        <f>(Unitflowchart!$S$17*Cultivation!J36)/Unitflowchart!$S$383</f>
        <v>0</v>
      </c>
      <c r="C77" s="26">
        <f t="shared" si="11"/>
        <v>0</v>
      </c>
      <c r="D77" s="148">
        <f>(Unitflowchart!$S$17*Cultivation!K36)/Unitflowchart!$S$383</f>
        <v>0</v>
      </c>
      <c r="E77" s="727">
        <f>(Unitflowchart!$S$17*Cultivation!P36)/Unitflowchart!$S$383</f>
        <v>0</v>
      </c>
      <c r="F77" s="26">
        <f t="shared" si="12"/>
        <v>0</v>
      </c>
      <c r="G77" s="148">
        <f>(Unitflowchart!$S$17*Cultivation!Q36)/Unitflowchart!$S$383</f>
        <v>0</v>
      </c>
      <c r="H77" s="165">
        <f>(Unitflowchart!$S$17*Cultivation!V36)/Unitflowchart!$S$383</f>
        <v>0</v>
      </c>
      <c r="I77" s="26">
        <f t="shared" si="13"/>
        <v>0</v>
      </c>
      <c r="J77" s="214">
        <f>(Unitflowchart!$S$17*Cultivation!W36)/Unitflowchart!$S$383</f>
        <v>0</v>
      </c>
      <c r="K77" s="165">
        <f>(Unitflowchart!$S$17*Cultivation!AB36)/Unitflowchart!$S$383</f>
        <v>0</v>
      </c>
      <c r="L77" s="26">
        <f t="shared" si="14"/>
        <v>0</v>
      </c>
      <c r="M77" s="214">
        <f>(Unitflowchart!$S$17*Cultivation!AC36)/Unitflowchart!$S$383</f>
        <v>0</v>
      </c>
      <c r="N77" s="727">
        <f>E77+(GlobalWarmingPotentials!$B$11*H77)+(GlobalWarmingPotentials!$C$11*K77)</f>
        <v>0</v>
      </c>
      <c r="O77" s="26">
        <f t="shared" si="15"/>
        <v>0</v>
      </c>
      <c r="P77" s="756">
        <f>SQRT((G77^2)+((GlobalWarmingPotentials!$B$11*J77)^2)+((GlobalWarmingPotentials!$C$11*M77)^2))</f>
        <v>0</v>
      </c>
    </row>
    <row r="78" spans="1:16" x14ac:dyDescent="0.25">
      <c r="A78" s="507" t="str">
        <f>Cultivation!A37</f>
        <v>ploughing</v>
      </c>
      <c r="B78" s="727">
        <f>(Unitflowchart!$S$17*Cultivation!J37)/Unitflowchart!$S$383</f>
        <v>0</v>
      </c>
      <c r="C78" s="26">
        <f t="shared" si="11"/>
        <v>0</v>
      </c>
      <c r="D78" s="148">
        <f>(Unitflowchart!$S$17*Cultivation!K37)/Unitflowchart!$S$383</f>
        <v>0</v>
      </c>
      <c r="E78" s="727">
        <f>(Unitflowchart!$S$17*Cultivation!P37)/Unitflowchart!$S$383</f>
        <v>0</v>
      </c>
      <c r="F78" s="26">
        <f t="shared" si="12"/>
        <v>0</v>
      </c>
      <c r="G78" s="148">
        <f>(Unitflowchart!$S$17*Cultivation!Q37)/Unitflowchart!$S$383</f>
        <v>0</v>
      </c>
      <c r="H78" s="165">
        <f>(Unitflowchart!$S$17*Cultivation!V37)/Unitflowchart!$S$383</f>
        <v>0</v>
      </c>
      <c r="I78" s="26">
        <f t="shared" si="13"/>
        <v>0</v>
      </c>
      <c r="J78" s="214">
        <f>(Unitflowchart!$S$17*Cultivation!W37)/Unitflowchart!$S$383</f>
        <v>0</v>
      </c>
      <c r="K78" s="165">
        <f>(Unitflowchart!$S$17*Cultivation!AB37)/Unitflowchart!$S$383</f>
        <v>0</v>
      </c>
      <c r="L78" s="26">
        <f t="shared" si="14"/>
        <v>0</v>
      </c>
      <c r="M78" s="214">
        <f>(Unitflowchart!$S$17*Cultivation!AC37)/Unitflowchart!$S$383</f>
        <v>0</v>
      </c>
      <c r="N78" s="727">
        <f>E78+(GlobalWarmingPotentials!$B$11*H78)+(GlobalWarmingPotentials!$C$11*K78)</f>
        <v>0</v>
      </c>
      <c r="O78" s="26">
        <f t="shared" si="15"/>
        <v>0</v>
      </c>
      <c r="P78" s="756">
        <f>SQRT((G78^2)+((GlobalWarmingPotentials!$B$11*J78)^2)+((GlobalWarmingPotentials!$C$11*M78)^2))</f>
        <v>0</v>
      </c>
    </row>
    <row r="79" spans="1:16" x14ac:dyDescent="0.25">
      <c r="A79" s="507" t="str">
        <f>Cultivation!A38</f>
        <v>rotavating/power harrowing</v>
      </c>
      <c r="B79" s="727">
        <f>(Unitflowchart!$S$17*Cultivation!J38)/Unitflowchart!$S$383</f>
        <v>0</v>
      </c>
      <c r="C79" s="26">
        <f t="shared" si="11"/>
        <v>0</v>
      </c>
      <c r="D79" s="148">
        <f>(Unitflowchart!$S$17*Cultivation!K38)/Unitflowchart!$S$383</f>
        <v>0</v>
      </c>
      <c r="E79" s="727">
        <f>(Unitflowchart!$S$17*Cultivation!P38)/Unitflowchart!$S$383</f>
        <v>0</v>
      </c>
      <c r="F79" s="26">
        <f t="shared" si="12"/>
        <v>0</v>
      </c>
      <c r="G79" s="148">
        <f>(Unitflowchart!$S$17*Cultivation!Q38)/Unitflowchart!$S$383</f>
        <v>0</v>
      </c>
      <c r="H79" s="165">
        <f>(Unitflowchart!$S$17*Cultivation!V38)/Unitflowchart!$S$383</f>
        <v>0</v>
      </c>
      <c r="I79" s="26">
        <f t="shared" si="13"/>
        <v>0</v>
      </c>
      <c r="J79" s="214">
        <f>(Unitflowchart!$S$17*Cultivation!W38)/Unitflowchart!$S$383</f>
        <v>0</v>
      </c>
      <c r="K79" s="165">
        <f>(Unitflowchart!$S$17*Cultivation!AB38)/Unitflowchart!$S$383</f>
        <v>0</v>
      </c>
      <c r="L79" s="26">
        <f t="shared" si="14"/>
        <v>0</v>
      </c>
      <c r="M79" s="214">
        <f>(Unitflowchart!$S$17*Cultivation!AC38)/Unitflowchart!$S$383</f>
        <v>0</v>
      </c>
      <c r="N79" s="727">
        <f>E79+(GlobalWarmingPotentials!$B$11*H79)+(GlobalWarmingPotentials!$C$11*K79)</f>
        <v>0</v>
      </c>
      <c r="O79" s="26">
        <f t="shared" si="15"/>
        <v>0</v>
      </c>
      <c r="P79" s="756">
        <f>SQRT((G79^2)+((GlobalWarmingPotentials!$B$11*J79)^2)+((GlobalWarmingPotentials!$C$11*M79)^2))</f>
        <v>0</v>
      </c>
    </row>
    <row r="80" spans="1:16" x14ac:dyDescent="0.25">
      <c r="A80" s="507" t="str">
        <f>Cultivation!A39</f>
        <v xml:space="preserve">planting </v>
      </c>
      <c r="B80" s="727">
        <f>(Unitflowchart!$S$17*Cultivation!J39)/Unitflowchart!$S$383</f>
        <v>0</v>
      </c>
      <c r="C80" s="26">
        <f t="shared" si="11"/>
        <v>0</v>
      </c>
      <c r="D80" s="148">
        <f>(Unitflowchart!$S$17*Cultivation!K39)/Unitflowchart!$S$383</f>
        <v>0</v>
      </c>
      <c r="E80" s="727">
        <f>(Unitflowchart!$S$17*Cultivation!P39)/Unitflowchart!$S$383</f>
        <v>0</v>
      </c>
      <c r="F80" s="26">
        <f t="shared" si="12"/>
        <v>0</v>
      </c>
      <c r="G80" s="148">
        <f>(Unitflowchart!$S$17*Cultivation!Q39)/Unitflowchart!$S$383</f>
        <v>0</v>
      </c>
      <c r="H80" s="165">
        <f>(Unitflowchart!$S$17*Cultivation!V39)/Unitflowchart!$S$383</f>
        <v>0</v>
      </c>
      <c r="I80" s="26">
        <f t="shared" si="13"/>
        <v>0</v>
      </c>
      <c r="J80" s="214">
        <f>(Unitflowchart!$S$17*Cultivation!W39)/Unitflowchart!$S$383</f>
        <v>0</v>
      </c>
      <c r="K80" s="165">
        <f>(Unitflowchart!$S$17*Cultivation!AB39)/Unitflowchart!$S$383</f>
        <v>0</v>
      </c>
      <c r="L80" s="26">
        <f t="shared" si="14"/>
        <v>0</v>
      </c>
      <c r="M80" s="214">
        <f>(Unitflowchart!$S$17*Cultivation!AC39)/Unitflowchart!$S$383</f>
        <v>0</v>
      </c>
      <c r="N80" s="727">
        <f>E80+(GlobalWarmingPotentials!$B$11*H80)+(GlobalWarmingPotentials!$C$11*K80)</f>
        <v>0</v>
      </c>
      <c r="O80" s="26">
        <f t="shared" si="15"/>
        <v>0</v>
      </c>
      <c r="P80" s="756">
        <f>SQRT((G80^2)+((GlobalWarmingPotentials!$B$11*J80)^2)+((GlobalWarmingPotentials!$C$11*M80)^2))</f>
        <v>0</v>
      </c>
    </row>
    <row r="81" spans="1:16" x14ac:dyDescent="0.25">
      <c r="A81" s="507" t="str">
        <f>Cultivation!A40</f>
        <v>rolling</v>
      </c>
      <c r="B81" s="727">
        <f>(Unitflowchart!$S$17*Cultivation!J40)/Unitflowchart!$S$383</f>
        <v>0</v>
      </c>
      <c r="C81" s="26">
        <f t="shared" si="11"/>
        <v>0</v>
      </c>
      <c r="D81" s="148">
        <f>(Unitflowchart!$S$17*Cultivation!K40)/Unitflowchart!$S$383</f>
        <v>0</v>
      </c>
      <c r="E81" s="727">
        <f>(Unitflowchart!$S$17*Cultivation!P40)/Unitflowchart!$S$383</f>
        <v>0</v>
      </c>
      <c r="F81" s="26">
        <f t="shared" si="12"/>
        <v>0</v>
      </c>
      <c r="G81" s="148">
        <f>(Unitflowchart!$S$17*Cultivation!Q40)/Unitflowchart!$S$383</f>
        <v>0</v>
      </c>
      <c r="H81" s="165">
        <f>(Unitflowchart!$S$17*Cultivation!V40)/Unitflowchart!$S$383</f>
        <v>0</v>
      </c>
      <c r="I81" s="26">
        <f t="shared" si="13"/>
        <v>0</v>
      </c>
      <c r="J81" s="214">
        <f>(Unitflowchart!$S$17*Cultivation!W40)/Unitflowchart!$S$383</f>
        <v>0</v>
      </c>
      <c r="K81" s="165">
        <f>(Unitflowchart!$S$17*Cultivation!AB40)/Unitflowchart!$S$383</f>
        <v>0</v>
      </c>
      <c r="L81" s="26">
        <f t="shared" si="14"/>
        <v>0</v>
      </c>
      <c r="M81" s="214">
        <f>(Unitflowchart!$S$17*Cultivation!AC40)/Unitflowchart!$S$383</f>
        <v>0</v>
      </c>
      <c r="N81" s="727">
        <f>E81+(GlobalWarmingPotentials!$B$11*H81)+(GlobalWarmingPotentials!$C$11*K81)</f>
        <v>0</v>
      </c>
      <c r="O81" s="26">
        <f t="shared" si="15"/>
        <v>0</v>
      </c>
      <c r="P81" s="756">
        <f>SQRT((G81^2)+((GlobalWarmingPotentials!$B$11*J81)^2)+((GlobalWarmingPotentials!$C$11*M81)^2))</f>
        <v>0</v>
      </c>
    </row>
    <row r="82" spans="1:16" x14ac:dyDescent="0.25">
      <c r="A82" s="507" t="str">
        <f>Cultivation!A41</f>
        <v>fertilizer application</v>
      </c>
      <c r="B82" s="727">
        <f>(Unitflowchart!$S$17*Cultivation!J41)/Unitflowchart!$S$383</f>
        <v>0</v>
      </c>
      <c r="C82" s="26">
        <f t="shared" si="11"/>
        <v>0</v>
      </c>
      <c r="D82" s="148">
        <f>(Unitflowchart!$S$17*Cultivation!K41)/Unitflowchart!$S$383</f>
        <v>0</v>
      </c>
      <c r="E82" s="727">
        <f>(Unitflowchart!$S$17*Cultivation!P41)/Unitflowchart!$S$383</f>
        <v>0</v>
      </c>
      <c r="F82" s="26">
        <f t="shared" si="12"/>
        <v>0</v>
      </c>
      <c r="G82" s="148">
        <f>(Unitflowchart!$S$17*Cultivation!Q41)/Unitflowchart!$S$383</f>
        <v>0</v>
      </c>
      <c r="H82" s="165">
        <f>(Unitflowchart!$S$17*Cultivation!V41)/Unitflowchart!$S$383</f>
        <v>0</v>
      </c>
      <c r="I82" s="26">
        <f t="shared" si="13"/>
        <v>0</v>
      </c>
      <c r="J82" s="214">
        <f>(Unitflowchart!$S$17*Cultivation!W41)/Unitflowchart!$S$383</f>
        <v>0</v>
      </c>
      <c r="K82" s="165">
        <f>(Unitflowchart!$S$17*Cultivation!AB41)/Unitflowchart!$S$383</f>
        <v>0</v>
      </c>
      <c r="L82" s="26">
        <f t="shared" si="14"/>
        <v>0</v>
      </c>
      <c r="M82" s="214">
        <f>(Unitflowchart!$S$17*Cultivation!AC41)/Unitflowchart!$S$383</f>
        <v>0</v>
      </c>
      <c r="N82" s="727">
        <f>E82+(GlobalWarmingPotentials!$B$11*H82)+(GlobalWarmingPotentials!$C$11*K82)</f>
        <v>0</v>
      </c>
      <c r="O82" s="26">
        <f t="shared" si="15"/>
        <v>0</v>
      </c>
      <c r="P82" s="756">
        <f>SQRT((G82^2)+((GlobalWarmingPotentials!$B$11*J82)^2)+((GlobalWarmingPotentials!$C$11*M82)^2))</f>
        <v>0</v>
      </c>
    </row>
    <row r="83" spans="1:16" x14ac:dyDescent="0.25">
      <c r="A83" s="507" t="str">
        <f>Cultivation!A42</f>
        <v>herbicide application</v>
      </c>
      <c r="B83" s="727">
        <f>(Unitflowchart!$S$17*Cultivation!J42)/Unitflowchart!$S$383</f>
        <v>0</v>
      </c>
      <c r="C83" s="26">
        <f t="shared" si="11"/>
        <v>0</v>
      </c>
      <c r="D83" s="148">
        <f>(Unitflowchart!$S$17*Cultivation!K42)/Unitflowchart!$S$383</f>
        <v>0</v>
      </c>
      <c r="E83" s="727">
        <f>(Unitflowchart!$S$17*Cultivation!P42)/Unitflowchart!$S$383</f>
        <v>0</v>
      </c>
      <c r="F83" s="26">
        <f t="shared" si="12"/>
        <v>0</v>
      </c>
      <c r="G83" s="148">
        <f>(Unitflowchart!$S$17*Cultivation!Q42)/Unitflowchart!$S$383</f>
        <v>0</v>
      </c>
      <c r="H83" s="165">
        <f>(Unitflowchart!$S$17*Cultivation!V42)/Unitflowchart!$S$383</f>
        <v>0</v>
      </c>
      <c r="I83" s="26">
        <f t="shared" si="13"/>
        <v>0</v>
      </c>
      <c r="J83" s="214">
        <f>(Unitflowchart!$S$17*Cultivation!W42)/Unitflowchart!$S$383</f>
        <v>0</v>
      </c>
      <c r="K83" s="165">
        <f>(Unitflowchart!$S$17*Cultivation!AB42)/Unitflowchart!$S$383</f>
        <v>0</v>
      </c>
      <c r="L83" s="26">
        <f t="shared" si="14"/>
        <v>0</v>
      </c>
      <c r="M83" s="214">
        <f>(Unitflowchart!$S$17*Cultivation!AC42)/Unitflowchart!$S$383</f>
        <v>0</v>
      </c>
      <c r="N83" s="727">
        <f>E83+(GlobalWarmingPotentials!$B$11*H83)+(GlobalWarmingPotentials!$C$11*K83)</f>
        <v>0</v>
      </c>
      <c r="O83" s="26">
        <f t="shared" si="15"/>
        <v>0</v>
      </c>
      <c r="P83" s="756">
        <f>SQRT((G83^2)+((GlobalWarmingPotentials!$B$11*J83)^2)+((GlobalWarmingPotentials!$C$11*M83)^2))</f>
        <v>0</v>
      </c>
    </row>
    <row r="84" spans="1:16" x14ac:dyDescent="0.25">
      <c r="A84" s="507" t="str">
        <f>Cultivation!A43</f>
        <v>weed cultivating</v>
      </c>
      <c r="B84" s="727">
        <f>(Unitflowchart!$S$17*Cultivation!J43)/Unitflowchart!$S$383</f>
        <v>0</v>
      </c>
      <c r="C84" s="26">
        <f t="shared" si="11"/>
        <v>0</v>
      </c>
      <c r="D84" s="148">
        <f>(Unitflowchart!$S$17*Cultivation!K43)/Unitflowchart!$S$383</f>
        <v>0</v>
      </c>
      <c r="E84" s="727">
        <f>(Unitflowchart!$S$17*Cultivation!P43)/Unitflowchart!$S$383</f>
        <v>0</v>
      </c>
      <c r="F84" s="26">
        <f t="shared" si="12"/>
        <v>0</v>
      </c>
      <c r="G84" s="148">
        <f>(Unitflowchart!$S$17*Cultivation!Q43)/Unitflowchart!$S$383</f>
        <v>0</v>
      </c>
      <c r="H84" s="165">
        <f>(Unitflowchart!$S$17*Cultivation!V43)/Unitflowchart!$S$383</f>
        <v>0</v>
      </c>
      <c r="I84" s="26">
        <f t="shared" si="13"/>
        <v>0</v>
      </c>
      <c r="J84" s="214">
        <f>(Unitflowchart!$S$17*Cultivation!W43)/Unitflowchart!$S$383</f>
        <v>0</v>
      </c>
      <c r="K84" s="165">
        <f>(Unitflowchart!$S$17*Cultivation!AB43)/Unitflowchart!$S$383</f>
        <v>0</v>
      </c>
      <c r="L84" s="26">
        <f t="shared" si="14"/>
        <v>0</v>
      </c>
      <c r="M84" s="214">
        <f>(Unitflowchart!$S$17*Cultivation!AC43)/Unitflowchart!$S$383</f>
        <v>0</v>
      </c>
      <c r="N84" s="727">
        <f>E84+(GlobalWarmingPotentials!$B$11*H84)+(GlobalWarmingPotentials!$C$11*K84)</f>
        <v>0</v>
      </c>
      <c r="O84" s="26">
        <f t="shared" si="15"/>
        <v>0</v>
      </c>
      <c r="P84" s="756">
        <f>SQRT((G84^2)+((GlobalWarmingPotentials!$B$11*J84)^2)+((GlobalWarmingPotentials!$C$11*M84)^2))</f>
        <v>0</v>
      </c>
    </row>
    <row r="85" spans="1:16" x14ac:dyDescent="0.25">
      <c r="A85" s="507" t="str">
        <f>Cultivation!A44</f>
        <v>residue removal</v>
      </c>
      <c r="B85" s="727">
        <f>(Unitflowchart!$S$17*Cultivation!J44)/Unitflowchart!$S$383</f>
        <v>0</v>
      </c>
      <c r="C85" s="26">
        <f t="shared" si="11"/>
        <v>0</v>
      </c>
      <c r="D85" s="148">
        <f>(Unitflowchart!$S$17*Cultivation!K44)/Unitflowchart!$S$383</f>
        <v>0</v>
      </c>
      <c r="E85" s="727">
        <f>(Unitflowchart!$S$17*Cultivation!P44)/Unitflowchart!$S$383</f>
        <v>0</v>
      </c>
      <c r="F85" s="26">
        <f t="shared" si="12"/>
        <v>0</v>
      </c>
      <c r="G85" s="148">
        <f>(Unitflowchart!$S$17*Cultivation!Q44)/Unitflowchart!$S$383</f>
        <v>0</v>
      </c>
      <c r="H85" s="165">
        <f>(Unitflowchart!$S$17*Cultivation!V44)/Unitflowchart!$S$383</f>
        <v>0</v>
      </c>
      <c r="I85" s="26">
        <f t="shared" si="13"/>
        <v>0</v>
      </c>
      <c r="J85" s="214">
        <f>(Unitflowchart!$S$17*Cultivation!W44)/Unitflowchart!$S$383</f>
        <v>0</v>
      </c>
      <c r="K85" s="165">
        <f>(Unitflowchart!$S$17*Cultivation!AB44)/Unitflowchart!$S$383</f>
        <v>0</v>
      </c>
      <c r="L85" s="26">
        <f t="shared" si="14"/>
        <v>0</v>
      </c>
      <c r="M85" s="214">
        <f>(Unitflowchart!$S$17*Cultivation!AC44)/Unitflowchart!$S$383</f>
        <v>0</v>
      </c>
      <c r="N85" s="727">
        <f>E85+(GlobalWarmingPotentials!$B$11*H85)+(GlobalWarmingPotentials!$C$11*K85)</f>
        <v>0</v>
      </c>
      <c r="O85" s="26">
        <f t="shared" si="15"/>
        <v>0</v>
      </c>
      <c r="P85" s="756">
        <f>SQRT((G85^2)+((GlobalWarmingPotentials!$B$11*J85)^2)+((GlobalWarmingPotentials!$C$11*M85)^2))</f>
        <v>0</v>
      </c>
    </row>
    <row r="86" spans="1:16" s="43" customFormat="1" x14ac:dyDescent="0.25">
      <c r="A86" s="507"/>
      <c r="B86" s="729"/>
      <c r="C86" s="992"/>
      <c r="D86" s="736"/>
      <c r="E86" s="729"/>
      <c r="F86" s="992"/>
      <c r="G86" s="736"/>
      <c r="H86" s="505"/>
      <c r="I86" s="992"/>
      <c r="J86" s="506"/>
      <c r="K86" s="505"/>
      <c r="L86" s="992"/>
      <c r="M86" s="506"/>
      <c r="N86" s="729"/>
      <c r="O86" s="992"/>
      <c r="P86" s="758"/>
    </row>
    <row r="87" spans="1:16" s="5" customFormat="1" x14ac:dyDescent="0.25">
      <c r="A87" s="1320" t="str">
        <f>Cultivation!A46</f>
        <v>Sub-Totals for Machinery</v>
      </c>
      <c r="B87" s="999">
        <f>(Unitflowchart!$S$17*Cultivation!J46)/Unitflowchart!$S$383</f>
        <v>0</v>
      </c>
      <c r="C87" s="997">
        <f>(B87/B$398)*100</f>
        <v>0</v>
      </c>
      <c r="D87" s="998">
        <f>(Unitflowchart!$S$17*Cultivation!K46)/Unitflowchart!$S$383</f>
        <v>0</v>
      </c>
      <c r="E87" s="999">
        <f>(Unitflowchart!$S$17*Cultivation!P46)/Unitflowchart!$S$383</f>
        <v>0</v>
      </c>
      <c r="F87" s="997">
        <f>(E87/E$398)*100</f>
        <v>0</v>
      </c>
      <c r="G87" s="998">
        <f>(Unitflowchart!$S$17*Cultivation!Q46)/Unitflowchart!$S$383</f>
        <v>0</v>
      </c>
      <c r="H87" s="1000">
        <f>(Unitflowchart!$S$17*Cultivation!V46)/Unitflowchart!$S$383</f>
        <v>0</v>
      </c>
      <c r="I87" s="997">
        <f>(H87/H$398)*100</f>
        <v>0</v>
      </c>
      <c r="J87" s="1001">
        <f>(Unitflowchart!$S$17*Cultivation!W46)/Unitflowchart!$S$383</f>
        <v>0</v>
      </c>
      <c r="K87" s="1000">
        <f>(Unitflowchart!$S$17*Cultivation!AB46)/Unitflowchart!$S$383</f>
        <v>0</v>
      </c>
      <c r="L87" s="997">
        <f>(K87/K$398)*100</f>
        <v>0</v>
      </c>
      <c r="M87" s="1001">
        <f>(Unitflowchart!$S$17*Cultivation!AC46)/Unitflowchart!$S$383</f>
        <v>0</v>
      </c>
      <c r="N87" s="999">
        <f>E87+(GlobalWarmingPotentials!$B$11*H87)+(GlobalWarmingPotentials!$C$11*K87)</f>
        <v>0</v>
      </c>
      <c r="O87" s="997">
        <f>(N87/N$398)*100</f>
        <v>0</v>
      </c>
      <c r="P87" s="1062">
        <f>SQRT((G87^2)+((GlobalWarmingPotentials!$B$11*J87)^2)+((GlobalWarmingPotentials!$C$11*M87)^2))</f>
        <v>0</v>
      </c>
    </row>
    <row r="88" spans="1:16" s="907" customFormat="1" x14ac:dyDescent="0.25">
      <c r="A88" s="507"/>
      <c r="B88" s="729"/>
      <c r="C88" s="992"/>
      <c r="D88" s="736"/>
      <c r="E88" s="729"/>
      <c r="F88" s="992"/>
      <c r="G88" s="736"/>
      <c r="H88" s="505"/>
      <c r="I88" s="992"/>
      <c r="J88" s="506"/>
      <c r="K88" s="505"/>
      <c r="L88" s="992"/>
      <c r="M88" s="506"/>
      <c r="N88" s="729"/>
      <c r="O88" s="992"/>
      <c r="P88" s="758"/>
    </row>
    <row r="89" spans="1:16" s="5" customFormat="1" x14ac:dyDescent="0.25">
      <c r="A89" s="507" t="str">
        <f>Cultivation!A48</f>
        <v>Maintenance:</v>
      </c>
      <c r="B89" s="727">
        <f>(Unitflowchart!$S$17*Cultivation!J48)/Unitflowchart!$S$383</f>
        <v>0</v>
      </c>
      <c r="C89" s="26">
        <f t="shared" ref="C89:C98" si="16">(B89/B$398)*100</f>
        <v>0</v>
      </c>
      <c r="D89" s="148">
        <f>(Unitflowchart!$S$17*Cultivation!K48)/Unitflowchart!$S$383</f>
        <v>0</v>
      </c>
      <c r="E89" s="727">
        <f>(Unitflowchart!$S$17*Cultivation!P48)/Unitflowchart!$S$383</f>
        <v>0</v>
      </c>
      <c r="F89" s="26">
        <f t="shared" ref="F89:F98" si="17">(E89/E$398)*100</f>
        <v>0</v>
      </c>
      <c r="G89" s="148">
        <f>(Unitflowchart!$S$17*Cultivation!Q48)/Unitflowchart!$S$383</f>
        <v>0</v>
      </c>
      <c r="H89" s="165">
        <f>(Unitflowchart!$S$17*Cultivation!V48)/Unitflowchart!$S$383</f>
        <v>0</v>
      </c>
      <c r="I89" s="26">
        <f t="shared" ref="I89:I98" si="18">(H89/H$398)*100</f>
        <v>0</v>
      </c>
      <c r="J89" s="214">
        <f>(Unitflowchart!$S$17*Cultivation!W48)/Unitflowchart!$S$383</f>
        <v>0</v>
      </c>
      <c r="K89" s="165">
        <f>(Unitflowchart!$S$17*Cultivation!AB48)/Unitflowchart!$S$383</f>
        <v>0</v>
      </c>
      <c r="L89" s="26">
        <f t="shared" ref="L89:L98" si="19">(K89/K$398)*100</f>
        <v>0</v>
      </c>
      <c r="M89" s="214">
        <f>(Unitflowchart!$S$17*Cultivation!AC48)/Unitflowchart!$S$383</f>
        <v>0</v>
      </c>
      <c r="N89" s="727">
        <f>E89+(GlobalWarmingPotentials!$B$11*H89)+(GlobalWarmingPotentials!$C$11*K89)</f>
        <v>0</v>
      </c>
      <c r="O89" s="26">
        <f>(N89/N$398)*100</f>
        <v>0</v>
      </c>
      <c r="P89" s="756">
        <f>SQRT((G89^2)+((GlobalWarmingPotentials!$B$11*J89)^2)+((GlobalWarmingPotentials!$C$11*M89)^2))</f>
        <v>0</v>
      </c>
    </row>
    <row r="90" spans="1:16" x14ac:dyDescent="0.25">
      <c r="A90" s="507" t="str">
        <f>Cultivation!A49</f>
        <v xml:space="preserve"> - subsoiling</v>
      </c>
      <c r="B90" s="727">
        <f>(Unitflowchart!$S$17*Cultivation!J49)/Unitflowchart!$S$383</f>
        <v>0</v>
      </c>
      <c r="C90" s="26">
        <f t="shared" si="16"/>
        <v>0</v>
      </c>
      <c r="D90" s="148">
        <f>(Unitflowchart!$S$17*Cultivation!K49)/Unitflowchart!$S$383</f>
        <v>0</v>
      </c>
      <c r="E90" s="727">
        <f>(Unitflowchart!$S$17*Cultivation!P49)/Unitflowchart!$S$383</f>
        <v>0</v>
      </c>
      <c r="F90" s="26">
        <f t="shared" si="17"/>
        <v>0</v>
      </c>
      <c r="G90" s="148">
        <f>(Unitflowchart!$S$17*Cultivation!Q49)/Unitflowchart!$S$383</f>
        <v>0</v>
      </c>
      <c r="H90" s="165">
        <f>(Unitflowchart!$S$17*Cultivation!V49)/Unitflowchart!$S$383</f>
        <v>0</v>
      </c>
      <c r="I90" s="26">
        <f t="shared" si="18"/>
        <v>0</v>
      </c>
      <c r="J90" s="214">
        <f>(Unitflowchart!$S$17*Cultivation!W49)/Unitflowchart!$S$383</f>
        <v>0</v>
      </c>
      <c r="K90" s="165">
        <f>(Unitflowchart!$S$17*Cultivation!AB49)/Unitflowchart!$S$383</f>
        <v>0</v>
      </c>
      <c r="L90" s="26">
        <f t="shared" si="19"/>
        <v>0</v>
      </c>
      <c r="M90" s="214">
        <f>(Unitflowchart!$S$17*Cultivation!AC49)/Unitflowchart!$S$383</f>
        <v>0</v>
      </c>
      <c r="N90" s="755"/>
      <c r="O90" s="26"/>
      <c r="P90" s="757"/>
    </row>
    <row r="91" spans="1:16" x14ac:dyDescent="0.25">
      <c r="A91" s="507" t="str">
        <f>Cultivation!A50</f>
        <v xml:space="preserve"> - ploughing</v>
      </c>
      <c r="B91" s="727">
        <f>(Unitflowchart!$S$17*Cultivation!J50)/Unitflowchart!$S$383</f>
        <v>0</v>
      </c>
      <c r="C91" s="26">
        <f t="shared" si="16"/>
        <v>0</v>
      </c>
      <c r="D91" s="148">
        <f>(Unitflowchart!$S$17*Cultivation!K50)/Unitflowchart!$S$383</f>
        <v>0</v>
      </c>
      <c r="E91" s="727">
        <f>(Unitflowchart!$S$17*Cultivation!P50)/Unitflowchart!$S$383</f>
        <v>0</v>
      </c>
      <c r="F91" s="26">
        <f t="shared" si="17"/>
        <v>0</v>
      </c>
      <c r="G91" s="148">
        <f>(Unitflowchart!$S$17*Cultivation!Q50)/Unitflowchart!$S$383</f>
        <v>0</v>
      </c>
      <c r="H91" s="165">
        <f>(Unitflowchart!$S$17*Cultivation!V50)/Unitflowchart!$S$383</f>
        <v>0</v>
      </c>
      <c r="I91" s="26">
        <f t="shared" si="18"/>
        <v>0</v>
      </c>
      <c r="J91" s="214">
        <f>(Unitflowchart!$S$17*Cultivation!W50)/Unitflowchart!$S$383</f>
        <v>0</v>
      </c>
      <c r="K91" s="165">
        <f>(Unitflowchart!$S$17*Cultivation!AB50)/Unitflowchart!$S$383</f>
        <v>0</v>
      </c>
      <c r="L91" s="26">
        <f t="shared" si="19"/>
        <v>0</v>
      </c>
      <c r="M91" s="214">
        <f>(Unitflowchart!$S$17*Cultivation!AC50)/Unitflowchart!$S$383</f>
        <v>0</v>
      </c>
      <c r="N91" s="755"/>
      <c r="O91" s="26"/>
      <c r="P91" s="757"/>
    </row>
    <row r="92" spans="1:16" x14ac:dyDescent="0.25">
      <c r="A92" s="507" t="str">
        <f>Cultivation!A51</f>
        <v xml:space="preserve"> - rotavating/power harrowing</v>
      </c>
      <c r="B92" s="727">
        <f>(Unitflowchart!$S$17*Cultivation!J51)/Unitflowchart!$S$383</f>
        <v>0</v>
      </c>
      <c r="C92" s="26">
        <f t="shared" si="16"/>
        <v>0</v>
      </c>
      <c r="D92" s="148">
        <f>(Unitflowchart!$S$17*Cultivation!K51)/Unitflowchart!$S$383</f>
        <v>0</v>
      </c>
      <c r="E92" s="727">
        <f>(Unitflowchart!$S$17*Cultivation!P51)/Unitflowchart!$S$383</f>
        <v>0</v>
      </c>
      <c r="F92" s="26">
        <f t="shared" si="17"/>
        <v>0</v>
      </c>
      <c r="G92" s="148">
        <f>(Unitflowchart!$S$17*Cultivation!Q51)/Unitflowchart!$S$383</f>
        <v>0</v>
      </c>
      <c r="H92" s="165">
        <f>(Unitflowchart!$S$17*Cultivation!V51)/Unitflowchart!$S$383</f>
        <v>0</v>
      </c>
      <c r="I92" s="26">
        <f t="shared" si="18"/>
        <v>0</v>
      </c>
      <c r="J92" s="214">
        <f>(Unitflowchart!$S$17*Cultivation!W51)/Unitflowchart!$S$383</f>
        <v>0</v>
      </c>
      <c r="K92" s="165">
        <f>(Unitflowchart!$S$17*Cultivation!AB51)/Unitflowchart!$S$383</f>
        <v>0</v>
      </c>
      <c r="L92" s="26">
        <f t="shared" si="19"/>
        <v>0</v>
      </c>
      <c r="M92" s="214">
        <f>(Unitflowchart!$S$17*Cultivation!AC51)/Unitflowchart!$S$383</f>
        <v>0</v>
      </c>
      <c r="N92" s="727">
        <f>E92+(GlobalWarmingPotentials!$B$11*H92)+(GlobalWarmingPotentials!$C$11*K92)</f>
        <v>0</v>
      </c>
      <c r="O92" s="26">
        <f t="shared" ref="O92:O98" si="20">(N92/N$398)*100</f>
        <v>0</v>
      </c>
      <c r="P92" s="756">
        <f>SQRT((G92^2)+((GlobalWarmingPotentials!$B$11*J92)^2)+((GlobalWarmingPotentials!$C$11*M92)^2))</f>
        <v>0</v>
      </c>
    </row>
    <row r="93" spans="1:16" x14ac:dyDescent="0.25">
      <c r="A93" s="507" t="str">
        <f>Cultivation!A52</f>
        <v xml:space="preserve"> - planting </v>
      </c>
      <c r="B93" s="727">
        <f>(Unitflowchart!$S$17*Cultivation!J52)/Unitflowchart!$S$383</f>
        <v>0</v>
      </c>
      <c r="C93" s="26">
        <f t="shared" si="16"/>
        <v>0</v>
      </c>
      <c r="D93" s="148">
        <f>(Unitflowchart!$S$17*Cultivation!K52)/Unitflowchart!$S$383</f>
        <v>0</v>
      </c>
      <c r="E93" s="727">
        <f>(Unitflowchart!$S$17*Cultivation!P52)/Unitflowchart!$S$383</f>
        <v>0</v>
      </c>
      <c r="F93" s="26">
        <f t="shared" si="17"/>
        <v>0</v>
      </c>
      <c r="G93" s="148">
        <f>(Unitflowchart!$S$17*Cultivation!Q52)/Unitflowchart!$S$383</f>
        <v>0</v>
      </c>
      <c r="H93" s="165">
        <f>(Unitflowchart!$S$17*Cultivation!V52)/Unitflowchart!$S$383</f>
        <v>0</v>
      </c>
      <c r="I93" s="26">
        <f t="shared" si="18"/>
        <v>0</v>
      </c>
      <c r="J93" s="214">
        <f>(Unitflowchart!$S$17*Cultivation!W52)/Unitflowchart!$S$383</f>
        <v>0</v>
      </c>
      <c r="K93" s="165">
        <f>(Unitflowchart!$S$17*Cultivation!AB52)/Unitflowchart!$S$383</f>
        <v>0</v>
      </c>
      <c r="L93" s="26">
        <f t="shared" si="19"/>
        <v>0</v>
      </c>
      <c r="M93" s="214">
        <f>(Unitflowchart!$S$17*Cultivation!AC52)/Unitflowchart!$S$383</f>
        <v>0</v>
      </c>
      <c r="N93" s="727">
        <f>E93+(GlobalWarmingPotentials!$B$11*H93)+(GlobalWarmingPotentials!$C$11*K93)</f>
        <v>0</v>
      </c>
      <c r="O93" s="26">
        <f t="shared" si="20"/>
        <v>0</v>
      </c>
      <c r="P93" s="756">
        <f>SQRT((G93^2)+((GlobalWarmingPotentials!$B$11*J93)^2)+((GlobalWarmingPotentials!$C$11*M93)^2))</f>
        <v>0</v>
      </c>
    </row>
    <row r="94" spans="1:16" x14ac:dyDescent="0.25">
      <c r="A94" s="507" t="str">
        <f>Cultivation!A53</f>
        <v xml:space="preserve"> - rolling</v>
      </c>
      <c r="B94" s="727">
        <f>(Unitflowchart!$S$17*Cultivation!J53)/Unitflowchart!$S$383</f>
        <v>0</v>
      </c>
      <c r="C94" s="26">
        <f t="shared" si="16"/>
        <v>0</v>
      </c>
      <c r="D94" s="148">
        <f>(Unitflowchart!$S$17*Cultivation!K53)/Unitflowchart!$S$383</f>
        <v>0</v>
      </c>
      <c r="E94" s="727">
        <f>(Unitflowchart!$S$17*Cultivation!P53)/Unitflowchart!$S$383</f>
        <v>0</v>
      </c>
      <c r="F94" s="26">
        <f t="shared" si="17"/>
        <v>0</v>
      </c>
      <c r="G94" s="148">
        <f>(Unitflowchart!$S$17*Cultivation!Q53)/Unitflowchart!$S$383</f>
        <v>0</v>
      </c>
      <c r="H94" s="165">
        <f>(Unitflowchart!$S$17*Cultivation!V53)/Unitflowchart!$S$383</f>
        <v>0</v>
      </c>
      <c r="I94" s="26">
        <f t="shared" si="18"/>
        <v>0</v>
      </c>
      <c r="J94" s="214">
        <f>(Unitflowchart!$S$17*Cultivation!W53)/Unitflowchart!$S$383</f>
        <v>0</v>
      </c>
      <c r="K94" s="165">
        <f>(Unitflowchart!$S$17*Cultivation!AB53)/Unitflowchart!$S$383</f>
        <v>0</v>
      </c>
      <c r="L94" s="26">
        <f t="shared" si="19"/>
        <v>0</v>
      </c>
      <c r="M94" s="214">
        <f>(Unitflowchart!$S$17*Cultivation!AC53)/Unitflowchart!$S$383</f>
        <v>0</v>
      </c>
      <c r="N94" s="727">
        <f>E94+(GlobalWarmingPotentials!$B$11*H94)+(GlobalWarmingPotentials!$C$11*K94)</f>
        <v>0</v>
      </c>
      <c r="O94" s="26">
        <f t="shared" si="20"/>
        <v>0</v>
      </c>
      <c r="P94" s="756">
        <f>SQRT((G94^2)+((GlobalWarmingPotentials!$B$11*J94)^2)+((GlobalWarmingPotentials!$C$11*M94)^2))</f>
        <v>0</v>
      </c>
    </row>
    <row r="95" spans="1:16" x14ac:dyDescent="0.25">
      <c r="A95" s="507" t="str">
        <f>Cultivation!A54</f>
        <v xml:space="preserve"> - fertilizer application</v>
      </c>
      <c r="B95" s="727">
        <f>(Unitflowchart!$S$17*Cultivation!J54)/Unitflowchart!$S$383</f>
        <v>0</v>
      </c>
      <c r="C95" s="26">
        <f t="shared" si="16"/>
        <v>0</v>
      </c>
      <c r="D95" s="148">
        <f>(Unitflowchart!$S$17*Cultivation!K54)/Unitflowchart!$S$383</f>
        <v>0</v>
      </c>
      <c r="E95" s="727">
        <f>(Unitflowchart!$S$17*Cultivation!P54)/Unitflowchart!$S$383</f>
        <v>0</v>
      </c>
      <c r="F95" s="26">
        <f t="shared" si="17"/>
        <v>0</v>
      </c>
      <c r="G95" s="148">
        <f>(Unitflowchart!$S$17*Cultivation!Q54)/Unitflowchart!$S$383</f>
        <v>0</v>
      </c>
      <c r="H95" s="165">
        <f>(Unitflowchart!$S$17*Cultivation!V54)/Unitflowchart!$S$383</f>
        <v>0</v>
      </c>
      <c r="I95" s="26">
        <f t="shared" si="18"/>
        <v>0</v>
      </c>
      <c r="J95" s="214">
        <f>(Unitflowchart!$S$17*Cultivation!W54)/Unitflowchart!$S$383</f>
        <v>0</v>
      </c>
      <c r="K95" s="165">
        <f>(Unitflowchart!$S$17*Cultivation!AB54)/Unitflowchart!$S$383</f>
        <v>0</v>
      </c>
      <c r="L95" s="26">
        <f t="shared" si="19"/>
        <v>0</v>
      </c>
      <c r="M95" s="214">
        <f>(Unitflowchart!$S$17*Cultivation!AC54)/Unitflowchart!$S$383</f>
        <v>0</v>
      </c>
      <c r="N95" s="727">
        <f>E95+(GlobalWarmingPotentials!$B$11*H95)+(GlobalWarmingPotentials!$C$11*K95)</f>
        <v>0</v>
      </c>
      <c r="O95" s="26">
        <f t="shared" si="20"/>
        <v>0</v>
      </c>
      <c r="P95" s="756">
        <f>SQRT((G95^2)+((GlobalWarmingPotentials!$B$11*J95)^2)+((GlobalWarmingPotentials!$C$11*M95)^2))</f>
        <v>0</v>
      </c>
    </row>
    <row r="96" spans="1:16" x14ac:dyDescent="0.25">
      <c r="A96" s="507" t="str">
        <f>Cultivation!A55</f>
        <v xml:space="preserve"> - dessicant application</v>
      </c>
      <c r="B96" s="727">
        <f>(Unitflowchart!$S$17*Cultivation!J55)/Unitflowchart!$S$383</f>
        <v>0</v>
      </c>
      <c r="C96" s="26">
        <f t="shared" si="16"/>
        <v>0</v>
      </c>
      <c r="D96" s="148">
        <f>(Unitflowchart!$S$17*Cultivation!K55)/Unitflowchart!$S$383</f>
        <v>0</v>
      </c>
      <c r="E96" s="727">
        <f>(Unitflowchart!$S$17*Cultivation!P55)/Unitflowchart!$S$383</f>
        <v>0</v>
      </c>
      <c r="F96" s="26">
        <f t="shared" si="17"/>
        <v>0</v>
      </c>
      <c r="G96" s="148">
        <f>(Unitflowchart!$S$17*Cultivation!Q55)/Unitflowchart!$S$383</f>
        <v>0</v>
      </c>
      <c r="H96" s="165">
        <f>(Unitflowchart!$S$17*Cultivation!V55)/Unitflowchart!$S$383</f>
        <v>0</v>
      </c>
      <c r="I96" s="26">
        <f t="shared" si="18"/>
        <v>0</v>
      </c>
      <c r="J96" s="214">
        <f>(Unitflowchart!$S$17*Cultivation!W55)/Unitflowchart!$S$383</f>
        <v>0</v>
      </c>
      <c r="K96" s="165">
        <f>(Unitflowchart!$S$17*Cultivation!AB55)/Unitflowchart!$S$383</f>
        <v>0</v>
      </c>
      <c r="L96" s="26">
        <f t="shared" si="19"/>
        <v>0</v>
      </c>
      <c r="M96" s="214">
        <f>(Unitflowchart!$S$17*Cultivation!AC55)/Unitflowchart!$S$383</f>
        <v>0</v>
      </c>
      <c r="N96" s="727">
        <f>E96+(GlobalWarmingPotentials!$B$11*H96)+(GlobalWarmingPotentials!$C$11*K96)</f>
        <v>0</v>
      </c>
      <c r="O96" s="26">
        <f t="shared" si="20"/>
        <v>0</v>
      </c>
      <c r="P96" s="756">
        <f>SQRT((G96^2)+((GlobalWarmingPotentials!$B$11*J96)^2)+((GlobalWarmingPotentials!$C$11*M96)^2))</f>
        <v>0</v>
      </c>
    </row>
    <row r="97" spans="1:16" x14ac:dyDescent="0.25">
      <c r="A97" s="507" t="str">
        <f>Cultivation!A56</f>
        <v>weed cultivating</v>
      </c>
      <c r="B97" s="727">
        <f>(Unitflowchart!$S$17*Cultivation!J56)/Unitflowchart!$S$383</f>
        <v>0</v>
      </c>
      <c r="C97" s="26">
        <f t="shared" si="16"/>
        <v>0</v>
      </c>
      <c r="D97" s="148">
        <f>(Unitflowchart!$S$17*Cultivation!K56)/Unitflowchart!$S$383</f>
        <v>0</v>
      </c>
      <c r="E97" s="727">
        <f>(Unitflowchart!$S$17*Cultivation!P56)/Unitflowchart!$S$383</f>
        <v>0</v>
      </c>
      <c r="F97" s="26">
        <f t="shared" si="17"/>
        <v>0</v>
      </c>
      <c r="G97" s="148">
        <f>(Unitflowchart!$S$17*Cultivation!Q56)/Unitflowchart!$S$383</f>
        <v>0</v>
      </c>
      <c r="H97" s="165">
        <f>(Unitflowchart!$S$17*Cultivation!V56)/Unitflowchart!$S$383</f>
        <v>0</v>
      </c>
      <c r="I97" s="26">
        <f t="shared" si="18"/>
        <v>0</v>
      </c>
      <c r="J97" s="214">
        <f>(Unitflowchart!$S$17*Cultivation!W56)/Unitflowchart!$S$383</f>
        <v>0</v>
      </c>
      <c r="K97" s="165">
        <f>(Unitflowchart!$S$17*Cultivation!AB56)/Unitflowchart!$S$383</f>
        <v>0</v>
      </c>
      <c r="L97" s="26">
        <f t="shared" si="19"/>
        <v>0</v>
      </c>
      <c r="M97" s="214">
        <f>(Unitflowchart!$S$17*Cultivation!AC56)/Unitflowchart!$S$383</f>
        <v>0</v>
      </c>
      <c r="N97" s="727">
        <f>E97+(GlobalWarmingPotentials!$B$11*H97)+(GlobalWarmingPotentials!$C$11*K97)</f>
        <v>0</v>
      </c>
      <c r="O97" s="26">
        <f t="shared" si="20"/>
        <v>0</v>
      </c>
      <c r="P97" s="756">
        <f>SQRT((G97^2)+((GlobalWarmingPotentials!$B$11*J97)^2)+((GlobalWarmingPotentials!$C$11*M97)^2))</f>
        <v>0</v>
      </c>
    </row>
    <row r="98" spans="1:16" x14ac:dyDescent="0.25">
      <c r="A98" s="507" t="str">
        <f>Cultivation!A57</f>
        <v>residue removal</v>
      </c>
      <c r="B98" s="727">
        <f>(Unitflowchart!$S$17*Cultivation!J57)/Unitflowchart!$S$383</f>
        <v>0</v>
      </c>
      <c r="C98" s="26">
        <f t="shared" si="16"/>
        <v>0</v>
      </c>
      <c r="D98" s="148">
        <f>(Unitflowchart!$S$17*Cultivation!K57)/Unitflowchart!$S$383</f>
        <v>0</v>
      </c>
      <c r="E98" s="727">
        <f>(Unitflowchart!$S$17*Cultivation!P57)/Unitflowchart!$S$383</f>
        <v>0</v>
      </c>
      <c r="F98" s="26">
        <f t="shared" si="17"/>
        <v>0</v>
      </c>
      <c r="G98" s="148">
        <f>(Unitflowchart!$S$17*Cultivation!Q57)/Unitflowchart!$S$383</f>
        <v>0</v>
      </c>
      <c r="H98" s="165">
        <f>(Unitflowchart!$S$17*Cultivation!V57)/Unitflowchart!$S$383</f>
        <v>0</v>
      </c>
      <c r="I98" s="26">
        <f t="shared" si="18"/>
        <v>0</v>
      </c>
      <c r="J98" s="214">
        <f>(Unitflowchart!$S$17*Cultivation!W57)/Unitflowchart!$S$383</f>
        <v>0</v>
      </c>
      <c r="K98" s="165">
        <f>(Unitflowchart!$S$17*Cultivation!AB57)/Unitflowchart!$S$383</f>
        <v>0</v>
      </c>
      <c r="L98" s="26">
        <f t="shared" si="19"/>
        <v>0</v>
      </c>
      <c r="M98" s="214">
        <f>(Unitflowchart!$S$17*Cultivation!AC57)/Unitflowchart!$S$383</f>
        <v>0</v>
      </c>
      <c r="N98" s="727">
        <f>E98+(GlobalWarmingPotentials!$B$11*H98)+(GlobalWarmingPotentials!$C$11*K98)</f>
        <v>0</v>
      </c>
      <c r="O98" s="26">
        <f t="shared" si="20"/>
        <v>0</v>
      </c>
      <c r="P98" s="756">
        <f>SQRT((G98^2)+((GlobalWarmingPotentials!$B$11*J98)^2)+((GlobalWarmingPotentials!$C$11*M98)^2))</f>
        <v>0</v>
      </c>
    </row>
    <row r="99" spans="1:16" s="43" customFormat="1" x14ac:dyDescent="0.25">
      <c r="A99" s="507"/>
      <c r="B99" s="729"/>
      <c r="C99" s="992"/>
      <c r="D99" s="736"/>
      <c r="E99" s="729"/>
      <c r="F99" s="992"/>
      <c r="G99" s="736"/>
      <c r="H99" s="505"/>
      <c r="I99" s="992"/>
      <c r="J99" s="506"/>
      <c r="K99" s="505"/>
      <c r="L99" s="992"/>
      <c r="M99" s="506"/>
      <c r="N99" s="729"/>
      <c r="O99" s="992"/>
      <c r="P99" s="758"/>
    </row>
    <row r="100" spans="1:16" s="5" customFormat="1" x14ac:dyDescent="0.25">
      <c r="A100" s="1320" t="str">
        <f>Cultivation!A59</f>
        <v>Sub-Totals for Maintenance</v>
      </c>
      <c r="B100" s="999">
        <f>(Unitflowchart!$S$17*Cultivation!J59)/Unitflowchart!$S$383</f>
        <v>0</v>
      </c>
      <c r="C100" s="997">
        <f>(B100/B$398)*100</f>
        <v>0</v>
      </c>
      <c r="D100" s="998">
        <f>(Unitflowchart!$S$17*Cultivation!K59)/Unitflowchart!$S$383</f>
        <v>0</v>
      </c>
      <c r="E100" s="999">
        <f>(Unitflowchart!$S$17*Cultivation!P59)/Unitflowchart!$S$383</f>
        <v>0</v>
      </c>
      <c r="F100" s="997">
        <f>(E100/E$398)*100</f>
        <v>0</v>
      </c>
      <c r="G100" s="998">
        <f>(Unitflowchart!$S$17*Cultivation!Q59)/Unitflowchart!$S$383</f>
        <v>0</v>
      </c>
      <c r="H100" s="1000">
        <f>(Unitflowchart!$S$17*Cultivation!V59)/Unitflowchart!$S$383</f>
        <v>0</v>
      </c>
      <c r="I100" s="997">
        <f>(H100/H$398)*100</f>
        <v>0</v>
      </c>
      <c r="J100" s="1001">
        <f>(Unitflowchart!$S$17*Cultivation!W59)/Unitflowchart!$S$383</f>
        <v>0</v>
      </c>
      <c r="K100" s="1000">
        <f>(Unitflowchart!$S$17*Cultivation!AB59)/Unitflowchart!$S$383</f>
        <v>0</v>
      </c>
      <c r="L100" s="997">
        <f>(K100/K$398)*100</f>
        <v>0</v>
      </c>
      <c r="M100" s="1001">
        <f>(Unitflowchart!$S$17*Cultivation!AC59)/Unitflowchart!$S$383</f>
        <v>0</v>
      </c>
      <c r="N100" s="999">
        <f>E100+(GlobalWarmingPotentials!$B$11*H100)+(GlobalWarmingPotentials!$C$11*K100)</f>
        <v>0</v>
      </c>
      <c r="O100" s="997">
        <f>(N100/N$398)*100</f>
        <v>0</v>
      </c>
      <c r="P100" s="1062">
        <f>SQRT((G100^2)+((GlobalWarmingPotentials!$B$11*J100)^2)+((GlobalWarmingPotentials!$C$11*M100)^2))</f>
        <v>0</v>
      </c>
    </row>
    <row r="101" spans="1:16" s="907" customFormat="1" x14ac:dyDescent="0.25">
      <c r="A101" s="507"/>
      <c r="B101" s="729"/>
      <c r="C101" s="992"/>
      <c r="D101" s="736"/>
      <c r="E101" s="729"/>
      <c r="F101" s="992"/>
      <c r="G101" s="736"/>
      <c r="H101" s="505"/>
      <c r="I101" s="992"/>
      <c r="J101" s="506"/>
      <c r="K101" s="505"/>
      <c r="L101" s="992"/>
      <c r="M101" s="506"/>
      <c r="N101" s="729"/>
      <c r="O101" s="992"/>
      <c r="P101" s="758"/>
    </row>
    <row r="102" spans="1:16" s="5" customFormat="1" x14ac:dyDescent="0.25">
      <c r="A102" s="507" t="str">
        <f>Cultivation!A61</f>
        <v xml:space="preserve"> - N Fertiliser</v>
      </c>
      <c r="B102" s="727">
        <f>(Unitflowchart!$S$17*Cultivation!J61)/Unitflowchart!$S$383</f>
        <v>111.5885146740152</v>
      </c>
      <c r="C102" s="26">
        <f t="shared" ref="C102:C109" si="21">(B102/B$398)*100</f>
        <v>0.86206135989033306</v>
      </c>
      <c r="D102" s="148">
        <f>(Unitflowchart!$S$17*Cultivation!K61)/Unitflowchart!$S$383</f>
        <v>16.738277201102282</v>
      </c>
      <c r="E102" s="727">
        <f>(Unitflowchart!$S$17*Cultivation!P61)/Unitflowchart!$S$383</f>
        <v>6.5362972470304408</v>
      </c>
      <c r="F102" s="26">
        <f t="shared" ref="F102:F109" si="22">(E102/E$398)*100</f>
        <v>0.81258656828195608</v>
      </c>
      <c r="G102" s="148">
        <f>(Unitflowchart!$S$17*Cultivation!Q61)/Unitflowchart!$S$383</f>
        <v>0.98044458705456605</v>
      </c>
      <c r="H102" s="165">
        <f>(Unitflowchart!$S$17*Cultivation!V61)/Unitflowchart!$S$383</f>
        <v>1.7324116903140865E-2</v>
      </c>
      <c r="I102" s="26">
        <f t="shared" ref="I102:I109" si="23">(H102/H$398)*100</f>
        <v>1.7256316596357761</v>
      </c>
      <c r="J102" s="214">
        <f>(Unitflowchart!$S$17*Cultivation!W61)/Unitflowchart!$S$383</f>
        <v>2.5986175354711298E-3</v>
      </c>
      <c r="K102" s="165">
        <f>(Unitflowchart!$S$17*Cultivation!AB61)/Unitflowchart!$S$383</f>
        <v>0</v>
      </c>
      <c r="L102" s="26">
        <f t="shared" ref="L102:L109" si="24">(K102/K$398)*100</f>
        <v>0</v>
      </c>
      <c r="M102" s="214">
        <f>(Unitflowchart!$S$17*Cultivation!AC61)/Unitflowchart!$S$383</f>
        <v>0</v>
      </c>
      <c r="N102" s="727">
        <f>E102+(GlobalWarmingPotentials!$B$11*H102)+(GlobalWarmingPotentials!$C$11*K102)</f>
        <v>6.934751935802681</v>
      </c>
      <c r="O102" s="26">
        <f t="shared" ref="O102:O109" si="25">(N102/N$398)*100</f>
        <v>0.77762562856819062</v>
      </c>
      <c r="P102" s="756">
        <f>SQRT((G102^2)+((GlobalWarmingPotentials!$B$11*J102)^2)+((GlobalWarmingPotentials!$C$11*M102)^2))</f>
        <v>0.98226464173979189</v>
      </c>
    </row>
    <row r="103" spans="1:16" s="5" customFormat="1" x14ac:dyDescent="0.25">
      <c r="A103" s="507" t="str">
        <f>Cultivation!A62</f>
        <v xml:space="preserve"> - P Fertiliser</v>
      </c>
      <c r="B103" s="727">
        <f>(Unitflowchart!$S$17*Cultivation!J62)/Unitflowchart!$S$383</f>
        <v>3.5369573847567324</v>
      </c>
      <c r="C103" s="26">
        <f t="shared" si="21"/>
        <v>2.7324266317952522E-2</v>
      </c>
      <c r="D103" s="148">
        <f>(Unitflowchart!$S$17*Cultivation!K62)/Unitflowchart!$S$383</f>
        <v>0.53054360771350972</v>
      </c>
      <c r="E103" s="727">
        <f>(Unitflowchart!$S$17*Cultivation!P62)/Unitflowchart!$S$383</f>
        <v>0.18818605938953564</v>
      </c>
      <c r="F103" s="26">
        <f t="shared" si="22"/>
        <v>2.3395120879381722E-2</v>
      </c>
      <c r="G103" s="148">
        <f>(Unitflowchart!$S$17*Cultivation!Q62)/Unitflowchart!$S$383</f>
        <v>2.8227908908430348E-2</v>
      </c>
      <c r="H103" s="165">
        <f>(Unitflowchart!$S$17*Cultivation!V62)/Unitflowchart!$S$383</f>
        <v>2.4071236736823281E-4</v>
      </c>
      <c r="I103" s="26">
        <f t="shared" si="23"/>
        <v>2.3977030651483981E-2</v>
      </c>
      <c r="J103" s="214">
        <f>(Unitflowchart!$S$17*Cultivation!W62)/Unitflowchart!$S$383</f>
        <v>7.970608191001085E-5</v>
      </c>
      <c r="K103" s="165">
        <f>(Unitflowchart!$S$17*Cultivation!AB62)/Unitflowchart!$S$383</f>
        <v>0</v>
      </c>
      <c r="L103" s="26">
        <f t="shared" si="24"/>
        <v>0</v>
      </c>
      <c r="M103" s="214">
        <f>(Unitflowchart!$S$17*Cultivation!AC62)/Unitflowchart!$S$383</f>
        <v>0</v>
      </c>
      <c r="N103" s="727">
        <f>E103+(GlobalWarmingPotentials!$B$11*H103)+(GlobalWarmingPotentials!$C$11*K103)</f>
        <v>0.193722443839005</v>
      </c>
      <c r="O103" s="26">
        <f t="shared" si="25"/>
        <v>2.1722988587426037E-2</v>
      </c>
      <c r="P103" s="756">
        <f>SQRT((G103^2)+((GlobalWarmingPotentials!$B$11*J103)^2)+((GlobalWarmingPotentials!$C$11*M103)^2))</f>
        <v>2.828737544938862E-2</v>
      </c>
    </row>
    <row r="104" spans="1:16" s="5" customFormat="1" x14ac:dyDescent="0.25">
      <c r="A104" s="507" t="str">
        <f>Cultivation!A63</f>
        <v xml:space="preserve"> - K Fertiliser</v>
      </c>
      <c r="B104" s="727">
        <f>(Unitflowchart!$S$17*Cultivation!J63)/Unitflowchart!$S$383</f>
        <v>38.573758340349755</v>
      </c>
      <c r="C104" s="26">
        <f t="shared" si="21"/>
        <v>0.29799613937066194</v>
      </c>
      <c r="D104" s="148">
        <f>(Unitflowchart!$S$17*Cultivation!K63)/Unitflowchart!$S$383</f>
        <v>5.7860637510524633</v>
      </c>
      <c r="E104" s="727">
        <f>(Unitflowchart!$S$17*Cultivation!P63)/Unitflowchart!$S$383</f>
        <v>2.1373185864169413</v>
      </c>
      <c r="F104" s="26">
        <f t="shared" si="22"/>
        <v>0.26570951562076278</v>
      </c>
      <c r="G104" s="148">
        <f>(Unitflowchart!$S$17*Cultivation!Q63)/Unitflowchart!$S$383</f>
        <v>0.32059778796254118</v>
      </c>
      <c r="H104" s="165">
        <f>(Unitflowchart!$S$17*Cultivation!V63)/Unitflowchart!$S$383</f>
        <v>6.2605142036218035E-3</v>
      </c>
      <c r="I104" s="26">
        <f t="shared" si="23"/>
        <v>0.62360128229165868</v>
      </c>
      <c r="J104" s="214">
        <f>(Unitflowchart!$S$17*Cultivation!W63)/Unitflowchart!$S$383</f>
        <v>9.3907713054327028E-4</v>
      </c>
      <c r="K104" s="165">
        <f>(Unitflowchart!$S$17*Cultivation!AB63)/Unitflowchart!$S$383</f>
        <v>0</v>
      </c>
      <c r="L104" s="26">
        <f t="shared" si="24"/>
        <v>0</v>
      </c>
      <c r="M104" s="214">
        <f>(Unitflowchart!$S$17*Cultivation!AC63)/Unitflowchart!$S$383</f>
        <v>0</v>
      </c>
      <c r="N104" s="727">
        <f>E104+(GlobalWarmingPotentials!$B$11*H104)+(GlobalWarmingPotentials!$C$11*K104)</f>
        <v>2.2813104131002429</v>
      </c>
      <c r="O104" s="26">
        <f t="shared" si="25"/>
        <v>0.25581382872362224</v>
      </c>
      <c r="P104" s="756">
        <f>SQRT((G104^2)+((GlobalWarmingPotentials!$B$11*J104)^2)+((GlobalWarmingPotentials!$C$11*M104)^2))</f>
        <v>0.32132452238334591</v>
      </c>
    </row>
    <row r="105" spans="1:16" s="5" customFormat="1" x14ac:dyDescent="0.25">
      <c r="A105" s="507" t="str">
        <f>Cultivation!A64</f>
        <v xml:space="preserve"> - Lime  </v>
      </c>
      <c r="B105" s="727">
        <f>(Unitflowchart!$S$17*Cultivation!J64)/Unitflowchart!$S$383</f>
        <v>224.71649538720661</v>
      </c>
      <c r="C105" s="26">
        <f t="shared" si="21"/>
        <v>1.7360156479293571</v>
      </c>
      <c r="D105" s="148">
        <f>(Unitflowchart!$S$17*Cultivation!K64)/Unitflowchart!$S$383</f>
        <v>33.707474308080997</v>
      </c>
      <c r="E105" s="727">
        <f>(Unitflowchart!$S$17*Cultivation!P64)/Unitflowchart!$S$383</f>
        <v>13.56324236113265</v>
      </c>
      <c r="F105" s="26">
        <f t="shared" si="22"/>
        <v>1.6861700361036083</v>
      </c>
      <c r="G105" s="148">
        <f>(Unitflowchart!$S$17*Cultivation!Q64)/Unitflowchart!$S$383</f>
        <v>2.0344863541698968</v>
      </c>
      <c r="H105" s="165">
        <f>(Unitflowchart!$S$17*Cultivation!V64)/Unitflowchart!$S$383</f>
        <v>2.4583632977673346E-2</v>
      </c>
      <c r="I105" s="26">
        <f t="shared" si="23"/>
        <v>2.4487421559391631</v>
      </c>
      <c r="J105" s="214">
        <f>(Unitflowchart!$S$17*Cultivation!W64)/Unitflowchart!$S$383</f>
        <v>3.687544946651002E-3</v>
      </c>
      <c r="K105" s="165">
        <f>(Unitflowchart!$S$17*Cultivation!AB64)/Unitflowchart!$S$383</f>
        <v>0</v>
      </c>
      <c r="L105" s="26">
        <f t="shared" si="24"/>
        <v>0</v>
      </c>
      <c r="M105" s="214">
        <f>(Unitflowchart!$S$17*Cultivation!AC64)/Unitflowchart!$S$383</f>
        <v>0</v>
      </c>
      <c r="N105" s="727">
        <f>E105+(GlobalWarmingPotentials!$B$11*H105)+(GlobalWarmingPotentials!$C$11*K105)</f>
        <v>14.128665919619136</v>
      </c>
      <c r="O105" s="26">
        <f t="shared" si="25"/>
        <v>1.5843122895068784</v>
      </c>
      <c r="P105" s="756">
        <f>SQRT((G105^2)+((GlobalWarmingPotentials!$B$11*J105)^2)+((GlobalWarmingPotentials!$C$11*M105)^2))</f>
        <v>2.03625343727508</v>
      </c>
    </row>
    <row r="106" spans="1:16" s="5" customFormat="1" x14ac:dyDescent="0.25">
      <c r="A106" s="507" t="str">
        <f>Cultivation!A65</f>
        <v xml:space="preserve"> - Manganese</v>
      </c>
      <c r="B106" s="727">
        <f>(Unitflowchart!$S$17*Cultivation!J65)/Unitflowchart!$S$383</f>
        <v>22.773166260003102</v>
      </c>
      <c r="C106" s="26">
        <f t="shared" si="21"/>
        <v>0.17593088977353735</v>
      </c>
      <c r="D106" s="148">
        <f>(Unitflowchart!$S$17*Cultivation!K65)/Unitflowchart!$S$383</f>
        <v>3.4159749390004657</v>
      </c>
      <c r="E106" s="727">
        <f>(Unitflowchart!$S$17*Cultivation!P65)/Unitflowchart!$S$383</f>
        <v>1.7079874695002328</v>
      </c>
      <c r="F106" s="26">
        <f t="shared" si="22"/>
        <v>0.21233545906136983</v>
      </c>
      <c r="G106" s="148">
        <f>(Unitflowchart!$S$17*Cultivation!Q65)/Unitflowchart!$S$383</f>
        <v>0.25050482886003411</v>
      </c>
      <c r="H106" s="165">
        <f>(Unitflowchart!$S$17*Cultivation!V65)/Unitflowchart!$S$383</f>
        <v>2.7145614181923698E-7</v>
      </c>
      <c r="I106" s="26">
        <f t="shared" si="23"/>
        <v>2.7039376098929896E-5</v>
      </c>
      <c r="J106" s="214">
        <f>(Unitflowchart!$S$17*Cultivation!W65)/Unitflowchart!$S$383</f>
        <v>0</v>
      </c>
      <c r="K106" s="165">
        <f>(Unitflowchart!$S$17*Cultivation!AB65)/Unitflowchart!$S$383</f>
        <v>0</v>
      </c>
      <c r="L106" s="26">
        <f t="shared" si="24"/>
        <v>0</v>
      </c>
      <c r="M106" s="214">
        <f>(Unitflowchart!$S$17*Cultivation!AC65)/Unitflowchart!$S$383</f>
        <v>0</v>
      </c>
      <c r="N106" s="727">
        <f>E106+(GlobalWarmingPotentials!$B$11*H106)+(GlobalWarmingPotentials!$C$11*K106)</f>
        <v>1.7079937129914946</v>
      </c>
      <c r="O106" s="26">
        <f t="shared" si="25"/>
        <v>0.19152519036743237</v>
      </c>
      <c r="P106" s="756">
        <f>SQRT((G106^2)+((GlobalWarmingPotentials!$B$11*J106)^2)+((GlobalWarmingPotentials!$C$11*M106)^2))</f>
        <v>0.25050482886003411</v>
      </c>
    </row>
    <row r="107" spans="1:16" s="5" customFormat="1" x14ac:dyDescent="0.25">
      <c r="A107" s="507" t="str">
        <f>Cultivation!A66</f>
        <v xml:space="preserve"> - Advance Herbicide</v>
      </c>
      <c r="B107" s="727">
        <f>(Unitflowchart!$S$17*Cultivation!J66)/Unitflowchart!$S$383</f>
        <v>18.06671189960246</v>
      </c>
      <c r="C107" s="26">
        <f t="shared" si="21"/>
        <v>0.13957183922033961</v>
      </c>
      <c r="D107" s="148">
        <f>(Unitflowchart!$S$17*Cultivation!K66)/Unitflowchart!$S$383</f>
        <v>2.7327799512003721</v>
      </c>
      <c r="E107" s="727">
        <f>(Unitflowchart!$S$17*Cultivation!P66)/Unitflowchart!$S$383</f>
        <v>1.0627477588001448</v>
      </c>
      <c r="F107" s="26">
        <f t="shared" si="22"/>
        <v>0.13211984119374121</v>
      </c>
      <c r="G107" s="148">
        <f>(Unitflowchart!$S$17*Cultivation!Q66)/Unitflowchart!$S$383</f>
        <v>0.15182110840002069</v>
      </c>
      <c r="H107" s="165">
        <f>(Unitflowchart!$S$17*Cultivation!V66)/Unitflowchart!$S$383</f>
        <v>9.0485380606412316E-9</v>
      </c>
      <c r="I107" s="26">
        <f t="shared" si="23"/>
        <v>9.0131253663099656E-7</v>
      </c>
      <c r="J107" s="214">
        <f>(Unitflowchart!$S$17*Cultivation!W66)/Unitflowchart!$S$383</f>
        <v>0</v>
      </c>
      <c r="K107" s="165">
        <f>(Unitflowchart!$S$17*Cultivation!AB66)/Unitflowchart!$S$383</f>
        <v>0</v>
      </c>
      <c r="L107" s="26">
        <f t="shared" si="24"/>
        <v>0</v>
      </c>
      <c r="M107" s="214">
        <f>(Unitflowchart!$S$17*Cultivation!AC66)/Unitflowchart!$S$383</f>
        <v>0</v>
      </c>
      <c r="N107" s="727">
        <f>E107+(GlobalWarmingPotentials!$B$11*H107)+(GlobalWarmingPotentials!$C$11*K107)</f>
        <v>1.0627479669165203</v>
      </c>
      <c r="O107" s="26">
        <f t="shared" si="25"/>
        <v>0.1191708172741394</v>
      </c>
      <c r="P107" s="756">
        <f>SQRT((G107^2)+((GlobalWarmingPotentials!$B$11*J107)^2)+((GlobalWarmingPotentials!$C$11*M107)^2))</f>
        <v>0.15182110840002069</v>
      </c>
    </row>
    <row r="108" spans="1:16" s="5" customFormat="1" x14ac:dyDescent="0.25">
      <c r="A108" s="507" t="str">
        <f>Cultivation!A67</f>
        <v xml:space="preserve"> - Trifolex-Tra Herbicide</v>
      </c>
      <c r="B108" s="727">
        <f>(Unitflowchart!$S$17*Cultivation!J67)/Unitflowchart!$S$383</f>
        <v>37.99323237710518</v>
      </c>
      <c r="C108" s="26">
        <f t="shared" si="21"/>
        <v>0.29351136777218484</v>
      </c>
      <c r="D108" s="148">
        <f>(Unitflowchart!$S$17*Cultivation!K67)/Unitflowchart!$S$383</f>
        <v>5.552857039730756</v>
      </c>
      <c r="E108" s="727">
        <f>(Unitflowchart!$S$17*Cultivation!P67)/Unitflowchart!$S$383</f>
        <v>4.0915788713805572</v>
      </c>
      <c r="F108" s="26">
        <f t="shared" si="22"/>
        <v>0.5086613885959036</v>
      </c>
      <c r="G108" s="148">
        <f>(Unitflowchart!$S$17*Cultivation!Q67)/Unitflowchart!$S$383</f>
        <v>0.58451126734007963</v>
      </c>
      <c r="H108" s="165">
        <f>(Unitflowchart!$S$17*Cultivation!V67)/Unitflowchart!$S$383</f>
        <v>3.483687153346874E-8</v>
      </c>
      <c r="I108" s="26">
        <f t="shared" si="23"/>
        <v>3.4700532660293363E-6</v>
      </c>
      <c r="J108" s="214">
        <f>(Unitflowchart!$S$17*Cultivation!W67)/Unitflowchart!$S$383</f>
        <v>0</v>
      </c>
      <c r="K108" s="165">
        <f>(Unitflowchart!$S$17*Cultivation!AB67)/Unitflowchart!$S$383</f>
        <v>0</v>
      </c>
      <c r="L108" s="26">
        <f t="shared" si="24"/>
        <v>0</v>
      </c>
      <c r="M108" s="214">
        <f>(Unitflowchart!$S$17*Cultivation!AC67)/Unitflowchart!$S$383</f>
        <v>0</v>
      </c>
      <c r="N108" s="727">
        <f>E108+(GlobalWarmingPotentials!$B$11*H108)+(GlobalWarmingPotentials!$C$11*K108)</f>
        <v>4.0915796726286029</v>
      </c>
      <c r="O108" s="26">
        <f t="shared" si="25"/>
        <v>0.45880764650543665</v>
      </c>
      <c r="P108" s="756">
        <f>SQRT((G108^2)+((GlobalWarmingPotentials!$B$11*J108)^2)+((GlobalWarmingPotentials!$C$11*M108)^2))</f>
        <v>0.58451126734007963</v>
      </c>
    </row>
    <row r="109" spans="1:16" s="5" customFormat="1" x14ac:dyDescent="0.25">
      <c r="A109" s="507" t="str">
        <f>Cultivation!A68</f>
        <v xml:space="preserve"> - Glyphosate Herbicide</v>
      </c>
      <c r="B109" s="727">
        <f>(Unitflowchart!$S$17*Cultivation!J68)/Unitflowchart!$S$383</f>
        <v>1033.9017482041409</v>
      </c>
      <c r="C109" s="26">
        <f t="shared" si="21"/>
        <v>7.987262395718596</v>
      </c>
      <c r="D109" s="148">
        <f>(Unitflowchart!$S$17*Cultivation!K68)/Unitflowchart!$S$383</f>
        <v>154.8575305680211</v>
      </c>
      <c r="E109" s="727">
        <f>(Unitflowchart!$S$17*Cultivation!P68)/Unitflowchart!$S$383</f>
        <v>59.210232276008071</v>
      </c>
      <c r="F109" s="26">
        <f t="shared" si="22"/>
        <v>7.360962580794153</v>
      </c>
      <c r="G109" s="148">
        <f>(Unitflowchart!$S$17*Cultivation!Q68)/Unitflowchart!$S$383</f>
        <v>9.1092665040012406</v>
      </c>
      <c r="H109" s="165">
        <f>(Unitflowchart!$S$17*Cultivation!V68)/Unitflowchart!$S$383</f>
        <v>2.7145614181923698E-7</v>
      </c>
      <c r="I109" s="26">
        <f t="shared" si="23"/>
        <v>2.7039376098929896E-5</v>
      </c>
      <c r="J109" s="214">
        <f>(Unitflowchart!$S$17*Cultivation!W68)/Unitflowchart!$S$383</f>
        <v>0</v>
      </c>
      <c r="K109" s="165">
        <f>(Unitflowchart!$S$17*Cultivation!AB68)/Unitflowchart!$S$383</f>
        <v>0</v>
      </c>
      <c r="L109" s="26">
        <f t="shared" si="24"/>
        <v>0</v>
      </c>
      <c r="M109" s="214">
        <f>(Unitflowchart!$S$17*Cultivation!AC68)/Unitflowchart!$S$383</f>
        <v>0</v>
      </c>
      <c r="N109" s="727">
        <f>E109+(GlobalWarmingPotentials!$B$11*H109)+(GlobalWarmingPotentials!$C$11*K109)</f>
        <v>59.210238519499335</v>
      </c>
      <c r="O109" s="26">
        <f t="shared" si="25"/>
        <v>6.63951636232086</v>
      </c>
      <c r="P109" s="756">
        <f>SQRT((G109^2)+((GlobalWarmingPotentials!$B$11*J109)^2)+((GlobalWarmingPotentials!$C$11*M109)^2))</f>
        <v>9.1092665040012406</v>
      </c>
    </row>
    <row r="110" spans="1:16" s="907" customFormat="1" x14ac:dyDescent="0.25">
      <c r="A110" s="507"/>
      <c r="B110" s="729"/>
      <c r="C110" s="992"/>
      <c r="D110" s="736"/>
      <c r="E110" s="729"/>
      <c r="F110" s="992"/>
      <c r="G110" s="736"/>
      <c r="H110" s="505"/>
      <c r="I110" s="992"/>
      <c r="J110" s="506"/>
      <c r="K110" s="505"/>
      <c r="L110" s="992"/>
      <c r="M110" s="506"/>
      <c r="N110" s="729"/>
      <c r="O110" s="992"/>
      <c r="P110" s="758"/>
    </row>
    <row r="111" spans="1:16" s="5" customFormat="1" x14ac:dyDescent="0.25">
      <c r="A111" s="1320" t="str">
        <f>Cultivation!A70</f>
        <v>Sub-Totals for Agrochemicals</v>
      </c>
      <c r="B111" s="999">
        <f>(Unitflowchart!$S$17*Cultivation!J70)/Unitflowchart!$S$383</f>
        <v>1491.1505845271799</v>
      </c>
      <c r="C111" s="997">
        <f>(B111/B$398)*100</f>
        <v>11.519673905992962</v>
      </c>
      <c r="D111" s="998">
        <f>(Unitflowchart!$S$17*Cultivation!K70)/Unitflowchart!$S$383</f>
        <v>159.62753435456128</v>
      </c>
      <c r="E111" s="999">
        <f>(Unitflowchart!$S$17*Cultivation!P70)/Unitflowchart!$S$383</f>
        <v>88.497590629658561</v>
      </c>
      <c r="F111" s="997">
        <f>(E111/E$398)*100</f>
        <v>11.001940510530876</v>
      </c>
      <c r="G111" s="998">
        <f>(Unitflowchart!$S$17*Cultivation!Q70)/Unitflowchart!$S$383</f>
        <v>9.4132979370080729</v>
      </c>
      <c r="H111" s="1000">
        <f>(Unitflowchart!$S$17*Cultivation!V70)/Unitflowchart!$S$383</f>
        <v>4.8409563249497467E-2</v>
      </c>
      <c r="I111" s="997">
        <f>(H111/H$398)*100</f>
        <v>4.822010578636081</v>
      </c>
      <c r="J111" s="1001">
        <f>(Unitflowchart!$S$17*Cultivation!W70)/Unitflowchart!$S$383</f>
        <v>4.6085810989752824E-3</v>
      </c>
      <c r="K111" s="1000">
        <f>(Unitflowchart!$S$17*Cultivation!AB70)/Unitflowchart!$S$383</f>
        <v>0</v>
      </c>
      <c r="L111" s="997">
        <f>(K111/K$398)*100</f>
        <v>0</v>
      </c>
      <c r="M111" s="1001">
        <f>(Unitflowchart!$S$17*Cultivation!AC70)/Unitflowchart!$S$383</f>
        <v>0</v>
      </c>
      <c r="N111" s="999">
        <f>E111+(GlobalWarmingPotentials!$B$11*H111)+(GlobalWarmingPotentials!$C$11*K111)</f>
        <v>89.611010584397008</v>
      </c>
      <c r="O111" s="997">
        <f>(N111/N$398)*100</f>
        <v>10.048494751853985</v>
      </c>
      <c r="P111" s="1062">
        <f>SQRT((G111^2)+((GlobalWarmingPotentials!$B$11*J111)^2)+((GlobalWarmingPotentials!$C$11*M111)^2))</f>
        <v>9.4138947036986753</v>
      </c>
    </row>
    <row r="112" spans="1:16" s="907" customFormat="1" x14ac:dyDescent="0.25">
      <c r="A112" s="507"/>
      <c r="B112" s="729"/>
      <c r="C112" s="992"/>
      <c r="D112" s="736"/>
      <c r="E112" s="729"/>
      <c r="F112" s="992"/>
      <c r="G112" s="736"/>
      <c r="H112" s="505"/>
      <c r="I112" s="992"/>
      <c r="J112" s="506"/>
      <c r="K112" s="505"/>
      <c r="L112" s="992"/>
      <c r="M112" s="506"/>
      <c r="N112" s="729"/>
      <c r="O112" s="992"/>
      <c r="P112" s="758"/>
    </row>
    <row r="113" spans="1:16" s="5" customFormat="1" x14ac:dyDescent="0.25">
      <c r="A113" s="507" t="str">
        <f>Cultivation!A72</f>
        <v xml:space="preserve"> - Rhizomes</v>
      </c>
      <c r="B113" s="727">
        <f>(Unitflowchart!$S$17*Cultivation!J72)/Unitflowchart!$S$383</f>
        <v>425.09910352005795</v>
      </c>
      <c r="C113" s="26">
        <f>(B113/B$398)*100</f>
        <v>3.2840432757726976</v>
      </c>
      <c r="D113" s="148">
        <f>(Unitflowchart!$S$17*Cultivation!K72)/Unitflowchart!$S$383</f>
        <v>53.137387940007244</v>
      </c>
      <c r="E113" s="727">
        <f>(Unitflowchart!$S$17*Cultivation!P72)/Unitflowchart!$S$383</f>
        <v>14.878468623202032</v>
      </c>
      <c r="F113" s="26">
        <f>(E113/E$398)*100</f>
        <v>1.8496777767123773</v>
      </c>
      <c r="G113" s="148">
        <f>(Unitflowchart!$S$17*Cultivation!Q72)/Unitflowchart!$S$383</f>
        <v>2.1254955176002901</v>
      </c>
      <c r="H113" s="165">
        <f>(Unitflowchart!$S$17*Cultivation!V72)/Unitflowchart!$S$383</f>
        <v>5.0671813139590908E-5</v>
      </c>
      <c r="I113" s="26">
        <f>(H113/H$398)*100</f>
        <v>5.0473502051335819E-3</v>
      </c>
      <c r="J113" s="214">
        <f>(Unitflowchart!$S$17*Cultivation!W72)/Unitflowchart!$S$383</f>
        <v>6.3339766424488635E-6</v>
      </c>
      <c r="K113" s="165">
        <f>(Unitflowchart!$S$17*Cultivation!AB72)/Unitflowchart!$S$383</f>
        <v>5.4370175340215408E-7</v>
      </c>
      <c r="L113" s="26">
        <f>(K113/K$398)*100</f>
        <v>2.5023669442051359E-4</v>
      </c>
      <c r="M113" s="214">
        <f>(Unitflowchart!$S$17*Cultivation!AC72)/Unitflowchart!$S$383</f>
        <v>6.7962719175269259E-8</v>
      </c>
      <c r="N113" s="727">
        <f>E113+(GlobalWarmingPotentials!$B$11*H113)+(GlobalWarmingPotentials!$C$11*K113)</f>
        <v>14.879795010623249</v>
      </c>
      <c r="O113" s="26">
        <f>(N113/N$398)*100</f>
        <v>1.668539849041107</v>
      </c>
      <c r="P113" s="756">
        <f>SQRT((G113^2)+((GlobalWarmingPotentials!$B$11*J113)^2)+((GlobalWarmingPotentials!$C$11*M113)^2))</f>
        <v>2.1254955226879932</v>
      </c>
    </row>
    <row r="114" spans="1:16" s="907" customFormat="1" x14ac:dyDescent="0.25">
      <c r="A114" s="507"/>
      <c r="B114" s="729"/>
      <c r="C114" s="992"/>
      <c r="D114" s="736"/>
      <c r="E114" s="729"/>
      <c r="F114" s="992"/>
      <c r="G114" s="736"/>
      <c r="H114" s="505"/>
      <c r="I114" s="992"/>
      <c r="J114" s="506"/>
      <c r="K114" s="505"/>
      <c r="L114" s="992"/>
      <c r="M114" s="506"/>
      <c r="N114" s="729"/>
      <c r="O114" s="992"/>
      <c r="P114" s="758"/>
    </row>
    <row r="115" spans="1:16" s="5" customFormat="1" x14ac:dyDescent="0.25">
      <c r="A115" s="507" t="str">
        <f>Cultivation!A74</f>
        <v xml:space="preserve"> - Nitrous Oxide Emissions from Soil</v>
      </c>
      <c r="B115" s="727">
        <f>(Unitflowchart!$S$17*Cultivation!J74)/Unitflowchart!$S$383</f>
        <v>0</v>
      </c>
      <c r="C115" s="26">
        <f>(B115/B$398)*100</f>
        <v>0</v>
      </c>
      <c r="D115" s="148">
        <f>(Unitflowchart!$S$17*Cultivation!K74)/Unitflowchart!$S$383</f>
        <v>0</v>
      </c>
      <c r="E115" s="727">
        <f>(Unitflowchart!$S$17*Cultivation!P74)/Unitflowchart!$S$383</f>
        <v>0</v>
      </c>
      <c r="F115" s="26">
        <f>(E115/E$398)*100</f>
        <v>0</v>
      </c>
      <c r="G115" s="148">
        <f>(Unitflowchart!$S$17*Cultivation!Q74)/Unitflowchart!$S$383</f>
        <v>0</v>
      </c>
      <c r="H115" s="165">
        <f>(Unitflowchart!$S$17*Cultivation!V74)/Unitflowchart!$S$383</f>
        <v>0</v>
      </c>
      <c r="I115" s="26">
        <f>(H115/H$398)*100</f>
        <v>0</v>
      </c>
      <c r="J115" s="214">
        <f>(Unitflowchart!$S$17*Cultivation!W74)/Unitflowchart!$S$383</f>
        <v>0</v>
      </c>
      <c r="K115" s="165">
        <f>(Unitflowchart!$S$17*Cultivation!AB74)/Unitflowchart!$S$383</f>
        <v>5.8026027630487899E-2</v>
      </c>
      <c r="L115" s="26">
        <f>(K115/K$398)*100</f>
        <v>26.706261757935966</v>
      </c>
      <c r="M115" s="214">
        <f>(Unitflowchart!$S$17*Cultivation!AC74)/Unitflowchart!$S$383</f>
        <v>0</v>
      </c>
      <c r="N115" s="727">
        <f>E115+(GlobalWarmingPotentials!$B$11*H115)+(GlobalWarmingPotentials!$C$11*K115)</f>
        <v>17.175704178624418</v>
      </c>
      <c r="O115" s="26">
        <f>(N115/N$398)*100</f>
        <v>1.9259907032937225</v>
      </c>
      <c r="P115" s="756">
        <f>SQRT((G115^2)+((GlobalWarmingPotentials!$B$11*J115)^2)+((GlobalWarmingPotentials!$C$11*M115)^2))</f>
        <v>0</v>
      </c>
    </row>
    <row r="116" spans="1:16" x14ac:dyDescent="0.25">
      <c r="A116" s="507" t="str">
        <f>Cultivation!A75</f>
        <v xml:space="preserve"> - Carbon Dioxide Emissions from Soil</v>
      </c>
      <c r="B116" s="727">
        <f>(Unitflowchart!$S$17*Cultivation!J75)/Unitflowchart!$S$383</f>
        <v>0</v>
      </c>
      <c r="C116" s="26">
        <f>(B116/B$398)*100</f>
        <v>0</v>
      </c>
      <c r="D116" s="148">
        <f>(Unitflowchart!$S$17*Cultivation!K75)/Unitflowchart!$S$383</f>
        <v>0</v>
      </c>
      <c r="E116" s="727">
        <f>(Unitflowchart!$S$17*Cultivation!P75)/Unitflowchart!$S$383</f>
        <v>0</v>
      </c>
      <c r="F116" s="26">
        <f>(E116/E$398)*100</f>
        <v>0</v>
      </c>
      <c r="G116" s="148">
        <f>(Unitflowchart!$S$17*Cultivation!Q75)/Unitflowchart!$S$383</f>
        <v>0</v>
      </c>
      <c r="H116" s="165">
        <f>(Unitflowchart!$S$17*Cultivation!V75)/Unitflowchart!$S$383</f>
        <v>0</v>
      </c>
      <c r="I116" s="26">
        <f>(H116/H$398)*100</f>
        <v>0</v>
      </c>
      <c r="J116" s="214">
        <f>(Unitflowchart!$S$17*Cultivation!W75)/Unitflowchart!$S$383</f>
        <v>0</v>
      </c>
      <c r="K116" s="165">
        <f>(Unitflowchart!$S$17*Cultivation!AB75)/Unitflowchart!$S$383</f>
        <v>0</v>
      </c>
      <c r="L116" s="26">
        <f>(K116/K$398)*100</f>
        <v>0</v>
      </c>
      <c r="M116" s="214">
        <f>(Unitflowchart!$S$17*Cultivation!AC75)/Unitflowchart!$S$383</f>
        <v>0</v>
      </c>
      <c r="N116" s="755"/>
      <c r="O116" s="26"/>
      <c r="P116" s="757"/>
    </row>
    <row r="117" spans="1:16" s="43" customFormat="1" x14ac:dyDescent="0.25">
      <c r="A117" s="507"/>
      <c r="B117" s="729"/>
      <c r="C117" s="992"/>
      <c r="D117" s="736"/>
      <c r="E117" s="729"/>
      <c r="F117" s="992"/>
      <c r="G117" s="736"/>
      <c r="H117" s="505"/>
      <c r="I117" s="992"/>
      <c r="J117" s="506"/>
      <c r="K117" s="505"/>
      <c r="L117" s="992"/>
      <c r="M117" s="506"/>
      <c r="N117" s="729"/>
      <c r="O117" s="992"/>
      <c r="P117" s="758"/>
    </row>
    <row r="118" spans="1:16" s="7" customFormat="1" x14ac:dyDescent="0.25">
      <c r="A118" s="218" t="s">
        <v>27</v>
      </c>
      <c r="B118" s="730">
        <f>(Unitflowchart!$S$17*Cultivation!J77)/Unitflowchart!$S$383</f>
        <v>2267.6113893076836</v>
      </c>
      <c r="C118" s="15">
        <f>(B118/B$398)*100</f>
        <v>17.518112537657011</v>
      </c>
      <c r="D118" s="740">
        <f>(Unitflowchart!$S$17*Cultivation!K77)/Unitflowchart!$S$383</f>
        <v>168.23950701664418</v>
      </c>
      <c r="E118" s="730">
        <f>(Unitflowchart!$S$17*Cultivation!P77)/Unitflowchart!$S$383</f>
        <v>128.59027267043217</v>
      </c>
      <c r="F118" s="15">
        <f>(E118/E$398)*100</f>
        <v>15.986226518565925</v>
      </c>
      <c r="G118" s="740">
        <f>(Unitflowchart!$S$17*Cultivation!Q77)/Unitflowchart!$S$383</f>
        <v>9.6502802677548889</v>
      </c>
      <c r="H118" s="215">
        <f>(Unitflowchart!$S$17*Cultivation!V77)/Unitflowchart!$S$383</f>
        <v>5.3699552136418166E-2</v>
      </c>
      <c r="I118" s="15">
        <f>(H118/H$398)*100</f>
        <v>5.3489391576470418</v>
      </c>
      <c r="J118" s="216">
        <f>(Unitflowchart!$S$17*Cultivation!W77)/Unitflowchart!$S$383</f>
        <v>4.6085854516426548E-3</v>
      </c>
      <c r="K118" s="215">
        <f>(Unitflowchart!$S$17*Cultivation!AB77)/Unitflowchart!$S$383</f>
        <v>6.4837683528156748E-2</v>
      </c>
      <c r="L118" s="15">
        <f>(K118/K$398)*100</f>
        <v>29.841300857399528</v>
      </c>
      <c r="M118" s="216">
        <f>(Unitflowchart!$S$17*Cultivation!AC77)/Unitflowchart!$S$383</f>
        <v>6.7962719175269259E-8</v>
      </c>
      <c r="N118" s="730">
        <f>E118+(GlobalWarmingPotentials!$B$11*H118)+(GlobalWarmingPotentials!$C$11*K118)</f>
        <v>149.01731669390421</v>
      </c>
      <c r="O118" s="15">
        <f>(N118/N$398)*100</f>
        <v>16.709997074787879</v>
      </c>
      <c r="P118" s="759">
        <f>SQRT((G118^2)+((GlobalWarmingPotentials!$B$11*J118)^2)+((GlobalWarmingPotentials!$C$11*M118)^2))</f>
        <v>9.65086238163682</v>
      </c>
    </row>
    <row r="119" spans="1:16" x14ac:dyDescent="0.25">
      <c r="A119" s="507"/>
      <c r="B119" s="729"/>
      <c r="C119" s="992"/>
      <c r="D119" s="736"/>
      <c r="E119" s="729"/>
      <c r="F119" s="992"/>
      <c r="G119" s="736"/>
      <c r="H119" s="505"/>
      <c r="I119" s="992"/>
      <c r="J119" s="506"/>
      <c r="K119" s="505"/>
      <c r="L119" s="992"/>
      <c r="M119" s="506"/>
      <c r="N119" s="729"/>
      <c r="O119" s="992"/>
      <c r="P119" s="758"/>
    </row>
    <row r="120" spans="1:16" s="2" customFormat="1" x14ac:dyDescent="0.25">
      <c r="A120" s="1329" t="s">
        <v>1145</v>
      </c>
      <c r="B120" s="1321"/>
      <c r="C120" s="1322"/>
      <c r="D120" s="1323"/>
      <c r="E120" s="1321"/>
      <c r="F120" s="1322"/>
      <c r="G120" s="1323"/>
      <c r="H120" s="1324"/>
      <c r="I120" s="1322"/>
      <c r="J120" s="1325"/>
      <c r="K120" s="1324"/>
      <c r="L120" s="1322"/>
      <c r="M120" s="1325"/>
      <c r="N120" s="1321"/>
      <c r="O120" s="1322"/>
      <c r="P120" s="1326"/>
    </row>
    <row r="121" spans="1:16" x14ac:dyDescent="0.25">
      <c r="A121" s="361"/>
      <c r="B121" s="729"/>
      <c r="C121" s="992"/>
      <c r="D121" s="736"/>
      <c r="E121" s="729"/>
      <c r="F121" s="992"/>
      <c r="G121" s="736"/>
      <c r="H121" s="505"/>
      <c r="I121" s="992"/>
      <c r="J121" s="506"/>
      <c r="K121" s="505"/>
      <c r="L121" s="992"/>
      <c r="M121" s="506"/>
      <c r="N121" s="729"/>
      <c r="O121" s="992"/>
      <c r="P121" s="758"/>
    </row>
    <row r="122" spans="1:16" x14ac:dyDescent="0.25">
      <c r="A122" s="361" t="str">
        <f>Harvesting!A17</f>
        <v>MAIN LAND USE</v>
      </c>
      <c r="B122" s="729"/>
      <c r="C122" s="992"/>
      <c r="D122" s="736"/>
      <c r="E122" s="729"/>
      <c r="F122" s="992"/>
      <c r="G122" s="736"/>
      <c r="H122" s="505"/>
      <c r="I122" s="992"/>
      <c r="J122" s="506"/>
      <c r="K122" s="505"/>
      <c r="L122" s="992"/>
      <c r="M122" s="506"/>
      <c r="N122" s="729"/>
      <c r="O122" s="992"/>
      <c r="P122" s="758"/>
    </row>
    <row r="123" spans="1:16" x14ac:dyDescent="0.25">
      <c r="A123" s="361" t="str">
        <f>Harvesting!A18</f>
        <v xml:space="preserve"> Diesel Fuel</v>
      </c>
      <c r="B123" s="729"/>
      <c r="C123" s="992"/>
      <c r="D123" s="736"/>
      <c r="E123" s="729"/>
      <c r="F123" s="992"/>
      <c r="G123" s="736"/>
      <c r="H123" s="505"/>
      <c r="I123" s="992"/>
      <c r="J123" s="506"/>
      <c r="K123" s="505"/>
      <c r="L123" s="992"/>
      <c r="M123" s="506"/>
      <c r="N123" s="729"/>
      <c r="O123" s="992"/>
      <c r="P123" s="758"/>
    </row>
    <row r="124" spans="1:16" x14ac:dyDescent="0.25">
      <c r="A124" s="361" t="str">
        <f>Harvesting!A19</f>
        <v>Mower conditioner</v>
      </c>
      <c r="B124" s="727">
        <f>(Unitflowchart!$S$17*Harvesting!J19)/Unitflowchart!$S$383</f>
        <v>117.14580485391284</v>
      </c>
      <c r="C124" s="26">
        <f>(B124/B$398)*100</f>
        <v>0.904993422780344</v>
      </c>
      <c r="D124" s="678">
        <f>(Unitflowchart!$S$17*Harvesting!K19)/Unitflowchart!$S$383</f>
        <v>0</v>
      </c>
      <c r="E124" s="727">
        <f>(Unitflowchart!$S$17*Harvesting!P19)/Unitflowchart!$S$383</f>
        <v>8.4065489037756649</v>
      </c>
      <c r="F124" s="26">
        <f>(E124/E$398)*100</f>
        <v>1.0450945644978091</v>
      </c>
      <c r="G124" s="148">
        <f>(Unitflowchart!$S$17*Harvesting!Q19)/Unitflowchart!$S$383</f>
        <v>0</v>
      </c>
      <c r="H124" s="727">
        <f>(Unitflowchart!$S$17*Harvesting!V19)/Unitflowchart!$S$383</f>
        <v>1.7468153566287097E-3</v>
      </c>
      <c r="I124" s="26">
        <f>(H124/H$398)*100</f>
        <v>0.17399789552274128</v>
      </c>
      <c r="J124" s="148">
        <f>(Unitflowchart!$S$17*Harvesting!W19)/Unitflowchart!$S$383</f>
        <v>0</v>
      </c>
      <c r="K124" s="727">
        <f>(Unitflowchart!$S$17*Harvesting!AB19)/Unitflowchart!$S$383</f>
        <v>2.2708599636173227E-3</v>
      </c>
      <c r="L124" s="26">
        <f>(K124/K$398)*100</f>
        <v>1.0451547879544418</v>
      </c>
      <c r="M124" s="678">
        <f>(Unitflowchart!$S$17*Harvesting!AC19)/Unitflowchart!$S$383</f>
        <v>0</v>
      </c>
      <c r="N124" s="727">
        <f>E124+(GlobalWarmingPotentials!$B$11*H124)+(GlobalWarmingPotentials!$C$11*K124)</f>
        <v>9.1189002062088527</v>
      </c>
      <c r="O124" s="26">
        <f>(N124/N$398)*100</f>
        <v>1.0225442193676657</v>
      </c>
      <c r="P124" s="756">
        <f>SQRT((G124^2)+((GlobalWarmingPotentials!$B$11*J124)^2)+((GlobalWarmingPotentials!$C$11*M124)^2))</f>
        <v>0</v>
      </c>
    </row>
    <row r="125" spans="1:16" x14ac:dyDescent="0.25">
      <c r="A125" s="361" t="str">
        <f>Harvesting!A20</f>
        <v>Baler</v>
      </c>
      <c r="B125" s="727">
        <f>(Unitflowchart!$S$17*Harvesting!J20)/Unitflowchart!$S$383</f>
        <v>150.61603481217364</v>
      </c>
      <c r="C125" s="26">
        <f t="shared" ref="C125:C126" si="26">(B125/B$398)*100</f>
        <v>1.1635629721461567</v>
      </c>
      <c r="D125" s="678">
        <f>(Unitflowchart!$S$17*Harvesting!K20)/Unitflowchart!$S$383</f>
        <v>0</v>
      </c>
      <c r="E125" s="727">
        <f>(Unitflowchart!$S$17*Harvesting!P20)/Unitflowchart!$S$383</f>
        <v>10.808420019140142</v>
      </c>
      <c r="F125" s="26">
        <f t="shared" ref="F125:F126" si="27">(E125/E$398)*100</f>
        <v>1.3436930114971835</v>
      </c>
      <c r="G125" s="148">
        <f>(Unitflowchart!$S$17*Harvesting!Q20)/Unitflowchart!$S$383</f>
        <v>0</v>
      </c>
      <c r="H125" s="727">
        <f>(Unitflowchart!$S$17*Harvesting!V20)/Unitflowchart!$S$383</f>
        <v>2.2459054585226268E-3</v>
      </c>
      <c r="I125" s="26">
        <f t="shared" ref="I125:I126" si="28">(H125/H$398)*100</f>
        <v>0.22371157995781024</v>
      </c>
      <c r="J125" s="148">
        <f>(Unitflowchart!$S$17*Harvesting!W20)/Unitflowchart!$S$383</f>
        <v>0</v>
      </c>
      <c r="K125" s="727">
        <f>(Unitflowchart!$S$17*Harvesting!AB20)/Unitflowchart!$S$383</f>
        <v>2.9196770960794147E-3</v>
      </c>
      <c r="L125" s="26">
        <f t="shared" ref="L125:L126" si="29">(K125/K$398)*100</f>
        <v>1.3437704416557108</v>
      </c>
      <c r="M125" s="678">
        <f>(Unitflowchart!$S$17*Harvesting!AC20)/Unitflowchart!$S$383</f>
        <v>0</v>
      </c>
      <c r="N125" s="727">
        <f>E125+(GlobalWarmingPotentials!$B$11*H125)+(GlobalWarmingPotentials!$C$11*K125)</f>
        <v>11.72430026512567</v>
      </c>
      <c r="O125" s="26">
        <f>(N125/N$398)*100</f>
        <v>1.3146997106155707</v>
      </c>
      <c r="P125" s="756">
        <f>SQRT((G125^2)+((GlobalWarmingPotentials!$B$11*J125)^2)+((GlobalWarmingPotentials!$C$11*M125)^2))</f>
        <v>0</v>
      </c>
    </row>
    <row r="126" spans="1:16" x14ac:dyDescent="0.25">
      <c r="A126" s="361" t="str">
        <f>Harvesting!A21</f>
        <v>Tractor and trailer</v>
      </c>
      <c r="B126" s="727">
        <f>(Unitflowchart!$S$17*Harvesting!J21)/Unitflowchart!$S$383</f>
        <v>101.46429006541904</v>
      </c>
      <c r="C126" s="26">
        <f t="shared" si="26"/>
        <v>0.78384808803688177</v>
      </c>
      <c r="D126" s="678">
        <f>(Unitflowchart!$S$17*Harvesting!K21)/Unitflowchart!$S$383</f>
        <v>0</v>
      </c>
      <c r="E126" s="727">
        <f>(Unitflowchart!$S$17*Harvesting!P21)/Unitflowchart!$S$383</f>
        <v>7.2812211882919522</v>
      </c>
      <c r="F126" s="26">
        <f t="shared" si="27"/>
        <v>0.90519483962943292</v>
      </c>
      <c r="G126" s="148">
        <f>(Unitflowchart!$S$17*Harvesting!Q21)/Unitflowchart!$S$383</f>
        <v>0</v>
      </c>
      <c r="H126" s="727">
        <f>(Unitflowchart!$S$17*Harvesting!V21)/Unitflowchart!$S$383</f>
        <v>1.5129810261385877E-3</v>
      </c>
      <c r="I126" s="26">
        <f t="shared" si="28"/>
        <v>0.15070597674503244</v>
      </c>
      <c r="J126" s="148">
        <f>(Unitflowchart!$S$17*Harvesting!W21)/Unitflowchart!$S$383</f>
        <v>0</v>
      </c>
      <c r="K126" s="727">
        <f>(Unitflowchart!$S$17*Harvesting!AB21)/Unitflowchart!$S$383</f>
        <v>1.9668753339801641E-3</v>
      </c>
      <c r="L126" s="26">
        <f t="shared" si="29"/>
        <v>0.90524700138016867</v>
      </c>
      <c r="M126" s="678">
        <f>(Unitflowchart!$S$17*Harvesting!AC21)/Unitflowchart!$S$383</f>
        <v>0</v>
      </c>
      <c r="N126" s="727">
        <f>E126+(GlobalWarmingPotentials!$B$11*H126)+(GlobalWarmingPotentials!$C$11*K126)</f>
        <v>7.8982148507512679</v>
      </c>
      <c r="O126" s="26">
        <f>(N126/N$398)*100</f>
        <v>0.88566315633771364</v>
      </c>
      <c r="P126" s="756">
        <f>SQRT((G126^2)+((GlobalWarmingPotentials!$B$11*J126)^2)+((GlobalWarmingPotentials!$C$11*M126)^2))</f>
        <v>0</v>
      </c>
    </row>
    <row r="127" spans="1:16" s="43" customFormat="1" x14ac:dyDescent="0.25">
      <c r="A127" s="212"/>
      <c r="B127" s="729"/>
      <c r="C127" s="992"/>
      <c r="D127" s="213"/>
      <c r="E127" s="729"/>
      <c r="F127" s="992"/>
      <c r="G127" s="736"/>
      <c r="H127" s="729"/>
      <c r="I127" s="992"/>
      <c r="J127" s="736"/>
      <c r="K127" s="729"/>
      <c r="L127" s="992"/>
      <c r="M127" s="213"/>
      <c r="N127" s="729"/>
      <c r="O127" s="992"/>
      <c r="P127" s="758"/>
    </row>
    <row r="128" spans="1:16" s="5" customFormat="1" x14ac:dyDescent="0.25">
      <c r="A128" s="125" t="str">
        <f>Harvesting!A23</f>
        <v>Sub-totals for diesel fuel</v>
      </c>
      <c r="B128" s="727">
        <f>(Unitflowchart!$S$17*Harvesting!J23)/Unitflowchart!$S$383</f>
        <v>369.22612973150552</v>
      </c>
      <c r="C128" s="26">
        <f>(B128/B$398)*100</f>
        <v>2.8524044829633826</v>
      </c>
      <c r="D128" s="678">
        <f>(Unitflowchart!$S$17*Harvesting!K23)/Unitflowchart!$S$383</f>
        <v>0</v>
      </c>
      <c r="E128" s="727">
        <f>(Unitflowchart!$S$17*Harvesting!P23)/Unitflowchart!$S$383</f>
        <v>26.49619011120776</v>
      </c>
      <c r="F128" s="26">
        <f>(E128/E$398)*100</f>
        <v>3.2939824156244253</v>
      </c>
      <c r="G128" s="148">
        <f>(Unitflowchart!$S$17*Harvesting!Q23)/Unitflowchart!$S$383</f>
        <v>0</v>
      </c>
      <c r="H128" s="727">
        <f>(Unitflowchart!$S$17*Harvesting!V23)/Unitflowchart!$S$383</f>
        <v>5.505701841289924E-3</v>
      </c>
      <c r="I128" s="26">
        <f>(H128/H$398)*100</f>
        <v>0.54841545222558397</v>
      </c>
      <c r="J128" s="148">
        <f>(Unitflowchart!$S$17*Harvesting!W23)/Unitflowchart!$S$383</f>
        <v>0</v>
      </c>
      <c r="K128" s="727">
        <f>(Unitflowchart!$S$17*Harvesting!AB23)/Unitflowchart!$S$383</f>
        <v>7.157412393676902E-3</v>
      </c>
      <c r="L128" s="26">
        <f>(K128/K$398)*100</f>
        <v>3.2941722309903212</v>
      </c>
      <c r="M128" s="678">
        <f>(Unitflowchart!$S$17*Harvesting!AC23)/Unitflowchart!$S$383</f>
        <v>0</v>
      </c>
      <c r="N128" s="727">
        <f>E128+(GlobalWarmingPotentials!$B$11*H128)+(GlobalWarmingPotentials!$C$11*K128)</f>
        <v>28.741415322085793</v>
      </c>
      <c r="O128" s="26">
        <f>(N128/N$398)*100</f>
        <v>3.2229070863209501</v>
      </c>
      <c r="P128" s="756">
        <f>SQRT((G128^2)+((GlobalWarmingPotentials!$B$11*J128)^2)+((GlobalWarmingPotentials!$C$11*M128)^2))</f>
        <v>0</v>
      </c>
    </row>
    <row r="129" spans="1:16" s="43" customFormat="1" x14ac:dyDescent="0.25">
      <c r="A129" s="212"/>
      <c r="B129" s="729"/>
      <c r="C129" s="992"/>
      <c r="D129" s="213"/>
      <c r="E129" s="729"/>
      <c r="F129" s="992"/>
      <c r="G129" s="736"/>
      <c r="H129" s="729"/>
      <c r="I129" s="992"/>
      <c r="J129" s="736"/>
      <c r="K129" s="729"/>
      <c r="L129" s="992"/>
      <c r="M129" s="213"/>
      <c r="N129" s="729"/>
      <c r="O129" s="992"/>
      <c r="P129" s="758"/>
    </row>
    <row r="130" spans="1:16" x14ac:dyDescent="0.25">
      <c r="A130" s="361" t="str">
        <f>Harvesting!A25</f>
        <v xml:space="preserve"> Machinery</v>
      </c>
      <c r="B130" s="727">
        <f>(Unitflowchart!$S$17*Harvesting!J25)/Unitflowchart!$S$383</f>
        <v>0</v>
      </c>
      <c r="C130" s="26">
        <f t="shared" ref="C130:C134" si="30">(B130/B$398)*100</f>
        <v>0</v>
      </c>
      <c r="D130" s="678">
        <f>(Unitflowchart!$S$17*Harvesting!K25)/Unitflowchart!$S$383</f>
        <v>0</v>
      </c>
      <c r="E130" s="727">
        <f>(Unitflowchart!$S$17*Harvesting!P25)/Unitflowchart!$S$383</f>
        <v>0</v>
      </c>
      <c r="F130" s="26">
        <f t="shared" ref="F130:F134" si="31">(E130/E$398)*100</f>
        <v>0</v>
      </c>
      <c r="G130" s="148">
        <f>(Unitflowchart!$S$17*Harvesting!Q25)/Unitflowchart!$S$383</f>
        <v>0</v>
      </c>
      <c r="H130" s="727">
        <f>(Unitflowchart!$S$17*Harvesting!V25)/Unitflowchart!$S$383</f>
        <v>0</v>
      </c>
      <c r="I130" s="26">
        <f t="shared" ref="I130:I134" si="32">(H130/H$398)*100</f>
        <v>0</v>
      </c>
      <c r="J130" s="148">
        <f>(Unitflowchart!$S$17*Harvesting!W25)/Unitflowchart!$S$383</f>
        <v>0</v>
      </c>
      <c r="K130" s="727">
        <f>(Unitflowchart!$S$17*Harvesting!AB25)/Unitflowchart!$S$383</f>
        <v>0</v>
      </c>
      <c r="L130" s="26">
        <f t="shared" ref="L130:L134" si="33">(K130/K$398)*100</f>
        <v>0</v>
      </c>
      <c r="M130" s="678">
        <f>(Unitflowchart!$S$17*Harvesting!AC25)/Unitflowchart!$S$383</f>
        <v>0</v>
      </c>
      <c r="N130" s="727">
        <f>E130+(GlobalWarmingPotentials!$B$11*H130)+(GlobalWarmingPotentials!$C$11*K130)</f>
        <v>0</v>
      </c>
      <c r="O130" s="26">
        <f>(N130/N$398)*100</f>
        <v>0</v>
      </c>
      <c r="P130" s="756">
        <f>SQRT((G130^2)+((GlobalWarmingPotentials!$B$11*J130)^2)+((GlobalWarmingPotentials!$C$11*M130)^2))</f>
        <v>0</v>
      </c>
    </row>
    <row r="131" spans="1:16" x14ac:dyDescent="0.25">
      <c r="A131" s="361" t="str">
        <f>Harvesting!A26</f>
        <v>Mower conditioner</v>
      </c>
      <c r="B131" s="727">
        <f>(Unitflowchart!$S$17*Harvesting!J26)/Unitflowchart!$S$383</f>
        <v>0</v>
      </c>
      <c r="C131" s="26">
        <f t="shared" si="30"/>
        <v>0</v>
      </c>
      <c r="D131" s="678">
        <f>(Unitflowchart!$S$17*Harvesting!K26)/Unitflowchart!$S$383</f>
        <v>0</v>
      </c>
      <c r="E131" s="727">
        <f>(Unitflowchart!$S$17*Harvesting!P26)/Unitflowchart!$S$383</f>
        <v>0</v>
      </c>
      <c r="F131" s="26">
        <f t="shared" si="31"/>
        <v>0</v>
      </c>
      <c r="G131" s="148">
        <f>(Unitflowchart!$S$17*Harvesting!Q26)/Unitflowchart!$S$383</f>
        <v>0</v>
      </c>
      <c r="H131" s="727">
        <f>(Unitflowchart!$S$17*Harvesting!V26)/Unitflowchart!$S$383</f>
        <v>0</v>
      </c>
      <c r="I131" s="26">
        <f t="shared" si="32"/>
        <v>0</v>
      </c>
      <c r="J131" s="148">
        <f>(Unitflowchart!$S$17*Harvesting!W26)/Unitflowchart!$S$383</f>
        <v>0</v>
      </c>
      <c r="K131" s="727">
        <f>(Unitflowchart!$S$17*Harvesting!AB26)/Unitflowchart!$S$383</f>
        <v>0</v>
      </c>
      <c r="L131" s="26">
        <f t="shared" si="33"/>
        <v>0</v>
      </c>
      <c r="M131" s="678">
        <f>(Unitflowchart!$S$17*Harvesting!AC26)/Unitflowchart!$S$383</f>
        <v>0</v>
      </c>
      <c r="N131" s="727">
        <f>E131+(GlobalWarmingPotentials!$B$11*H131)+(GlobalWarmingPotentials!$C$11*K131)</f>
        <v>0</v>
      </c>
      <c r="O131" s="26">
        <f>(N131/N$398)*100</f>
        <v>0</v>
      </c>
      <c r="P131" s="756">
        <f>SQRT((G131^2)+((GlobalWarmingPotentials!$B$11*J131)^2)+((GlobalWarmingPotentials!$C$11*M131)^2))</f>
        <v>0</v>
      </c>
    </row>
    <row r="132" spans="1:16" x14ac:dyDescent="0.25">
      <c r="A132" s="361" t="str">
        <f>Harvesting!A27</f>
        <v>Baler</v>
      </c>
      <c r="B132" s="727">
        <f>(Unitflowchart!$S$17*Harvesting!J27)/Unitflowchart!$S$383</f>
        <v>0</v>
      </c>
      <c r="C132" s="26">
        <f t="shared" si="30"/>
        <v>0</v>
      </c>
      <c r="D132" s="678">
        <f>(Unitflowchart!$S$17*Harvesting!K27)/Unitflowchart!$S$383</f>
        <v>0</v>
      </c>
      <c r="E132" s="727">
        <f>(Unitflowchart!$S$17*Harvesting!P27)/Unitflowchart!$S$383</f>
        <v>0</v>
      </c>
      <c r="F132" s="26">
        <f t="shared" si="31"/>
        <v>0</v>
      </c>
      <c r="G132" s="148">
        <f>(Unitflowchart!$S$17*Harvesting!Q27)/Unitflowchart!$S$383</f>
        <v>0</v>
      </c>
      <c r="H132" s="727">
        <f>(Unitflowchart!$S$17*Harvesting!V27)/Unitflowchart!$S$383</f>
        <v>0</v>
      </c>
      <c r="I132" s="26">
        <f t="shared" si="32"/>
        <v>0</v>
      </c>
      <c r="J132" s="148">
        <f>(Unitflowchart!$S$17*Harvesting!W27)/Unitflowchart!$S$383</f>
        <v>0</v>
      </c>
      <c r="K132" s="727">
        <f>(Unitflowchart!$S$17*Harvesting!AB27)/Unitflowchart!$S$383</f>
        <v>0</v>
      </c>
      <c r="L132" s="26">
        <f t="shared" si="33"/>
        <v>0</v>
      </c>
      <c r="M132" s="678">
        <f>(Unitflowchart!$S$17*Harvesting!AC27)/Unitflowchart!$S$383</f>
        <v>0</v>
      </c>
      <c r="N132" s="727">
        <f>E132+(GlobalWarmingPotentials!$B$11*H132)+(GlobalWarmingPotentials!$C$11*K132)</f>
        <v>0</v>
      </c>
      <c r="O132" s="26">
        <f>(N132/N$398)*100</f>
        <v>0</v>
      </c>
      <c r="P132" s="756">
        <f>SQRT((G132^2)+((GlobalWarmingPotentials!$B$11*J132)^2)+((GlobalWarmingPotentials!$C$11*M132)^2))</f>
        <v>0</v>
      </c>
    </row>
    <row r="133" spans="1:16" x14ac:dyDescent="0.25">
      <c r="A133" s="361" t="str">
        <f>Harvesting!A28</f>
        <v>Tractor</v>
      </c>
      <c r="B133" s="727">
        <f>(Unitflowchart!$S$17*Harvesting!J28)/Unitflowchart!$S$383</f>
        <v>0</v>
      </c>
      <c r="C133" s="26">
        <f t="shared" si="30"/>
        <v>0</v>
      </c>
      <c r="D133" s="678">
        <f>(Unitflowchart!$S$17*Harvesting!K28)/Unitflowchart!$S$383</f>
        <v>0</v>
      </c>
      <c r="E133" s="727">
        <f>(Unitflowchart!$S$17*Harvesting!P28)/Unitflowchart!$S$383</f>
        <v>0</v>
      </c>
      <c r="F133" s="26">
        <f t="shared" si="31"/>
        <v>0</v>
      </c>
      <c r="G133" s="148">
        <f>(Unitflowchart!$S$17*Harvesting!Q28)/Unitflowchart!$S$383</f>
        <v>0</v>
      </c>
      <c r="H133" s="727">
        <f>(Unitflowchart!$S$17*Harvesting!V28)/Unitflowchart!$S$383</f>
        <v>0</v>
      </c>
      <c r="I133" s="26">
        <f t="shared" si="32"/>
        <v>0</v>
      </c>
      <c r="J133" s="148">
        <f>(Unitflowchart!$S$17*Harvesting!W28)/Unitflowchart!$S$383</f>
        <v>0</v>
      </c>
      <c r="K133" s="727">
        <f>(Unitflowchart!$S$17*Harvesting!AB28)/Unitflowchart!$S$383</f>
        <v>0</v>
      </c>
      <c r="L133" s="26">
        <f t="shared" si="33"/>
        <v>0</v>
      </c>
      <c r="M133" s="678">
        <f>(Unitflowchart!$S$17*Harvesting!AC28)/Unitflowchart!$S$383</f>
        <v>0</v>
      </c>
      <c r="N133" s="727">
        <f>E133+(GlobalWarmingPotentials!$B$11*H133)+(GlobalWarmingPotentials!$C$11*K133)</f>
        <v>0</v>
      </c>
      <c r="O133" s="26">
        <f>(N133/N$398)*100</f>
        <v>0</v>
      </c>
      <c r="P133" s="756">
        <f>SQRT((G133^2)+((GlobalWarmingPotentials!$B$11*J133)^2)+((GlobalWarmingPotentials!$C$11*M133)^2))</f>
        <v>0</v>
      </c>
    </row>
    <row r="134" spans="1:16" x14ac:dyDescent="0.25">
      <c r="A134" s="361" t="str">
        <f>Harvesting!A29</f>
        <v>Trailer</v>
      </c>
      <c r="B134" s="727">
        <f>(Unitflowchart!$S$17*Harvesting!J29)/Unitflowchart!$S$383</f>
        <v>0</v>
      </c>
      <c r="C134" s="26">
        <f t="shared" si="30"/>
        <v>0</v>
      </c>
      <c r="D134" s="678">
        <f>(Unitflowchart!$S$17*Harvesting!K29)/Unitflowchart!$S$383</f>
        <v>0</v>
      </c>
      <c r="E134" s="727">
        <f>(Unitflowchart!$S$17*Harvesting!P29)/Unitflowchart!$S$383</f>
        <v>0</v>
      </c>
      <c r="F134" s="26">
        <f t="shared" si="31"/>
        <v>0</v>
      </c>
      <c r="G134" s="148">
        <f>(Unitflowchart!$S$17*Harvesting!Q29)/Unitflowchart!$S$383</f>
        <v>0</v>
      </c>
      <c r="H134" s="727">
        <f>(Unitflowchart!$S$17*Harvesting!V29)/Unitflowchart!$S$383</f>
        <v>0</v>
      </c>
      <c r="I134" s="26">
        <f t="shared" si="32"/>
        <v>0</v>
      </c>
      <c r="J134" s="148">
        <f>(Unitflowchart!$S$17*Harvesting!W29)/Unitflowchart!$S$383</f>
        <v>0</v>
      </c>
      <c r="K134" s="727">
        <f>(Unitflowchart!$S$17*Harvesting!AB29)/Unitflowchart!$S$383</f>
        <v>0</v>
      </c>
      <c r="L134" s="26">
        <f t="shared" si="33"/>
        <v>0</v>
      </c>
      <c r="M134" s="678">
        <f>(Unitflowchart!$S$17*Harvesting!AC29)/Unitflowchart!$S$383</f>
        <v>0</v>
      </c>
      <c r="N134" s="727">
        <f>E134+(GlobalWarmingPotentials!$B$11*H134)+(GlobalWarmingPotentials!$C$11*K134)</f>
        <v>0</v>
      </c>
      <c r="O134" s="26">
        <f>(N134/N$398)*100</f>
        <v>0</v>
      </c>
      <c r="P134" s="756">
        <f>SQRT((G134^2)+((GlobalWarmingPotentials!$B$11*J134)^2)+((GlobalWarmingPotentials!$C$11*M134)^2))</f>
        <v>0</v>
      </c>
    </row>
    <row r="135" spans="1:16" s="43" customFormat="1" x14ac:dyDescent="0.25">
      <c r="A135" s="212"/>
      <c r="B135" s="729"/>
      <c r="C135" s="992"/>
      <c r="D135" s="213"/>
      <c r="E135" s="729"/>
      <c r="F135" s="992"/>
      <c r="G135" s="736"/>
      <c r="H135" s="729"/>
      <c r="I135" s="992"/>
      <c r="J135" s="736"/>
      <c r="K135" s="729"/>
      <c r="L135" s="992"/>
      <c r="M135" s="213"/>
      <c r="N135" s="729"/>
      <c r="O135" s="992"/>
      <c r="P135" s="758"/>
    </row>
    <row r="136" spans="1:16" x14ac:dyDescent="0.25">
      <c r="A136" s="361" t="str">
        <f>Harvesting!A31</f>
        <v>Sub-totals for machinery</v>
      </c>
      <c r="B136" s="727">
        <f>(Unitflowchart!$S$17*Harvesting!J31)/Unitflowchart!$S$383</f>
        <v>0</v>
      </c>
      <c r="C136" s="26">
        <f>(B136/B$398)*100</f>
        <v>0</v>
      </c>
      <c r="D136" s="678">
        <f>(Unitflowchart!$S$17*Harvesting!K31)/Unitflowchart!$S$383</f>
        <v>0</v>
      </c>
      <c r="E136" s="727">
        <f>(Unitflowchart!$S$17*Harvesting!P31)/Unitflowchart!$S$383</f>
        <v>0</v>
      </c>
      <c r="F136" s="26">
        <f>(E136/E$398)*100</f>
        <v>0</v>
      </c>
      <c r="G136" s="148">
        <f>(Unitflowchart!$S$17*Harvesting!Q31)/Unitflowchart!$S$383</f>
        <v>0</v>
      </c>
      <c r="H136" s="727">
        <f>(Unitflowchart!$S$17*Harvesting!V31)/Unitflowchart!$S$383</f>
        <v>0</v>
      </c>
      <c r="I136" s="26">
        <f>(H136/H$398)*100</f>
        <v>0</v>
      </c>
      <c r="J136" s="148">
        <f>(Unitflowchart!$S$17*Harvesting!W31)/Unitflowchart!$S$383</f>
        <v>0</v>
      </c>
      <c r="K136" s="727">
        <f>(Unitflowchart!$S$17*Harvesting!AB31)/Unitflowchart!$S$383</f>
        <v>0</v>
      </c>
      <c r="L136" s="26">
        <f>(K136/K$398)*100</f>
        <v>0</v>
      </c>
      <c r="M136" s="678">
        <f>(Unitflowchart!$S$17*Harvesting!AC31)/Unitflowchart!$S$383</f>
        <v>0</v>
      </c>
      <c r="N136" s="727">
        <f>E136+(GlobalWarmingPotentials!$B$11*H136)+(GlobalWarmingPotentials!$C$11*K136)</f>
        <v>0</v>
      </c>
      <c r="O136" s="26">
        <f>(N136/N$398)*100</f>
        <v>0</v>
      </c>
      <c r="P136" s="756">
        <f>SQRT((G136^2)+((GlobalWarmingPotentials!$B$11*J136)^2)+((GlobalWarmingPotentials!$C$11*M136)^2))</f>
        <v>0</v>
      </c>
    </row>
    <row r="137" spans="1:16" s="43" customFormat="1" x14ac:dyDescent="0.25">
      <c r="A137" s="212"/>
      <c r="B137" s="729"/>
      <c r="C137" s="992"/>
      <c r="D137" s="213"/>
      <c r="E137" s="729"/>
      <c r="F137" s="992"/>
      <c r="G137" s="736"/>
      <c r="H137" s="729"/>
      <c r="I137" s="992"/>
      <c r="J137" s="736"/>
      <c r="K137" s="729"/>
      <c r="L137" s="992"/>
      <c r="M137" s="213"/>
      <c r="N137" s="729"/>
      <c r="O137" s="992"/>
      <c r="P137" s="758"/>
    </row>
    <row r="138" spans="1:16" x14ac:dyDescent="0.25">
      <c r="A138" s="361" t="str">
        <f>Harvesting!A33</f>
        <v xml:space="preserve"> Maintenance</v>
      </c>
      <c r="B138" s="727">
        <f>(Unitflowchart!$S$17*Harvesting!J33)/Unitflowchart!$S$383</f>
        <v>0</v>
      </c>
      <c r="C138" s="26">
        <f t="shared" ref="C138:C142" si="34">(B138/B$398)*100</f>
        <v>0</v>
      </c>
      <c r="D138" s="678">
        <f>(Unitflowchart!$S$17*Harvesting!K33)/Unitflowchart!$S$383</f>
        <v>0</v>
      </c>
      <c r="E138" s="727">
        <f>(Unitflowchart!$S$17*Harvesting!P33)/Unitflowchart!$S$383</f>
        <v>0</v>
      </c>
      <c r="F138" s="26">
        <f t="shared" ref="F138:F142" si="35">(E138/E$398)*100</f>
        <v>0</v>
      </c>
      <c r="G138" s="148">
        <f>(Unitflowchart!$S$17*Harvesting!Q33)/Unitflowchart!$S$383</f>
        <v>0</v>
      </c>
      <c r="H138" s="727">
        <f>(Unitflowchart!$S$17*Harvesting!V33)/Unitflowchart!$S$383</f>
        <v>0</v>
      </c>
      <c r="I138" s="26">
        <f t="shared" ref="I138:I142" si="36">(H138/H$398)*100</f>
        <v>0</v>
      </c>
      <c r="J138" s="148">
        <f>(Unitflowchart!$S$17*Harvesting!W33)/Unitflowchart!$S$383</f>
        <v>0</v>
      </c>
      <c r="K138" s="727">
        <f>(Unitflowchart!$S$17*Harvesting!AB33)/Unitflowchart!$S$383</f>
        <v>0</v>
      </c>
      <c r="L138" s="26">
        <f t="shared" ref="L138:L142" si="37">(K138/K$398)*100</f>
        <v>0</v>
      </c>
      <c r="M138" s="678">
        <f>(Unitflowchart!$S$17*Harvesting!AC33)/Unitflowchart!$S$383</f>
        <v>0</v>
      </c>
      <c r="N138" s="727">
        <f>E138+(GlobalWarmingPotentials!$B$11*H138)+(GlobalWarmingPotentials!$C$11*K138)</f>
        <v>0</v>
      </c>
      <c r="O138" s="26">
        <f>(N138/N$398)*100</f>
        <v>0</v>
      </c>
      <c r="P138" s="756">
        <f>SQRT((G138^2)+((GlobalWarmingPotentials!$B$11*J138)^2)+((GlobalWarmingPotentials!$C$11*M138)^2))</f>
        <v>0</v>
      </c>
    </row>
    <row r="139" spans="1:16" x14ac:dyDescent="0.25">
      <c r="A139" s="361" t="str">
        <f>Harvesting!A34</f>
        <v>Mower conditioner</v>
      </c>
      <c r="B139" s="727">
        <f>(Unitflowchart!$S$17*Harvesting!J34)/Unitflowchart!$S$383</f>
        <v>0</v>
      </c>
      <c r="C139" s="26">
        <f t="shared" si="34"/>
        <v>0</v>
      </c>
      <c r="D139" s="678">
        <f>(Unitflowchart!$S$17*Harvesting!K34)/Unitflowchart!$S$383</f>
        <v>0</v>
      </c>
      <c r="E139" s="727">
        <f>(Unitflowchart!$S$17*Harvesting!P34)/Unitflowchart!$S$383</f>
        <v>0</v>
      </c>
      <c r="F139" s="26">
        <f t="shared" si="35"/>
        <v>0</v>
      </c>
      <c r="G139" s="148">
        <f>(Unitflowchart!$S$17*Harvesting!Q34)/Unitflowchart!$S$383</f>
        <v>0</v>
      </c>
      <c r="H139" s="727">
        <f>(Unitflowchart!$S$17*Harvesting!V34)/Unitflowchart!$S$383</f>
        <v>0</v>
      </c>
      <c r="I139" s="26">
        <f t="shared" si="36"/>
        <v>0</v>
      </c>
      <c r="J139" s="148">
        <f>(Unitflowchart!$S$17*Harvesting!W34)/Unitflowchart!$S$383</f>
        <v>0</v>
      </c>
      <c r="K139" s="727">
        <f>(Unitflowchart!$S$17*Harvesting!AB34)/Unitflowchart!$S$383</f>
        <v>0</v>
      </c>
      <c r="L139" s="26">
        <f t="shared" si="37"/>
        <v>0</v>
      </c>
      <c r="M139" s="678">
        <f>(Unitflowchart!$S$17*Harvesting!AC34)/Unitflowchart!$S$383</f>
        <v>0</v>
      </c>
      <c r="N139" s="727">
        <f>E139+(GlobalWarmingPotentials!$B$11*H139)+(GlobalWarmingPotentials!$C$11*K139)</f>
        <v>0</v>
      </c>
      <c r="O139" s="26">
        <f>(N139/N$398)*100</f>
        <v>0</v>
      </c>
      <c r="P139" s="756">
        <f>SQRT((G139^2)+((GlobalWarmingPotentials!$B$11*J139)^2)+((GlobalWarmingPotentials!$C$11*M139)^2))</f>
        <v>0</v>
      </c>
    </row>
    <row r="140" spans="1:16" x14ac:dyDescent="0.25">
      <c r="A140" s="361" t="str">
        <f>Harvesting!A35</f>
        <v>Baler</v>
      </c>
      <c r="B140" s="727">
        <f>(Unitflowchart!$S$17*Harvesting!J35)/Unitflowchart!$S$383</f>
        <v>0</v>
      </c>
      <c r="C140" s="26">
        <f t="shared" si="34"/>
        <v>0</v>
      </c>
      <c r="D140" s="678">
        <f>(Unitflowchart!$S$17*Harvesting!K35)/Unitflowchart!$S$383</f>
        <v>0</v>
      </c>
      <c r="E140" s="727">
        <f>(Unitflowchart!$S$17*Harvesting!P35)/Unitflowchart!$S$383</f>
        <v>0</v>
      </c>
      <c r="F140" s="26">
        <f t="shared" si="35"/>
        <v>0</v>
      </c>
      <c r="G140" s="148">
        <f>(Unitflowchart!$S$17*Harvesting!Q35)/Unitflowchart!$S$383</f>
        <v>0</v>
      </c>
      <c r="H140" s="727">
        <f>(Unitflowchart!$S$17*Harvesting!V35)/Unitflowchart!$S$383</f>
        <v>0</v>
      </c>
      <c r="I140" s="26">
        <f t="shared" si="36"/>
        <v>0</v>
      </c>
      <c r="J140" s="148">
        <f>(Unitflowchart!$S$17*Harvesting!W35)/Unitflowchart!$S$383</f>
        <v>0</v>
      </c>
      <c r="K140" s="727">
        <f>(Unitflowchart!$S$17*Harvesting!AB35)/Unitflowchart!$S$383</f>
        <v>0</v>
      </c>
      <c r="L140" s="26">
        <f t="shared" si="37"/>
        <v>0</v>
      </c>
      <c r="M140" s="678">
        <f>(Unitflowchart!$S$17*Harvesting!AC35)/Unitflowchart!$S$383</f>
        <v>0</v>
      </c>
      <c r="N140" s="727">
        <f>E140+(GlobalWarmingPotentials!$B$11*H140)+(GlobalWarmingPotentials!$C$11*K140)</f>
        <v>0</v>
      </c>
      <c r="O140" s="26">
        <f>(N140/N$398)*100</f>
        <v>0</v>
      </c>
      <c r="P140" s="756">
        <f>SQRT((G140^2)+((GlobalWarmingPotentials!$B$11*J140)^2)+((GlobalWarmingPotentials!$C$11*M140)^2))</f>
        <v>0</v>
      </c>
    </row>
    <row r="141" spans="1:16" x14ac:dyDescent="0.25">
      <c r="A141" s="361" t="str">
        <f>Harvesting!A36</f>
        <v>Tractor</v>
      </c>
      <c r="B141" s="727">
        <f>(Unitflowchart!$S$17*Harvesting!J36)/Unitflowchart!$S$383</f>
        <v>0</v>
      </c>
      <c r="C141" s="26">
        <f t="shared" si="34"/>
        <v>0</v>
      </c>
      <c r="D141" s="678">
        <f>(Unitflowchart!$S$17*Harvesting!K36)/Unitflowchart!$S$383</f>
        <v>0</v>
      </c>
      <c r="E141" s="727">
        <f>(Unitflowchart!$S$17*Harvesting!P36)/Unitflowchart!$S$383</f>
        <v>0</v>
      </c>
      <c r="F141" s="26">
        <f t="shared" si="35"/>
        <v>0</v>
      </c>
      <c r="G141" s="148">
        <f>(Unitflowchart!$S$17*Harvesting!Q36)/Unitflowchart!$S$383</f>
        <v>0</v>
      </c>
      <c r="H141" s="727">
        <f>(Unitflowchart!$S$17*Harvesting!V36)/Unitflowchart!$S$383</f>
        <v>0</v>
      </c>
      <c r="I141" s="26">
        <f t="shared" si="36"/>
        <v>0</v>
      </c>
      <c r="J141" s="148">
        <f>(Unitflowchart!$S$17*Harvesting!W36)/Unitflowchart!$S$383</f>
        <v>0</v>
      </c>
      <c r="K141" s="727">
        <f>(Unitflowchart!$S$17*Harvesting!AB36)/Unitflowchart!$S$383</f>
        <v>0</v>
      </c>
      <c r="L141" s="26">
        <f t="shared" si="37"/>
        <v>0</v>
      </c>
      <c r="M141" s="678">
        <f>(Unitflowchart!$S$17*Harvesting!AC36)/Unitflowchart!$S$383</f>
        <v>0</v>
      </c>
      <c r="N141" s="727">
        <f>E141+(GlobalWarmingPotentials!$B$11*H141)+(GlobalWarmingPotentials!$C$11*K141)</f>
        <v>0</v>
      </c>
      <c r="O141" s="26">
        <f>(N141/N$398)*100</f>
        <v>0</v>
      </c>
      <c r="P141" s="756">
        <f>SQRT((G141^2)+((GlobalWarmingPotentials!$B$11*J141)^2)+((GlobalWarmingPotentials!$C$11*M141)^2))</f>
        <v>0</v>
      </c>
    </row>
    <row r="142" spans="1:16" x14ac:dyDescent="0.25">
      <c r="A142" s="361" t="str">
        <f>Harvesting!A37</f>
        <v>Trailer</v>
      </c>
      <c r="B142" s="727">
        <f>(Unitflowchart!$S$17*Harvesting!J37)/Unitflowchart!$S$383</f>
        <v>0</v>
      </c>
      <c r="C142" s="26">
        <f t="shared" si="34"/>
        <v>0</v>
      </c>
      <c r="D142" s="678">
        <f>(Unitflowchart!$S$17*Harvesting!K37)/Unitflowchart!$S$383</f>
        <v>0</v>
      </c>
      <c r="E142" s="727">
        <f>(Unitflowchart!$S$17*Harvesting!P37)/Unitflowchart!$S$383</f>
        <v>0</v>
      </c>
      <c r="F142" s="26">
        <f t="shared" si="35"/>
        <v>0</v>
      </c>
      <c r="G142" s="148">
        <f>(Unitflowchart!$S$17*Harvesting!Q37)/Unitflowchart!$S$383</f>
        <v>0</v>
      </c>
      <c r="H142" s="727">
        <f>(Unitflowchart!$S$17*Harvesting!V37)/Unitflowchart!$S$383</f>
        <v>0</v>
      </c>
      <c r="I142" s="26">
        <f t="shared" si="36"/>
        <v>0</v>
      </c>
      <c r="J142" s="148">
        <f>(Unitflowchart!$S$17*Harvesting!W37)/Unitflowchart!$S$383</f>
        <v>0</v>
      </c>
      <c r="K142" s="727">
        <f>(Unitflowchart!$S$17*Harvesting!AB37)/Unitflowchart!$S$383</f>
        <v>0</v>
      </c>
      <c r="L142" s="26">
        <f t="shared" si="37"/>
        <v>0</v>
      </c>
      <c r="M142" s="678">
        <f>(Unitflowchart!$S$17*Harvesting!AC37)/Unitflowchart!$S$383</f>
        <v>0</v>
      </c>
      <c r="N142" s="727">
        <f>E142+(GlobalWarmingPotentials!$B$11*H142)+(GlobalWarmingPotentials!$C$11*K142)</f>
        <v>0</v>
      </c>
      <c r="O142" s="26">
        <f>(N142/N$398)*100</f>
        <v>0</v>
      </c>
      <c r="P142" s="756">
        <f>SQRT((G142^2)+((GlobalWarmingPotentials!$B$11*J142)^2)+((GlobalWarmingPotentials!$C$11*M142)^2))</f>
        <v>0</v>
      </c>
    </row>
    <row r="143" spans="1:16" s="43" customFormat="1" x14ac:dyDescent="0.25">
      <c r="A143" s="212"/>
      <c r="B143" s="729"/>
      <c r="C143" s="992"/>
      <c r="D143" s="213"/>
      <c r="E143" s="729"/>
      <c r="F143" s="992"/>
      <c r="G143" s="736"/>
      <c r="H143" s="729"/>
      <c r="I143" s="992"/>
      <c r="J143" s="736"/>
      <c r="K143" s="729"/>
      <c r="L143" s="992"/>
      <c r="M143" s="213"/>
      <c r="N143" s="729"/>
      <c r="O143" s="992"/>
      <c r="P143" s="758"/>
    </row>
    <row r="144" spans="1:16" x14ac:dyDescent="0.25">
      <c r="A144" s="361" t="str">
        <f>Harvesting!A39</f>
        <v>Sub-totals for maintenance</v>
      </c>
      <c r="B144" s="727">
        <f>(Unitflowchart!$S$17*Harvesting!J39)/Unitflowchart!$S$383</f>
        <v>0</v>
      </c>
      <c r="C144" s="26">
        <f>(B144/B$398)*100</f>
        <v>0</v>
      </c>
      <c r="D144" s="678">
        <f>(Unitflowchart!$S$17*Harvesting!K39)/Unitflowchart!$S$383</f>
        <v>0</v>
      </c>
      <c r="E144" s="727">
        <f>(Unitflowchart!$S$17*Harvesting!P39)/Unitflowchart!$S$383</f>
        <v>0</v>
      </c>
      <c r="F144" s="26">
        <f>(E144/E$398)*100</f>
        <v>0</v>
      </c>
      <c r="G144" s="148">
        <f>(Unitflowchart!$S$17*Harvesting!Q39)/Unitflowchart!$S$383</f>
        <v>0</v>
      </c>
      <c r="H144" s="727">
        <f>(Unitflowchart!$S$17*Harvesting!V39)/Unitflowchart!$S$383</f>
        <v>0</v>
      </c>
      <c r="I144" s="26">
        <f>(H144/H$398)*100</f>
        <v>0</v>
      </c>
      <c r="J144" s="148">
        <f>(Unitflowchart!$S$17*Harvesting!W39)/Unitflowchart!$S$383</f>
        <v>0</v>
      </c>
      <c r="K144" s="727">
        <f>(Unitflowchart!$S$17*Harvesting!AB39)/Unitflowchart!$S$383</f>
        <v>0</v>
      </c>
      <c r="L144" s="26">
        <f>(K144/K$398)*100</f>
        <v>0</v>
      </c>
      <c r="M144" s="678">
        <f>(Unitflowchart!$S$17*Harvesting!AC39)/Unitflowchart!$S$383</f>
        <v>0</v>
      </c>
      <c r="N144" s="727">
        <f>E144+(GlobalWarmingPotentials!$B$11*H144)+(GlobalWarmingPotentials!$C$11*K144)</f>
        <v>0</v>
      </c>
      <c r="O144" s="26">
        <f>(N144/N$398)*100</f>
        <v>0</v>
      </c>
      <c r="P144" s="756">
        <f>SQRT((G144^2)+((GlobalWarmingPotentials!$B$11*J144)^2)+((GlobalWarmingPotentials!$C$11*M144)^2))</f>
        <v>0</v>
      </c>
    </row>
    <row r="145" spans="1:16" s="43" customFormat="1" x14ac:dyDescent="0.25">
      <c r="A145" s="212"/>
      <c r="B145" s="729"/>
      <c r="C145" s="992"/>
      <c r="D145" s="213"/>
      <c r="E145" s="729"/>
      <c r="F145" s="992"/>
      <c r="G145" s="736"/>
      <c r="H145" s="729"/>
      <c r="I145" s="992"/>
      <c r="J145" s="736"/>
      <c r="K145" s="729"/>
      <c r="L145" s="992"/>
      <c r="M145" s="213"/>
      <c r="N145" s="729"/>
      <c r="O145" s="992"/>
      <c r="P145" s="758"/>
    </row>
    <row r="146" spans="1:16" x14ac:dyDescent="0.25">
      <c r="A146" s="218" t="s">
        <v>1351</v>
      </c>
      <c r="B146" s="730">
        <f>(Unitflowchart!$S$17*Harvesting!J41)/Unitflowchart!$S$383</f>
        <v>369.22612973150552</v>
      </c>
      <c r="C146" s="15">
        <f>(B146/B$398)*100</f>
        <v>2.8524044829633826</v>
      </c>
      <c r="D146" s="737">
        <f>(Unitflowchart!$S$17*Harvesting!K41)/Unitflowchart!$S$383</f>
        <v>0</v>
      </c>
      <c r="E146" s="730">
        <f>(Unitflowchart!$S$17*Harvesting!P41)/Unitflowchart!$S$383</f>
        <v>26.49619011120776</v>
      </c>
      <c r="F146" s="15">
        <f>(E146/E$398)*100</f>
        <v>3.2939824156244253</v>
      </c>
      <c r="G146" s="740">
        <f>(Unitflowchart!$S$17*Harvesting!Q41)/Unitflowchart!$S$383</f>
        <v>0</v>
      </c>
      <c r="H146" s="730">
        <f>(Unitflowchart!$S$17*Harvesting!V41)/Unitflowchart!$S$383</f>
        <v>5.505701841289924E-3</v>
      </c>
      <c r="I146" s="15">
        <f>(H146/H$398)*100</f>
        <v>0.54841545222558397</v>
      </c>
      <c r="J146" s="740">
        <f>(Unitflowchart!$S$17*Harvesting!W41)/Unitflowchart!$S$383</f>
        <v>0</v>
      </c>
      <c r="K146" s="730">
        <f>(Unitflowchart!$S$17*Harvesting!AB41)/Unitflowchart!$S$383</f>
        <v>7.157412393676902E-3</v>
      </c>
      <c r="L146" s="15">
        <f>(K146/K$398)*100</f>
        <v>3.2941722309903212</v>
      </c>
      <c r="M146" s="737">
        <f>(Unitflowchart!$S$17*Harvesting!AC41)/Unitflowchart!$S$383</f>
        <v>0</v>
      </c>
      <c r="N146" s="730">
        <f>E146+(GlobalWarmingPotentials!$B$11*H146)+(GlobalWarmingPotentials!$C$11*K146)</f>
        <v>28.741415322085793</v>
      </c>
      <c r="O146" s="15">
        <f>(N146/N$398)*100</f>
        <v>3.2229070863209501</v>
      </c>
      <c r="P146" s="759">
        <f>SQRT((G146^2)+((GlobalWarmingPotentials!$B$11*J146)^2)+((GlobalWarmingPotentials!$C$11*M146)^2))</f>
        <v>0</v>
      </c>
    </row>
    <row r="147" spans="1:16" s="3" customFormat="1" x14ac:dyDescent="0.25">
      <c r="A147" s="361"/>
      <c r="B147" s="731"/>
      <c r="C147" s="27"/>
      <c r="D147" s="738"/>
      <c r="E147" s="731"/>
      <c r="F147" s="27"/>
      <c r="G147" s="746"/>
      <c r="H147" s="748"/>
      <c r="I147" s="27"/>
      <c r="J147" s="45"/>
      <c r="K147" s="753"/>
      <c r="L147" s="27"/>
      <c r="M147" s="45"/>
      <c r="N147" s="738"/>
      <c r="O147" s="27"/>
      <c r="P147" s="746"/>
    </row>
    <row r="148" spans="1:16" x14ac:dyDescent="0.25">
      <c r="A148" s="154" t="s">
        <v>34</v>
      </c>
      <c r="B148" s="728"/>
      <c r="C148" s="26"/>
      <c r="D148" s="735"/>
      <c r="E148" s="728"/>
      <c r="F148" s="26"/>
      <c r="G148" s="739"/>
      <c r="H148" s="194"/>
      <c r="I148" s="26"/>
      <c r="J148" s="32"/>
      <c r="K148" s="194"/>
      <c r="L148" s="26"/>
      <c r="M148" s="32"/>
      <c r="N148" s="755"/>
      <c r="O148" s="26"/>
      <c r="P148" s="757"/>
    </row>
    <row r="149" spans="1:16" x14ac:dyDescent="0.25">
      <c r="B149" s="728"/>
      <c r="D149" s="739"/>
      <c r="E149" s="735"/>
      <c r="G149" s="739"/>
      <c r="H149" s="724"/>
      <c r="J149" s="32"/>
      <c r="K149" s="724"/>
      <c r="M149" s="724"/>
      <c r="N149" s="728"/>
      <c r="P149" s="739"/>
    </row>
    <row r="150" spans="1:16" x14ac:dyDescent="0.25">
      <c r="A150" s="14" t="str">
        <f>RoadTransportStage1!A28</f>
        <v xml:space="preserve"> - Diesel Fuel</v>
      </c>
      <c r="B150" s="732">
        <f>Unitflowchart!$S$41/Unitflowchart!$S$383*(RoadTransportStage1!J28)*Unitflowchart!$S$52</f>
        <v>275.59665533211654</v>
      </c>
      <c r="C150" s="26">
        <f>(B150/B$398)*100</f>
        <v>2.1290831603134115</v>
      </c>
      <c r="D150" s="491">
        <f>Unitflowchart!$S$41/Unitflowchart!$S$383*(RoadTransportStage1!K28)*Unitflowchart!$S$52</f>
        <v>12.953042800609477</v>
      </c>
      <c r="E150" s="732">
        <f>Unitflowchart!$S$41/Unitflowchart!$S$383*(RoadTransportStage1!P28)*Unitflowchart!$S$52</f>
        <v>19.777206393823835</v>
      </c>
      <c r="F150" s="26">
        <f>(E150/E$398)*100</f>
        <v>2.4586844304032347</v>
      </c>
      <c r="G150" s="491">
        <f>Unitflowchart!$S$41/Unitflowchart!$S$383*(RoadTransportStage1!Q28)*Unitflowchart!$S$52</f>
        <v>0.92952870050972014</v>
      </c>
      <c r="H150" s="749">
        <f>Unitflowchart!$S$41/Unitflowchart!$S$383*(RoadTransportStage1!V28)*Unitflowchart!$S$52</f>
        <v>4.1095493805348229E-3</v>
      </c>
      <c r="I150" s="26">
        <f>(H150/H$398)*100</f>
        <v>0.4093466095580191</v>
      </c>
      <c r="J150" s="752">
        <f>Unitflowchart!$S$41/Unitflowchart!$S$383*(RoadTransportStage1!W28)*Unitflowchart!$S$52</f>
        <v>1.9314882088513667E-4</v>
      </c>
      <c r="K150" s="749">
        <f>Unitflowchart!$S$41/Unitflowchart!$S$383*(RoadTransportStage1!AB28)*Unitflowchart!$S$52</f>
        <v>5.3424141946952705E-3</v>
      </c>
      <c r="L150" s="26">
        <f>(K150/K$398)*100</f>
        <v>2.4588261118167622</v>
      </c>
      <c r="M150" s="751">
        <f>Unitflowchart!$S$41/Unitflowchart!$S$383*(RoadTransportStage1!AC28)*Unitflowchart!$S$52</f>
        <v>2.5109346715067771E-4</v>
      </c>
      <c r="N150" s="727">
        <f>E150+(GlobalWarmingPotentials!$B$11*H150)+(GlobalWarmingPotentials!$C$11*K150)</f>
        <v>21.453080631205939</v>
      </c>
      <c r="O150" s="26">
        <f>(N150/N$398)*100</f>
        <v>2.405632597243673</v>
      </c>
      <c r="P150" s="756">
        <f>SQRT((G150^2)+((GlobalWarmingPotentials!$B$11*J150)^2)+((GlobalWarmingPotentials!$C$11*M150)^2))</f>
        <v>0.93250595041593831</v>
      </c>
    </row>
    <row r="151" spans="1:16" x14ac:dyDescent="0.25">
      <c r="A151" s="14" t="str">
        <f>RoadTransportStage1!A29</f>
        <v xml:space="preserve"> - Vehicle </v>
      </c>
      <c r="B151" s="732">
        <f>Unitflowchart!$S$41/Unitflowchart!$S$383*(RoadTransportStage1!J29)*Unitflowchart!$S$52</f>
        <v>0</v>
      </c>
      <c r="C151" s="26">
        <f>(B151/B$398)*100</f>
        <v>0</v>
      </c>
      <c r="D151" s="491">
        <f>Unitflowchart!$S$41/Unitflowchart!$S$383*(RoadTransportStage1!K29)*Unitflowchart!$S$52</f>
        <v>0</v>
      </c>
      <c r="E151" s="732">
        <f>Unitflowchart!$S$41/Unitflowchart!$S$383*(RoadTransportStage1!P29)*Unitflowchart!$S$52</f>
        <v>0</v>
      </c>
      <c r="F151" s="26">
        <f>(E151/E$398)*100</f>
        <v>0</v>
      </c>
      <c r="G151" s="491">
        <f>Unitflowchart!$S$41/Unitflowchart!$S$383*(RoadTransportStage1!Q29)*Unitflowchart!$S$52</f>
        <v>0</v>
      </c>
      <c r="H151" s="749">
        <f>Unitflowchart!$S$41/Unitflowchart!$S$383*(RoadTransportStage1!V29)*Unitflowchart!$S$52</f>
        <v>0</v>
      </c>
      <c r="I151" s="26">
        <f>(H151/H$398)*100</f>
        <v>0</v>
      </c>
      <c r="J151" s="752">
        <f>Unitflowchart!$S$41/Unitflowchart!$S$383*(RoadTransportStage1!W29)*Unitflowchart!$S$52</f>
        <v>0</v>
      </c>
      <c r="K151" s="749">
        <f>Unitflowchart!$S$41/Unitflowchart!$S$383*(RoadTransportStage1!AB29)*Unitflowchart!$S$52</f>
        <v>0</v>
      </c>
      <c r="L151" s="26">
        <f>(K151/K$398)*100</f>
        <v>0</v>
      </c>
      <c r="M151" s="751">
        <f>Unitflowchart!$S$41/Unitflowchart!$S$383*(RoadTransportStage1!AC29)*Unitflowchart!$S$52</f>
        <v>0</v>
      </c>
      <c r="N151" s="727">
        <f>E151+(GlobalWarmingPotentials!$B$11*H151)+(GlobalWarmingPotentials!$C$11*K151)</f>
        <v>0</v>
      </c>
      <c r="O151" s="26">
        <f>(N151/N$398)*100</f>
        <v>0</v>
      </c>
      <c r="P151" s="756">
        <f>SQRT((G151^2)+((GlobalWarmingPotentials!$B$11*J151)^2)+((GlobalWarmingPotentials!$C$11*M151)^2))</f>
        <v>0</v>
      </c>
    </row>
    <row r="152" spans="1:16" x14ac:dyDescent="0.25">
      <c r="A152" s="14" t="str">
        <f>RoadTransportStage1!A30</f>
        <v xml:space="preserve"> - Maintenance</v>
      </c>
      <c r="B152" s="732">
        <f>Unitflowchart!$S$41/Unitflowchart!$S$383*(RoadTransportStage1!J30)*Unitflowchart!$S$52</f>
        <v>0</v>
      </c>
      <c r="C152" s="26">
        <f>(B152/B$398)*100</f>
        <v>0</v>
      </c>
      <c r="D152" s="491">
        <f>Unitflowchart!$S$41/Unitflowchart!$S$383*(RoadTransportStage1!K30)*Unitflowchart!$S$52</f>
        <v>0</v>
      </c>
      <c r="E152" s="732">
        <f>Unitflowchart!$S$41/Unitflowchart!$S$383*(RoadTransportStage1!P30)*Unitflowchart!$S$52</f>
        <v>0</v>
      </c>
      <c r="F152" s="26">
        <f>(E152/E$398)*100</f>
        <v>0</v>
      </c>
      <c r="G152" s="491">
        <f>Unitflowchart!$S$41/Unitflowchart!$S$383*(RoadTransportStage1!Q30)*Unitflowchart!$S$52</f>
        <v>0</v>
      </c>
      <c r="H152" s="749">
        <f>Unitflowchart!$S$41/Unitflowchart!$S$383*(RoadTransportStage1!V30)*Unitflowchart!$S$52</f>
        <v>0</v>
      </c>
      <c r="I152" s="26">
        <f>(H152/H$398)*100</f>
        <v>0</v>
      </c>
      <c r="J152" s="752">
        <f>Unitflowchart!$S$41/Unitflowchart!$S$383*(RoadTransportStage1!W30)*Unitflowchart!$S$52</f>
        <v>0</v>
      </c>
      <c r="K152" s="749">
        <f>Unitflowchart!$S$41/Unitflowchart!$S$383*(RoadTransportStage1!AB30)*Unitflowchart!$S$52</f>
        <v>0</v>
      </c>
      <c r="L152" s="26">
        <f>(K152/K$398)*100</f>
        <v>0</v>
      </c>
      <c r="M152" s="751">
        <f>Unitflowchart!$S$41/Unitflowchart!$S$383*(RoadTransportStage1!AC30)*Unitflowchart!$S$52</f>
        <v>0</v>
      </c>
      <c r="N152" s="727">
        <f>E152+(GlobalWarmingPotentials!$B$11*H152)+(GlobalWarmingPotentials!$C$11*K152)</f>
        <v>0</v>
      </c>
      <c r="O152" s="26">
        <f>(N152/N$398)*100</f>
        <v>0</v>
      </c>
      <c r="P152" s="756">
        <f>SQRT((G152^2)+((GlobalWarmingPotentials!$B$11*J152)^2)+((GlobalWarmingPotentials!$C$11*M152)^2))</f>
        <v>0</v>
      </c>
    </row>
    <row r="153" spans="1:16" s="43" customFormat="1" x14ac:dyDescent="0.25">
      <c r="A153" s="155"/>
      <c r="B153" s="766"/>
      <c r="C153" s="992"/>
      <c r="D153" s="779"/>
      <c r="E153" s="766"/>
      <c r="F153" s="992"/>
      <c r="G153" s="779"/>
      <c r="H153" s="783"/>
      <c r="I153" s="992"/>
      <c r="J153" s="828"/>
      <c r="K153" s="783"/>
      <c r="L153" s="992"/>
      <c r="M153" s="784"/>
      <c r="N153" s="1006"/>
      <c r="O153" s="992"/>
      <c r="P153" s="1011"/>
    </row>
    <row r="154" spans="1:16" x14ac:dyDescent="0.25">
      <c r="A154" s="218" t="s">
        <v>866</v>
      </c>
      <c r="B154" s="730">
        <f>Unitflowchart!$S$41/Unitflowchart!$S$383*(RoadTransportStage1!J32)*Unitflowchart!$S$52</f>
        <v>275.59665533211654</v>
      </c>
      <c r="C154" s="15">
        <f>(B154/B$398)*100</f>
        <v>2.1290831603134115</v>
      </c>
      <c r="D154" s="740">
        <f>Unitflowchart!$S$41/Unitflowchart!$S$383*(RoadTransportStage1!K32)*Unitflowchart!$S$52</f>
        <v>12.953042800609477</v>
      </c>
      <c r="E154" s="730">
        <f>Unitflowchart!$S$41/Unitflowchart!$S$383*(RoadTransportStage1!P32)*Unitflowchart!$S$52</f>
        <v>19.777206393823835</v>
      </c>
      <c r="F154" s="15">
        <f>(E154/E$398)*100</f>
        <v>2.4586844304032347</v>
      </c>
      <c r="G154" s="740">
        <f>Unitflowchart!$S$41/Unitflowchart!$S$383*(RoadTransportStage1!Q32)*Unitflowchart!$S$52</f>
        <v>0.92952870050972014</v>
      </c>
      <c r="H154" s="215">
        <f>Unitflowchart!$S$41/Unitflowchart!$S$383*(RoadTransportStage1!V32)*Unitflowchart!$S$52</f>
        <v>4.1095493805348229E-3</v>
      </c>
      <c r="I154" s="15">
        <f>(H154/H$398)*100</f>
        <v>0.4093466095580191</v>
      </c>
      <c r="J154" s="747">
        <f>Unitflowchart!$S$41/Unitflowchart!$S$383*(RoadTransportStage1!W32)*Unitflowchart!$S$52</f>
        <v>1.9314882088513667E-4</v>
      </c>
      <c r="K154" s="215">
        <f>Unitflowchart!$S$41/Unitflowchart!$S$383*(RoadTransportStage1!AB32)*Unitflowchart!$S$52</f>
        <v>5.3424141946952705E-3</v>
      </c>
      <c r="L154" s="15">
        <f>(K154/K$398)*100</f>
        <v>2.4588261118167622</v>
      </c>
      <c r="M154" s="216">
        <f>Unitflowchart!$S$41/Unitflowchart!$S$383*(RoadTransportStage1!AC32)*Unitflowchart!$S$52</f>
        <v>2.5109346715067771E-4</v>
      </c>
      <c r="N154" s="730">
        <f>E154+(GlobalWarmingPotentials!$B$11*H154)+(GlobalWarmingPotentials!$C$11*K154)</f>
        <v>21.453080631205939</v>
      </c>
      <c r="O154" s="15">
        <f>(N154/N$398)*100</f>
        <v>2.405632597243673</v>
      </c>
      <c r="P154" s="759">
        <f>SQRT((G154^2)+((GlobalWarmingPotentials!$B$11*J154)^2)+((GlobalWarmingPotentials!$C$11*M154)^2))</f>
        <v>0.93250595041593831</v>
      </c>
    </row>
    <row r="155" spans="1:16" x14ac:dyDescent="0.25">
      <c r="B155" s="728"/>
      <c r="D155" s="739"/>
      <c r="E155" s="735"/>
      <c r="G155" s="735"/>
      <c r="H155" s="31"/>
      <c r="J155" s="724"/>
      <c r="K155" s="31"/>
      <c r="M155" s="724"/>
      <c r="N155" s="733"/>
      <c r="O155" s="354"/>
      <c r="P155" s="741"/>
    </row>
    <row r="156" spans="1:16" x14ac:dyDescent="0.25">
      <c r="A156" s="387" t="s">
        <v>862</v>
      </c>
      <c r="B156" s="728"/>
      <c r="D156" s="739"/>
      <c r="E156" s="735"/>
      <c r="G156" s="735"/>
      <c r="H156" s="31"/>
      <c r="J156" s="724"/>
      <c r="K156" s="31"/>
      <c r="M156" s="724"/>
      <c r="N156" s="728"/>
      <c r="P156" s="739"/>
    </row>
    <row r="157" spans="1:16" x14ac:dyDescent="0.25">
      <c r="B157" s="728"/>
      <c r="D157" s="739"/>
      <c r="E157" s="735"/>
      <c r="G157" s="735"/>
      <c r="H157" s="31"/>
      <c r="J157" s="724"/>
      <c r="K157" s="31"/>
      <c r="M157" s="724"/>
      <c r="N157" s="728"/>
      <c r="P157" s="739"/>
    </row>
    <row r="158" spans="1:16" x14ac:dyDescent="0.25">
      <c r="A158" s="14" t="str">
        <f>RailTransport!A11</f>
        <v xml:space="preserve"> - Gas Oil</v>
      </c>
      <c r="B158" s="726">
        <f>Unitflowchart!$S$41/Unitflowchart!$S$383*(RailTransport!J11)*Unitflowchart!$S$54</f>
        <v>0</v>
      </c>
      <c r="C158" s="25">
        <f>(B158/B$398)*100</f>
        <v>0</v>
      </c>
      <c r="D158" s="742">
        <f>Unitflowchart!$S$41/Unitflowchart!$S$383*(RailTransport!K11)*Unitflowchart!$S$54</f>
        <v>0</v>
      </c>
      <c r="E158" s="744">
        <f>Unitflowchart!$S$41/Unitflowchart!$S$383*(RailTransport!P11)*Unitflowchart!$S$54</f>
        <v>0</v>
      </c>
      <c r="F158" s="25">
        <f>(E158/E$398)*100</f>
        <v>0</v>
      </c>
      <c r="G158" s="744">
        <f>Unitflowchart!$S$41/Unitflowchart!$S$383*(RailTransport!Q11)*Unitflowchart!$S$54</f>
        <v>0</v>
      </c>
      <c r="H158" s="723">
        <f>Unitflowchart!$S$41/Unitflowchart!$S$383*(RailTransport!V11)*Unitflowchart!$S$54</f>
        <v>0</v>
      </c>
      <c r="I158" s="25">
        <f>(H158/H$398)*100</f>
        <v>0</v>
      </c>
      <c r="J158" s="725">
        <f>Unitflowchart!$S$41/Unitflowchart!$S$383*(RailTransport!W11)*Unitflowchart!$S$54</f>
        <v>0</v>
      </c>
      <c r="K158" s="723">
        <f>Unitflowchart!$S$41/Unitflowchart!$S$383*(RailTransport!AB11)*Unitflowchart!$S$54</f>
        <v>0</v>
      </c>
      <c r="L158" s="25">
        <f>(K158/K$398)*100</f>
        <v>0</v>
      </c>
      <c r="M158" s="725">
        <f>Unitflowchart!$S$41/Unitflowchart!$S$383*(RailTransport!AC11)*Unitflowchart!$S$54</f>
        <v>0</v>
      </c>
      <c r="N158" s="726">
        <f>E158+(GlobalWarmingPotentials!$B$11*H158)+(GlobalWarmingPotentials!$C$11*K158)</f>
        <v>0</v>
      </c>
      <c r="O158" s="25">
        <f>(N158/N$398)*100</f>
        <v>0</v>
      </c>
      <c r="P158" s="742">
        <f>SQRT((G158^2)+((GlobalWarmingPotentials!$B$11*J158)^2)+((GlobalWarmingPotentials!$C$11*M158)^2))</f>
        <v>0</v>
      </c>
    </row>
    <row r="159" spans="1:16" x14ac:dyDescent="0.25">
      <c r="A159" s="14" t="str">
        <f>RailTransport!A12</f>
        <v xml:space="preserve"> - Capital Equipment</v>
      </c>
      <c r="B159" s="726">
        <f>Unitflowchart!$S$41/Unitflowchart!$S$383*(RailTransport!J12)*Unitflowchart!$S$54</f>
        <v>0</v>
      </c>
      <c r="C159" s="25">
        <f>(B159/B$398)*100</f>
        <v>0</v>
      </c>
      <c r="D159" s="742">
        <f>Unitflowchart!$S$41/Unitflowchart!$S$383*(RailTransport!K12)*Unitflowchart!$S$54</f>
        <v>0</v>
      </c>
      <c r="E159" s="744">
        <f>Unitflowchart!$S$41/Unitflowchart!$S$383*(RailTransport!P12)*Unitflowchart!$S$54</f>
        <v>0</v>
      </c>
      <c r="F159" s="25">
        <f>(E159/E$398)*100</f>
        <v>0</v>
      </c>
      <c r="G159" s="744">
        <f>Unitflowchart!$S$41/Unitflowchart!$S$383*(RailTransport!Q12)*Unitflowchart!$S$54</f>
        <v>0</v>
      </c>
      <c r="H159" s="723">
        <f>Unitflowchart!$S$41/Unitflowchart!$S$383*(RailTransport!V12)*Unitflowchart!$S$54</f>
        <v>0</v>
      </c>
      <c r="I159" s="25">
        <f>(H159/H$398)*100</f>
        <v>0</v>
      </c>
      <c r="J159" s="725">
        <f>Unitflowchart!$S$41/Unitflowchart!$S$383*(RailTransport!W12)*Unitflowchart!$S$54</f>
        <v>0</v>
      </c>
      <c r="K159" s="723">
        <f>Unitflowchart!$S$41/Unitflowchart!$S$383*(RailTransport!AB12)*Unitflowchart!$S$54</f>
        <v>0</v>
      </c>
      <c r="L159" s="25">
        <f>(K159/K$398)*100</f>
        <v>0</v>
      </c>
      <c r="M159" s="725">
        <f>Unitflowchart!$S$41/Unitflowchart!$S$383*(RailTransport!AC12)*Unitflowchart!$S$54</f>
        <v>0</v>
      </c>
      <c r="N159" s="726">
        <f>E159+(GlobalWarmingPotentials!$B$11*H159)+(GlobalWarmingPotentials!$C$11*K159)</f>
        <v>0</v>
      </c>
      <c r="O159" s="25">
        <f>(N159/N$398)*100</f>
        <v>0</v>
      </c>
      <c r="P159" s="742">
        <f>SQRT((G159^2)+((GlobalWarmingPotentials!$B$11*J159)^2)+((GlobalWarmingPotentials!$C$11*M159)^2))</f>
        <v>0</v>
      </c>
    </row>
    <row r="160" spans="1:16" x14ac:dyDescent="0.25">
      <c r="A160" s="14" t="str">
        <f>RailTransport!A13</f>
        <v xml:space="preserve"> - Maintenance</v>
      </c>
      <c r="B160" s="726">
        <f>Unitflowchart!$S$41/Unitflowchart!$S$383*(RailTransport!J13)*Unitflowchart!$S$54</f>
        <v>0</v>
      </c>
      <c r="C160" s="25">
        <f>(B160/B$398)*100</f>
        <v>0</v>
      </c>
      <c r="D160" s="742">
        <f>Unitflowchart!$S$41/Unitflowchart!$S$383*(RailTransport!K13)*Unitflowchart!$S$54</f>
        <v>0</v>
      </c>
      <c r="E160" s="744">
        <f>Unitflowchart!$S$41/Unitflowchart!$S$383*(RailTransport!P13)*Unitflowchart!$S$54</f>
        <v>0</v>
      </c>
      <c r="F160" s="25">
        <f>(E160/E$398)*100</f>
        <v>0</v>
      </c>
      <c r="G160" s="744">
        <f>Unitflowchart!$S$41/Unitflowchart!$S$383*(RailTransport!Q13)*Unitflowchart!$S$54</f>
        <v>0</v>
      </c>
      <c r="H160" s="723">
        <f>Unitflowchart!$S$41/Unitflowchart!$S$383*(RailTransport!V13)*Unitflowchart!$S$54</f>
        <v>0</v>
      </c>
      <c r="I160" s="25">
        <f>(H160/H$398)*100</f>
        <v>0</v>
      </c>
      <c r="J160" s="725">
        <f>Unitflowchart!$S$41/Unitflowchart!$S$383*(RailTransport!W13)*Unitflowchart!$S$54</f>
        <v>0</v>
      </c>
      <c r="K160" s="723">
        <f>Unitflowchart!$S$41/Unitflowchart!$S$383*(RailTransport!AB13)*Unitflowchart!$S$54</f>
        <v>0</v>
      </c>
      <c r="L160" s="25">
        <f>(K160/K$398)*100</f>
        <v>0</v>
      </c>
      <c r="M160" s="725">
        <f>Unitflowchart!$S$41/Unitflowchart!$S$383*(RailTransport!AC13)*Unitflowchart!$S$54</f>
        <v>0</v>
      </c>
      <c r="N160" s="726">
        <f>E160+(GlobalWarmingPotentials!$B$11*H160)+(GlobalWarmingPotentials!$C$11*K160)</f>
        <v>0</v>
      </c>
      <c r="O160" s="25">
        <f>(N160/N$398)*100</f>
        <v>0</v>
      </c>
      <c r="P160" s="742">
        <f>SQRT((G160^2)+((GlobalWarmingPotentials!$B$11*J160)^2)+((GlobalWarmingPotentials!$C$11*M160)^2))</f>
        <v>0</v>
      </c>
    </row>
    <row r="161" spans="1:16" x14ac:dyDescent="0.25">
      <c r="A161" s="24"/>
      <c r="B161" s="728"/>
      <c r="C161" s="25"/>
      <c r="D161" s="739"/>
      <c r="E161" s="735"/>
      <c r="F161" s="25"/>
      <c r="G161" s="735"/>
      <c r="H161" s="31"/>
      <c r="I161" s="25"/>
      <c r="J161" s="724"/>
      <c r="K161" s="31"/>
      <c r="L161" s="25"/>
      <c r="M161" s="724"/>
      <c r="N161" s="728"/>
      <c r="O161" s="25"/>
      <c r="P161" s="739"/>
    </row>
    <row r="162" spans="1:16" x14ac:dyDescent="0.25">
      <c r="A162" s="218" t="s">
        <v>867</v>
      </c>
      <c r="B162" s="734">
        <f>Unitflowchart!$S$41/Unitflowchart!$S$383*(RailTransport!J15)*Unitflowchart!$S$54</f>
        <v>0</v>
      </c>
      <c r="C162" s="721">
        <f>(B162/B$398)*100</f>
        <v>0</v>
      </c>
      <c r="D162" s="743">
        <f>Unitflowchart!$S$41/Unitflowchart!$S$383*(RailTransport!K15)*Unitflowchart!$S$54</f>
        <v>0</v>
      </c>
      <c r="E162" s="745">
        <f>Unitflowchart!$S$41/Unitflowchart!$S$383*(RailTransport!P15)*Unitflowchart!$S$54</f>
        <v>0</v>
      </c>
      <c r="F162" s="721">
        <f>(E162/E$398)*100</f>
        <v>0</v>
      </c>
      <c r="G162" s="745">
        <f>Unitflowchart!$S$41/Unitflowchart!$S$383*(RailTransport!Q15)*Unitflowchart!$S$54</f>
        <v>0</v>
      </c>
      <c r="H162" s="722">
        <f>Unitflowchart!$S$41/Unitflowchart!$S$383*(RailTransport!V15)*Unitflowchart!$S$54</f>
        <v>0</v>
      </c>
      <c r="I162" s="721">
        <f>(H162/H$398)*100</f>
        <v>0</v>
      </c>
      <c r="J162" s="720">
        <f>Unitflowchart!$S$41/Unitflowchart!$S$383*(RailTransport!W15)*Unitflowchart!$S$54</f>
        <v>0</v>
      </c>
      <c r="K162" s="722">
        <f>Unitflowchart!$S$41/Unitflowchart!$S$383*(RailTransport!AB15)*Unitflowchart!$S$54</f>
        <v>0</v>
      </c>
      <c r="L162" s="721">
        <f>(K162/K$398)*100</f>
        <v>0</v>
      </c>
      <c r="M162" s="720">
        <f>Unitflowchart!$S$41/Unitflowchart!$S$383*(RailTransport!AC15)*Unitflowchart!$S$54</f>
        <v>0</v>
      </c>
      <c r="N162" s="734">
        <f>E162+(GlobalWarmingPotentials!$B$11*H162)+(GlobalWarmingPotentials!$C$11*K162)</f>
        <v>0</v>
      </c>
      <c r="O162" s="721">
        <f>(N162/N$398)*100</f>
        <v>0</v>
      </c>
      <c r="P162" s="743">
        <f>SQRT((G162^2)+((GlobalWarmingPotentials!$B$11*J162)^2)+((GlobalWarmingPotentials!$C$11*M162)^2))</f>
        <v>0</v>
      </c>
    </row>
    <row r="163" spans="1:16" x14ac:dyDescent="0.25">
      <c r="B163" s="728"/>
      <c r="C163" s="25"/>
      <c r="D163" s="739"/>
      <c r="E163" s="735"/>
      <c r="F163" s="25"/>
      <c r="G163" s="735"/>
      <c r="H163" s="31"/>
      <c r="I163" s="25"/>
      <c r="J163" s="724"/>
      <c r="K163" s="31"/>
      <c r="L163" s="25"/>
      <c r="M163" s="724"/>
      <c r="N163" s="728"/>
      <c r="O163" s="25"/>
      <c r="P163" s="739"/>
    </row>
    <row r="164" spans="1:16" x14ac:dyDescent="0.25">
      <c r="A164" s="387" t="s">
        <v>870</v>
      </c>
      <c r="B164" s="728"/>
      <c r="C164" s="25"/>
      <c r="D164" s="739"/>
      <c r="E164" s="735"/>
      <c r="F164" s="25"/>
      <c r="G164" s="735"/>
      <c r="H164" s="31"/>
      <c r="I164" s="25"/>
      <c r="J164" s="724"/>
      <c r="K164" s="31"/>
      <c r="L164" s="25"/>
      <c r="M164" s="724"/>
      <c r="N164" s="728"/>
      <c r="O164" s="25"/>
      <c r="P164" s="739"/>
    </row>
    <row r="165" spans="1:16" x14ac:dyDescent="0.25">
      <c r="B165" s="728"/>
      <c r="C165" s="25"/>
      <c r="D165" s="739"/>
      <c r="E165" s="735"/>
      <c r="F165" s="25"/>
      <c r="G165" s="735"/>
      <c r="H165" s="31"/>
      <c r="I165" s="25"/>
      <c r="J165" s="724"/>
      <c r="K165" s="31"/>
      <c r="L165" s="25"/>
      <c r="M165" s="724"/>
      <c r="N165" s="728"/>
      <c r="O165" s="25"/>
      <c r="P165" s="739"/>
    </row>
    <row r="166" spans="1:16" x14ac:dyDescent="0.25">
      <c r="A166" s="14" t="str">
        <f>BargeTransport!A11</f>
        <v xml:space="preserve"> - Marine Diesel</v>
      </c>
      <c r="B166" s="726">
        <f>Unitflowchart!$S$41/Unitflowchart!$S$383*(BargeTransport!J11)*Unitflowchart!$S$56</f>
        <v>0</v>
      </c>
      <c r="C166" s="25">
        <f>(B166/B$398)*100</f>
        <v>0</v>
      </c>
      <c r="D166" s="742">
        <f>Unitflowchart!$S$41/Unitflowchart!$S$383*(BargeTransport!K11)*Unitflowchart!$S$56</f>
        <v>0</v>
      </c>
      <c r="E166" s="744">
        <f>Unitflowchart!$S$41/Unitflowchart!$S$383*(BargeTransport!P11)*Unitflowchart!$S$56</f>
        <v>0</v>
      </c>
      <c r="F166" s="25">
        <f>(E166/E$398)*100</f>
        <v>0</v>
      </c>
      <c r="G166" s="744">
        <f>Unitflowchart!$S$41/Unitflowchart!$S$383*(BargeTransport!Q11)*Unitflowchart!$S$56</f>
        <v>0</v>
      </c>
      <c r="H166" s="723">
        <f>Unitflowchart!$S$41/Unitflowchart!$S$383*(BargeTransport!V11)*Unitflowchart!$S$56</f>
        <v>0</v>
      </c>
      <c r="I166" s="25">
        <f>(H166/H$398)*100</f>
        <v>0</v>
      </c>
      <c r="J166" s="725">
        <f>Unitflowchart!$S$41/Unitflowchart!$S$383*(BargeTransport!W11)*Unitflowchart!$S$56</f>
        <v>0</v>
      </c>
      <c r="K166" s="723">
        <f>Unitflowchart!$S$41/Unitflowchart!$S$383*(BargeTransport!AB11)*Unitflowchart!$S$56</f>
        <v>0</v>
      </c>
      <c r="L166" s="25">
        <f>(K166/K$398)*100</f>
        <v>0</v>
      </c>
      <c r="M166" s="725">
        <f>Unitflowchart!$S$41/Unitflowchart!$S$383*(BargeTransport!AC11)*Unitflowchart!$S$56</f>
        <v>0</v>
      </c>
      <c r="N166" s="726">
        <f>E166+(GlobalWarmingPotentials!$B$11*H166)+(GlobalWarmingPotentials!$C$11*K166)</f>
        <v>0</v>
      </c>
      <c r="O166" s="25">
        <f>(N166/N$398)*100</f>
        <v>0</v>
      </c>
      <c r="P166" s="742">
        <f>SQRT((G166^2)+((GlobalWarmingPotentials!$B$11*J166)^2)+((GlobalWarmingPotentials!$C$11*M166)^2))</f>
        <v>0</v>
      </c>
    </row>
    <row r="167" spans="1:16" x14ac:dyDescent="0.25">
      <c r="A167" s="14" t="str">
        <f>BargeTransport!A12</f>
        <v xml:space="preserve"> - Barge Construction</v>
      </c>
      <c r="B167" s="726">
        <f>Unitflowchart!$S$41/Unitflowchart!$S$383*(BargeTransport!J12)*Unitflowchart!$S$56</f>
        <v>0</v>
      </c>
      <c r="C167" s="25">
        <f>(B167/B$398)*100</f>
        <v>0</v>
      </c>
      <c r="D167" s="742">
        <f>Unitflowchart!$S$41/Unitflowchart!$S$383*(BargeTransport!K12)*Unitflowchart!$S$56</f>
        <v>0</v>
      </c>
      <c r="E167" s="744">
        <f>Unitflowchart!$S$41/Unitflowchart!$S$383*(BargeTransport!P12)*Unitflowchart!$S$56</f>
        <v>0</v>
      </c>
      <c r="F167" s="25">
        <f>(E167/E$398)*100</f>
        <v>0</v>
      </c>
      <c r="G167" s="744">
        <f>Unitflowchart!$S$41/Unitflowchart!$S$383*(BargeTransport!Q12)*Unitflowchart!$S$56</f>
        <v>0</v>
      </c>
      <c r="H167" s="723">
        <f>Unitflowchart!$S$41/Unitflowchart!$S$383*(BargeTransport!V12)*Unitflowchart!$S$56</f>
        <v>0</v>
      </c>
      <c r="I167" s="25">
        <f>(H167/H$398)*100</f>
        <v>0</v>
      </c>
      <c r="J167" s="725">
        <f>Unitflowchart!$S$41/Unitflowchart!$S$383*(BargeTransport!W12)*Unitflowchart!$S$56</f>
        <v>0</v>
      </c>
      <c r="K167" s="723">
        <f>Unitflowchart!$S$41/Unitflowchart!$S$383*(BargeTransport!AB12)*Unitflowchart!$S$56</f>
        <v>0</v>
      </c>
      <c r="L167" s="25">
        <f>(K167/K$398)*100</f>
        <v>0</v>
      </c>
      <c r="M167" s="725">
        <f>Unitflowchart!$S$41/Unitflowchart!$S$383*(BargeTransport!AC12)*Unitflowchart!$S$56</f>
        <v>0</v>
      </c>
      <c r="N167" s="726">
        <f>E167+(GlobalWarmingPotentials!$B$11*H167)+(GlobalWarmingPotentials!$C$11*K167)</f>
        <v>0</v>
      </c>
      <c r="O167" s="25">
        <f>(N167/N$398)*100</f>
        <v>0</v>
      </c>
      <c r="P167" s="742">
        <f>SQRT((G167^2)+((GlobalWarmingPotentials!$B$11*J167)^2)+((GlobalWarmingPotentials!$C$11*M167)^2))</f>
        <v>0</v>
      </c>
    </row>
    <row r="168" spans="1:16" x14ac:dyDescent="0.25">
      <c r="A168" s="14" t="str">
        <f>BargeTransport!A13</f>
        <v xml:space="preserve"> - Barge Maintenance</v>
      </c>
      <c r="B168" s="726">
        <f>Unitflowchart!$S$41/Unitflowchart!$S$383*(BargeTransport!J13)*Unitflowchart!$S$56</f>
        <v>0</v>
      </c>
      <c r="C168" s="25">
        <f>(B168/B$398)*100</f>
        <v>0</v>
      </c>
      <c r="D168" s="742">
        <f>Unitflowchart!$S$41/Unitflowchart!$S$383*(BargeTransport!K13)*Unitflowchart!$S$56</f>
        <v>0</v>
      </c>
      <c r="E168" s="744">
        <f>Unitflowchart!$S$41/Unitflowchart!$S$383*(BargeTransport!P13)*Unitflowchart!$S$56</f>
        <v>0</v>
      </c>
      <c r="F168" s="25">
        <f>(E168/E$398)*100</f>
        <v>0</v>
      </c>
      <c r="G168" s="744">
        <f>Unitflowchart!$S$41/Unitflowchart!$S$383*(BargeTransport!Q13)*Unitflowchart!$S$56</f>
        <v>0</v>
      </c>
      <c r="H168" s="723">
        <f>Unitflowchart!$S$41/Unitflowchart!$S$383*(BargeTransport!V13)*Unitflowchart!$S$56</f>
        <v>0</v>
      </c>
      <c r="I168" s="25">
        <f>(H168/H$398)*100</f>
        <v>0</v>
      </c>
      <c r="J168" s="725">
        <f>Unitflowchart!$S$41/Unitflowchart!$S$383*(BargeTransport!W13)*Unitflowchart!$S$56</f>
        <v>0</v>
      </c>
      <c r="K168" s="723">
        <f>Unitflowchart!$S$41/Unitflowchart!$S$383*(BargeTransport!AB13)*Unitflowchart!$S$56</f>
        <v>0</v>
      </c>
      <c r="L168" s="25">
        <f>(K168/K$398)*100</f>
        <v>0</v>
      </c>
      <c r="M168" s="725">
        <f>Unitflowchart!$S$41/Unitflowchart!$S$383*(BargeTransport!AC13)*Unitflowchart!$S$56</f>
        <v>0</v>
      </c>
      <c r="N168" s="726">
        <f>E168+(GlobalWarmingPotentials!$B$11*H168)+(GlobalWarmingPotentials!$C$11*K168)</f>
        <v>0</v>
      </c>
      <c r="O168" s="25">
        <f>(N168/N$398)*100</f>
        <v>0</v>
      </c>
      <c r="P168" s="742">
        <f>SQRT((G168^2)+((GlobalWarmingPotentials!$B$11*J168)^2)+((GlobalWarmingPotentials!$C$11*M168)^2))</f>
        <v>0</v>
      </c>
    </row>
    <row r="169" spans="1:16" x14ac:dyDescent="0.25">
      <c r="A169" s="24"/>
      <c r="B169" s="728"/>
      <c r="C169" s="25"/>
      <c r="D169" s="739"/>
      <c r="E169" s="735"/>
      <c r="F169" s="25"/>
      <c r="G169" s="735"/>
      <c r="H169" s="31"/>
      <c r="I169" s="25"/>
      <c r="J169" s="724"/>
      <c r="K169" s="31"/>
      <c r="L169" s="25"/>
      <c r="M169" s="724"/>
      <c r="N169" s="728"/>
      <c r="O169" s="25"/>
      <c r="P169" s="739"/>
    </row>
    <row r="170" spans="1:16" x14ac:dyDescent="0.25">
      <c r="A170" s="218" t="s">
        <v>871</v>
      </c>
      <c r="B170" s="734">
        <f>Unitflowchart!$S$41/Unitflowchart!$S$383*(BargeTransport!J15)*Unitflowchart!$S$56</f>
        <v>0</v>
      </c>
      <c r="C170" s="721">
        <f>(B170/B$398)*100</f>
        <v>0</v>
      </c>
      <c r="D170" s="743">
        <f>Unitflowchart!$S$41/Unitflowchart!$S$383*(BargeTransport!K15)*Unitflowchart!$S$56</f>
        <v>0</v>
      </c>
      <c r="E170" s="745">
        <f>Unitflowchart!$S$41/Unitflowchart!$S$383*(BargeTransport!P15)*Unitflowchart!$S$56</f>
        <v>0</v>
      </c>
      <c r="F170" s="721">
        <f>(E170/E$398)*100</f>
        <v>0</v>
      </c>
      <c r="G170" s="745">
        <f>Unitflowchart!$S$41/Unitflowchart!$S$383*(BargeTransport!Q15)*Unitflowchart!$S$56</f>
        <v>0</v>
      </c>
      <c r="H170" s="722">
        <f>Unitflowchart!$S$41/Unitflowchart!$S$383*(BargeTransport!V15)*Unitflowchart!$S$56</f>
        <v>0</v>
      </c>
      <c r="I170" s="721">
        <f>(H170/H$398)*100</f>
        <v>0</v>
      </c>
      <c r="J170" s="720">
        <f>Unitflowchart!$S$41/Unitflowchart!$S$383*(BargeTransport!W15)*Unitflowchart!$S$56</f>
        <v>0</v>
      </c>
      <c r="K170" s="722">
        <f>Unitflowchart!$S$41/Unitflowchart!$S$383*(BargeTransport!AB15)*Unitflowchart!$S$56</f>
        <v>0</v>
      </c>
      <c r="L170" s="721">
        <f>(K170/K$398)*100</f>
        <v>0</v>
      </c>
      <c r="M170" s="720">
        <f>Unitflowchart!$S$41/Unitflowchart!$S$383*(BargeTransport!AC15)*Unitflowchart!$S$56</f>
        <v>0</v>
      </c>
      <c r="N170" s="734">
        <f>E170+(GlobalWarmingPotentials!$B$11*H170)+(GlobalWarmingPotentials!$C$11*K170)</f>
        <v>0</v>
      </c>
      <c r="O170" s="721">
        <f>(N170/N$398)*100</f>
        <v>0</v>
      </c>
      <c r="P170" s="743">
        <f>SQRT((G170^2)+((GlobalWarmingPotentials!$B$11*J170)^2)+((GlobalWarmingPotentials!$C$11*M170)^2))</f>
        <v>0</v>
      </c>
    </row>
    <row r="171" spans="1:16" x14ac:dyDescent="0.25">
      <c r="B171" s="728"/>
      <c r="C171" s="25"/>
      <c r="D171" s="739"/>
      <c r="E171" s="735"/>
      <c r="F171" s="25"/>
      <c r="G171" s="735"/>
      <c r="H171" s="31"/>
      <c r="I171" s="25"/>
      <c r="J171" s="724"/>
      <c r="K171" s="31"/>
      <c r="L171" s="25"/>
      <c r="M171" s="724"/>
      <c r="N171" s="728"/>
      <c r="O171" s="25"/>
      <c r="P171" s="739"/>
    </row>
    <row r="172" spans="1:16" x14ac:dyDescent="0.25">
      <c r="A172" s="387" t="s">
        <v>872</v>
      </c>
      <c r="B172" s="728"/>
      <c r="C172" s="25"/>
      <c r="D172" s="739"/>
      <c r="E172" s="735"/>
      <c r="F172" s="25"/>
      <c r="G172" s="735"/>
      <c r="H172" s="31"/>
      <c r="I172" s="25"/>
      <c r="J172" s="724"/>
      <c r="K172" s="31"/>
      <c r="L172" s="25"/>
      <c r="M172" s="724"/>
      <c r="N172" s="728"/>
      <c r="O172" s="25"/>
      <c r="P172" s="739"/>
    </row>
    <row r="173" spans="1:16" x14ac:dyDescent="0.25">
      <c r="B173" s="728"/>
      <c r="C173" s="25"/>
      <c r="D173" s="739"/>
      <c r="E173" s="735"/>
      <c r="F173" s="25"/>
      <c r="G173" s="735"/>
      <c r="H173" s="31"/>
      <c r="I173" s="25"/>
      <c r="J173" s="724"/>
      <c r="K173" s="31"/>
      <c r="L173" s="25"/>
      <c r="M173" s="724"/>
      <c r="N173" s="728"/>
      <c r="O173" s="25"/>
      <c r="P173" s="739"/>
    </row>
    <row r="174" spans="1:16" x14ac:dyDescent="0.25">
      <c r="A174" s="14" t="str">
        <f>ShipTransport!A11</f>
        <v xml:space="preserve"> - Marine Diesel</v>
      </c>
      <c r="B174" s="726">
        <f>Unitflowchart!$S$41/Unitflowchart!$S$383*(ShipTransport!J11)*Unitflowchart!$S$58</f>
        <v>0</v>
      </c>
      <c r="C174" s="25">
        <f>(B174/B$398)*100</f>
        <v>0</v>
      </c>
      <c r="D174" s="742">
        <f>Unitflowchart!$S$41/Unitflowchart!$S$383*(ShipTransport!K11)*Unitflowchart!$S$58</f>
        <v>0</v>
      </c>
      <c r="E174" s="744">
        <f>Unitflowchart!$S$41/Unitflowchart!$S$383*(ShipTransport!P11)*Unitflowchart!$S$58</f>
        <v>0</v>
      </c>
      <c r="F174" s="25">
        <f>(E174/E$398)*100</f>
        <v>0</v>
      </c>
      <c r="G174" s="744">
        <f>Unitflowchart!$S$41/Unitflowchart!$S$383*(ShipTransport!Q11)*Unitflowchart!$S$58</f>
        <v>0</v>
      </c>
      <c r="H174" s="723">
        <f>Unitflowchart!$S$41/Unitflowchart!$S$383*(ShipTransport!V11)*Unitflowchart!$S$58</f>
        <v>0</v>
      </c>
      <c r="I174" s="25">
        <f>(H174/H$398)*100</f>
        <v>0</v>
      </c>
      <c r="J174" s="725">
        <f>Unitflowchart!$S$41/Unitflowchart!$S$383*(ShipTransport!W11)*Unitflowchart!$S$58</f>
        <v>0</v>
      </c>
      <c r="K174" s="723">
        <f>Unitflowchart!$S$41/Unitflowchart!$S$383*(ShipTransport!AB11)*Unitflowchart!$S$58</f>
        <v>0</v>
      </c>
      <c r="L174" s="25">
        <f>(K174/K$398)*100</f>
        <v>0</v>
      </c>
      <c r="M174" s="725">
        <f>Unitflowchart!$S$41/Unitflowchart!$S$383*(ShipTransport!AC11)*Unitflowchart!$S$58</f>
        <v>0</v>
      </c>
      <c r="N174" s="726">
        <f>E174+(GlobalWarmingPotentials!$B$11*H174)+(GlobalWarmingPotentials!$C$11*K174)</f>
        <v>0</v>
      </c>
      <c r="O174" s="25">
        <f>(N174/N$398)*100</f>
        <v>0</v>
      </c>
      <c r="P174" s="742">
        <f>SQRT((G174^2)+((GlobalWarmingPotentials!$B$11*J174)^2)+((GlobalWarmingPotentials!$C$11*M174)^2))</f>
        <v>0</v>
      </c>
    </row>
    <row r="175" spans="1:16" x14ac:dyDescent="0.25">
      <c r="A175" s="14" t="str">
        <f>ShipTransport!A12</f>
        <v xml:space="preserve"> - Ship Construction</v>
      </c>
      <c r="B175" s="726">
        <f>Unitflowchart!$S$41/Unitflowchart!$S$383*(ShipTransport!J12)*Unitflowchart!$S$58</f>
        <v>0</v>
      </c>
      <c r="C175" s="25">
        <f>(B175/B$398)*100</f>
        <v>0</v>
      </c>
      <c r="D175" s="742">
        <f>Unitflowchart!$S$41/Unitflowchart!$S$383*(ShipTransport!K12)*Unitflowchart!$S$58</f>
        <v>0</v>
      </c>
      <c r="E175" s="744">
        <f>Unitflowchart!$S$41/Unitflowchart!$S$383*(ShipTransport!P12)*Unitflowchart!$S$58</f>
        <v>0</v>
      </c>
      <c r="F175" s="25">
        <f>(E175/E$398)*100</f>
        <v>0</v>
      </c>
      <c r="G175" s="744">
        <f>Unitflowchart!$S$41/Unitflowchart!$S$383*(ShipTransport!Q12)*Unitflowchart!$S$58</f>
        <v>0</v>
      </c>
      <c r="H175" s="723">
        <f>Unitflowchart!$S$41/Unitflowchart!$S$383*(ShipTransport!V12)*Unitflowchart!$S$58</f>
        <v>0</v>
      </c>
      <c r="I175" s="25">
        <f>(H175/H$398)*100</f>
        <v>0</v>
      </c>
      <c r="J175" s="725">
        <f>Unitflowchart!$S$41/Unitflowchart!$S$383*(ShipTransport!W12)*Unitflowchart!$S$58</f>
        <v>0</v>
      </c>
      <c r="K175" s="723">
        <f>Unitflowchart!$S$41/Unitflowchart!$S$383*(ShipTransport!AB12)*Unitflowchart!$S$58</f>
        <v>0</v>
      </c>
      <c r="L175" s="25">
        <f>(K175/K$398)*100</f>
        <v>0</v>
      </c>
      <c r="M175" s="725">
        <f>Unitflowchart!$S$41/Unitflowchart!$S$383*(ShipTransport!AC12)*Unitflowchart!$S$58</f>
        <v>0</v>
      </c>
      <c r="N175" s="726">
        <f>E175+(GlobalWarmingPotentials!$B$11*H175)+(GlobalWarmingPotentials!$C$11*K175)</f>
        <v>0</v>
      </c>
      <c r="O175" s="25">
        <f>(N175/N$398)*100</f>
        <v>0</v>
      </c>
      <c r="P175" s="742">
        <f>SQRT((G175^2)+((GlobalWarmingPotentials!$B$11*J175)^2)+((GlobalWarmingPotentials!$C$11*M175)^2))</f>
        <v>0</v>
      </c>
    </row>
    <row r="176" spans="1:16" x14ac:dyDescent="0.25">
      <c r="A176" s="14" t="str">
        <f>ShipTransport!A13</f>
        <v xml:space="preserve"> - Ship Maintenance</v>
      </c>
      <c r="B176" s="726">
        <f>Unitflowchart!$S$41/Unitflowchart!$S$383*(ShipTransport!J13)*Unitflowchart!$S$58</f>
        <v>0</v>
      </c>
      <c r="C176" s="25">
        <f>(B176/B$398)*100</f>
        <v>0</v>
      </c>
      <c r="D176" s="742">
        <f>Unitflowchart!$S$41/Unitflowchart!$S$383*(ShipTransport!K13)*Unitflowchart!$S$58</f>
        <v>0</v>
      </c>
      <c r="E176" s="744">
        <f>Unitflowchart!$S$41/Unitflowchart!$S$383*(ShipTransport!P13)*Unitflowchart!$S$58</f>
        <v>0</v>
      </c>
      <c r="F176" s="25">
        <f>(E176/E$398)*100</f>
        <v>0</v>
      </c>
      <c r="G176" s="744">
        <f>Unitflowchart!$S$41/Unitflowchart!$S$383*(ShipTransport!Q13)*Unitflowchart!$S$58</f>
        <v>0</v>
      </c>
      <c r="H176" s="723">
        <f>Unitflowchart!$S$41/Unitflowchart!$S$383*(ShipTransport!V13)*Unitflowchart!$S$58</f>
        <v>0</v>
      </c>
      <c r="I176" s="25">
        <f>(H176/H$398)*100</f>
        <v>0</v>
      </c>
      <c r="J176" s="725">
        <f>Unitflowchart!$S$41/Unitflowchart!$S$383*(ShipTransport!W13)*Unitflowchart!$S$58</f>
        <v>0</v>
      </c>
      <c r="K176" s="723">
        <f>Unitflowchart!$S$41/Unitflowchart!$S$383*(ShipTransport!AB13)*Unitflowchart!$S$58</f>
        <v>0</v>
      </c>
      <c r="L176" s="25">
        <f>(K176/K$398)*100</f>
        <v>0</v>
      </c>
      <c r="M176" s="725">
        <f>Unitflowchart!$S$41/Unitflowchart!$S$383*(ShipTransport!AC13)*Unitflowchart!$S$58</f>
        <v>0</v>
      </c>
      <c r="N176" s="726">
        <f>E176+(GlobalWarmingPotentials!$B$11*H176)+(GlobalWarmingPotentials!$C$11*K176)</f>
        <v>0</v>
      </c>
      <c r="O176" s="25">
        <f>(N176/N$398)*100</f>
        <v>0</v>
      </c>
      <c r="P176" s="742">
        <f>SQRT((G176^2)+((GlobalWarmingPotentials!$B$11*J176)^2)+((GlobalWarmingPotentials!$C$11*M176)^2))</f>
        <v>0</v>
      </c>
    </row>
    <row r="177" spans="1:16" x14ac:dyDescent="0.25">
      <c r="A177" s="24"/>
      <c r="B177" s="728"/>
      <c r="C177" s="25"/>
      <c r="D177" s="739"/>
      <c r="E177" s="735"/>
      <c r="F177" s="25"/>
      <c r="G177" s="735"/>
      <c r="H177" s="31"/>
      <c r="I177" s="25"/>
      <c r="J177" s="724"/>
      <c r="K177" s="31"/>
      <c r="L177" s="25"/>
      <c r="M177" s="724"/>
      <c r="N177" s="728"/>
      <c r="O177" s="25"/>
      <c r="P177" s="739"/>
    </row>
    <row r="178" spans="1:16" x14ac:dyDescent="0.25">
      <c r="A178" s="218" t="s">
        <v>873</v>
      </c>
      <c r="B178" s="734">
        <f>Unitflowchart!$S$41/Unitflowchart!$S$383*(ShipTransport!J15)*Unitflowchart!$S$58</f>
        <v>0</v>
      </c>
      <c r="C178" s="721">
        <f>(B178/B$398)*100</f>
        <v>0</v>
      </c>
      <c r="D178" s="743">
        <f>Unitflowchart!$S$41/Unitflowchart!$S$383*(ShipTransport!K15)*Unitflowchart!$S$58</f>
        <v>0</v>
      </c>
      <c r="E178" s="745">
        <f>Unitflowchart!$S$41/Unitflowchart!$S$383*(ShipTransport!P15)*Unitflowchart!$S$58</f>
        <v>0</v>
      </c>
      <c r="F178" s="721">
        <f>(E178/E$398)*100</f>
        <v>0</v>
      </c>
      <c r="G178" s="745">
        <f>Unitflowchart!$S$41/Unitflowchart!$S$383*(ShipTransport!Q15)*Unitflowchart!$S$58</f>
        <v>0</v>
      </c>
      <c r="H178" s="722">
        <f>Unitflowchart!$S$41/Unitflowchart!$S$383*(ShipTransport!V15)*Unitflowchart!$S$58</f>
        <v>0</v>
      </c>
      <c r="I178" s="721">
        <f>(H178/H$398)*100</f>
        <v>0</v>
      </c>
      <c r="J178" s="720">
        <f>Unitflowchart!$S$41/Unitflowchart!$S$383*(ShipTransport!W15)*Unitflowchart!$S$58</f>
        <v>0</v>
      </c>
      <c r="K178" s="722">
        <f>Unitflowchart!$S$41/Unitflowchart!$S$383*(ShipTransport!AB15)*Unitflowchart!$S$58</f>
        <v>0</v>
      </c>
      <c r="L178" s="721">
        <f>(K178/K$398)*100</f>
        <v>0</v>
      </c>
      <c r="M178" s="720">
        <f>Unitflowchart!$S$41/Unitflowchart!$S$383*(ShipTransport!AC15)*Unitflowchart!$S$58</f>
        <v>0</v>
      </c>
      <c r="N178" s="734">
        <f>E178+(GlobalWarmingPotentials!$B$11*H178)+(GlobalWarmingPotentials!$C$11*K178)</f>
        <v>0</v>
      </c>
      <c r="O178" s="721">
        <f>(N178/N$398)*100</f>
        <v>0</v>
      </c>
      <c r="P178" s="743">
        <f>SQRT((G178^2)+((GlobalWarmingPotentials!$B$11*J178)^2)+((GlobalWarmingPotentials!$C$11*M178)^2))</f>
        <v>0</v>
      </c>
    </row>
    <row r="179" spans="1:16" x14ac:dyDescent="0.25">
      <c r="B179" s="728"/>
      <c r="D179" s="739"/>
      <c r="E179" s="735"/>
      <c r="G179" s="735"/>
      <c r="H179" s="31"/>
      <c r="J179" s="724"/>
      <c r="K179" s="31"/>
      <c r="M179" s="724"/>
      <c r="N179" s="728"/>
      <c r="P179" s="739"/>
    </row>
    <row r="180" spans="1:16" x14ac:dyDescent="0.25">
      <c r="A180" s="218" t="s">
        <v>875</v>
      </c>
      <c r="B180" s="734">
        <f>B154+B162+B170+B178</f>
        <v>275.59665533211654</v>
      </c>
      <c r="C180" s="721">
        <f>(B180/B$398)*100</f>
        <v>2.1290831603134115</v>
      </c>
      <c r="D180" s="743">
        <f>SQRT((D154^2)+(D162^2)+(D170^2)+(D178^2))</f>
        <v>12.953042800609477</v>
      </c>
      <c r="E180" s="745">
        <f t="shared" ref="E180" si="38">E154+E162+E170+E178</f>
        <v>19.777206393823835</v>
      </c>
      <c r="F180" s="721">
        <f>(E180/E$398)*100</f>
        <v>2.4586844304032347</v>
      </c>
      <c r="G180" s="745">
        <f t="shared" ref="G180" si="39">SQRT((G154^2)+(G162^2)+(G170^2)+(G178^2))</f>
        <v>0.92952870050972014</v>
      </c>
      <c r="H180" s="722">
        <f t="shared" ref="H180" si="40">H154+H162+H170+H178</f>
        <v>4.1095493805348229E-3</v>
      </c>
      <c r="I180" s="721">
        <f>(H180/H$398)*100</f>
        <v>0.4093466095580191</v>
      </c>
      <c r="J180" s="720">
        <f t="shared" ref="J180" si="41">SQRT((J154^2)+(J162^2)+(J170^2)+(J178^2))</f>
        <v>1.9314882088513667E-4</v>
      </c>
      <c r="K180" s="722">
        <f t="shared" ref="K180" si="42">K154+K162+K170+K178</f>
        <v>5.3424141946952705E-3</v>
      </c>
      <c r="L180" s="721">
        <f>(K180/K$398)*100</f>
        <v>2.4588261118167622</v>
      </c>
      <c r="M180" s="720">
        <f t="shared" ref="M180" si="43">SQRT((M154^2)+(M162^2)+(M170^2)+(M178^2))</f>
        <v>2.5109346715067771E-4</v>
      </c>
      <c r="N180" s="734">
        <f t="shared" ref="N180" si="44">N154+N162+N170+N178</f>
        <v>21.453080631205939</v>
      </c>
      <c r="O180" s="721">
        <f>(N180/N$398)*100</f>
        <v>2.405632597243673</v>
      </c>
      <c r="P180" s="743">
        <f t="shared" ref="P180" si="45">SQRT((P154^2)+(P162^2)+(P170^2)+(P178^2))</f>
        <v>0.93250595041593831</v>
      </c>
    </row>
    <row r="181" spans="1:16" x14ac:dyDescent="0.25">
      <c r="B181" s="728"/>
      <c r="D181" s="739"/>
      <c r="E181" s="735"/>
      <c r="G181" s="735"/>
      <c r="H181" s="31"/>
      <c r="J181" s="724"/>
      <c r="K181" s="31"/>
      <c r="M181" s="724"/>
      <c r="N181" s="728"/>
      <c r="P181" s="739"/>
    </row>
    <row r="182" spans="1:16" x14ac:dyDescent="0.25">
      <c r="A182" s="154" t="s">
        <v>43</v>
      </c>
      <c r="B182" s="728"/>
      <c r="D182" s="739"/>
      <c r="E182" s="735"/>
      <c r="G182" s="735"/>
      <c r="H182" s="31"/>
      <c r="J182" s="724"/>
      <c r="K182" s="31"/>
      <c r="M182" s="724"/>
      <c r="N182" s="728"/>
      <c r="P182" s="739"/>
    </row>
    <row r="183" spans="1:16" x14ac:dyDescent="0.25">
      <c r="B183" s="728"/>
      <c r="D183" s="739"/>
      <c r="E183" s="735"/>
      <c r="G183" s="735"/>
      <c r="H183" s="31"/>
      <c r="J183" s="724"/>
      <c r="K183" s="31"/>
      <c r="M183" s="724"/>
      <c r="N183" s="728"/>
      <c r="P183" s="739"/>
    </row>
    <row r="184" spans="1:16" x14ac:dyDescent="0.25">
      <c r="A184" t="str">
        <f>RoadTransportStage2!A28</f>
        <v xml:space="preserve"> - Diesel Fuel</v>
      </c>
      <c r="B184" s="732">
        <f>Unitflowchart!$S$64/Unitflowchart!$S$383*(RoadTransportStage2!J28)*Unitflowchart!$S$73</f>
        <v>0</v>
      </c>
      <c r="C184" s="26">
        <f>(B184/B$398)*100</f>
        <v>0</v>
      </c>
      <c r="D184" s="491">
        <f>Unitflowchart!$S$64/Unitflowchart!$S$383*(RoadTransportStage2!K28)*Unitflowchart!$S$73</f>
        <v>0</v>
      </c>
      <c r="E184" s="732">
        <f>Unitflowchart!$S$64/Unitflowchart!$S$383*(RoadTransportStage2!P28)*Unitflowchart!$S$73</f>
        <v>0</v>
      </c>
      <c r="F184" s="26">
        <f>(E184/E$398)*100</f>
        <v>0</v>
      </c>
      <c r="G184" s="491">
        <f>Unitflowchart!$S$64/Unitflowchart!$S$383*(RoadTransportStage2!Q28)*Unitflowchart!$S$73</f>
        <v>0</v>
      </c>
      <c r="H184" s="749">
        <f>Unitflowchart!$S$64/Unitflowchart!$S$383*(RoadTransportStage2!V28)*Unitflowchart!$S$73</f>
        <v>0</v>
      </c>
      <c r="I184" s="26">
        <f>(H184/H$398)*100</f>
        <v>0</v>
      </c>
      <c r="J184" s="751">
        <f>Unitflowchart!$S$64/Unitflowchart!$S$383*(RoadTransportStage2!W28)*Unitflowchart!$S$73</f>
        <v>0</v>
      </c>
      <c r="K184" s="749">
        <f>Unitflowchart!$S$64/Unitflowchart!$S$383*(RoadTransportStage2!AB28)*Unitflowchart!$S$73</f>
        <v>0</v>
      </c>
      <c r="L184" s="26">
        <f>(K184/K$398)*100</f>
        <v>0</v>
      </c>
      <c r="M184" s="751">
        <f>Unitflowchart!$S$64/Unitflowchart!$S$383*(RoadTransportStage2!AC28)*Unitflowchart!$S$73</f>
        <v>0</v>
      </c>
      <c r="N184" s="727">
        <f>E184+(GlobalWarmingPotentials!$B$11*H184)+(GlobalWarmingPotentials!$C$11*K184)</f>
        <v>0</v>
      </c>
      <c r="O184" s="26">
        <f>(N184/N$398)*100</f>
        <v>0</v>
      </c>
      <c r="P184" s="756">
        <f>SQRT((G184^2)+((GlobalWarmingPotentials!$B$11*J184)^2)+((GlobalWarmingPotentials!$C$11*M184)^2))</f>
        <v>0</v>
      </c>
    </row>
    <row r="185" spans="1:16" x14ac:dyDescent="0.25">
      <c r="A185" t="str">
        <f>RoadTransportStage2!A29</f>
        <v xml:space="preserve"> - Vehicle </v>
      </c>
      <c r="B185" s="732">
        <f>Unitflowchart!$S$64/Unitflowchart!$S$383*(RoadTransportStage2!J29)*Unitflowchart!$S$73</f>
        <v>0</v>
      </c>
      <c r="C185" s="26">
        <f>(B185/B$398)*100</f>
        <v>0</v>
      </c>
      <c r="D185" s="491">
        <f>Unitflowchart!$S$64/Unitflowchart!$S$383*(RoadTransportStage2!K29)*Unitflowchart!$S$73</f>
        <v>0</v>
      </c>
      <c r="E185" s="732">
        <f>Unitflowchart!$S$64/Unitflowchart!$S$383*(RoadTransportStage2!P29)*Unitflowchart!$S$73</f>
        <v>0</v>
      </c>
      <c r="F185" s="26">
        <f>(E185/E$398)*100</f>
        <v>0</v>
      </c>
      <c r="G185" s="491">
        <f>Unitflowchart!$S$64/Unitflowchart!$S$383*(RoadTransportStage2!Q29)*Unitflowchart!$S$73</f>
        <v>0</v>
      </c>
      <c r="H185" s="749">
        <f>Unitflowchart!$S$64/Unitflowchart!$S$383*(RoadTransportStage2!V29)*Unitflowchart!$S$73</f>
        <v>0</v>
      </c>
      <c r="I185" s="26">
        <f>(H185/H$398)*100</f>
        <v>0</v>
      </c>
      <c r="J185" s="751">
        <f>Unitflowchart!$S$64/Unitflowchart!$S$383*(RoadTransportStage2!W29)*Unitflowchart!$S$73</f>
        <v>0</v>
      </c>
      <c r="K185" s="749">
        <f>Unitflowchart!$S$64/Unitflowchart!$S$383*(RoadTransportStage2!AB29)*Unitflowchart!$S$73</f>
        <v>0</v>
      </c>
      <c r="L185" s="26">
        <f>(K185/K$398)*100</f>
        <v>0</v>
      </c>
      <c r="M185" s="751">
        <f>Unitflowchart!$S$64/Unitflowchart!$S$383*(RoadTransportStage2!AC29)*Unitflowchart!$S$73</f>
        <v>0</v>
      </c>
      <c r="N185" s="727">
        <f>E185+(GlobalWarmingPotentials!$B$11*H185)+(GlobalWarmingPotentials!$C$11*K185)</f>
        <v>0</v>
      </c>
      <c r="O185" s="26">
        <f>(N185/N$398)*100</f>
        <v>0</v>
      </c>
      <c r="P185" s="756">
        <f>SQRT((G185^2)+((GlobalWarmingPotentials!$B$11*J185)^2)+((GlobalWarmingPotentials!$C$11*M185)^2))</f>
        <v>0</v>
      </c>
    </row>
    <row r="186" spans="1:16" x14ac:dyDescent="0.25">
      <c r="A186" t="str">
        <f>RoadTransportStage2!A30</f>
        <v xml:space="preserve"> - Maintenance</v>
      </c>
      <c r="B186" s="732">
        <f>Unitflowchart!$S$64/Unitflowchart!$S$383*(RoadTransportStage2!J30)*Unitflowchart!$S$73</f>
        <v>0</v>
      </c>
      <c r="C186" s="26">
        <f>(B186/B$398)*100</f>
        <v>0</v>
      </c>
      <c r="D186" s="491">
        <f>Unitflowchart!$S$64/Unitflowchart!$S$383*(RoadTransportStage2!K30)*Unitflowchart!$S$73</f>
        <v>0</v>
      </c>
      <c r="E186" s="732">
        <f>Unitflowchart!$S$64/Unitflowchart!$S$383*(RoadTransportStage2!P30)*Unitflowchart!$S$73</f>
        <v>0</v>
      </c>
      <c r="F186" s="26">
        <f>(E186/E$398)*100</f>
        <v>0</v>
      </c>
      <c r="G186" s="491">
        <f>Unitflowchart!$S$64/Unitflowchart!$S$383*(RoadTransportStage2!Q30)*Unitflowchart!$S$73</f>
        <v>0</v>
      </c>
      <c r="H186" s="749">
        <f>Unitflowchart!$S$64/Unitflowchart!$S$383*(RoadTransportStage2!V30)*Unitflowchart!$S$73</f>
        <v>0</v>
      </c>
      <c r="I186" s="26">
        <f>(H186/H$398)*100</f>
        <v>0</v>
      </c>
      <c r="J186" s="751">
        <f>Unitflowchart!$S$64/Unitflowchart!$S$383*(RoadTransportStage2!W30)*Unitflowchart!$S$73</f>
        <v>0</v>
      </c>
      <c r="K186" s="749">
        <f>Unitflowchart!$S$64/Unitflowchart!$S$383*(RoadTransportStage2!AB30)*Unitflowchart!$S$73</f>
        <v>0</v>
      </c>
      <c r="L186" s="26">
        <f>(K186/K$398)*100</f>
        <v>0</v>
      </c>
      <c r="M186" s="751">
        <f>Unitflowchart!$S$64/Unitflowchart!$S$383*(RoadTransportStage2!AC30)*Unitflowchart!$S$73</f>
        <v>0</v>
      </c>
      <c r="N186" s="727">
        <f>E186+(GlobalWarmingPotentials!$B$11*H186)+(GlobalWarmingPotentials!$C$11*K186)</f>
        <v>0</v>
      </c>
      <c r="O186" s="26">
        <f>(N186/N$398)*100</f>
        <v>0</v>
      </c>
      <c r="P186" s="756">
        <f>SQRT((G186^2)+((GlobalWarmingPotentials!$B$11*J186)^2)+((GlobalWarmingPotentials!$C$11*M186)^2))</f>
        <v>0</v>
      </c>
    </row>
    <row r="187" spans="1:16" s="43" customFormat="1" x14ac:dyDescent="0.25">
      <c r="B187" s="766"/>
      <c r="C187" s="992"/>
      <c r="D187" s="779"/>
      <c r="E187" s="766"/>
      <c r="F187" s="992"/>
      <c r="G187" s="779"/>
      <c r="H187" s="783"/>
      <c r="I187" s="992"/>
      <c r="J187" s="784"/>
      <c r="K187" s="783"/>
      <c r="L187" s="992"/>
      <c r="M187" s="784"/>
      <c r="N187" s="729"/>
      <c r="O187" s="155"/>
      <c r="P187" s="736"/>
    </row>
    <row r="188" spans="1:16" x14ac:dyDescent="0.25">
      <c r="A188" s="22" t="s">
        <v>868</v>
      </c>
      <c r="B188" s="730">
        <f>Unitflowchart!$S$64/Unitflowchart!$S$383*(RoadTransportStage2!J32)*Unitflowchart!$S$73</f>
        <v>0</v>
      </c>
      <c r="C188" s="15">
        <f>(B188/B$398)*100</f>
        <v>0</v>
      </c>
      <c r="D188" s="740">
        <f>Unitflowchart!$S$64/Unitflowchart!$S$383*(RoadTransportStage2!K32)*Unitflowchart!$S$73</f>
        <v>0</v>
      </c>
      <c r="E188" s="730">
        <f>Unitflowchart!$S$64/Unitflowchart!$S$383*(RoadTransportStage2!P32)*Unitflowchart!$S$73</f>
        <v>0</v>
      </c>
      <c r="F188" s="15">
        <f>(E188/E$398)*100</f>
        <v>0</v>
      </c>
      <c r="G188" s="740">
        <f>Unitflowchart!$S$64/Unitflowchart!$S$383*(RoadTransportStage2!Q32)*Unitflowchart!$S$73</f>
        <v>0</v>
      </c>
      <c r="H188" s="215">
        <f>Unitflowchart!$S$64/Unitflowchart!$S$383*(RoadTransportStage2!V32)*Unitflowchart!$S$73</f>
        <v>0</v>
      </c>
      <c r="I188" s="15">
        <f>(H188/H$398)*100</f>
        <v>0</v>
      </c>
      <c r="J188" s="216">
        <f>Unitflowchart!$S$64/Unitflowchart!$S$383*(RoadTransportStage2!W32)*Unitflowchart!$S$73</f>
        <v>0</v>
      </c>
      <c r="K188" s="215">
        <f>Unitflowchart!$S$64/Unitflowchart!$S$383*(RoadTransportStage2!AB32)*Unitflowchart!$S$73</f>
        <v>0</v>
      </c>
      <c r="L188" s="15">
        <f>(K188/K$398)*100</f>
        <v>0</v>
      </c>
      <c r="M188" s="216">
        <f>Unitflowchart!$S$64/Unitflowchart!$S$383*(RoadTransportStage2!AC32)*Unitflowchart!$S$73</f>
        <v>0</v>
      </c>
      <c r="N188" s="762">
        <f>E188+(GlobalWarmingPotentials!$B$11*H188)+(GlobalWarmingPotentials!$C$11*K188)</f>
        <v>0</v>
      </c>
      <c r="O188" s="714">
        <f>(N188/N$398)*100</f>
        <v>0</v>
      </c>
      <c r="P188" s="767">
        <f>SQRT((G188^2)+((GlobalWarmingPotentials!$B$11*J188)^2)+((GlobalWarmingPotentials!$C$11*M188)^2))</f>
        <v>0</v>
      </c>
    </row>
    <row r="189" spans="1:16" s="212" customFormat="1" x14ac:dyDescent="0.25">
      <c r="A189" s="775"/>
      <c r="B189" s="763"/>
      <c r="C189" s="773"/>
      <c r="D189" s="778"/>
      <c r="E189" s="763"/>
      <c r="F189" s="773"/>
      <c r="G189" s="778"/>
      <c r="H189" s="765"/>
      <c r="I189" s="773"/>
      <c r="J189" s="782"/>
      <c r="K189" s="765"/>
      <c r="L189" s="773"/>
      <c r="M189" s="782"/>
      <c r="N189" s="763"/>
      <c r="O189" s="773"/>
      <c r="P189" s="787"/>
    </row>
    <row r="190" spans="1:16" s="212" customFormat="1" x14ac:dyDescent="0.25">
      <c r="A190" s="387" t="s">
        <v>890</v>
      </c>
      <c r="B190" s="766"/>
      <c r="C190" s="764"/>
      <c r="D190" s="779"/>
      <c r="E190" s="766"/>
      <c r="F190" s="764"/>
      <c r="G190" s="779"/>
      <c r="H190" s="783"/>
      <c r="I190" s="764"/>
      <c r="J190" s="784"/>
      <c r="K190" s="783"/>
      <c r="L190" s="764"/>
      <c r="M190" s="784"/>
      <c r="N190" s="766"/>
      <c r="O190" s="764"/>
      <c r="P190" s="788"/>
    </row>
    <row r="191" spans="1:16" s="212" customFormat="1" x14ac:dyDescent="0.25">
      <c r="A191"/>
      <c r="B191" s="766"/>
      <c r="C191" s="764"/>
      <c r="D191" s="779"/>
      <c r="E191" s="766"/>
      <c r="F191" s="764"/>
      <c r="G191" s="779"/>
      <c r="H191" s="783"/>
      <c r="I191" s="764"/>
      <c r="J191" s="784"/>
      <c r="K191" s="783"/>
      <c r="L191" s="764"/>
      <c r="M191" s="784"/>
      <c r="N191" s="766"/>
      <c r="O191" s="764"/>
      <c r="P191" s="788"/>
    </row>
    <row r="192" spans="1:16" s="212" customFormat="1" x14ac:dyDescent="0.25">
      <c r="A192" t="str">
        <f>RailTransport!A11</f>
        <v xml:space="preserve"> - Gas Oil</v>
      </c>
      <c r="B192" s="791">
        <f>Unitflowchart!$S$64/Unitflowchart!$S$383*(RailTransport!J11)*Unitflowchart!$S$75</f>
        <v>0</v>
      </c>
      <c r="C192" s="764">
        <f>(B192/B$398)*100</f>
        <v>0</v>
      </c>
      <c r="D192" s="792">
        <f>Unitflowchart!$S$64/Unitflowchart!$S$383*(RailTransport!K11)*Unitflowchart!$S$75</f>
        <v>0</v>
      </c>
      <c r="E192" s="791">
        <f>Unitflowchart!$S$64/Unitflowchart!$S$383*(RailTransport!P11)*Unitflowchart!$S$75</f>
        <v>0</v>
      </c>
      <c r="F192" s="764">
        <f>(E192/E$398)*100</f>
        <v>0</v>
      </c>
      <c r="G192" s="792">
        <f>Unitflowchart!$S$64/Unitflowchart!$S$383*(RailTransport!Q11)*Unitflowchart!$S$75</f>
        <v>0</v>
      </c>
      <c r="H192" s="793">
        <f>Unitflowchart!$S64/Unitflowchart!$S$383*(RailTransport!V11)*Unitflowchart!$S$75</f>
        <v>0</v>
      </c>
      <c r="I192" s="764">
        <f>(H192/H$398)*100</f>
        <v>0</v>
      </c>
      <c r="J192" s="794">
        <f>Unitflowchart!$S$64/Unitflowchart!$S$383*(RailTransport!W11)*Unitflowchart!$S$75</f>
        <v>0</v>
      </c>
      <c r="K192" s="793">
        <f>Unitflowchart!$S$64/Unitflowchart!$S$383*(RailTransport!AB11)*Unitflowchart!$S$75</f>
        <v>0</v>
      </c>
      <c r="L192" s="764">
        <f>(K192/K$398)*100</f>
        <v>0</v>
      </c>
      <c r="M192" s="794">
        <f>Unitflowchart!$S$64/Unitflowchart!$S$383*(RailTransport!AC11)*Unitflowchart!$S$75</f>
        <v>0</v>
      </c>
      <c r="N192" s="791">
        <f>E192+(GlobalWarmingPotentials!$B$11*H192)+(GlobalWarmingPotentials!$C$11*K192)</f>
        <v>0</v>
      </c>
      <c r="O192" s="764">
        <f>(N192/N$398)*100</f>
        <v>0</v>
      </c>
      <c r="P192" s="796">
        <f>SQRT((G192^2)+((GlobalWarmingPotentials!$B$11*J192)^2)+((GlobalWarmingPotentials!$C$11*M192)^2))</f>
        <v>0</v>
      </c>
    </row>
    <row r="193" spans="1:16" s="212" customFormat="1" x14ac:dyDescent="0.25">
      <c r="A193" t="str">
        <f>RailTransport!A12</f>
        <v xml:space="preserve"> - Capital Equipment</v>
      </c>
      <c r="B193" s="791">
        <f>Unitflowchart!$S$64/Unitflowchart!$S$383*(RailTransport!J12)*Unitflowchart!$S$75</f>
        <v>0</v>
      </c>
      <c r="C193" s="764">
        <f>(B193/B$398)*100</f>
        <v>0</v>
      </c>
      <c r="D193" s="792">
        <f>Unitflowchart!$S$64/Unitflowchart!$S$383*(RailTransport!K12)*Unitflowchart!$S$75</f>
        <v>0</v>
      </c>
      <c r="E193" s="791">
        <f>Unitflowchart!$S$64/Unitflowchart!$S$383*(RailTransport!P12)*Unitflowchart!$S$75</f>
        <v>0</v>
      </c>
      <c r="F193" s="764">
        <f>(E193/E$398)*100</f>
        <v>0</v>
      </c>
      <c r="G193" s="792">
        <f>Unitflowchart!$S$64/Unitflowchart!$S$383*(RailTransport!Q12)*Unitflowchart!$S$75</f>
        <v>0</v>
      </c>
      <c r="H193" s="793">
        <f>Unitflowchart!$S65/Unitflowchart!$S$383*(RailTransport!V12)*Unitflowchart!$S$75</f>
        <v>0</v>
      </c>
      <c r="I193" s="764">
        <f>(H193/H$398)*100</f>
        <v>0</v>
      </c>
      <c r="J193" s="794">
        <f>Unitflowchart!$S$64/Unitflowchart!$S$383*(RailTransport!W12)*Unitflowchart!$S$75</f>
        <v>0</v>
      </c>
      <c r="K193" s="793">
        <f>Unitflowchart!$S$64/Unitflowchart!$S$383*(RailTransport!AB12)*Unitflowchart!$S$75</f>
        <v>0</v>
      </c>
      <c r="L193" s="764">
        <f>(K193/K$398)*100</f>
        <v>0</v>
      </c>
      <c r="M193" s="794">
        <f>Unitflowchart!$S$64/Unitflowchart!$S$383*(RailTransport!AC12)*Unitflowchart!$S$75</f>
        <v>0</v>
      </c>
      <c r="N193" s="791">
        <f>E193+(GlobalWarmingPotentials!$B$11*H193)+(GlobalWarmingPotentials!$C$11*K193)</f>
        <v>0</v>
      </c>
      <c r="O193" s="764">
        <f>(N193/N$398)*100</f>
        <v>0</v>
      </c>
      <c r="P193" s="796">
        <f>SQRT((G193^2)+((GlobalWarmingPotentials!$B$11*J193)^2)+((GlobalWarmingPotentials!$C$11*M193)^2))</f>
        <v>0</v>
      </c>
    </row>
    <row r="194" spans="1:16" s="212" customFormat="1" x14ac:dyDescent="0.25">
      <c r="A194" t="str">
        <f>RailTransport!A13</f>
        <v xml:space="preserve"> - Maintenance</v>
      </c>
      <c r="B194" s="791">
        <f>Unitflowchart!$S$64/Unitflowchart!$S$383*(RailTransport!J13)*Unitflowchart!$S$75</f>
        <v>0</v>
      </c>
      <c r="C194" s="764">
        <f>(B194/B$398)*100</f>
        <v>0</v>
      </c>
      <c r="D194" s="792">
        <f>Unitflowchart!$S$64/Unitflowchart!$S$383*(RailTransport!K13)*Unitflowchart!$S$75</f>
        <v>0</v>
      </c>
      <c r="E194" s="791">
        <f>Unitflowchart!$S$64/Unitflowchart!$S$383*(RailTransport!P13)*Unitflowchart!$S$75</f>
        <v>0</v>
      </c>
      <c r="F194" s="764">
        <f>(E194/E$398)*100</f>
        <v>0</v>
      </c>
      <c r="G194" s="792">
        <f>Unitflowchart!$S$64/Unitflowchart!$S$383*(RailTransport!Q13)*Unitflowchart!$S$75</f>
        <v>0</v>
      </c>
      <c r="H194" s="793">
        <f>Unitflowchart!$S66/Unitflowchart!$S$383*(RailTransport!V13)*Unitflowchart!$S$75</f>
        <v>0</v>
      </c>
      <c r="I194" s="764">
        <f>(H194/H$398)*100</f>
        <v>0</v>
      </c>
      <c r="J194" s="794">
        <f>Unitflowchart!$S$64/Unitflowchart!$S$383*(RailTransport!W13)*Unitflowchart!$S$75</f>
        <v>0</v>
      </c>
      <c r="K194" s="793">
        <f>Unitflowchart!$S$64/Unitflowchart!$S$383*(RailTransport!AB13)*Unitflowchart!$S$75</f>
        <v>0</v>
      </c>
      <c r="L194" s="764">
        <f>(K194/K$398)*100</f>
        <v>0</v>
      </c>
      <c r="M194" s="794">
        <f>Unitflowchart!$S$64/Unitflowchart!$S$383*(RailTransport!AC13)*Unitflowchart!$S$75</f>
        <v>0</v>
      </c>
      <c r="N194" s="791">
        <f>E194+(GlobalWarmingPotentials!$B$11*H194)+(GlobalWarmingPotentials!$C$11*K194)</f>
        <v>0</v>
      </c>
      <c r="O194" s="764">
        <f>(N194/N$398)*100</f>
        <v>0</v>
      </c>
      <c r="P194" s="796">
        <f>SQRT((G194^2)+((GlobalWarmingPotentials!$B$11*J194)^2)+((GlobalWarmingPotentials!$C$11*M194)^2))</f>
        <v>0</v>
      </c>
    </row>
    <row r="195" spans="1:16" s="212" customFormat="1" x14ac:dyDescent="0.25">
      <c r="A195"/>
      <c r="B195" s="766"/>
      <c r="C195" s="764"/>
      <c r="D195" s="779"/>
      <c r="E195" s="766"/>
      <c r="F195" s="764"/>
      <c r="G195" s="779"/>
      <c r="H195" s="783"/>
      <c r="I195" s="764"/>
      <c r="J195" s="784"/>
      <c r="K195" s="783"/>
      <c r="L195" s="764"/>
      <c r="M195" s="784"/>
      <c r="N195" s="766"/>
      <c r="O195" s="764"/>
      <c r="P195" s="788"/>
    </row>
    <row r="196" spans="1:16" s="212" customFormat="1" x14ac:dyDescent="0.25">
      <c r="A196" s="715" t="s">
        <v>891</v>
      </c>
      <c r="B196" s="734">
        <f>Unitflowchart!$S$64/Unitflowchart!$S$383*(RailTransport!J15)*Unitflowchart!$S$75</f>
        <v>0</v>
      </c>
      <c r="C196" s="790">
        <f>(B196/B$398)*100</f>
        <v>0</v>
      </c>
      <c r="D196" s="743">
        <f>Unitflowchart!$S$64/Unitflowchart!$S$383*(RailTransport!K15)*Unitflowchart!$S$75</f>
        <v>0</v>
      </c>
      <c r="E196" s="734">
        <f>Unitflowchart!$S$64/Unitflowchart!$S$383*(RailTransport!P15)*Unitflowchart!$S$75</f>
        <v>0</v>
      </c>
      <c r="F196" s="790">
        <f>(E196/E$398)*100</f>
        <v>0</v>
      </c>
      <c r="G196" s="743">
        <f>Unitflowchart!$S$64/Unitflowchart!$S$383*(RailTransport!Q15)*Unitflowchart!$S$75</f>
        <v>0</v>
      </c>
      <c r="H196" s="722">
        <f>Unitflowchart!$S68/Unitflowchart!$S$383*(RailTransport!V15)*Unitflowchart!$S$75</f>
        <v>0</v>
      </c>
      <c r="I196" s="790">
        <f>(H196/H$398)*100</f>
        <v>0</v>
      </c>
      <c r="J196" s="719">
        <f>Unitflowchart!$S$64/Unitflowchart!$S$383*(RailTransport!W15)*Unitflowchart!$S$75</f>
        <v>0</v>
      </c>
      <c r="K196" s="722">
        <f>Unitflowchart!$S$64/Unitflowchart!$S$383*(RailTransport!AB15)*Unitflowchart!$S$75</f>
        <v>0</v>
      </c>
      <c r="L196" s="790">
        <f>(K196/K$398)*100</f>
        <v>0</v>
      </c>
      <c r="M196" s="719">
        <f>Unitflowchart!$S$64/Unitflowchart!$S$383*(RailTransport!AC15)*Unitflowchart!$S$75</f>
        <v>0</v>
      </c>
      <c r="N196" s="734">
        <f>E196+(GlobalWarmingPotentials!$B$11*H196)+(GlobalWarmingPotentials!$C$11*K196)</f>
        <v>0</v>
      </c>
      <c r="O196" s="790">
        <f>(N196/N$398)*100</f>
        <v>0</v>
      </c>
      <c r="P196" s="795">
        <f>SQRT((G196^2)+((GlobalWarmingPotentials!$B$11*J196)^2)+((GlobalWarmingPotentials!$C$11*M196)^2))</f>
        <v>0</v>
      </c>
    </row>
    <row r="197" spans="1:16" s="212" customFormat="1" x14ac:dyDescent="0.25">
      <c r="A197" s="776"/>
      <c r="B197" s="766"/>
      <c r="C197" s="764"/>
      <c r="D197" s="779"/>
      <c r="E197" s="766"/>
      <c r="F197" s="764"/>
      <c r="G197" s="779"/>
      <c r="H197" s="783"/>
      <c r="I197" s="764"/>
      <c r="J197" s="784"/>
      <c r="K197" s="783"/>
      <c r="L197" s="764"/>
      <c r="M197" s="784"/>
      <c r="N197" s="766"/>
      <c r="O197" s="764"/>
      <c r="P197" s="788"/>
    </row>
    <row r="198" spans="1:16" s="212" customFormat="1" x14ac:dyDescent="0.25">
      <c r="A198" s="387" t="s">
        <v>892</v>
      </c>
      <c r="B198" s="766"/>
      <c r="C198" s="764"/>
      <c r="D198" s="779"/>
      <c r="E198" s="766"/>
      <c r="F198" s="764"/>
      <c r="G198" s="779"/>
      <c r="H198" s="783"/>
      <c r="I198" s="764"/>
      <c r="J198" s="784"/>
      <c r="K198" s="783"/>
      <c r="L198" s="764"/>
      <c r="M198" s="784"/>
      <c r="N198" s="766"/>
      <c r="O198" s="764"/>
      <c r="P198" s="788"/>
    </row>
    <row r="199" spans="1:16" s="212" customFormat="1" x14ac:dyDescent="0.25">
      <c r="A199"/>
      <c r="B199" s="766"/>
      <c r="C199" s="764"/>
      <c r="D199" s="779"/>
      <c r="E199" s="766"/>
      <c r="F199" s="764"/>
      <c r="G199" s="779"/>
      <c r="H199" s="783"/>
      <c r="I199" s="764"/>
      <c r="J199" s="784"/>
      <c r="K199" s="783"/>
      <c r="L199" s="764"/>
      <c r="M199" s="784"/>
      <c r="N199" s="766"/>
      <c r="O199" s="764"/>
      <c r="P199" s="788"/>
    </row>
    <row r="200" spans="1:16" s="212" customFormat="1" x14ac:dyDescent="0.25">
      <c r="A200" t="str">
        <f>BargeTransport!A11</f>
        <v xml:space="preserve"> - Marine Diesel</v>
      </c>
      <c r="B200" s="791">
        <f>Unitflowchart!$S$64/Unitflowchart!$S$383*(BargeTransport!J11)*Unitflowchart!$S$77</f>
        <v>0</v>
      </c>
      <c r="C200" s="764">
        <f>(B200/B$398)*100</f>
        <v>0</v>
      </c>
      <c r="D200" s="792">
        <f>Unitflowchart!$S$64/Unitflowchart!$S$383*(BargeTransport!K11)*Unitflowchart!$S$77</f>
        <v>0</v>
      </c>
      <c r="E200" s="791">
        <f>Unitflowchart!$S$64/Unitflowchart!$S$383*(BargeTransport!P11)*Unitflowchart!$S$77</f>
        <v>0</v>
      </c>
      <c r="F200" s="764">
        <f>(E200/E$398)*100</f>
        <v>0</v>
      </c>
      <c r="G200" s="792">
        <f>Unitflowchart!$S$64/Unitflowchart!$S$383*(BargeTransport!Q11)*Unitflowchart!$S$77</f>
        <v>0</v>
      </c>
      <c r="H200" s="793">
        <f>Unitflowchart!$S72/Unitflowchart!$S$383*(BargeTransport!V11)*Unitflowchart!$S$77</f>
        <v>0</v>
      </c>
      <c r="I200" s="764">
        <f>(H200/H$398)*100</f>
        <v>0</v>
      </c>
      <c r="J200" s="794">
        <f>Unitflowchart!$S$64/Unitflowchart!$S$383*(BargeTransport!W11)*Unitflowchart!$S$77</f>
        <v>0</v>
      </c>
      <c r="K200" s="793">
        <f>Unitflowchart!$S$64/Unitflowchart!$S$383*(BargeTransport!AB11)*Unitflowchart!$S$77</f>
        <v>0</v>
      </c>
      <c r="L200" s="764">
        <f>(K200/K$398)*100</f>
        <v>0</v>
      </c>
      <c r="M200" s="794">
        <f>Unitflowchart!$S$64/Unitflowchart!$S$383*(BargeTransport!AC11)*Unitflowchart!$S$77</f>
        <v>0</v>
      </c>
      <c r="N200" s="791">
        <f>E200+(GlobalWarmingPotentials!$B$11*H200)+(GlobalWarmingPotentials!$C$11*K200)</f>
        <v>0</v>
      </c>
      <c r="O200" s="764">
        <f>(N200/N$398)*100</f>
        <v>0</v>
      </c>
      <c r="P200" s="796">
        <f>SQRT((G200^2)+((GlobalWarmingPotentials!$B$11*J200)^2)+((GlobalWarmingPotentials!$C$11*M200)^2))</f>
        <v>0</v>
      </c>
    </row>
    <row r="201" spans="1:16" s="212" customFormat="1" x14ac:dyDescent="0.25">
      <c r="A201" t="str">
        <f>BargeTransport!A12</f>
        <v xml:space="preserve"> - Barge Construction</v>
      </c>
      <c r="B201" s="791">
        <f>Unitflowchart!$S$64/Unitflowchart!$S$383*(BargeTransport!J12)*Unitflowchart!$S$77</f>
        <v>0</v>
      </c>
      <c r="C201" s="764">
        <f>(B201/B$398)*100</f>
        <v>0</v>
      </c>
      <c r="D201" s="792">
        <f>Unitflowchart!$S$64/Unitflowchart!$S$383*(BargeTransport!K12)*Unitflowchart!$S$77</f>
        <v>0</v>
      </c>
      <c r="E201" s="791">
        <f>Unitflowchart!$S$64/Unitflowchart!$S$383*(BargeTransport!P12)*Unitflowchart!$S$77</f>
        <v>0</v>
      </c>
      <c r="F201" s="764">
        <f>(E201/E$398)*100</f>
        <v>0</v>
      </c>
      <c r="G201" s="792">
        <f>Unitflowchart!$S$64/Unitflowchart!$S$383*(BargeTransport!Q12)*Unitflowchart!$S$77</f>
        <v>0</v>
      </c>
      <c r="H201" s="793">
        <f>Unitflowchart!$S73/Unitflowchart!$S$383*(BargeTransport!V12)*Unitflowchart!$S$77</f>
        <v>0</v>
      </c>
      <c r="I201" s="764">
        <f>(H201/H$398)*100</f>
        <v>0</v>
      </c>
      <c r="J201" s="794">
        <f>Unitflowchart!$S$64/Unitflowchart!$S$383*(BargeTransport!W12)*Unitflowchart!$S$77</f>
        <v>0</v>
      </c>
      <c r="K201" s="793">
        <f>Unitflowchart!$S$64/Unitflowchart!$S$383*(BargeTransport!AB12)*Unitflowchart!$S$77</f>
        <v>0</v>
      </c>
      <c r="L201" s="764">
        <f>(K201/K$398)*100</f>
        <v>0</v>
      </c>
      <c r="M201" s="794">
        <f>Unitflowchart!$S$64/Unitflowchart!$S$383*(BargeTransport!AC12)*Unitflowchart!$S$77</f>
        <v>0</v>
      </c>
      <c r="N201" s="791">
        <f>E201+(GlobalWarmingPotentials!$B$11*H201)+(GlobalWarmingPotentials!$C$11*K201)</f>
        <v>0</v>
      </c>
      <c r="O201" s="764">
        <f>(N201/N$398)*100</f>
        <v>0</v>
      </c>
      <c r="P201" s="796">
        <f>SQRT((G201^2)+((GlobalWarmingPotentials!$B$11*J201)^2)+((GlobalWarmingPotentials!$C$11*M201)^2))</f>
        <v>0</v>
      </c>
    </row>
    <row r="202" spans="1:16" s="212" customFormat="1" x14ac:dyDescent="0.25">
      <c r="A202" t="str">
        <f>BargeTransport!A13</f>
        <v xml:space="preserve"> - Barge Maintenance</v>
      </c>
      <c r="B202" s="791">
        <f>Unitflowchart!$S$64/Unitflowchart!$S$383*(BargeTransport!J13)*Unitflowchart!$S$77</f>
        <v>0</v>
      </c>
      <c r="C202" s="764">
        <f>(B202/B$398)*100</f>
        <v>0</v>
      </c>
      <c r="D202" s="792">
        <f>Unitflowchart!$S$64/Unitflowchart!$S$383*(BargeTransport!K13)*Unitflowchart!$S$77</f>
        <v>0</v>
      </c>
      <c r="E202" s="791">
        <f>Unitflowchart!$S$64/Unitflowchart!$S$383*(BargeTransport!P13)*Unitflowchart!$S$77</f>
        <v>0</v>
      </c>
      <c r="F202" s="764">
        <f>(E202/E$398)*100</f>
        <v>0</v>
      </c>
      <c r="G202" s="792">
        <f>Unitflowchart!$S$64/Unitflowchart!$S$383*(BargeTransport!Q13)*Unitflowchart!$S$77</f>
        <v>0</v>
      </c>
      <c r="H202" s="793">
        <f>Unitflowchart!$S74/Unitflowchart!$S$383*(BargeTransport!V13)*Unitflowchart!$S$77</f>
        <v>0</v>
      </c>
      <c r="I202" s="764">
        <f>(H202/H$398)*100</f>
        <v>0</v>
      </c>
      <c r="J202" s="794">
        <f>Unitflowchart!$S$64/Unitflowchart!$S$383*(BargeTransport!W13)*Unitflowchart!$S$77</f>
        <v>0</v>
      </c>
      <c r="K202" s="793">
        <f>Unitflowchart!$S$64/Unitflowchart!$S$383*(BargeTransport!AB13)*Unitflowchart!$S$77</f>
        <v>0</v>
      </c>
      <c r="L202" s="764">
        <f>(K202/K$398)*100</f>
        <v>0</v>
      </c>
      <c r="M202" s="794">
        <f>Unitflowchart!$S$64/Unitflowchart!$S$383*(BargeTransport!AC13)*Unitflowchart!$S$77</f>
        <v>0</v>
      </c>
      <c r="N202" s="791">
        <f>E202+(GlobalWarmingPotentials!$B$11*H202)+(GlobalWarmingPotentials!$C$11*K202)</f>
        <v>0</v>
      </c>
      <c r="O202" s="764">
        <f>(N202/N$398)*100</f>
        <v>0</v>
      </c>
      <c r="P202" s="796">
        <f>SQRT((G202^2)+((GlobalWarmingPotentials!$B$11*J202)^2)+((GlobalWarmingPotentials!$C$11*M202)^2))</f>
        <v>0</v>
      </c>
    </row>
    <row r="203" spans="1:16" s="212" customFormat="1" x14ac:dyDescent="0.25">
      <c r="A203"/>
      <c r="B203" s="766"/>
      <c r="C203" s="764"/>
      <c r="D203" s="779"/>
      <c r="E203" s="766"/>
      <c r="F203" s="764"/>
      <c r="G203" s="779"/>
      <c r="H203" s="783"/>
      <c r="I203" s="764"/>
      <c r="J203" s="784"/>
      <c r="K203" s="783"/>
      <c r="L203" s="764"/>
      <c r="M203" s="784"/>
      <c r="N203" s="766"/>
      <c r="O203" s="764"/>
      <c r="P203" s="788"/>
    </row>
    <row r="204" spans="1:16" s="212" customFormat="1" x14ac:dyDescent="0.25">
      <c r="A204" s="715" t="s">
        <v>893</v>
      </c>
      <c r="B204" s="734">
        <f>Unitflowchart!$S$64/Unitflowchart!$S$383*(BargeTransport!J15)*Unitflowchart!$S$77</f>
        <v>0</v>
      </c>
      <c r="C204" s="790">
        <f>(B204/B$398)*100</f>
        <v>0</v>
      </c>
      <c r="D204" s="743">
        <f>Unitflowchart!$S$64/Unitflowchart!$S$383*(BargeTransport!K15)*Unitflowchart!$S$77</f>
        <v>0</v>
      </c>
      <c r="E204" s="734">
        <f>Unitflowchart!$S$64/Unitflowchart!$S$383*(BargeTransport!P15)*Unitflowchart!$S$77</f>
        <v>0</v>
      </c>
      <c r="F204" s="790">
        <f>(E204/E$398)*100</f>
        <v>0</v>
      </c>
      <c r="G204" s="743">
        <f>Unitflowchart!$S$64/Unitflowchart!$S$383*(BargeTransport!Q15)*Unitflowchart!$S$77</f>
        <v>0</v>
      </c>
      <c r="H204" s="722">
        <f>Unitflowchart!$S76/Unitflowchart!$S$383*(BargeTransport!V15)*Unitflowchart!$S$77</f>
        <v>0</v>
      </c>
      <c r="I204" s="790">
        <f>(H204/H$398)*100</f>
        <v>0</v>
      </c>
      <c r="J204" s="719">
        <f>Unitflowchart!$S$64/Unitflowchart!$S$383*(BargeTransport!W15)*Unitflowchart!$S$77</f>
        <v>0</v>
      </c>
      <c r="K204" s="722">
        <f>Unitflowchart!$S$64/Unitflowchart!$S$383*(BargeTransport!AB15)*Unitflowchart!$S$77</f>
        <v>0</v>
      </c>
      <c r="L204" s="790">
        <f>(K204/K$398)*100</f>
        <v>0</v>
      </c>
      <c r="M204" s="719">
        <f>Unitflowchart!$S$64/Unitflowchart!$S$383*(BargeTransport!AC15)*Unitflowchart!$S$77</f>
        <v>0</v>
      </c>
      <c r="N204" s="734">
        <f>E204+(GlobalWarmingPotentials!$B$11*H204)+(GlobalWarmingPotentials!$C$11*K204)</f>
        <v>0</v>
      </c>
      <c r="O204" s="790">
        <f>(N204/N$398)*100</f>
        <v>0</v>
      </c>
      <c r="P204" s="795">
        <f>SQRT((G204^2)+((GlobalWarmingPotentials!$B$11*J204)^2)+((GlobalWarmingPotentials!$C$11*M204)^2))</f>
        <v>0</v>
      </c>
    </row>
    <row r="205" spans="1:16" s="212" customFormat="1" x14ac:dyDescent="0.25">
      <c r="A205" s="776"/>
      <c r="B205" s="766"/>
      <c r="C205" s="764"/>
      <c r="D205" s="779"/>
      <c r="E205" s="766"/>
      <c r="F205" s="764"/>
      <c r="G205" s="779"/>
      <c r="H205" s="783"/>
      <c r="I205" s="764"/>
      <c r="J205" s="784"/>
      <c r="K205" s="783"/>
      <c r="L205" s="764"/>
      <c r="M205" s="784"/>
      <c r="N205" s="766"/>
      <c r="O205" s="764"/>
      <c r="P205" s="788"/>
    </row>
    <row r="206" spans="1:16" s="212" customFormat="1" x14ac:dyDescent="0.25">
      <c r="A206" s="387" t="s">
        <v>894</v>
      </c>
      <c r="B206" s="766"/>
      <c r="C206" s="764"/>
      <c r="D206" s="779"/>
      <c r="E206" s="766"/>
      <c r="F206" s="764"/>
      <c r="G206" s="779"/>
      <c r="H206" s="783"/>
      <c r="I206" s="764"/>
      <c r="J206" s="784"/>
      <c r="K206" s="783"/>
      <c r="L206" s="764"/>
      <c r="M206" s="784"/>
      <c r="N206" s="766"/>
      <c r="O206" s="764"/>
      <c r="P206" s="788"/>
    </row>
    <row r="207" spans="1:16" s="212" customFormat="1" x14ac:dyDescent="0.25">
      <c r="A207"/>
      <c r="B207" s="766"/>
      <c r="C207" s="764"/>
      <c r="D207" s="779"/>
      <c r="E207" s="766"/>
      <c r="F207" s="764"/>
      <c r="G207" s="779"/>
      <c r="H207" s="783"/>
      <c r="I207" s="764"/>
      <c r="J207" s="784"/>
      <c r="K207" s="783"/>
      <c r="L207" s="764"/>
      <c r="M207" s="784"/>
      <c r="N207" s="766"/>
      <c r="O207" s="764"/>
      <c r="P207" s="788"/>
    </row>
    <row r="208" spans="1:16" s="212" customFormat="1" x14ac:dyDescent="0.25">
      <c r="A208" t="str">
        <f>ShipTransport!A11</f>
        <v xml:space="preserve"> - Marine Diesel</v>
      </c>
      <c r="B208" s="791">
        <f>Unitflowchart!$S$64/Unitflowchart!$S$383*(ShipTransport!J11)*Unitflowchart!$S$79</f>
        <v>0</v>
      </c>
      <c r="C208" s="764">
        <f>(B208/B$398)*100</f>
        <v>0</v>
      </c>
      <c r="D208" s="792">
        <f>Unitflowchart!$S$64/Unitflowchart!$S$383*(ShipTransport!K11)*Unitflowchart!$S$79</f>
        <v>0</v>
      </c>
      <c r="E208" s="791">
        <f>Unitflowchart!$S$64/Unitflowchart!$S$383*(ShipTransport!P11)*Unitflowchart!$S$79</f>
        <v>0</v>
      </c>
      <c r="F208" s="764">
        <f>(E208/E$398)*100</f>
        <v>0</v>
      </c>
      <c r="G208" s="792">
        <f>Unitflowchart!$S$64/Unitflowchart!$S$383*(ShipTransport!Q11)*Unitflowchart!$S$79</f>
        <v>0</v>
      </c>
      <c r="H208" s="793">
        <f>Unitflowchart!$S80/Unitflowchart!$S$383*(ShipTransport!V11)*Unitflowchart!$S$79</f>
        <v>0</v>
      </c>
      <c r="I208" s="764">
        <f>(H208/H$398)*100</f>
        <v>0</v>
      </c>
      <c r="J208" s="794">
        <f>Unitflowchart!$S$64/Unitflowchart!$S$383*(ShipTransport!W11)*Unitflowchart!$S$79</f>
        <v>0</v>
      </c>
      <c r="K208" s="793">
        <f>Unitflowchart!$S$64/Unitflowchart!$S$383*(ShipTransport!AB11)*Unitflowchart!$S$79</f>
        <v>0</v>
      </c>
      <c r="L208" s="764">
        <f>(K208/K$398)*100</f>
        <v>0</v>
      </c>
      <c r="M208" s="794">
        <f>Unitflowchart!$S$64/Unitflowchart!$S$383*(ShipTransport!AC11)*Unitflowchart!$S$79</f>
        <v>0</v>
      </c>
      <c r="N208" s="791">
        <f>E208+(GlobalWarmingPotentials!$B$11*H208)+(GlobalWarmingPotentials!$C$11*K208)</f>
        <v>0</v>
      </c>
      <c r="O208" s="764">
        <f>(N208/N$398)*100</f>
        <v>0</v>
      </c>
      <c r="P208" s="796">
        <f>SQRT((G208^2)+((GlobalWarmingPotentials!$B$11*J208)^2)+((GlobalWarmingPotentials!$C$11*M208)^2))</f>
        <v>0</v>
      </c>
    </row>
    <row r="209" spans="1:23" s="212" customFormat="1" x14ac:dyDescent="0.25">
      <c r="A209" t="str">
        <f>ShipTransport!A12</f>
        <v xml:space="preserve"> - Ship Construction</v>
      </c>
      <c r="B209" s="791">
        <f>Unitflowchart!$S$64/Unitflowchart!$S$383*(ShipTransport!J12)*Unitflowchart!$S$79</f>
        <v>0</v>
      </c>
      <c r="C209" s="764">
        <f>(B209/B$398)*100</f>
        <v>0</v>
      </c>
      <c r="D209" s="792">
        <f>Unitflowchart!$S$64/Unitflowchart!$S$383*(ShipTransport!K12)*Unitflowchart!$S$79</f>
        <v>0</v>
      </c>
      <c r="E209" s="791">
        <f>Unitflowchart!$S$64/Unitflowchart!$S$383*(ShipTransport!P12)*Unitflowchart!$S$79</f>
        <v>0</v>
      </c>
      <c r="F209" s="764">
        <f>(E209/E$398)*100</f>
        <v>0</v>
      </c>
      <c r="G209" s="792">
        <f>Unitflowchart!$S$64/Unitflowchart!$S$383*(ShipTransport!Q12)*Unitflowchart!$S$79</f>
        <v>0</v>
      </c>
      <c r="H209" s="793">
        <f>Unitflowchart!$S81/Unitflowchart!$S$383*(ShipTransport!V12)*Unitflowchart!$S$79</f>
        <v>0</v>
      </c>
      <c r="I209" s="764">
        <f>(H209/H$398)*100</f>
        <v>0</v>
      </c>
      <c r="J209" s="794">
        <f>Unitflowchart!$S$64/Unitflowchart!$S$383*(ShipTransport!W12)*Unitflowchart!$S$79</f>
        <v>0</v>
      </c>
      <c r="K209" s="793">
        <f>Unitflowchart!$S$64/Unitflowchart!$S$383*(ShipTransport!AB12)*Unitflowchart!$S$79</f>
        <v>0</v>
      </c>
      <c r="L209" s="764">
        <f>(K209/K$398)*100</f>
        <v>0</v>
      </c>
      <c r="M209" s="794">
        <f>Unitflowchart!$S$64/Unitflowchart!$S$383*(ShipTransport!AC12)*Unitflowchart!$S$79</f>
        <v>0</v>
      </c>
      <c r="N209" s="791">
        <f>E209+(GlobalWarmingPotentials!$B$11*H209)+(GlobalWarmingPotentials!$C$11*K209)</f>
        <v>0</v>
      </c>
      <c r="O209" s="764">
        <f>(N209/N$398)*100</f>
        <v>0</v>
      </c>
      <c r="P209" s="796">
        <f>SQRT((G209^2)+((GlobalWarmingPotentials!$B$11*J209)^2)+((GlobalWarmingPotentials!$C$11*M209)^2))</f>
        <v>0</v>
      </c>
    </row>
    <row r="210" spans="1:23" s="212" customFormat="1" x14ac:dyDescent="0.25">
      <c r="A210" t="str">
        <f>ShipTransport!A13</f>
        <v xml:space="preserve"> - Ship Maintenance</v>
      </c>
      <c r="B210" s="791">
        <f>Unitflowchart!$S$64/Unitflowchart!$S$383*(ShipTransport!J13)*Unitflowchart!$S$79</f>
        <v>0</v>
      </c>
      <c r="C210" s="764">
        <f>(B210/B$398)*100</f>
        <v>0</v>
      </c>
      <c r="D210" s="792">
        <f>Unitflowchart!$S$64/Unitflowchart!$S$383*(ShipTransport!K13)*Unitflowchart!$S$79</f>
        <v>0</v>
      </c>
      <c r="E210" s="791">
        <f>Unitflowchart!$S$64/Unitflowchart!$S$383*(ShipTransport!P13)*Unitflowchart!$S$79</f>
        <v>0</v>
      </c>
      <c r="F210" s="764">
        <f>(E210/E$398)*100</f>
        <v>0</v>
      </c>
      <c r="G210" s="792">
        <f>Unitflowchart!$S$64/Unitflowchart!$S$383*(ShipTransport!Q13)*Unitflowchart!$S$79</f>
        <v>0</v>
      </c>
      <c r="H210" s="793">
        <f>Unitflowchart!$S82/Unitflowchart!$S$383*(ShipTransport!V13)*Unitflowchart!$S$79</f>
        <v>0</v>
      </c>
      <c r="I210" s="764">
        <f>(H210/H$398)*100</f>
        <v>0</v>
      </c>
      <c r="J210" s="794">
        <f>Unitflowchart!$S$64/Unitflowchart!$S$383*(ShipTransport!W13)*Unitflowchart!$S$79</f>
        <v>0</v>
      </c>
      <c r="K210" s="793">
        <f>Unitflowchart!$S$64/Unitflowchart!$S$383*(ShipTransport!AB13)*Unitflowchart!$S$79</f>
        <v>0</v>
      </c>
      <c r="L210" s="764">
        <f>(K210/K$398)*100</f>
        <v>0</v>
      </c>
      <c r="M210" s="794">
        <f>Unitflowchart!$S$64/Unitflowchart!$S$383*(ShipTransport!AC13)*Unitflowchart!$S$79</f>
        <v>0</v>
      </c>
      <c r="N210" s="791">
        <f>E210+(GlobalWarmingPotentials!$B$11*H210)+(GlobalWarmingPotentials!$C$11*K210)</f>
        <v>0</v>
      </c>
      <c r="O210" s="764">
        <f>(N210/N$398)*100</f>
        <v>0</v>
      </c>
      <c r="P210" s="796">
        <f>SQRT((G210^2)+((GlobalWarmingPotentials!$B$11*J210)^2)+((GlobalWarmingPotentials!$C$11*M210)^2))</f>
        <v>0</v>
      </c>
    </row>
    <row r="211" spans="1:23" s="212" customFormat="1" x14ac:dyDescent="0.25">
      <c r="A211"/>
      <c r="B211" s="766"/>
      <c r="C211" s="764"/>
      <c r="D211" s="779"/>
      <c r="E211" s="766"/>
      <c r="F211" s="764"/>
      <c r="G211" s="779"/>
      <c r="H211" s="783"/>
      <c r="I211" s="764"/>
      <c r="J211" s="784"/>
      <c r="K211" s="783"/>
      <c r="L211" s="764"/>
      <c r="M211" s="784"/>
      <c r="N211" s="766"/>
      <c r="O211" s="764"/>
      <c r="P211" s="788"/>
    </row>
    <row r="212" spans="1:23" s="212" customFormat="1" x14ac:dyDescent="0.25">
      <c r="A212" s="715" t="s">
        <v>895</v>
      </c>
      <c r="B212" s="797">
        <f>Unitflowchart!$S$64/Unitflowchart!$S$383*(ShipTransport!J15)*Unitflowchart!$S$79</f>
        <v>0</v>
      </c>
      <c r="C212" s="789">
        <f>(B212/B$398)*100</f>
        <v>0</v>
      </c>
      <c r="D212" s="798">
        <f>Unitflowchart!$S$64/Unitflowchart!$S$383*(ShipTransport!K15)*Unitflowchart!$S$79</f>
        <v>0</v>
      </c>
      <c r="E212" s="797">
        <f>Unitflowchart!$S$64/Unitflowchart!$S$383*(ShipTransport!P15)*Unitflowchart!$S$79</f>
        <v>0</v>
      </c>
      <c r="F212" s="789">
        <f>(E212/E$398)*100</f>
        <v>0</v>
      </c>
      <c r="G212" s="798">
        <f>Unitflowchart!$S$64/Unitflowchart!$S$383*(ShipTransport!Q15)*Unitflowchart!$S$79</f>
        <v>0</v>
      </c>
      <c r="H212" s="799">
        <f>Unitflowchart!$S84/Unitflowchart!$S$383*(ShipTransport!V15)*Unitflowchart!$S$79</f>
        <v>0</v>
      </c>
      <c r="I212" s="789">
        <f>(H212/H$398)*100</f>
        <v>0</v>
      </c>
      <c r="J212" s="800">
        <f>Unitflowchart!$S$64/Unitflowchart!$S$383*(ShipTransport!W15)*Unitflowchart!$S$79</f>
        <v>0</v>
      </c>
      <c r="K212" s="799">
        <f>Unitflowchart!$S$64/Unitflowchart!$S$383*(ShipTransport!AB15)*Unitflowchart!$S$79</f>
        <v>0</v>
      </c>
      <c r="L212" s="789">
        <f>(K212/K$398)*100</f>
        <v>0</v>
      </c>
      <c r="M212" s="800">
        <f>Unitflowchart!$S$64/Unitflowchart!$S$383*(ShipTransport!AC15)*Unitflowchart!$S$79</f>
        <v>0</v>
      </c>
      <c r="N212" s="797">
        <f>E212+(GlobalWarmingPotentials!$B$11*H212)+(GlobalWarmingPotentials!$C$11*K212)</f>
        <v>0</v>
      </c>
      <c r="O212" s="789">
        <f>(N212/N$398)*100</f>
        <v>0</v>
      </c>
      <c r="P212" s="801">
        <f>SQRT((G212^2)+((GlobalWarmingPotentials!$B$11*J212)^2)+((GlobalWarmingPotentials!$C$11*M212)^2))</f>
        <v>0</v>
      </c>
    </row>
    <row r="213" spans="1:23" s="361" customFormat="1" x14ac:dyDescent="0.25">
      <c r="A213" s="777"/>
      <c r="B213" s="780"/>
      <c r="C213" s="774"/>
      <c r="D213" s="781"/>
      <c r="E213" s="780"/>
      <c r="F213" s="774"/>
      <c r="G213" s="781"/>
      <c r="H213" s="785"/>
      <c r="I213" s="774"/>
      <c r="J213" s="786"/>
      <c r="K213" s="785"/>
      <c r="L213" s="774"/>
      <c r="M213" s="786"/>
      <c r="N213" s="780"/>
      <c r="O213" s="774"/>
      <c r="P213" s="781"/>
    </row>
    <row r="214" spans="1:23" x14ac:dyDescent="0.25">
      <c r="A214" s="21" t="s">
        <v>869</v>
      </c>
      <c r="B214" s="768">
        <f>B188+B196+B204+B212</f>
        <v>0</v>
      </c>
      <c r="C214" s="769">
        <f>(B214/B$398)*100</f>
        <v>0</v>
      </c>
      <c r="D214" s="770">
        <f>SQRT((D188^2)+(D196^2)+(D204^2)+(D212^2))</f>
        <v>0</v>
      </c>
      <c r="E214" s="768">
        <f t="shared" ref="E214" si="46">E188+E196+E204+E212</f>
        <v>0</v>
      </c>
      <c r="F214" s="769">
        <f>(E214/E$398)*100</f>
        <v>0</v>
      </c>
      <c r="G214" s="770">
        <f t="shared" ref="G214" si="47">SQRT((G188^2)+(G196^2)+(G204^2)+(G212^2))</f>
        <v>0</v>
      </c>
      <c r="H214" s="771">
        <f t="shared" ref="H214" si="48">H188+H196+H204+H212</f>
        <v>0</v>
      </c>
      <c r="I214" s="769">
        <f>(H214/H$398)*100</f>
        <v>0</v>
      </c>
      <c r="J214" s="772">
        <f t="shared" ref="J214" si="49">SQRT((J188^2)+(J196^2)+(J204^2)+(J212^2))</f>
        <v>0</v>
      </c>
      <c r="K214" s="771">
        <f t="shared" ref="K214" si="50">K188+K196+K204+K212</f>
        <v>0</v>
      </c>
      <c r="L214" s="769">
        <f>(K214/K$398)*100</f>
        <v>0</v>
      </c>
      <c r="M214" s="772">
        <f t="shared" ref="M214" si="51">SQRT((M188^2)+(M196^2)+(M204^2)+(M212^2))</f>
        <v>0</v>
      </c>
      <c r="N214" s="768">
        <f t="shared" ref="N214" si="52">N188+N196+N204+N212</f>
        <v>0</v>
      </c>
      <c r="O214" s="769">
        <f>(N214/N$398)*100</f>
        <v>0</v>
      </c>
      <c r="P214" s="770">
        <f t="shared" ref="P214" si="53">SQRT((P188^2)+(P196^2)+(P204^2)+(P212^2))</f>
        <v>0</v>
      </c>
      <c r="Q214" s="30"/>
    </row>
    <row r="215" spans="1:23" s="43" customFormat="1" x14ac:dyDescent="0.25">
      <c r="A215" s="157"/>
      <c r="B215" s="1006"/>
      <c r="C215" s="1010"/>
      <c r="D215" s="1097"/>
      <c r="E215" s="1006"/>
      <c r="F215" s="1010"/>
      <c r="G215" s="1097"/>
      <c r="H215" s="1012"/>
      <c r="I215" s="1010"/>
      <c r="J215" s="1013"/>
      <c r="K215" s="1012"/>
      <c r="L215" s="1010"/>
      <c r="M215" s="1098"/>
      <c r="N215" s="1006"/>
      <c r="O215" s="1010"/>
      <c r="P215" s="1097"/>
      <c r="Q215" s="852"/>
    </row>
    <row r="216" spans="1:23" x14ac:dyDescent="0.25">
      <c r="A216" s="1439" t="s">
        <v>1809</v>
      </c>
      <c r="B216" s="1006"/>
      <c r="C216" s="1010"/>
      <c r="D216" s="1097"/>
      <c r="E216" s="1006"/>
      <c r="F216" s="1010"/>
      <c r="G216" s="1097"/>
      <c r="H216" s="1012"/>
      <c r="I216" s="1010"/>
      <c r="J216" s="1013"/>
      <c r="K216" s="1012"/>
      <c r="L216" s="1010"/>
      <c r="M216" s="1098"/>
      <c r="N216" s="1006"/>
      <c r="O216" s="1010"/>
      <c r="P216" s="1097"/>
      <c r="Q216" s="852"/>
      <c r="R216" s="43"/>
      <c r="S216" s="43"/>
      <c r="T216" s="43"/>
      <c r="U216" s="43"/>
      <c r="V216" s="43"/>
      <c r="W216" s="43"/>
    </row>
    <row r="217" spans="1:23" x14ac:dyDescent="0.25">
      <c r="A217" s="29"/>
      <c r="B217" s="1006"/>
      <c r="C217" s="1010"/>
      <c r="D217" s="1097"/>
      <c r="E217" s="1006"/>
      <c r="F217" s="1010"/>
      <c r="G217" s="1097"/>
      <c r="H217" s="1012"/>
      <c r="I217" s="1010"/>
      <c r="J217" s="1013"/>
      <c r="K217" s="1012"/>
      <c r="L217" s="1010"/>
      <c r="M217" s="1098"/>
      <c r="N217" s="1006"/>
      <c r="O217" s="1010"/>
      <c r="P217" s="1097"/>
      <c r="Q217" s="852"/>
      <c r="R217" s="43"/>
      <c r="S217" s="43"/>
      <c r="T217" s="43"/>
      <c r="U217" s="43"/>
      <c r="V217" s="43"/>
      <c r="W217" s="43"/>
    </row>
    <row r="218" spans="1:23" x14ac:dyDescent="0.25">
      <c r="A218" s="1328" t="str">
        <f>Milling!A18</f>
        <v>Electricity Input</v>
      </c>
      <c r="B218" s="732">
        <f>Milling!J18*(Unitflowchart!$S$312/Unitflowchart!$S$383)</f>
        <v>0</v>
      </c>
      <c r="C218" s="764">
        <f>(B218/B$398)*100</f>
        <v>0</v>
      </c>
      <c r="D218" s="358">
        <f>Milling!K18*(Unitflowchart!$S$312/Unitflowchart!$S$383)</f>
        <v>0</v>
      </c>
      <c r="E218" s="732">
        <f>Milling!P18*(Unitflowchart!$S$312/Unitflowchart!$S$383)</f>
        <v>0</v>
      </c>
      <c r="F218" s="764">
        <f>(E218/E$398)*100</f>
        <v>0</v>
      </c>
      <c r="G218" s="358">
        <f>Milling!Q18*(Unitflowchart!$S$312/Unitflowchart!$S$383)</f>
        <v>0</v>
      </c>
      <c r="H218" s="732">
        <f>Milling!V18*(Unitflowchart!$S$312/Unitflowchart!$S$383)</f>
        <v>2.2858900532981945E-3</v>
      </c>
      <c r="I218" s="764">
        <f>(H218/H$398)*100</f>
        <v>0.22769439091597904</v>
      </c>
      <c r="J218" s="358">
        <f>Milling!W18*(Unitflowchart!$S$312/Unitflowchart!$S$383)</f>
        <v>0</v>
      </c>
      <c r="K218" s="732">
        <f>Milling!AB18*(Unitflowchart!$S$312/Unitflowchart!$S$383)</f>
        <v>6.8576701598945823E-4</v>
      </c>
      <c r="L218" s="764">
        <f>(K218/K$398)*100</f>
        <v>0.31562169912093874</v>
      </c>
      <c r="M218" s="491">
        <f>Milling!AC18*(Unitflowchart!$S$312/Unitflowchart!$S$383)</f>
        <v>0</v>
      </c>
      <c r="N218" s="727">
        <f>E218+(GlobalWarmingPotentials!$B$11*H218)+(GlobalWarmingPotentials!$C$11*K218)</f>
        <v>0.25556250795873808</v>
      </c>
      <c r="O218" s="764">
        <f>(N218/N$398)*100</f>
        <v>2.8657399389279546E-2</v>
      </c>
      <c r="P218" s="760">
        <f>SQRT((G218^2)+((GlobalWarmingPotentials!$B$11*J218)^2)+((GlobalWarmingPotentials!$C$11*M218)^2))</f>
        <v>0</v>
      </c>
      <c r="Q218" s="30"/>
    </row>
    <row r="219" spans="1:23" s="43" customFormat="1" x14ac:dyDescent="0.25">
      <c r="A219" s="1096"/>
      <c r="B219" s="766"/>
      <c r="C219" s="764"/>
      <c r="D219" s="827"/>
      <c r="E219" s="766"/>
      <c r="F219" s="764"/>
      <c r="G219" s="827"/>
      <c r="H219" s="766"/>
      <c r="I219" s="764"/>
      <c r="J219" s="827"/>
      <c r="K219" s="766"/>
      <c r="L219" s="764"/>
      <c r="M219" s="779"/>
      <c r="N219" s="1006"/>
      <c r="O219" s="1010"/>
      <c r="P219" s="1097"/>
      <c r="Q219" s="852"/>
    </row>
    <row r="220" spans="1:23" s="7" customFormat="1" x14ac:dyDescent="0.25">
      <c r="A220" s="715" t="s">
        <v>1810</v>
      </c>
      <c r="B220" s="730">
        <f>Milling!J20*(Unitflowchart!$S$312/Unitflowchart!$S$383)</f>
        <v>0</v>
      </c>
      <c r="C220" s="1327">
        <f>(B220/B$398)*100</f>
        <v>0</v>
      </c>
      <c r="D220" s="737">
        <f>Milling!K20*(Unitflowchart!$S$312/Unitflowchart!$S$383)</f>
        <v>0</v>
      </c>
      <c r="E220" s="730">
        <f>Milling!P20*(Unitflowchart!$S$312/Unitflowchart!$S$383)</f>
        <v>0</v>
      </c>
      <c r="F220" s="790">
        <f>(E220/E$398)*100</f>
        <v>0</v>
      </c>
      <c r="G220" s="737">
        <f>Milling!Q20*(Unitflowchart!$S$312/Unitflowchart!$S$383)</f>
        <v>0</v>
      </c>
      <c r="H220" s="730">
        <f>Milling!V20*(Unitflowchart!$S$312/Unitflowchart!$S$383)</f>
        <v>2.2858900532981945E-3</v>
      </c>
      <c r="I220" s="790">
        <f>(H220/H$398)*100</f>
        <v>0.22769439091597904</v>
      </c>
      <c r="J220" s="737">
        <f>Milling!W20*(Unitflowchart!$S$312/Unitflowchart!$S$383)</f>
        <v>0</v>
      </c>
      <c r="K220" s="730">
        <f>Milling!AB20*(Unitflowchart!$S$312/Unitflowchart!$S$383)</f>
        <v>6.8576701598945823E-4</v>
      </c>
      <c r="L220" s="790">
        <f>(K220/K$398)*100</f>
        <v>0.31562169912093874</v>
      </c>
      <c r="M220" s="740">
        <f>Milling!AC20*(Unitflowchart!$S$312/Unitflowchart!$S$383)</f>
        <v>0</v>
      </c>
      <c r="N220" s="730">
        <f>E220+(GlobalWarmingPotentials!$B$11*H220)+(GlobalWarmingPotentials!$C$11*K220)</f>
        <v>0.25556250795873808</v>
      </c>
      <c r="O220" s="790">
        <f>(N220/N$398)*100</f>
        <v>2.8657399389279546E-2</v>
      </c>
      <c r="P220" s="759">
        <f>SQRT((G220^2)+((GlobalWarmingPotentials!$B$11*J220)^2)+((GlobalWarmingPotentials!$C$11*M220)^2))</f>
        <v>0</v>
      </c>
      <c r="Q220" s="29"/>
    </row>
    <row r="221" spans="1:23" x14ac:dyDescent="0.25">
      <c r="B221" s="728"/>
      <c r="D221" s="735"/>
      <c r="E221" s="728"/>
      <c r="G221" s="735"/>
      <c r="H221" s="31"/>
      <c r="J221" s="724"/>
      <c r="K221" s="31"/>
      <c r="M221" s="724"/>
      <c r="N221" s="728"/>
      <c r="P221" s="735"/>
      <c r="Q221" s="30"/>
    </row>
    <row r="222" spans="1:23" x14ac:dyDescent="0.25">
      <c r="A222" s="2" t="s">
        <v>1811</v>
      </c>
      <c r="B222" s="728"/>
      <c r="D222" s="735"/>
      <c r="E222" s="728"/>
      <c r="G222" s="735"/>
      <c r="H222" s="31"/>
      <c r="J222" s="724"/>
      <c r="K222" s="31"/>
      <c r="M222" s="724"/>
      <c r="N222" s="728"/>
      <c r="P222" s="735"/>
      <c r="Q222" s="30"/>
    </row>
    <row r="223" spans="1:23" x14ac:dyDescent="0.25">
      <c r="B223" s="728"/>
      <c r="D223" s="735"/>
      <c r="E223" s="728"/>
      <c r="G223" s="735"/>
      <c r="H223" s="31"/>
      <c r="J223" s="724"/>
      <c r="K223" s="31"/>
      <c r="M223" s="724"/>
      <c r="N223" s="728"/>
      <c r="P223" s="735"/>
      <c r="Q223" s="30"/>
    </row>
    <row r="224" spans="1:23" x14ac:dyDescent="0.25">
      <c r="A224" t="str">
        <f>'Pre-TreatHydrolysis'!A29</f>
        <v>Heat Input</v>
      </c>
      <c r="B224" s="732">
        <f>'Pre-TreatHydrolysis'!J29*(Unitflowchart!$S$312/Unitflowchart!$S$383)</f>
        <v>0</v>
      </c>
      <c r="C224" s="26">
        <f t="shared" ref="C224:C235" si="54">(B224/B$398)*100</f>
        <v>0</v>
      </c>
      <c r="D224" s="358">
        <f>'Pre-TreatHydrolysis'!K29*(Unitflowchart!$S$312/Unitflowchart!$S$383)</f>
        <v>0</v>
      </c>
      <c r="E224" s="732">
        <f>'Pre-TreatHydrolysis'!P29*(Unitflowchart!$S$312/Unitflowchart!$S$383)</f>
        <v>0</v>
      </c>
      <c r="F224" s="26">
        <f t="shared" ref="F224:F235" si="55">(E224/E$398)*100</f>
        <v>0</v>
      </c>
      <c r="G224" s="358">
        <f>'Pre-TreatHydrolysis'!Q29*(Unitflowchart!$S$312/Unitflowchart!$S$383)</f>
        <v>0</v>
      </c>
      <c r="H224" s="749">
        <f>'Pre-TreatHydrolysis'!V29*(Unitflowchart!$S$312/Unitflowchart!$S$383)</f>
        <v>4.5421214065377727E-3</v>
      </c>
      <c r="I224" s="26">
        <f t="shared" ref="I224:I235" si="56">(H224/H$398)*100</f>
        <v>0.45243451916501021</v>
      </c>
      <c r="J224" s="752">
        <f>'Pre-TreatHydrolysis'!W29*(Unitflowchart!$S$312/Unitflowchart!$S$383)</f>
        <v>0</v>
      </c>
      <c r="K224" s="749">
        <f>'Pre-TreatHydrolysis'!AB29*(Unitflowchart!$S$312/Unitflowchart!$S$383)</f>
        <v>1.3626364219613315E-3</v>
      </c>
      <c r="L224" s="26">
        <f t="shared" ref="L224:L235" si="57">(K224/K$398)*100</f>
        <v>0.62714830657606779</v>
      </c>
      <c r="M224" s="752">
        <f>'Pre-TreatHydrolysis'!AC29*(Unitflowchart!$S$312/Unitflowchart!$S$383)</f>
        <v>0</v>
      </c>
      <c r="N224" s="727">
        <f>E224+(GlobalWarmingPotentials!$B$11*H224)+(GlobalWarmingPotentials!$C$11*K224)</f>
        <v>0.5078091732509229</v>
      </c>
      <c r="O224" s="26">
        <f t="shared" ref="O224:O235" si="58">(N224/N$398)*100</f>
        <v>5.6942978090280462E-2</v>
      </c>
      <c r="P224" s="760">
        <f>SQRT((G224^2)+((GlobalWarmingPotentials!$B$11*J224)^2)+((GlobalWarmingPotentials!$C$11*M224)^2))</f>
        <v>0</v>
      </c>
      <c r="Q224" s="30"/>
    </row>
    <row r="225" spans="1:17" x14ac:dyDescent="0.25">
      <c r="A225" t="str">
        <f>'Pre-TreatHydrolysis'!A30</f>
        <v>Electricity Input</v>
      </c>
      <c r="B225" s="732">
        <f>'Pre-TreatHydrolysis'!J30*(Unitflowchart!$S$312/Unitflowchart!$S$383)</f>
        <v>0</v>
      </c>
      <c r="C225" s="26">
        <f t="shared" si="54"/>
        <v>0</v>
      </c>
      <c r="D225" s="358">
        <f>'Pre-TreatHydrolysis'!K30*(Unitflowchart!$S$312/Unitflowchart!$S$383)</f>
        <v>0</v>
      </c>
      <c r="E225" s="732">
        <f>'Pre-TreatHydrolysis'!P30*(Unitflowchart!$S$312/Unitflowchart!$S$383)</f>
        <v>0</v>
      </c>
      <c r="F225" s="26">
        <f t="shared" si="55"/>
        <v>0</v>
      </c>
      <c r="G225" s="358">
        <f>'Pre-TreatHydrolysis'!Q30*(Unitflowchart!$S$312/Unitflowchart!$S$383)</f>
        <v>0</v>
      </c>
      <c r="H225" s="749">
        <f>'Pre-TreatHydrolysis'!V30*(Unitflowchart!$S$312/Unitflowchart!$S$383)</f>
        <v>3.4527067165798363E-2</v>
      </c>
      <c r="I225" s="26">
        <f t="shared" si="56"/>
        <v>3.439194075449266</v>
      </c>
      <c r="J225" s="752">
        <f>'Pre-TreatHydrolysis'!W30*(Unitflowchart!$S$312/Unitflowchart!$S$383)</f>
        <v>0</v>
      </c>
      <c r="K225" s="749">
        <f>'Pre-TreatHydrolysis'!AB30*(Unitflowchart!$S$312/Unitflowchart!$S$383)</f>
        <v>1.0358120149739506E-2</v>
      </c>
      <c r="L225" s="26">
        <f t="shared" si="57"/>
        <v>4.7672859807096222</v>
      </c>
      <c r="M225" s="752">
        <f>'Pre-TreatHydrolysis'!AC30*(Unitflowchart!$S$312/Unitflowchart!$S$383)</f>
        <v>0</v>
      </c>
      <c r="N225" s="727">
        <f>E225+(GlobalWarmingPotentials!$B$11*H225)+(GlobalWarmingPotentials!$C$11*K225)</f>
        <v>3.8601261091362558</v>
      </c>
      <c r="O225" s="26">
        <f t="shared" si="58"/>
        <v>0.43285369393997236</v>
      </c>
      <c r="P225" s="760">
        <f>SQRT((G225^2)+((GlobalWarmingPotentials!$B$11*J225)^2)+((GlobalWarmingPotentials!$C$11*M225)^2))</f>
        <v>0</v>
      </c>
      <c r="Q225" s="30"/>
    </row>
    <row r="226" spans="1:17" x14ac:dyDescent="0.25">
      <c r="A226" t="str">
        <f>'Pre-TreatHydrolysis'!A31</f>
        <v>Sulphuric Acid (93%) Input</v>
      </c>
      <c r="B226" s="732">
        <f>'Pre-TreatHydrolysis'!J31*(Unitflowchart!$S$312/Unitflowchart!$S$383)</f>
        <v>439.02109916033982</v>
      </c>
      <c r="C226" s="26">
        <f t="shared" si="54"/>
        <v>3.3915956930542528</v>
      </c>
      <c r="D226" s="358">
        <f>'Pre-TreatHydrolysis'!K31*(Unitflowchart!$S$312/Unitflowchart!$S$383)</f>
        <v>493.89873655538236</v>
      </c>
      <c r="E226" s="732">
        <f>'Pre-TreatHydrolysis'!P31*(Unitflowchart!$S$312/Unitflowchart!$S$383)</f>
        <v>23.780309537851743</v>
      </c>
      <c r="F226" s="26">
        <f t="shared" si="55"/>
        <v>2.9563465965114522</v>
      </c>
      <c r="G226" s="358">
        <f>'Pre-TreatHydrolysis'!Q31*(Unitflowchart!$S$312/Unitflowchart!$S$383)</f>
        <v>29.268073277355988</v>
      </c>
      <c r="H226" s="749">
        <f>'Pre-TreatHydrolysis'!V31*(Unitflowchart!$S$312/Unitflowchart!$S$383)</f>
        <v>4.9389873655538229E-2</v>
      </c>
      <c r="I226" s="26">
        <f t="shared" si="56"/>
        <v>4.9196579613218701</v>
      </c>
      <c r="J226" s="752">
        <f>'Pre-TreatHydrolysis'!W31*(Unitflowchart!$S$312/Unitflowchart!$S$383)</f>
        <v>5.4877637395042471E-2</v>
      </c>
      <c r="K226" s="749">
        <f>'Pre-TreatHydrolysis'!AB31*(Unitflowchart!$S$312/Unitflowchart!$S$383)</f>
        <v>3.6585091596694981E-5</v>
      </c>
      <c r="L226" s="26">
        <f t="shared" si="57"/>
        <v>1.683815130067666E-2</v>
      </c>
      <c r="M226" s="752">
        <f>'Pre-TreatHydrolysis'!AC31*(Unitflowchart!$S$312/Unitflowchart!$S$383)</f>
        <v>5.4877637395042478E-5</v>
      </c>
      <c r="N226" s="727">
        <f>E226+(GlobalWarmingPotentials!$B$11*H226)+(GlobalWarmingPotentials!$C$11*K226)</f>
        <v>24.927105819041746</v>
      </c>
      <c r="O226" s="26">
        <f t="shared" si="58"/>
        <v>2.7951910191398204</v>
      </c>
      <c r="P226" s="760">
        <f>SQRT((G226^2)+((GlobalWarmingPotentials!$B$11*J226)^2)+((GlobalWarmingPotentials!$C$11*M226)^2))</f>
        <v>29.295281017078786</v>
      </c>
      <c r="Q226" s="30"/>
    </row>
    <row r="227" spans="1:17" x14ac:dyDescent="0.25">
      <c r="A227" t="str">
        <f>'Pre-TreatHydrolysis'!A32</f>
        <v>Caustic Soda Input</v>
      </c>
      <c r="B227" s="732">
        <f>'Pre-TreatHydrolysis'!J32*(Unitflowchart!$S$312/Unitflowchart!$S$383)</f>
        <v>0</v>
      </c>
      <c r="C227" s="26">
        <f t="shared" si="54"/>
        <v>0</v>
      </c>
      <c r="D227" s="358">
        <f>'Pre-TreatHydrolysis'!K32*(Unitflowchart!$S$312/Unitflowchart!$S$383)</f>
        <v>0</v>
      </c>
      <c r="E227" s="732">
        <f>'Pre-TreatHydrolysis'!P32*(Unitflowchart!$S$312/Unitflowchart!$S$383)</f>
        <v>0</v>
      </c>
      <c r="F227" s="26">
        <f t="shared" si="55"/>
        <v>0</v>
      </c>
      <c r="G227" s="358">
        <f>'Pre-TreatHydrolysis'!Q32*(Unitflowchart!$S$312/Unitflowchart!$S$383)</f>
        <v>0</v>
      </c>
      <c r="H227" s="749">
        <f>'Pre-TreatHydrolysis'!V32*(Unitflowchart!$S$312/Unitflowchart!$S$383)</f>
        <v>0</v>
      </c>
      <c r="I227" s="26">
        <f t="shared" si="56"/>
        <v>0</v>
      </c>
      <c r="J227" s="752">
        <f>'Pre-TreatHydrolysis'!W32*(Unitflowchart!$S$312/Unitflowchart!$S$383)</f>
        <v>0</v>
      </c>
      <c r="K227" s="749">
        <f>'Pre-TreatHydrolysis'!AB32*(Unitflowchart!$S$312/Unitflowchart!$S$383)</f>
        <v>0</v>
      </c>
      <c r="L227" s="26">
        <f t="shared" si="57"/>
        <v>0</v>
      </c>
      <c r="M227" s="752">
        <f>'Pre-TreatHydrolysis'!AC32*(Unitflowchart!$S$312/Unitflowchart!$S$383)</f>
        <v>0</v>
      </c>
      <c r="N227" s="727">
        <f>E227+(GlobalWarmingPotentials!$B$11*H227)+(GlobalWarmingPotentials!$C$11*K227)</f>
        <v>0</v>
      </c>
      <c r="O227" s="26">
        <f t="shared" si="58"/>
        <v>0</v>
      </c>
      <c r="P227" s="760">
        <f>SQRT((G227^2)+((GlobalWarmingPotentials!$B$11*J227)^2)+((GlobalWarmingPotentials!$C$11*M227)^2))</f>
        <v>0</v>
      </c>
      <c r="Q227" s="30"/>
    </row>
    <row r="228" spans="1:17" x14ac:dyDescent="0.25">
      <c r="A228" t="str">
        <f>'Pre-TreatHydrolysis'!A33</f>
        <v>Water Input</v>
      </c>
      <c r="B228" s="732">
        <f>'Pre-TreatHydrolysis'!J33*(Unitflowchart!$S$312/Unitflowchart!$S$383)</f>
        <v>0</v>
      </c>
      <c r="C228" s="26">
        <f t="shared" si="54"/>
        <v>0</v>
      </c>
      <c r="D228" s="358">
        <f>'Pre-TreatHydrolysis'!K33*(Unitflowchart!$S$312/Unitflowchart!$S$383)</f>
        <v>0</v>
      </c>
      <c r="E228" s="732">
        <f>'Pre-TreatHydrolysis'!P33*(Unitflowchart!$S$312/Unitflowchart!$S$383)</f>
        <v>0</v>
      </c>
      <c r="F228" s="26">
        <f t="shared" si="55"/>
        <v>0</v>
      </c>
      <c r="G228" s="358">
        <f>'Pre-TreatHydrolysis'!Q33*(Unitflowchart!$S$312/Unitflowchart!$S$383)</f>
        <v>0</v>
      </c>
      <c r="H228" s="749">
        <f>'Pre-TreatHydrolysis'!V33*(Unitflowchart!$S$312/Unitflowchart!$S$383)</f>
        <v>0</v>
      </c>
      <c r="I228" s="26">
        <f t="shared" si="56"/>
        <v>0</v>
      </c>
      <c r="J228" s="752">
        <f>'Pre-TreatHydrolysis'!W33*(Unitflowchart!$S$312/Unitflowchart!$S$383)</f>
        <v>0</v>
      </c>
      <c r="K228" s="749">
        <f>'Pre-TreatHydrolysis'!AB33*(Unitflowchart!$S$312/Unitflowchart!$S$383)</f>
        <v>0</v>
      </c>
      <c r="L228" s="26">
        <f t="shared" si="57"/>
        <v>0</v>
      </c>
      <c r="M228" s="752">
        <f>'Pre-TreatHydrolysis'!AC33*(Unitflowchart!$S$312/Unitflowchart!$S$383)</f>
        <v>0</v>
      </c>
      <c r="N228" s="727">
        <f>E228+(GlobalWarmingPotentials!$B$11*H228)+(GlobalWarmingPotentials!$C$11*K228)</f>
        <v>0</v>
      </c>
      <c r="O228" s="26">
        <f t="shared" si="58"/>
        <v>0</v>
      </c>
      <c r="P228" s="760">
        <f>SQRT((G228^2)+((GlobalWarmingPotentials!$B$11*J228)^2)+((GlobalWarmingPotentials!$C$11*M228)^2))</f>
        <v>0</v>
      </c>
      <c r="Q228" s="30"/>
    </row>
    <row r="229" spans="1:17" x14ac:dyDescent="0.25">
      <c r="A229" t="str">
        <f>'Pre-TreatHydrolysis'!A34</f>
        <v>Ammonia Input</v>
      </c>
      <c r="B229" s="732">
        <f>'Pre-TreatHydrolysis'!J34*(Unitflowchart!$S$312/Unitflowchart!$S$383)</f>
        <v>3432.542417454617</v>
      </c>
      <c r="C229" s="26">
        <f t="shared" si="54"/>
        <v>26.517623188340846</v>
      </c>
      <c r="D229" s="358">
        <f>'Pre-TreatHydrolysis'!K34*(Unitflowchart!$S$312/Unitflowchart!$S$383)</f>
        <v>548.77637395042461</v>
      </c>
      <c r="E229" s="732">
        <f>'Pre-TreatHydrolysis'!P34*(Unitflowchart!$S$312/Unitflowchart!$S$383)</f>
        <v>154.94862323306108</v>
      </c>
      <c r="F229" s="26">
        <f t="shared" si="55"/>
        <v>19.263072846047464</v>
      </c>
      <c r="G229" s="358">
        <f>'Pre-TreatHydrolysis'!Q34*(Unitflowchart!$S$312/Unitflowchart!$S$383)</f>
        <v>22.596674221488076</v>
      </c>
      <c r="H229" s="749">
        <f>'Pre-TreatHydrolysis'!V34*(Unitflowchart!$S$312/Unitflowchart!$S$383)</f>
        <v>0.33464598489918057</v>
      </c>
      <c r="I229" s="26">
        <f t="shared" si="56"/>
        <v>33.333630195448833</v>
      </c>
      <c r="J229" s="752">
        <f>'Pre-TreatHydrolysis'!W34*(Unitflowchart!$S$312/Unitflowchart!$S$383)</f>
        <v>5.2725573183472173E-2</v>
      </c>
      <c r="K229" s="749">
        <f>'Pre-TreatHydrolysis'!AB34*(Unitflowchart!$S$312/Unitflowchart!$S$383)</f>
        <v>4.1319632862149623E-4</v>
      </c>
      <c r="L229" s="26">
        <f t="shared" si="57"/>
        <v>0.19017206174881876</v>
      </c>
      <c r="M229" s="752">
        <f>'Pre-TreatHydrolysis'!AC34*(Unitflowchart!$S$312/Unitflowchart!$S$383)</f>
        <v>1.6893704060826799E-4</v>
      </c>
      <c r="N229" s="727">
        <f>E229+(GlobalWarmingPotentials!$B$11*H229)+(GlobalWarmingPotentials!$C$11*K229)</f>
        <v>162.76778699901422</v>
      </c>
      <c r="O229" s="26">
        <f t="shared" si="58"/>
        <v>18.251900550659183</v>
      </c>
      <c r="P229" s="760">
        <f>SQRT((G229^2)+((GlobalWarmingPotentials!$B$11*J229)^2)+((GlobalWarmingPotentials!$C$11*M229)^2))</f>
        <v>22.629246541549183</v>
      </c>
      <c r="Q229" s="30"/>
    </row>
    <row r="230" spans="1:17" x14ac:dyDescent="0.25">
      <c r="A230" t="str">
        <f>'Pre-TreatHydrolysis'!A35</f>
        <v>Corn Steep Liquor Input</v>
      </c>
      <c r="B230" s="732">
        <f>'Pre-TreatHydrolysis'!J35*(Unitflowchart!$S$312/Unitflowchart!$S$383)</f>
        <v>2317.0353052743817</v>
      </c>
      <c r="C230" s="26">
        <f t="shared" si="54"/>
        <v>17.899930042207764</v>
      </c>
      <c r="D230" s="358">
        <f>'Pre-TreatHydrolysis'!K35*(Unitflowchart!$S$312/Unitflowchart!$S$383)</f>
        <v>21.569447857643901</v>
      </c>
      <c r="E230" s="732">
        <f>'Pre-TreatHydrolysis'!P35*(Unitflowchart!$S$312/Unitflowchart!$S$383)</f>
        <v>123.88684286507934</v>
      </c>
      <c r="F230" s="26">
        <f t="shared" si="55"/>
        <v>15.401500374658822</v>
      </c>
      <c r="G230" s="358">
        <f>'Pre-TreatHydrolysis'!Q35*(Unitflowchart!$S$312/Unitflowchart!$S$383)</f>
        <v>12.990551315963438</v>
      </c>
      <c r="H230" s="749">
        <f>'Pre-TreatHydrolysis'!V35*(Unitflowchart!$S$312/Unitflowchart!$S$383)</f>
        <v>0.3083270081860372</v>
      </c>
      <c r="I230" s="26">
        <f t="shared" si="56"/>
        <v>30.712032816526573</v>
      </c>
      <c r="J230" s="752">
        <f>'Pre-TreatHydrolysis'!W35*(Unitflowchart!$S$312/Unitflowchart!$S$383)</f>
        <v>2.3219235654120913E-3</v>
      </c>
      <c r="K230" s="749">
        <f>'Pre-TreatHydrolysis'!AB35*(Unitflowchart!$S$312/Unitflowchart!$S$383)</f>
        <v>0.12171767742897067</v>
      </c>
      <c r="L230" s="26">
        <f t="shared" si="57"/>
        <v>56.020104886141986</v>
      </c>
      <c r="M230" s="752">
        <f>'Pre-TreatHydrolysis'!AC35*(Unitflowchart!$S$312/Unitflowchart!$S$383)</f>
        <v>2.4441300688548331E-4</v>
      </c>
      <c r="N230" s="727">
        <f>E230+(GlobalWarmingPotentials!$B$11*H230)+(GlobalWarmingPotentials!$C$11*K230)</f>
        <v>167.00679657233354</v>
      </c>
      <c r="O230" s="26">
        <f t="shared" si="58"/>
        <v>18.727240189982197</v>
      </c>
      <c r="P230" s="760">
        <f>SQRT((G230^2)+((GlobalWarmingPotentials!$B$11*J230)^2)+((GlobalWarmingPotentials!$C$11*M230)^2))</f>
        <v>12.990862538170362</v>
      </c>
      <c r="Q230" s="30"/>
    </row>
    <row r="231" spans="1:17" x14ac:dyDescent="0.25">
      <c r="A231" t="str">
        <f>'Pre-TreatHydrolysis'!A36</f>
        <v>Diammonium Phosphate Input</v>
      </c>
      <c r="B231" s="732">
        <f>'Pre-TreatHydrolysis'!J36*(Unitflowchart!$S$312/Unitflowchart!$S$383)</f>
        <v>157.10683619952158</v>
      </c>
      <c r="C231" s="26">
        <f t="shared" si="54"/>
        <v>1.2137067444429861</v>
      </c>
      <c r="D231" s="358">
        <f>'Pre-TreatHydrolysis'!K36*(Unitflowchart!$S$312/Unitflowchart!$S$383)</f>
        <v>23.518987455018202</v>
      </c>
      <c r="E231" s="732">
        <f>'Pre-TreatHydrolysis'!P36*(Unitflowchart!$S$312/Unitflowchart!$S$383)</f>
        <v>8.7537671307577742</v>
      </c>
      <c r="F231" s="26">
        <f t="shared" si="55"/>
        <v>1.088260420768578</v>
      </c>
      <c r="G231" s="358">
        <f>'Pre-TreatHydrolysis'!Q36*(Unitflowchart!$S$312/Unitflowchart!$S$383)</f>
        <v>1.3130650696136661</v>
      </c>
      <c r="H231" s="749">
        <f>'Pre-TreatHydrolysis'!V36*(Unitflowchart!$S$312/Unitflowchart!$S$383)</f>
        <v>1.6933670967613106E-2</v>
      </c>
      <c r="I231" s="26">
        <f t="shared" si="56"/>
        <v>1.6867398724532123</v>
      </c>
      <c r="J231" s="752">
        <f>'Pre-TreatHydrolysis'!W36*(Unitflowchart!$S$312/Unitflowchart!$S$383)</f>
        <v>2.5400506451419658E-3</v>
      </c>
      <c r="K231" s="749">
        <f>'Pre-TreatHydrolysis'!AB36*(Unitflowchart!$S$312/Unitflowchart!$S$383)</f>
        <v>0</v>
      </c>
      <c r="L231" s="26">
        <f t="shared" si="57"/>
        <v>0</v>
      </c>
      <c r="M231" s="752">
        <f>'Pre-TreatHydrolysis'!AC36*(Unitflowchart!$S$312/Unitflowchart!$S$383)</f>
        <v>0</v>
      </c>
      <c r="N231" s="727">
        <f>E231+(GlobalWarmingPotentials!$B$11*H231)+(GlobalWarmingPotentials!$C$11*K231)</f>
        <v>9.1432415630128752</v>
      </c>
      <c r="O231" s="26">
        <f t="shared" si="58"/>
        <v>1.0252737276558004</v>
      </c>
      <c r="P231" s="760">
        <f>SQRT((G231^2)+((GlobalWarmingPotentials!$B$11*J231)^2)+((GlobalWarmingPotentials!$C$11*M231)^2))</f>
        <v>1.3143640703932078</v>
      </c>
      <c r="Q231" s="30"/>
    </row>
    <row r="232" spans="1:17" x14ac:dyDescent="0.25">
      <c r="A232" t="str">
        <f>'Pre-TreatHydrolysis'!A37</f>
        <v>Sorbitol Input</v>
      </c>
      <c r="B232" s="732">
        <f>'Pre-TreatHydrolysis'!J37*(Unitflowchart!$S$312/Unitflowchart!$S$383)</f>
        <v>41.119798328218096</v>
      </c>
      <c r="C232" s="26">
        <f t="shared" si="54"/>
        <v>0.31766521284734334</v>
      </c>
      <c r="D232" s="358">
        <f>'Pre-TreatHydrolysis'!K37*(Unitflowchart!$S$312/Unitflowchart!$S$383)</f>
        <v>6.1871846082645927</v>
      </c>
      <c r="E232" s="732">
        <f>'Pre-TreatHydrolysis'!P37*(Unitflowchart!$S$312/Unitflowchart!$S$383)</f>
        <v>2.7630967287840011</v>
      </c>
      <c r="F232" s="26">
        <f t="shared" si="55"/>
        <v>0.34350568889653094</v>
      </c>
      <c r="G232" s="358">
        <f>'Pre-TreatHydrolysis'!Q37*(Unitflowchart!$S$312/Unitflowchart!$S$383)</f>
        <v>0.41504095508855648</v>
      </c>
      <c r="H232" s="749">
        <f>'Pre-TreatHydrolysis'!V37*(Unitflowchart!$S$312/Unitflowchart!$S$383)</f>
        <v>3.9582609605667892E-3</v>
      </c>
      <c r="I232" s="26">
        <f t="shared" si="56"/>
        <v>0.39427697635866216</v>
      </c>
      <c r="J232" s="752">
        <f>'Pre-TreatHydrolysis'!W37*(Unitflowchart!$S$312/Unitflowchart!$S$383)</f>
        <v>5.7644577095632837E-4</v>
      </c>
      <c r="K232" s="749">
        <f>'Pre-TreatHydrolysis'!AB37*(Unitflowchart!$S$312/Unitflowchart!$S$383)</f>
        <v>3.9966906786305439E-3</v>
      </c>
      <c r="L232" s="26">
        <f t="shared" si="57"/>
        <v>1.8394619067966098</v>
      </c>
      <c r="M232" s="752">
        <f>'Pre-TreatHydrolysis'!AC37*(Unitflowchart!$S$312/Unitflowchart!$S$383)</f>
        <v>6.1487548902008373E-4</v>
      </c>
      <c r="N232" s="727">
        <f>E232+(GlobalWarmingPotentials!$B$11*H232)+(GlobalWarmingPotentials!$C$11*K232)</f>
        <v>4.0371571717516783</v>
      </c>
      <c r="O232" s="26">
        <f t="shared" si="58"/>
        <v>0.45270500118453044</v>
      </c>
      <c r="P232" s="760">
        <f>SQRT((G232^2)+((GlobalWarmingPotentials!$B$11*J232)^2)+((GlobalWarmingPotentials!$C$11*M232)^2))</f>
        <v>0.45338716387343386</v>
      </c>
      <c r="Q232" s="30"/>
    </row>
    <row r="233" spans="1:17" x14ac:dyDescent="0.25">
      <c r="A233" t="str">
        <f>'Pre-TreatHydrolysis'!A38</f>
        <v>Glucose Input</v>
      </c>
      <c r="B233" s="732">
        <f>'Pre-TreatHydrolysis'!J38*(Unitflowchart!$S$312/Unitflowchart!$S$383)</f>
        <v>1794.283536396732</v>
      </c>
      <c r="C233" s="26">
        <f t="shared" si="54"/>
        <v>13.8614848484509</v>
      </c>
      <c r="D233" s="358">
        <f>'Pre-TreatHydrolysis'!K38*(Unitflowchart!$S$312/Unitflowchart!$S$383)</f>
        <v>269.69976137143425</v>
      </c>
      <c r="E233" s="732">
        <f>'Pre-TreatHydrolysis'!P38*(Unitflowchart!$S$312/Unitflowchart!$S$383)</f>
        <v>200.60312829280232</v>
      </c>
      <c r="F233" s="26">
        <f t="shared" si="55"/>
        <v>24.93879966675788</v>
      </c>
      <c r="G233" s="358">
        <f>'Pre-TreatHydrolysis'!Q38*(Unitflowchart!$S$312/Unitflowchart!$S$383)</f>
        <v>30.090469243920349</v>
      </c>
      <c r="H233" s="749">
        <f>'Pre-TreatHydrolysis'!V38*(Unitflowchart!$S$312/Unitflowchart!$S$383)</f>
        <v>0</v>
      </c>
      <c r="I233" s="26">
        <f t="shared" si="56"/>
        <v>0</v>
      </c>
      <c r="J233" s="752">
        <f>'Pre-TreatHydrolysis'!W38*(Unitflowchart!$S$312/Unitflowchart!$S$383)</f>
        <v>0</v>
      </c>
      <c r="K233" s="749">
        <f>'Pre-TreatHydrolysis'!AB38*(Unitflowchart!$S$312/Unitflowchart!$S$383)</f>
        <v>0</v>
      </c>
      <c r="L233" s="26">
        <f t="shared" si="57"/>
        <v>0</v>
      </c>
      <c r="M233" s="752">
        <f>'Pre-TreatHydrolysis'!AC38*(Unitflowchart!$S$312/Unitflowchart!$S$383)</f>
        <v>0</v>
      </c>
      <c r="N233" s="727">
        <f>E233+(GlobalWarmingPotentials!$B$11*H233)+(GlobalWarmingPotentials!$C$11*K233)</f>
        <v>200.60312829280232</v>
      </c>
      <c r="O233" s="26">
        <f t="shared" si="58"/>
        <v>22.49455138057218</v>
      </c>
      <c r="P233" s="760">
        <f>SQRT((G233^2)+((GlobalWarmingPotentials!$B$11*J233)^2)+((GlobalWarmingPotentials!$C$11*M233)^2))</f>
        <v>30.090469243920349</v>
      </c>
      <c r="Q233" s="30"/>
    </row>
    <row r="234" spans="1:17" x14ac:dyDescent="0.25">
      <c r="A234" t="str">
        <f>'Pre-TreatHydrolysis'!A39</f>
        <v>Hot Nutrient Input</v>
      </c>
      <c r="B234" s="732">
        <f>'Pre-TreatHydrolysis'!J39*(Unitflowchart!$S$312/Unitflowchart!$S$383)</f>
        <v>49.497476866116742</v>
      </c>
      <c r="C234" s="26">
        <f t="shared" si="54"/>
        <v>0.38238578892278341</v>
      </c>
      <c r="D234" s="358">
        <f>'Pre-TreatHydrolysis'!K39*(Unitflowchart!$S$312/Unitflowchart!$S$383)</f>
        <v>7.439993417143012</v>
      </c>
      <c r="E234" s="732">
        <f>'Pre-TreatHydrolysis'!P39*(Unitflowchart!$S$312/Unitflowchart!$S$383)</f>
        <v>5.5338794011807533</v>
      </c>
      <c r="F234" s="26">
        <f t="shared" si="55"/>
        <v>0.68796688735883793</v>
      </c>
      <c r="G234" s="358">
        <f>'Pre-TreatHydrolysis'!Q39*(Unitflowchart!$S$312/Unitflowchart!$S$383)</f>
        <v>0.83008191017711308</v>
      </c>
      <c r="H234" s="749">
        <f>'Pre-TreatHydrolysis'!V39*(Unitflowchart!$S$312/Unitflowchart!$S$383)</f>
        <v>0</v>
      </c>
      <c r="I234" s="26">
        <f t="shared" si="56"/>
        <v>0</v>
      </c>
      <c r="J234" s="752">
        <f>'Pre-TreatHydrolysis'!W39*(Unitflowchart!$S$312/Unitflowchart!$S$383)</f>
        <v>0</v>
      </c>
      <c r="K234" s="749">
        <f>'Pre-TreatHydrolysis'!AB39*(Unitflowchart!$S$312/Unitflowchart!$S$383)</f>
        <v>0</v>
      </c>
      <c r="L234" s="26">
        <f t="shared" si="57"/>
        <v>0</v>
      </c>
      <c r="M234" s="752">
        <f>'Pre-TreatHydrolysis'!AC39*(Unitflowchart!$S$312/Unitflowchart!$S$383)</f>
        <v>0</v>
      </c>
      <c r="N234" s="727">
        <f>E234+(GlobalWarmingPotentials!$B$11*H234)+(GlobalWarmingPotentials!$C$11*K234)</f>
        <v>5.5338794011807533</v>
      </c>
      <c r="O234" s="26">
        <f t="shared" si="58"/>
        <v>0.62053934842957725</v>
      </c>
      <c r="P234" s="760">
        <f>SQRT((G234^2)+((GlobalWarmingPotentials!$B$11*J234)^2)+((GlobalWarmingPotentials!$C$11*M234)^2))</f>
        <v>0.83008191017711308</v>
      </c>
      <c r="Q234" s="30"/>
    </row>
    <row r="235" spans="1:17" x14ac:dyDescent="0.25">
      <c r="A235" t="str">
        <f>'Pre-TreatHydrolysis'!A40</f>
        <v>Sulphur Dioxide Input</v>
      </c>
      <c r="B235" s="732">
        <f>'Pre-TreatHydrolysis'!J40*(Unitflowchart!$S$312/Unitflowchart!$S$383)</f>
        <v>8.4545379740261506</v>
      </c>
      <c r="C235" s="26">
        <f t="shared" si="54"/>
        <v>6.5314342828425728E-2</v>
      </c>
      <c r="D235" s="358">
        <f>'Pre-TreatHydrolysis'!K40*(Unitflowchart!$S$312/Unitflowchart!$S$383)</f>
        <v>2.3057830838253137</v>
      </c>
      <c r="E235" s="732">
        <f>'Pre-TreatHydrolysis'!P40*(Unitflowchart!$S$312/Unitflowchart!$S$383)</f>
        <v>0.68404898153484306</v>
      </c>
      <c r="F235" s="26">
        <f t="shared" si="55"/>
        <v>8.5040351354078586E-2</v>
      </c>
      <c r="G235" s="358">
        <f>'Pre-TreatHydrolysis'!Q40*(Unitflowchart!$S$312/Unitflowchart!$S$383)</f>
        <v>0.18446264670602511</v>
      </c>
      <c r="H235" s="749">
        <f>'Pre-TreatHydrolysis'!V40*(Unitflowchart!$S$312/Unitflowchart!$S$383)</f>
        <v>1.9214859031877617E-5</v>
      </c>
      <c r="I235" s="26">
        <f t="shared" si="56"/>
        <v>1.9139659046536997E-3</v>
      </c>
      <c r="J235" s="752">
        <f>'Pre-TreatHydrolysis'!W40*(Unitflowchart!$S$312/Unitflowchart!$S$383)</f>
        <v>5.3801605289257322E-6</v>
      </c>
      <c r="K235" s="749">
        <f>'Pre-TreatHydrolysis'!AB40*(Unitflowchart!$S$312/Unitflowchart!$S$383)</f>
        <v>5.072722784415691E-6</v>
      </c>
      <c r="L235" s="26">
        <f t="shared" si="57"/>
        <v>2.3347016509341588E-3</v>
      </c>
      <c r="M235" s="752">
        <f>'Pre-TreatHydrolysis'!AC40*(Unitflowchart!$S$312/Unitflowchart!$S$383)</f>
        <v>1.3834698502951883E-6</v>
      </c>
      <c r="N235" s="727">
        <f>E235+(GlobalWarmingPotentials!$B$11*H235)+(GlobalWarmingPotentials!$C$11*K235)</f>
        <v>0.68599244923676328</v>
      </c>
      <c r="O235" s="26">
        <f t="shared" si="58"/>
        <v>7.6923488319272607E-2</v>
      </c>
      <c r="P235" s="760">
        <f>SQRT((G235^2)+((GlobalWarmingPotentials!$B$11*J235)^2)+((GlobalWarmingPotentials!$C$11*M235)^2))</f>
        <v>0.18446314276390885</v>
      </c>
      <c r="Q235" s="30"/>
    </row>
    <row r="236" spans="1:17" x14ac:dyDescent="0.25">
      <c r="B236" s="728"/>
      <c r="D236" s="735"/>
      <c r="E236" s="728"/>
      <c r="G236" s="735"/>
      <c r="H236" s="31"/>
      <c r="J236" s="724"/>
      <c r="K236" s="31"/>
      <c r="M236" s="724"/>
      <c r="N236" s="728"/>
      <c r="P236" s="735"/>
      <c r="Q236" s="30"/>
    </row>
    <row r="237" spans="1:17" x14ac:dyDescent="0.25">
      <c r="A237" s="805" t="s">
        <v>1812</v>
      </c>
      <c r="B237" s="730">
        <f>'Pre-TreatHydrolysis'!J42*(Unitflowchart!$S$312/Unitflowchart!$S$383)</f>
        <v>8239.0610076539524</v>
      </c>
      <c r="C237" s="15">
        <f>(B237/B$398)*100</f>
        <v>63.649705861095299</v>
      </c>
      <c r="D237" s="740">
        <f>'Pre-TreatHydrolysis'!K42*(Unitflowchart!$S$312/Unitflowchart!$S$383)</f>
        <v>786.7316995671614</v>
      </c>
      <c r="E237" s="730">
        <f>'Pre-TreatHydrolysis'!P42*(Unitflowchart!$S$312/Unitflowchart!$S$383)</f>
        <v>520.95369617105189</v>
      </c>
      <c r="F237" s="15">
        <f>(E237/E$398)*100</f>
        <v>64.764492832353653</v>
      </c>
      <c r="G237" s="740">
        <f>'Pre-TreatHydrolysis'!Q42*(Unitflowchart!$S$312/Unitflowchart!$S$383)</f>
        <v>49.43723316863327</v>
      </c>
      <c r="H237" s="215">
        <f>'Pre-TreatHydrolysis'!V42*(Unitflowchart!$S$312/Unitflowchart!$S$383)</f>
        <v>0.75234320210030403</v>
      </c>
      <c r="I237" s="15">
        <f>(H237/H$398)*100</f>
        <v>74.93988038262809</v>
      </c>
      <c r="J237" s="216">
        <f>'Pre-TreatHydrolysis'!W42*(Unitflowchart!$S$312/Unitflowchart!$S$383)</f>
        <v>7.618212820986249E-2</v>
      </c>
      <c r="K237" s="215">
        <f>'Pre-TreatHydrolysis'!AB42*(Unitflowchart!$S$312/Unitflowchart!$S$383)</f>
        <v>0.13788997882230464</v>
      </c>
      <c r="L237" s="15">
        <f>(K237/K$398)*100</f>
        <v>63.463345994924701</v>
      </c>
      <c r="M237" s="216">
        <f>'Pre-TreatHydrolysis'!AC42*(Unitflowchart!$S$312/Unitflowchart!$S$383)</f>
        <v>6.8510056028064849E-4</v>
      </c>
      <c r="N237" s="730">
        <f>E237+(GlobalWarmingPotentials!$B$11*H237)+(GlobalWarmingPotentials!$C$11*K237)</f>
        <v>579.07302355076104</v>
      </c>
      <c r="O237" s="15">
        <f>(N237/N$398)*100</f>
        <v>64.934121377972815</v>
      </c>
      <c r="P237" s="761">
        <f>SQRT((G237^2)+((GlobalWarmingPotentials!$B$11*J237)^2)+((GlobalWarmingPotentials!$C$11*M237)^2))</f>
        <v>49.468690231007074</v>
      </c>
      <c r="Q237" s="30"/>
    </row>
    <row r="238" spans="1:17" x14ac:dyDescent="0.25">
      <c r="B238" s="733"/>
      <c r="D238" s="735"/>
      <c r="E238" s="733"/>
      <c r="G238" s="735"/>
      <c r="H238" s="750"/>
      <c r="J238" s="724"/>
      <c r="K238" s="750"/>
      <c r="M238" s="724"/>
      <c r="N238" s="733"/>
      <c r="P238" s="735"/>
      <c r="Q238" s="30"/>
    </row>
    <row r="239" spans="1:17" x14ac:dyDescent="0.25">
      <c r="A239" s="2" t="s">
        <v>282</v>
      </c>
      <c r="B239" s="728"/>
      <c r="D239" s="735"/>
      <c r="E239" s="728"/>
      <c r="G239" s="735"/>
      <c r="H239" s="31"/>
      <c r="J239" s="724"/>
      <c r="K239" s="31"/>
      <c r="M239" s="724"/>
      <c r="N239" s="728"/>
      <c r="P239" s="735"/>
      <c r="Q239" s="30"/>
    </row>
    <row r="240" spans="1:17" x14ac:dyDescent="0.25">
      <c r="B240" s="728"/>
      <c r="D240" s="735"/>
      <c r="E240" s="728"/>
      <c r="G240" s="735"/>
      <c r="H240" s="31"/>
      <c r="J240" s="724"/>
      <c r="K240" s="31"/>
      <c r="M240" s="724"/>
      <c r="N240" s="728"/>
      <c r="P240" s="735"/>
      <c r="Q240" s="30"/>
    </row>
    <row r="241" spans="1:17" x14ac:dyDescent="0.25">
      <c r="A241" t="str">
        <f>Ferment!A19</f>
        <v>Heat Input</v>
      </c>
      <c r="B241" s="732">
        <f>Ferment!J19*Unitflowchart!$S$312/Unitflowchart!$S$383</f>
        <v>0</v>
      </c>
      <c r="C241" s="26">
        <f>(B241/B$398)*100</f>
        <v>0</v>
      </c>
      <c r="D241" s="358">
        <f>Ferment!K19*Unitflowchart!$S$312/Unitflowchart!$S$383</f>
        <v>0</v>
      </c>
      <c r="E241" s="732">
        <f>Ferment!P19*Unitflowchart!$S$312/Unitflowchart!$S$383</f>
        <v>0</v>
      </c>
      <c r="F241" s="26">
        <f>(E241/E$398)*100</f>
        <v>0</v>
      </c>
      <c r="G241" s="358">
        <f>Ferment!Q19*Unitflowchart!$S$312/Unitflowchart!$S$383</f>
        <v>0</v>
      </c>
      <c r="H241" s="749">
        <f>Ferment!V19*Unitflowchart!$S$312/Unitflowchart!$S$383</f>
        <v>0</v>
      </c>
      <c r="I241" s="26">
        <f>(H241/H$398)*100</f>
        <v>0</v>
      </c>
      <c r="J241" s="752">
        <f>Ferment!W19*Unitflowchart!$S$312/Unitflowchart!$S$383</f>
        <v>0</v>
      </c>
      <c r="K241" s="749">
        <f>Ferment!AB19*Unitflowchart!$S$312/Unitflowchart!$S$383</f>
        <v>0</v>
      </c>
      <c r="L241" s="26">
        <f>(K241/K$398)*100</f>
        <v>0</v>
      </c>
      <c r="M241" s="752">
        <f>Ferment!AC19*Unitflowchart!$S$312/Unitflowchart!$S$383</f>
        <v>0</v>
      </c>
      <c r="N241" s="727">
        <f>E241+(GlobalWarmingPotentials!$B$11*H241)+(GlobalWarmingPotentials!$C$11*K241)</f>
        <v>0</v>
      </c>
      <c r="O241" s="26">
        <f>(N241/N$398)*100</f>
        <v>0</v>
      </c>
      <c r="P241" s="760">
        <f>SQRT((G241^2)+((GlobalWarmingPotentials!$B$11*J241)^2)+((GlobalWarmingPotentials!$C$11*M241)^2))</f>
        <v>0</v>
      </c>
      <c r="Q241" s="30"/>
    </row>
    <row r="242" spans="1:17" x14ac:dyDescent="0.25">
      <c r="A242" t="str">
        <f>Ferment!A20</f>
        <v>Electricity Input</v>
      </c>
      <c r="B242" s="732">
        <f>Ferment!J20*Unitflowchart!$S$312/Unitflowchart!$S$383</f>
        <v>0</v>
      </c>
      <c r="C242" s="26">
        <f>(B242/B$398)*100</f>
        <v>0</v>
      </c>
      <c r="D242" s="358">
        <f>Ferment!K20*Unitflowchart!$S$312/Unitflowchart!$S$383</f>
        <v>0</v>
      </c>
      <c r="E242" s="732">
        <f>Ferment!P20*Unitflowchart!$S$312/Unitflowchart!$S$383</f>
        <v>0</v>
      </c>
      <c r="F242" s="26">
        <f>(E242/E$398)*100</f>
        <v>0</v>
      </c>
      <c r="G242" s="358">
        <f>Ferment!Q20*Unitflowchart!$S$312/Unitflowchart!$S$383</f>
        <v>0</v>
      </c>
      <c r="H242" s="749">
        <f>Ferment!V20*Unitflowchart!$S$312/Unitflowchart!$S$383</f>
        <v>3.3882352941176484E-4</v>
      </c>
      <c r="I242" s="26">
        <f>(H242/H$398)*100</f>
        <v>3.3749749707384598E-2</v>
      </c>
      <c r="J242" s="752">
        <f>Ferment!W20*Unitflowchart!$S$312/Unitflowchart!$S$383</f>
        <v>0</v>
      </c>
      <c r="K242" s="749">
        <f>Ferment!AB20*Unitflowchart!$S$312/Unitflowchart!$S$383</f>
        <v>1.0164705882352942E-4</v>
      </c>
      <c r="L242" s="26">
        <f>(K242/K$398)*100</f>
        <v>4.6782677889864475E-2</v>
      </c>
      <c r="M242" s="752">
        <f>Ferment!AC20*Unitflowchart!$S$312/Unitflowchart!$S$383</f>
        <v>0</v>
      </c>
      <c r="N242" s="727">
        <f>E242+(GlobalWarmingPotentials!$B$11*H242)+(GlobalWarmingPotentials!$C$11*K242)</f>
        <v>3.78804705882353E-2</v>
      </c>
      <c r="O242" s="26">
        <f>(N242/N$398)*100</f>
        <v>4.2477113852560288E-3</v>
      </c>
      <c r="P242" s="760">
        <f>SQRT((G242^2)+((GlobalWarmingPotentials!$B$11*J242)^2)+((GlobalWarmingPotentials!$C$11*M242)^2))</f>
        <v>0</v>
      </c>
      <c r="Q242" s="30"/>
    </row>
    <row r="243" spans="1:17" x14ac:dyDescent="0.25">
      <c r="B243" s="728"/>
      <c r="D243" s="735"/>
      <c r="E243" s="728"/>
      <c r="G243" s="735"/>
      <c r="H243" s="31"/>
      <c r="J243" s="724"/>
      <c r="K243" s="31"/>
      <c r="M243" s="724"/>
      <c r="N243" s="728"/>
      <c r="P243" s="735"/>
      <c r="Q243" s="30"/>
    </row>
    <row r="244" spans="1:17" x14ac:dyDescent="0.25">
      <c r="A244" s="218" t="s">
        <v>913</v>
      </c>
      <c r="B244" s="730">
        <f>Ferment!J22*Unitflowchart!$S$312/Unitflowchart!$S$383</f>
        <v>0</v>
      </c>
      <c r="C244" s="15">
        <f>(B244/B$398)*100</f>
        <v>0</v>
      </c>
      <c r="D244" s="740">
        <f>Ferment!K22*Unitflowchart!$S$312/Unitflowchart!$S$383</f>
        <v>0</v>
      </c>
      <c r="E244" s="730">
        <f>Ferment!P22*Unitflowchart!$S$312/Unitflowchart!$S$383</f>
        <v>0</v>
      </c>
      <c r="F244" s="15">
        <f>(E244/E$398)*100</f>
        <v>0</v>
      </c>
      <c r="G244" s="740">
        <f>Ferment!Q22*Unitflowchart!$S$312/Unitflowchart!$S$383</f>
        <v>0</v>
      </c>
      <c r="H244" s="215">
        <f>Ferment!V22*Unitflowchart!$S$312/Unitflowchart!$S$383</f>
        <v>3.3882352941176484E-4</v>
      </c>
      <c r="I244" s="15">
        <f>(H244/H$398)*100</f>
        <v>3.3749749707384598E-2</v>
      </c>
      <c r="J244" s="216">
        <f>Ferment!W22*Unitflowchart!$S$312/Unitflowchart!$S$383</f>
        <v>0</v>
      </c>
      <c r="K244" s="215">
        <f>Ferment!AB22*Unitflowchart!$S$312/Unitflowchart!$S$383</f>
        <v>1.0164705882352942E-4</v>
      </c>
      <c r="L244" s="15">
        <f>(K244/K$398)*100</f>
        <v>4.6782677889864475E-2</v>
      </c>
      <c r="M244" s="216">
        <f>Ferment!AC22*Unitflowchart!$S$312/Unitflowchart!$S$383</f>
        <v>0</v>
      </c>
      <c r="N244" s="730">
        <f>E244+(GlobalWarmingPotentials!$B$11*H244)+(GlobalWarmingPotentials!$C$11*K244)</f>
        <v>3.78804705882353E-2</v>
      </c>
      <c r="O244" s="15">
        <f>(N244/N$398)*100</f>
        <v>4.2477113852560288E-3</v>
      </c>
      <c r="P244" s="759">
        <f>SQRT((G244^2)+((GlobalWarmingPotentials!$B$11*J244)^2)+((GlobalWarmingPotentials!$C$11*M244)^2))</f>
        <v>0</v>
      </c>
    </row>
    <row r="245" spans="1:17" x14ac:dyDescent="0.25">
      <c r="B245" s="728"/>
      <c r="D245" s="735"/>
      <c r="E245" s="733"/>
      <c r="G245" s="735"/>
      <c r="H245" s="750"/>
      <c r="J245" s="724"/>
      <c r="K245" s="750"/>
      <c r="M245" s="724"/>
      <c r="N245" s="733"/>
      <c r="P245" s="735"/>
      <c r="Q245" s="30"/>
    </row>
    <row r="246" spans="1:17" x14ac:dyDescent="0.25">
      <c r="A246" s="2" t="s">
        <v>1716</v>
      </c>
      <c r="B246" s="728"/>
      <c r="D246" s="735"/>
      <c r="E246" s="728"/>
      <c r="G246" s="735"/>
      <c r="H246" s="31"/>
      <c r="J246" s="724"/>
      <c r="K246" s="31"/>
      <c r="M246" s="724"/>
      <c r="N246" s="728"/>
      <c r="P246" s="735"/>
      <c r="Q246" s="30"/>
    </row>
    <row r="247" spans="1:17" x14ac:dyDescent="0.25">
      <c r="B247" s="728"/>
      <c r="D247" s="735"/>
      <c r="E247" s="728"/>
      <c r="G247" s="735"/>
      <c r="H247" s="31"/>
      <c r="J247" s="724"/>
      <c r="K247" s="31"/>
      <c r="M247" s="724"/>
      <c r="N247" s="728"/>
      <c r="P247" s="735"/>
      <c r="Q247" s="30"/>
    </row>
    <row r="248" spans="1:17" x14ac:dyDescent="0.25">
      <c r="A248" t="str">
        <f>EthanolRecovery!A19</f>
        <v>Heat Input</v>
      </c>
      <c r="B248" s="732">
        <f>EthanolRecovery!J19*(Unitflowchart!$S$312/Unitflowchart!$S$383)</f>
        <v>0</v>
      </c>
      <c r="C248" s="26">
        <f>(B248/B$398)*100</f>
        <v>0</v>
      </c>
      <c r="D248" s="358">
        <f>EthanolRecovery!K19*(Unitflowchart!$S$312/Unitflowchart!$S$383)</f>
        <v>0</v>
      </c>
      <c r="E248" s="732">
        <f>EthanolRecovery!P19*(Unitflowchart!$S$312/Unitflowchart!$S$383)</f>
        <v>0</v>
      </c>
      <c r="F248" s="26">
        <f>(E248/E$398)*100</f>
        <v>0</v>
      </c>
      <c r="G248" s="358">
        <f>EthanolRecovery!Q19*(Unitflowchart!$S$312/Unitflowchart!$S$383)</f>
        <v>0</v>
      </c>
      <c r="H248" s="749">
        <f>EthanolRecovery!V19*(Unitflowchart!$S$312/Unitflowchart!$S$383)</f>
        <v>2.9162823529411769E-2</v>
      </c>
      <c r="I248" s="26">
        <f>(H248/H$398)*100</f>
        <v>2.9048690821060146</v>
      </c>
      <c r="J248" s="752">
        <f>EthanolRecovery!W19*(Unitflowchart!$S$312/Unitflowchart!$S$383)</f>
        <v>0</v>
      </c>
      <c r="K248" s="749">
        <f>EthanolRecovery!AB19*(Unitflowchart!$S$312/Unitflowchart!$S$383)</f>
        <v>8.7488470588235299E-3</v>
      </c>
      <c r="L248" s="26">
        <f>(K248/K$398)*100</f>
        <v>4.0266240715455437</v>
      </c>
      <c r="M248" s="752">
        <f>EthanolRecovery!AC19*(Unitflowchart!$S$312/Unitflowchart!$S$383)</f>
        <v>0</v>
      </c>
      <c r="N248" s="727">
        <f>E248+(GlobalWarmingPotentials!$B$11*H248)+(GlobalWarmingPotentials!$C$11*K248)</f>
        <v>3.2604036705882353</v>
      </c>
      <c r="O248" s="26">
        <f>(N248/N$398)*100</f>
        <v>0.36560405868847401</v>
      </c>
      <c r="P248" s="760">
        <f>SQRT((G248^2)+((GlobalWarmingPotentials!$B$11*J248)^2)+((GlobalWarmingPotentials!$C$11*M248)^2))</f>
        <v>0</v>
      </c>
      <c r="Q248" s="30"/>
    </row>
    <row r="249" spans="1:17" x14ac:dyDescent="0.25">
      <c r="A249" t="str">
        <f>EthanolRecovery!A20</f>
        <v>Electricity Input</v>
      </c>
      <c r="B249" s="732">
        <f>EthanolRecovery!J20*(Unitflowchart!$S$312/Unitflowchart!$S$383)</f>
        <v>0</v>
      </c>
      <c r="C249" s="26">
        <f>(B249/B$398)*100</f>
        <v>0</v>
      </c>
      <c r="D249" s="358">
        <f>EthanolRecovery!K20*(Unitflowchart!$S$312/Unitflowchart!$S$383)</f>
        <v>0</v>
      </c>
      <c r="E249" s="732">
        <f>EthanolRecovery!P20*(Unitflowchart!$S$312/Unitflowchart!$S$383)</f>
        <v>0</v>
      </c>
      <c r="F249" s="26">
        <f>(E249/E$398)*100</f>
        <v>0</v>
      </c>
      <c r="G249" s="358">
        <f>EthanolRecovery!Q20*(Unitflowchart!$S$312/Unitflowchart!$S$383)</f>
        <v>0</v>
      </c>
      <c r="H249" s="749">
        <f>EthanolRecovery!V20*(Unitflowchart!$S$312/Unitflowchart!$S$383)</f>
        <v>2.6371764705882361E-3</v>
      </c>
      <c r="I249" s="26">
        <f>(H249/H$398)*100</f>
        <v>0.26268555188914344</v>
      </c>
      <c r="J249" s="752">
        <f>EthanolRecovery!W20*(Unitflowchart!$S$312/Unitflowchart!$S$383)</f>
        <v>0</v>
      </c>
      <c r="K249" s="749">
        <f>EthanolRecovery!AB20*(Unitflowchart!$S$312/Unitflowchart!$S$383)</f>
        <v>7.9115294117647068E-4</v>
      </c>
      <c r="L249" s="26">
        <f>(K249/K$398)*100</f>
        <v>0.36412517624277851</v>
      </c>
      <c r="M249" s="752">
        <f>EthanolRecovery!AC20*(Unitflowchart!$S$312/Unitflowchart!$S$383)</f>
        <v>0</v>
      </c>
      <c r="N249" s="727">
        <f>E249+(GlobalWarmingPotentials!$B$11*H249)+(GlobalWarmingPotentials!$C$11*K249)</f>
        <v>0.29483632941176474</v>
      </c>
      <c r="O249" s="26">
        <f>(N249/N$398)*100</f>
        <v>3.3061353615242754E-2</v>
      </c>
      <c r="P249" s="760">
        <f>SQRT((G249^2)+((GlobalWarmingPotentials!$B$11*J249)^2)+((GlobalWarmingPotentials!$C$11*M249)^2))</f>
        <v>0</v>
      </c>
      <c r="Q249" s="30"/>
    </row>
    <row r="250" spans="1:17" x14ac:dyDescent="0.25">
      <c r="B250" s="728"/>
      <c r="D250" s="735"/>
      <c r="E250" s="728"/>
      <c r="G250" s="735"/>
      <c r="H250" s="31"/>
      <c r="J250" s="724"/>
      <c r="K250" s="31"/>
      <c r="M250" s="724"/>
      <c r="N250" s="728"/>
      <c r="P250" s="735"/>
      <c r="Q250" s="30"/>
    </row>
    <row r="251" spans="1:17" x14ac:dyDescent="0.25">
      <c r="A251" s="218" t="s">
        <v>1825</v>
      </c>
      <c r="B251" s="730">
        <f>EthanolRecovery!J22*(Unitflowchart!$S$312/Unitflowchart!$S$383)</f>
        <v>0</v>
      </c>
      <c r="C251" s="15">
        <f>(B251/B$398)*100</f>
        <v>0</v>
      </c>
      <c r="D251" s="740">
        <f>EthanolRecovery!K22*(Unitflowchart!$S$312/Unitflowchart!$S$383)</f>
        <v>0</v>
      </c>
      <c r="E251" s="730">
        <f>EthanolRecovery!P22*(Unitflowchart!$S$312/Unitflowchart!$S$383)</f>
        <v>0</v>
      </c>
      <c r="F251" s="15">
        <f>(E251/E$398)*100</f>
        <v>0</v>
      </c>
      <c r="G251" s="740">
        <f>EthanolRecovery!Q22*(Unitflowchart!$S$312/Unitflowchart!$S$383)</f>
        <v>0</v>
      </c>
      <c r="H251" s="215">
        <f>EthanolRecovery!V22*(Unitflowchart!$S$312/Unitflowchart!$S$383)</f>
        <v>3.1800000000000002E-2</v>
      </c>
      <c r="I251" s="15">
        <f>(H251/H$398)*100</f>
        <v>3.1675546339951581</v>
      </c>
      <c r="J251" s="216">
        <f>EthanolRecovery!W22*(Unitflowchart!$S$312/Unitflowchart!$S$383)</f>
        <v>0</v>
      </c>
      <c r="K251" s="215">
        <f>EthanolRecovery!AB22*(Unitflowchart!$S$312/Unitflowchart!$S$383)</f>
        <v>9.5399999999999999E-3</v>
      </c>
      <c r="L251" s="15">
        <f>(K251/K$398)*100</f>
        <v>4.3907492477883219</v>
      </c>
      <c r="M251" s="216">
        <f>EthanolRecovery!AC22*(Unitflowchart!$S$312/Unitflowchart!$S$383)</f>
        <v>0</v>
      </c>
      <c r="N251" s="730">
        <f>E251+(GlobalWarmingPotentials!$B$11*H251)+(GlobalWarmingPotentials!$C$11*K251)</f>
        <v>3.5552400000000004</v>
      </c>
      <c r="O251" s="15">
        <f>(N251/N$398)*100</f>
        <v>0.39866541230371683</v>
      </c>
      <c r="P251" s="759">
        <f>SQRT((G251^2)+((GlobalWarmingPotentials!$B$11*J251)^2)+((GlobalWarmingPotentials!$C$11*M251)^2))</f>
        <v>0</v>
      </c>
    </row>
    <row r="252" spans="1:17" x14ac:dyDescent="0.25">
      <c r="B252" s="733"/>
      <c r="D252" s="735"/>
      <c r="E252" s="733"/>
      <c r="G252" s="735"/>
      <c r="H252" s="750"/>
      <c r="J252" s="724"/>
      <c r="K252" s="750"/>
      <c r="M252" s="724"/>
      <c r="N252" s="733"/>
      <c r="P252" s="735"/>
      <c r="Q252" s="30"/>
    </row>
    <row r="253" spans="1:17" x14ac:dyDescent="0.25">
      <c r="A253" s="2" t="s">
        <v>1721</v>
      </c>
      <c r="B253" s="728"/>
      <c r="D253" s="735"/>
      <c r="E253" s="728"/>
      <c r="G253" s="735"/>
      <c r="H253" s="31"/>
      <c r="J253" s="724"/>
      <c r="K253" s="31"/>
      <c r="M253" s="724"/>
      <c r="N253" s="728"/>
      <c r="P253" s="735"/>
      <c r="Q253" s="30"/>
    </row>
    <row r="254" spans="1:17" x14ac:dyDescent="0.25">
      <c r="B254" s="728"/>
      <c r="D254" s="735"/>
      <c r="E254" s="728"/>
      <c r="G254" s="735"/>
      <c r="H254" s="31"/>
      <c r="J254" s="724"/>
      <c r="K254" s="31"/>
      <c r="M254" s="724"/>
      <c r="N254" s="728"/>
      <c r="P254" s="735"/>
      <c r="Q254" s="30"/>
    </row>
    <row r="255" spans="1:17" x14ac:dyDescent="0.25">
      <c r="A255" t="str">
        <f>WasteSolidFilter!A19</f>
        <v>Heat Input</v>
      </c>
      <c r="B255" s="732">
        <f>WasteSolidFilter!J19*(Unitflowchart!$S$312/Unitflowchart!$S$383)</f>
        <v>0</v>
      </c>
      <c r="C255" s="26">
        <f>(B255/B$398)*100</f>
        <v>0</v>
      </c>
      <c r="D255" s="358">
        <f>WasteSolidFilter!K19*(Unitflowchart!$S$312/Unitflowchart!$S$383)</f>
        <v>0</v>
      </c>
      <c r="E255" s="732">
        <f>WasteSolidFilter!P19*(Unitflowchart!$S$312/Unitflowchart!$S$383)</f>
        <v>0</v>
      </c>
      <c r="F255" s="26">
        <f>(E255/E$398)*100</f>
        <v>0</v>
      </c>
      <c r="G255" s="358">
        <f>WasteSolidFilter!Q19*(Unitflowchart!$S$312/Unitflowchart!$S$383)</f>
        <v>0</v>
      </c>
      <c r="H255" s="749">
        <f>WasteSolidFilter!V19*(Unitflowchart!$S$312/Unitflowchart!$S$383)</f>
        <v>0</v>
      </c>
      <c r="I255" s="26">
        <f>(H255/H$398)*100</f>
        <v>0</v>
      </c>
      <c r="J255" s="752">
        <f>WasteSolidFilter!W19*(Unitflowchart!$S$312/Unitflowchart!$S$383)</f>
        <v>0</v>
      </c>
      <c r="K255" s="749">
        <f>WasteSolidFilter!AB19*(Unitflowchart!$S$312/Unitflowchart!$S$383)</f>
        <v>0</v>
      </c>
      <c r="L255" s="26">
        <f>(K255/K$398)*100</f>
        <v>0</v>
      </c>
      <c r="M255" s="752">
        <f>WasteSolidFilter!AC19*(Unitflowchart!$S$312/Unitflowchart!$S$383)</f>
        <v>0</v>
      </c>
      <c r="N255" s="727">
        <f>E255+(GlobalWarmingPotentials!$B$11*H255)+(GlobalWarmingPotentials!$C$11*K255)</f>
        <v>0</v>
      </c>
      <c r="O255" s="26">
        <f>(N255/N$398)*100</f>
        <v>0</v>
      </c>
      <c r="P255" s="760">
        <f>SQRT((G255^2)+((GlobalWarmingPotentials!$B$11*J255)^2)+((GlobalWarmingPotentials!$C$11*M255)^2))</f>
        <v>0</v>
      </c>
      <c r="Q255" s="30"/>
    </row>
    <row r="256" spans="1:17" x14ac:dyDescent="0.25">
      <c r="A256" t="str">
        <f>WasteSolidFilter!A20</f>
        <v>Electricity Input</v>
      </c>
      <c r="B256" s="732">
        <f>WasteSolidFilter!J20*(Unitflowchart!$S$312/Unitflowchart!$S$383)</f>
        <v>0</v>
      </c>
      <c r="C256" s="26">
        <f>(B256/B$398)*100</f>
        <v>0</v>
      </c>
      <c r="D256" s="358">
        <f>WasteSolidFilter!K20*(Unitflowchart!$S$312/Unitflowchart!$S$383)</f>
        <v>0</v>
      </c>
      <c r="E256" s="732">
        <f>WasteSolidFilter!P20*(Unitflowchart!$S$312/Unitflowchart!$S$383)</f>
        <v>0</v>
      </c>
      <c r="F256" s="26">
        <f>(E256/E$398)*100</f>
        <v>0</v>
      </c>
      <c r="G256" s="358">
        <f>WasteSolidFilter!Q20*(Unitflowchart!$S$312/Unitflowchart!$S$383)</f>
        <v>0</v>
      </c>
      <c r="H256" s="749">
        <f>WasteSolidFilter!V20*(Unitflowchart!$S$312/Unitflowchart!$S$383)</f>
        <v>2.5182405314136485E-3</v>
      </c>
      <c r="I256" s="26">
        <f>(H256/H$398)*100</f>
        <v>0.25083850518219281</v>
      </c>
      <c r="J256" s="752">
        <f>WasteSolidFilter!W20*(Unitflowchart!$S$312/Unitflowchart!$S$383)</f>
        <v>0</v>
      </c>
      <c r="K256" s="749">
        <f>WasteSolidFilter!AB20*(Unitflowchart!$S$312/Unitflowchart!$S$383)</f>
        <v>7.5547215942409446E-4</v>
      </c>
      <c r="L256" s="26">
        <f>(K256/K$398)*100</f>
        <v>0.34770323015894777</v>
      </c>
      <c r="M256" s="752">
        <f>WasteSolidFilter!AC20*(Unitflowchart!$S$312/Unitflowchart!$S$383)</f>
        <v>0</v>
      </c>
      <c r="N256" s="727">
        <f>E256+(GlobalWarmingPotentials!$B$11*H256)+(GlobalWarmingPotentials!$C$11*K256)</f>
        <v>0.28153929141204587</v>
      </c>
      <c r="O256" s="26">
        <f>(N256/N$398)*100</f>
        <v>3.1570295589180911E-2</v>
      </c>
      <c r="P256" s="760">
        <f>SQRT((G256^2)+((GlobalWarmingPotentials!$B$11*J256)^2)+((GlobalWarmingPotentials!$C$11*M256)^2))</f>
        <v>0</v>
      </c>
      <c r="Q256" s="30"/>
    </row>
    <row r="257" spans="1:17" x14ac:dyDescent="0.25">
      <c r="B257" s="728"/>
      <c r="D257" s="735"/>
      <c r="E257" s="728"/>
      <c r="G257" s="735"/>
      <c r="H257" s="31"/>
      <c r="J257" s="724"/>
      <c r="K257" s="31"/>
      <c r="M257" s="724"/>
      <c r="N257" s="728"/>
      <c r="P257" s="735"/>
      <c r="Q257" s="30"/>
    </row>
    <row r="258" spans="1:17" x14ac:dyDescent="0.25">
      <c r="A258" s="218" t="s">
        <v>1826</v>
      </c>
      <c r="B258" s="730">
        <f>WasteSolidFilter!J22*(Unitflowchart!$S$312/Unitflowchart!$S$383)</f>
        <v>0</v>
      </c>
      <c r="C258" s="15">
        <f>(B258/B$398)*100</f>
        <v>0</v>
      </c>
      <c r="D258" s="740">
        <f>WasteSolidFilter!K22*(Unitflowchart!$S$312/Unitflowchart!$S$383)</f>
        <v>0</v>
      </c>
      <c r="E258" s="730">
        <f>WasteSolidFilter!P22*(Unitflowchart!$S$312/Unitflowchart!$S$383)</f>
        <v>0</v>
      </c>
      <c r="F258" s="15">
        <f>(E258/E$398)*100</f>
        <v>0</v>
      </c>
      <c r="G258" s="740">
        <f>WasteSolidFilter!Q22*(Unitflowchart!$S$312/Unitflowchart!$S$383)</f>
        <v>0</v>
      </c>
      <c r="H258" s="215">
        <f>WasteSolidFilter!V22*(Unitflowchart!$S$312/Unitflowchart!$S$383)</f>
        <v>2.5182405314136485E-3</v>
      </c>
      <c r="I258" s="15">
        <f>(H258/H$398)*100</f>
        <v>0.25083850518219281</v>
      </c>
      <c r="J258" s="216">
        <f>WasteSolidFilter!W22*(Unitflowchart!$S$312/Unitflowchart!$S$383)</f>
        <v>0</v>
      </c>
      <c r="K258" s="215">
        <f>WasteSolidFilter!AB22*(Unitflowchart!$S$312/Unitflowchart!$S$383)</f>
        <v>7.5547215942409446E-4</v>
      </c>
      <c r="L258" s="15">
        <f>(K258/K$398)*100</f>
        <v>0.34770323015894777</v>
      </c>
      <c r="M258" s="216">
        <f>WasteSolidFilter!AC22*(Unitflowchart!$S$312/Unitflowchart!$S$383)</f>
        <v>0</v>
      </c>
      <c r="N258" s="730">
        <f>E258+(GlobalWarmingPotentials!$B$11*H258)+(GlobalWarmingPotentials!$C$11*K258)</f>
        <v>0.28153929141204587</v>
      </c>
      <c r="O258" s="15">
        <f>(N258/N$398)*100</f>
        <v>3.1570295589180911E-2</v>
      </c>
      <c r="P258" s="761">
        <f>SQRT((G258^2)+((GlobalWarmingPotentials!$B$11*J258)^2)+((GlobalWarmingPotentials!$C$11*M258)^2))</f>
        <v>0</v>
      </c>
      <c r="Q258" s="30"/>
    </row>
    <row r="259" spans="1:17" x14ac:dyDescent="0.25">
      <c r="B259" s="733"/>
      <c r="D259" s="735"/>
      <c r="E259" s="733"/>
      <c r="G259" s="735"/>
      <c r="H259" s="750"/>
      <c r="J259" s="724"/>
      <c r="K259" s="750"/>
      <c r="M259" s="724"/>
      <c r="N259" s="733"/>
      <c r="P259" s="735"/>
      <c r="Q259" s="30"/>
    </row>
    <row r="260" spans="1:17" x14ac:dyDescent="0.25">
      <c r="A260" s="2" t="s">
        <v>905</v>
      </c>
      <c r="B260" s="728"/>
      <c r="D260" s="735"/>
      <c r="E260" s="728"/>
      <c r="G260" s="735"/>
      <c r="H260" s="31"/>
      <c r="J260" s="724"/>
      <c r="K260" s="31"/>
      <c r="M260" s="724"/>
      <c r="N260" s="728"/>
      <c r="P260" s="735"/>
      <c r="Q260" s="30"/>
    </row>
    <row r="261" spans="1:17" x14ac:dyDescent="0.25">
      <c r="B261" s="728"/>
      <c r="D261" s="735"/>
      <c r="E261" s="728"/>
      <c r="G261" s="735"/>
      <c r="H261" s="31"/>
      <c r="J261" s="724"/>
      <c r="K261" s="31"/>
      <c r="M261" s="724"/>
      <c r="N261" s="728"/>
      <c r="P261" s="735"/>
      <c r="Q261" s="30"/>
    </row>
    <row r="262" spans="1:17" x14ac:dyDescent="0.25">
      <c r="A262" t="str">
        <f>AnaerobicDigestion!A19</f>
        <v>Electricity Input</v>
      </c>
      <c r="B262" s="732">
        <f>AnaerobicDigestion!J19*(Unitflowchart!$S$312/Unitflowchart!$S$383)</f>
        <v>0</v>
      </c>
      <c r="C262" s="26">
        <f>(B262/B$398)*100</f>
        <v>0</v>
      </c>
      <c r="D262" s="358">
        <f>AnaerobicDigestion!K19*(Unitflowchart!$S$312/Unitflowchart!$S$383)</f>
        <v>0</v>
      </c>
      <c r="E262" s="732">
        <f>AnaerobicDigestion!P19*(Unitflowchart!$S$312/Unitflowchart!$S$383)</f>
        <v>0</v>
      </c>
      <c r="F262" s="26">
        <f>(E262/E$398)*100</f>
        <v>0</v>
      </c>
      <c r="G262" s="358">
        <f>AnaerobicDigestion!Q19*(Unitflowchart!$S$312/Unitflowchart!$S$383)</f>
        <v>0</v>
      </c>
      <c r="H262" s="749">
        <f>AnaerobicDigestion!V19*(Unitflowchart!$S$312/Unitflowchart!$S$383)</f>
        <v>6.3176470588235294E-3</v>
      </c>
      <c r="I262" s="26">
        <f>(H262/H$398)*100</f>
        <v>0.62929220808560837</v>
      </c>
      <c r="J262" s="752">
        <f>AnaerobicDigestion!W19*(Unitflowchart!$S$312/Unitflowchart!$S$383)</f>
        <v>0</v>
      </c>
      <c r="K262" s="749">
        <f>AnaerobicDigestion!AB19*(Unitflowchart!$S$312/Unitflowchart!$S$383)</f>
        <v>1.8952941176470584E-3</v>
      </c>
      <c r="L262" s="26">
        <f>(K262/K$398)*100</f>
        <v>0.87230201482143099</v>
      </c>
      <c r="M262" s="752">
        <f>AnaerobicDigestion!AC19*(Unitflowchart!$S$312/Unitflowchart!$S$383)</f>
        <v>0</v>
      </c>
      <c r="N262" s="727">
        <f>E262+(GlobalWarmingPotentials!$B$11*H262)+(GlobalWarmingPotentials!$C$11*K262)</f>
        <v>0.70631294117647048</v>
      </c>
      <c r="O262" s="26">
        <f>(N262/N$398)*100</f>
        <v>7.9202118537586338E-2</v>
      </c>
      <c r="P262" s="760">
        <f>SQRT((G262^2)+((GlobalWarmingPotentials!$B$11*J262)^2)+((GlobalWarmingPotentials!$C$11*M262)^2))</f>
        <v>0</v>
      </c>
      <c r="Q262" s="30"/>
    </row>
    <row r="263" spans="1:17" x14ac:dyDescent="0.25">
      <c r="A263" t="str">
        <f>AnaerobicDigestion!A20</f>
        <v>Caustic Soda Input</v>
      </c>
      <c r="B263" s="732">
        <f>AnaerobicDigestion!J20*(Unitflowchart!$S$312/Unitflowchart!$S$383)</f>
        <v>1274.9999999999998</v>
      </c>
      <c r="C263" s="26">
        <f>(B263/B$398)*100</f>
        <v>9.8498329964429594</v>
      </c>
      <c r="D263" s="358">
        <f>AnaerobicDigestion!K20*(Unitflowchart!$S$312/Unitflowchart!$S$383)</f>
        <v>191.24999999999997</v>
      </c>
      <c r="E263" s="732">
        <f>AnaerobicDigestion!P20*(Unitflowchart!$S$312/Unitflowchart!$S$383)</f>
        <v>71.400000000000006</v>
      </c>
      <c r="F263" s="26">
        <f>(E263/E$398)*100</f>
        <v>8.8763834909268571</v>
      </c>
      <c r="G263" s="358">
        <f>AnaerobicDigestion!Q20*(Unitflowchart!$S$312/Unitflowchart!$S$383)</f>
        <v>10.8375</v>
      </c>
      <c r="H263" s="749">
        <f>AnaerobicDigestion!V20*(Unitflowchart!$S$312/Unitflowchart!$S$383)</f>
        <v>0.20718749999999997</v>
      </c>
      <c r="I263" s="26">
        <f>(H263/H$398)*100</f>
        <v>20.637664331159485</v>
      </c>
      <c r="J263" s="752">
        <f>AnaerobicDigestion!W20*(Unitflowchart!$S$312/Unitflowchart!$S$383)</f>
        <v>3.1237499999999994E-2</v>
      </c>
      <c r="K263" s="749">
        <f>AnaerobicDigestion!AB20*(Unitflowchart!$S$312/Unitflowchart!$S$383)</f>
        <v>0</v>
      </c>
      <c r="L263" s="26">
        <f>(K263/K$398)*100</f>
        <v>0</v>
      </c>
      <c r="M263" s="752">
        <f>AnaerobicDigestion!AC20*(Unitflowchart!$S$312/Unitflowchart!$S$383)</f>
        <v>0</v>
      </c>
      <c r="N263" s="727">
        <f>E263+(GlobalWarmingPotentials!$B$11*H263)+(GlobalWarmingPotentials!$C$11*K263)</f>
        <v>76.165312499999999</v>
      </c>
      <c r="O263" s="26">
        <f>(N263/N$398)*100</f>
        <v>8.5407667867862447</v>
      </c>
      <c r="P263" s="760">
        <f>SQRT((G263^2)+((GlobalWarmingPotentials!$B$11*J263)^2)+((GlobalWarmingPotentials!$C$11*M263)^2))</f>
        <v>10.861288809985041</v>
      </c>
      <c r="Q263" s="30"/>
    </row>
    <row r="264" spans="1:17" x14ac:dyDescent="0.25">
      <c r="B264" s="728"/>
      <c r="D264" s="735"/>
      <c r="E264" s="728"/>
      <c r="G264" s="735"/>
      <c r="H264" s="31"/>
      <c r="J264" s="724"/>
      <c r="K264" s="31"/>
      <c r="M264" s="724"/>
      <c r="N264" s="728"/>
      <c r="P264" s="739"/>
      <c r="Q264" s="30"/>
    </row>
    <row r="265" spans="1:17" x14ac:dyDescent="0.25">
      <c r="A265" s="218" t="s">
        <v>914</v>
      </c>
      <c r="B265" s="730">
        <f>AnaerobicDigestion!J22*(Unitflowchart!$S$312/Unitflowchart!$S$383)</f>
        <v>1274.9999999999998</v>
      </c>
      <c r="C265" s="15">
        <f>(B265/B$398)*100</f>
        <v>9.8498329964429594</v>
      </c>
      <c r="D265" s="740">
        <f>AnaerobicDigestion!K22*(Unitflowchart!$S$312/Unitflowchart!$S$383)</f>
        <v>191.24999999999997</v>
      </c>
      <c r="E265" s="730">
        <f>AnaerobicDigestion!P22*(Unitflowchart!$S$312/Unitflowchart!$S$383)</f>
        <v>71.400000000000006</v>
      </c>
      <c r="F265" s="15">
        <f>(E265/E$398)*100</f>
        <v>8.8763834909268571</v>
      </c>
      <c r="G265" s="740">
        <f>AnaerobicDigestion!Q22*(Unitflowchart!$S$312/Unitflowchart!$S$383)</f>
        <v>10.8375</v>
      </c>
      <c r="H265" s="215">
        <f>AnaerobicDigestion!V22*(Unitflowchart!$S$312/Unitflowchart!$S$383)</f>
        <v>0.21350514705882351</v>
      </c>
      <c r="I265" s="15">
        <f>(H265/H$398)*100</f>
        <v>21.266956539245093</v>
      </c>
      <c r="J265" s="216">
        <f>AnaerobicDigestion!W22*(Unitflowchart!$S$312/Unitflowchart!$S$383)</f>
        <v>3.1237499999999994E-2</v>
      </c>
      <c r="K265" s="215">
        <f>AnaerobicDigestion!AB22*(Unitflowchart!$S$312/Unitflowchart!$S$383)</f>
        <v>1.8952941176470584E-3</v>
      </c>
      <c r="L265" s="15">
        <f>(K265/K$398)*100</f>
        <v>0.87230201482143099</v>
      </c>
      <c r="M265" s="216">
        <f>AnaerobicDigestion!AC22*(Unitflowchart!$S$312/Unitflowchart!$S$383)</f>
        <v>0</v>
      </c>
      <c r="N265" s="730">
        <f>E265+(GlobalWarmingPotentials!$B$11*H265)+(GlobalWarmingPotentials!$C$11*K265)</f>
        <v>76.871625441176477</v>
      </c>
      <c r="O265" s="15">
        <f>(N265/N$398)*100</f>
        <v>8.619968905323832</v>
      </c>
      <c r="P265" s="761">
        <f>SQRT((G265^2)+((GlobalWarmingPotentials!$B$11*J265)^2)+((GlobalWarmingPotentials!$C$11*M265)^2))</f>
        <v>10.861288809985041</v>
      </c>
      <c r="Q265" s="30"/>
    </row>
    <row r="266" spans="1:17" x14ac:dyDescent="0.25">
      <c r="B266" s="733"/>
      <c r="D266" s="735"/>
      <c r="E266" s="733"/>
      <c r="G266" s="735"/>
      <c r="H266" s="750"/>
      <c r="J266" s="724"/>
      <c r="K266" s="750"/>
      <c r="M266" s="724"/>
      <c r="N266" s="733"/>
      <c r="P266" s="735"/>
      <c r="Q266" s="30"/>
    </row>
    <row r="267" spans="1:17" x14ac:dyDescent="0.25">
      <c r="A267" s="2" t="s">
        <v>1719</v>
      </c>
      <c r="B267" s="728"/>
      <c r="D267" s="735"/>
      <c r="E267" s="728"/>
      <c r="G267" s="735"/>
      <c r="H267" s="31"/>
      <c r="J267" s="724"/>
      <c r="K267" s="31"/>
      <c r="M267" s="724"/>
      <c r="N267" s="728"/>
      <c r="P267" s="735"/>
      <c r="Q267" s="30"/>
    </row>
    <row r="268" spans="1:17" x14ac:dyDescent="0.25">
      <c r="B268" s="728"/>
      <c r="D268" s="735"/>
      <c r="E268" s="728"/>
      <c r="G268" s="735"/>
      <c r="H268" s="31"/>
      <c r="J268" s="724"/>
      <c r="K268" s="31"/>
      <c r="M268" s="724"/>
      <c r="N268" s="728"/>
      <c r="P268" s="735"/>
      <c r="Q268" s="30"/>
    </row>
    <row r="269" spans="1:17" x14ac:dyDescent="0.25">
      <c r="A269" s="222" t="str">
        <f>Utilities!A18</f>
        <v>Electricity Input</v>
      </c>
      <c r="B269" s="732">
        <f>Utilities!J18*(Unitflowchart!$S$312/Unitflowchart!$S$383)</f>
        <v>0</v>
      </c>
      <c r="C269" s="26">
        <f>(B269/B$398)*100</f>
        <v>0</v>
      </c>
      <c r="D269" s="744">
        <f>Utilities!K18*(Unitflowchart!$S$312/Unitflowchart!$S$383)</f>
        <v>0</v>
      </c>
      <c r="E269" s="726">
        <f>Utilities!P18*(Unitflowchart!$S$312/Unitflowchart!$S$383)</f>
        <v>0</v>
      </c>
      <c r="F269" s="25">
        <f>(E269/E$398)*100</f>
        <v>0</v>
      </c>
      <c r="G269" s="744">
        <f>Utilities!Q18*(Unitflowchart!$S$312/Unitflowchart!$S$383)</f>
        <v>0</v>
      </c>
      <c r="H269" s="723">
        <f>Utilities!V18*(Unitflowchart!$S$312/Unitflowchart!$S$383)</f>
        <v>4.2465882352941192E-3</v>
      </c>
      <c r="I269" s="25">
        <f>(H269/H$398)*100</f>
        <v>0.42299686299922029</v>
      </c>
      <c r="J269" s="725">
        <f>Utilities!W18*(Unitflowchart!$S$312/Unitflowchart!$S$383)</f>
        <v>0</v>
      </c>
      <c r="K269" s="723">
        <f>Utilities!AB18*(Unitflowchart!$S$312/Unitflowchart!$S$383)</f>
        <v>1.2739764705882355E-3</v>
      </c>
      <c r="L269" s="25">
        <f>(K269/K$398)*100</f>
        <v>0.58634289621963487</v>
      </c>
      <c r="M269" s="725">
        <f>Utilities!AC18*(Unitflowchart!$S$312/Unitflowchart!$S$383)</f>
        <v>0</v>
      </c>
      <c r="N269" s="726">
        <f>E269+(GlobalWarmingPotentials!$B$11*H269)+(GlobalWarmingPotentials!$C$11*K269)</f>
        <v>0.47476856470588247</v>
      </c>
      <c r="O269" s="25">
        <f>(N269/N$398)*100</f>
        <v>5.3237982695208901E-2</v>
      </c>
      <c r="P269" s="744">
        <f>SQRT((G269^2)+((GlobalWarmingPotentials!$B$11*J269)^2)+((GlobalWarmingPotentials!$C$11*M269)^2))</f>
        <v>0</v>
      </c>
      <c r="Q269" s="30"/>
    </row>
    <row r="270" spans="1:17" x14ac:dyDescent="0.25">
      <c r="B270" s="728"/>
      <c r="D270" s="735"/>
      <c r="E270" s="728"/>
      <c r="G270" s="735"/>
      <c r="H270" s="31"/>
      <c r="J270" s="724"/>
      <c r="K270" s="31"/>
      <c r="M270" s="724"/>
      <c r="N270" s="728"/>
      <c r="P270" s="735"/>
      <c r="Q270" s="30"/>
    </row>
    <row r="271" spans="1:17" x14ac:dyDescent="0.25">
      <c r="A271" s="218" t="s">
        <v>1834</v>
      </c>
      <c r="B271" s="734">
        <f>Utilities!J20*(Unitflowchart!$S$312/Unitflowchart!$S$383)</f>
        <v>0</v>
      </c>
      <c r="C271" s="721">
        <f>(B271/B$398)*100</f>
        <v>0</v>
      </c>
      <c r="D271" s="745">
        <f>Utilities!K20*(Unitflowchart!$S$312/Unitflowchart!$S$383)</f>
        <v>0</v>
      </c>
      <c r="E271" s="734">
        <f>Utilities!P20*(Unitflowchart!$S$312/Unitflowchart!$S$383)</f>
        <v>0</v>
      </c>
      <c r="F271" s="721">
        <f>(E271/E$398)*100</f>
        <v>0</v>
      </c>
      <c r="G271" s="745">
        <f>Utilities!Q20*(Unitflowchart!$S$312/Unitflowchart!$S$383)</f>
        <v>0</v>
      </c>
      <c r="H271" s="722">
        <f>Utilities!V20*(Unitflowchart!$S$312/Unitflowchart!$S$383)</f>
        <v>4.2465882352941192E-3</v>
      </c>
      <c r="I271" s="721">
        <f>(H271/H$398)*100</f>
        <v>0.42299686299922029</v>
      </c>
      <c r="J271" s="720">
        <f>Utilities!W20*(Unitflowchart!$S$312/Unitflowchart!$S$383)</f>
        <v>0</v>
      </c>
      <c r="K271" s="722">
        <f>Utilities!AB20*(Unitflowchart!$S$312/Unitflowchart!$S$383)</f>
        <v>1.2739764705882355E-3</v>
      </c>
      <c r="L271" s="721">
        <f>(K271/K$398)*100</f>
        <v>0.58634289621963487</v>
      </c>
      <c r="M271" s="720">
        <f>Utilities!AC20*(Unitflowchart!$S$312/Unitflowchart!$S$383)</f>
        <v>0</v>
      </c>
      <c r="N271" s="734">
        <f>E271+(GlobalWarmingPotentials!$B$11*H271)+(GlobalWarmingPotentials!$C$11*K271)</f>
        <v>0.47476856470588247</v>
      </c>
      <c r="O271" s="721">
        <f>(N271/N$398)*100</f>
        <v>5.3237982695208901E-2</v>
      </c>
      <c r="P271" s="743">
        <f>SQRT((G271^2)+((GlobalWarmingPotentials!$B$11*J271)^2)+((GlobalWarmingPotentials!$C$11*M271)^2))</f>
        <v>0</v>
      </c>
      <c r="Q271" s="30"/>
    </row>
    <row r="272" spans="1:17" x14ac:dyDescent="0.25">
      <c r="B272" s="728"/>
      <c r="D272" s="735"/>
      <c r="E272" s="728"/>
      <c r="G272" s="735"/>
      <c r="H272" s="31"/>
      <c r="J272" s="724"/>
      <c r="K272" s="31"/>
      <c r="M272" s="724"/>
      <c r="N272" s="728"/>
      <c r="P272" s="735"/>
      <c r="Q272" s="30"/>
    </row>
    <row r="273" spans="1:17" x14ac:dyDescent="0.25">
      <c r="A273" s="146" t="s">
        <v>906</v>
      </c>
      <c r="B273" s="728"/>
      <c r="D273" s="735"/>
      <c r="E273" s="728"/>
      <c r="G273" s="735"/>
      <c r="H273" s="31"/>
      <c r="J273" s="724"/>
      <c r="K273" s="31"/>
      <c r="M273" s="724"/>
      <c r="N273" s="728"/>
      <c r="P273" s="735"/>
      <c r="Q273" s="30"/>
    </row>
    <row r="274" spans="1:17" x14ac:dyDescent="0.25">
      <c r="B274" s="728"/>
      <c r="D274" s="735"/>
      <c r="E274" s="728"/>
      <c r="G274" s="735"/>
      <c r="H274" s="31"/>
      <c r="J274" s="724"/>
      <c r="K274" s="31"/>
      <c r="M274" s="724"/>
      <c r="N274" s="728"/>
      <c r="P274" s="735"/>
      <c r="Q274" s="30"/>
    </row>
    <row r="275" spans="1:17" x14ac:dyDescent="0.25">
      <c r="A275" t="str">
        <f>ElectricitySales!A15</f>
        <v>Electricity Credit</v>
      </c>
      <c r="B275" s="732">
        <f>Unitflowchart!$S$312/Unitflowchart!$S$383*(ElectricitySales!J15)</f>
        <v>0</v>
      </c>
      <c r="C275" s="26">
        <f>(B275/B$398)*100</f>
        <v>0</v>
      </c>
      <c r="D275" s="358">
        <f>Unitflowchart!$S$312/Unitflowchart!$S$383*(ElectricitySales!K15)</f>
        <v>0</v>
      </c>
      <c r="E275" s="732">
        <f>Unitflowchart!$S$312/Unitflowchart!$S$383*(ElectricitySales!P15)</f>
        <v>0</v>
      </c>
      <c r="F275" s="26">
        <f>(E275/E$398)*100</f>
        <v>0</v>
      </c>
      <c r="G275" s="358">
        <f>Unitflowchart!S312/Unitflowchart!$S$383*(ElectricitySales!Q15)</f>
        <v>0</v>
      </c>
      <c r="H275" s="749">
        <f>Unitflowchart!$S$312/Unitflowchart!$S$383*(ElectricitySales!V15)</f>
        <v>-7.4146129819083251E-2</v>
      </c>
      <c r="I275" s="26">
        <f>(H275/H$398)*100</f>
        <v>-7.3855948773976001</v>
      </c>
      <c r="J275" s="752">
        <f>Unitflowchart!$S$312/Unitflowchart!$S$383*(ElectricitySales!W15)</f>
        <v>0</v>
      </c>
      <c r="K275" s="749">
        <f>Unitflowchart!$S$312/Unitflowchart!$S$383*(ElectricitySales!AB15)</f>
        <v>-2.2243838945724972E-2</v>
      </c>
      <c r="L275" s="26">
        <f>(K275/K$398)*100</f>
        <v>-10.237643513508019</v>
      </c>
      <c r="M275" s="752">
        <f>Unitflowchart!$S$312/Unitflowchart!$S$383*(ElectricitySales!AC15)</f>
        <v>0</v>
      </c>
      <c r="N275" s="727">
        <f>E275+(GlobalWarmingPotentials!$B$11*H275)+(GlobalWarmingPotentials!$C$11*K275)</f>
        <v>-8.289537313773506</v>
      </c>
      <c r="O275" s="26">
        <f>(N275/N$398)*100</f>
        <v>-0.92954394386948835</v>
      </c>
      <c r="P275" s="760">
        <f>SQRT((G275^2)+((GlobalWarmingPotentials!$B$11*J275)^2)+((GlobalWarmingPotentials!$C$11*M275)^2))</f>
        <v>0</v>
      </c>
      <c r="Q275" s="30"/>
    </row>
    <row r="276" spans="1:17" x14ac:dyDescent="0.25">
      <c r="B276" s="728"/>
      <c r="D276" s="735"/>
      <c r="E276" s="728"/>
      <c r="G276" s="735"/>
      <c r="H276" s="31"/>
      <c r="J276" s="748"/>
      <c r="K276" s="31"/>
      <c r="M276" s="724"/>
      <c r="N276" s="728"/>
      <c r="P276" s="735"/>
      <c r="Q276" s="30"/>
    </row>
    <row r="277" spans="1:17" x14ac:dyDescent="0.25">
      <c r="A277" s="218" t="s">
        <v>915</v>
      </c>
      <c r="B277" s="730">
        <f>Unitflowchart!$S$312/Unitflowchart!$S$383*(ElectricitySales!J17)</f>
        <v>0</v>
      </c>
      <c r="C277" s="15">
        <f>(B277/B$398)*100</f>
        <v>0</v>
      </c>
      <c r="D277" s="740">
        <f>Unitflowchart!$S$312/Unitflowchart!$S$383*(ElectricitySales!K17)</f>
        <v>0</v>
      </c>
      <c r="E277" s="730">
        <f>Unitflowchart!$S$312/Unitflowchart!$S$383*(ElectricitySales!P17)</f>
        <v>0</v>
      </c>
      <c r="F277" s="15">
        <f>(E277/E$398)*100</f>
        <v>0</v>
      </c>
      <c r="G277" s="740">
        <f>Unitflowchart!$S$312/Unitflowchart!$S$383*(ElectricitySales!Q17)</f>
        <v>0</v>
      </c>
      <c r="H277" s="215">
        <f>Unitflowchart!$S$312/Unitflowchart!$S$383*(ElectricitySales!V17)</f>
        <v>-7.4146129819083251E-2</v>
      </c>
      <c r="I277" s="15">
        <f>(H277/H$398)*100</f>
        <v>-7.3855948773976001</v>
      </c>
      <c r="J277" s="216">
        <f>Unitflowchart!$S$312/Unitflowchart!$S$383*(ElectricitySales!W17)</f>
        <v>0</v>
      </c>
      <c r="K277" s="215">
        <f>Unitflowchart!$S$312/Unitflowchart!$S$383*(ElectricitySales!AB17)</f>
        <v>-2.2243838945724972E-2</v>
      </c>
      <c r="L277" s="15">
        <f>(K277/K$398)*100</f>
        <v>-10.237643513508019</v>
      </c>
      <c r="M277" s="216">
        <f>Unitflowchart!$S$312/Unitflowchart!$S$383*(ElectricitySales!AC17)</f>
        <v>0</v>
      </c>
      <c r="N277" s="730">
        <f>E277+(GlobalWarmingPotentials!$B$11*H277)+(GlobalWarmingPotentials!$C$11*K277)</f>
        <v>-8.289537313773506</v>
      </c>
      <c r="O277" s="15">
        <f>(N277/N$398)*100</f>
        <v>-0.92954394386948835</v>
      </c>
      <c r="P277" s="761">
        <f>SQRT((G277^2)+((GlobalWarmingPotentials!$B$11*J277)^2)+((GlobalWarmingPotentials!$C$11*M277)^2))</f>
        <v>0</v>
      </c>
      <c r="Q277" s="30"/>
    </row>
    <row r="278" spans="1:17" s="3" customFormat="1" x14ac:dyDescent="0.25">
      <c r="A278" s="361"/>
      <c r="B278" s="763"/>
      <c r="C278" s="27"/>
      <c r="D278" s="827"/>
      <c r="E278" s="763"/>
      <c r="F278" s="27"/>
      <c r="G278" s="827"/>
      <c r="H278" s="765"/>
      <c r="I278" s="27"/>
      <c r="J278" s="828"/>
      <c r="K278" s="765"/>
      <c r="L278" s="27"/>
      <c r="M278" s="828"/>
      <c r="N278" s="763"/>
      <c r="O278" s="27"/>
      <c r="P278" s="829"/>
      <c r="Q278" s="826"/>
    </row>
    <row r="279" spans="1:17" s="3" customFormat="1" x14ac:dyDescent="0.25">
      <c r="A279" s="387" t="s">
        <v>970</v>
      </c>
      <c r="B279" s="766"/>
      <c r="C279" s="27"/>
      <c r="D279" s="827"/>
      <c r="E279" s="766"/>
      <c r="F279" s="27"/>
      <c r="G279" s="827"/>
      <c r="H279" s="783"/>
      <c r="I279" s="27"/>
      <c r="J279" s="828"/>
      <c r="K279" s="783"/>
      <c r="L279" s="27"/>
      <c r="M279" s="828"/>
      <c r="N279" s="766"/>
      <c r="O279" s="27"/>
      <c r="P279" s="829"/>
      <c r="Q279" s="826"/>
    </row>
    <row r="280" spans="1:17" s="3" customFormat="1" x14ac:dyDescent="0.25">
      <c r="A280" s="361"/>
      <c r="B280" s="766"/>
      <c r="C280" s="27"/>
      <c r="D280" s="827"/>
      <c r="E280" s="766"/>
      <c r="F280" s="27"/>
      <c r="G280" s="827"/>
      <c r="H280" s="783"/>
      <c r="I280" s="27"/>
      <c r="J280" s="828"/>
      <c r="K280" s="783"/>
      <c r="L280" s="27"/>
      <c r="M280" s="828"/>
      <c r="N280" s="766"/>
      <c r="O280" s="27"/>
      <c r="P280" s="829"/>
      <c r="Q280" s="826"/>
    </row>
    <row r="281" spans="1:17" s="3" customFormat="1" x14ac:dyDescent="0.25">
      <c r="A281" s="212" t="s">
        <v>968</v>
      </c>
      <c r="B281" s="830"/>
      <c r="C281" s="27"/>
      <c r="D281" s="833"/>
      <c r="E281" s="830"/>
      <c r="F281" s="27"/>
      <c r="G281" s="833"/>
      <c r="H281" s="834"/>
      <c r="I281" s="27"/>
      <c r="J281" s="837"/>
      <c r="K281" s="834"/>
      <c r="L281" s="27"/>
      <c r="M281" s="837"/>
      <c r="N281" s="727">
        <f>-SubstitutionCredit!D17</f>
        <v>0</v>
      </c>
      <c r="O281" s="26">
        <f>(N281/N$398)*100</f>
        <v>0</v>
      </c>
      <c r="P281" s="678">
        <v>0</v>
      </c>
      <c r="Q281" s="826"/>
    </row>
    <row r="282" spans="1:17" s="3" customFormat="1" x14ac:dyDescent="0.25">
      <c r="A282" s="212" t="s">
        <v>969</v>
      </c>
      <c r="B282" s="830"/>
      <c r="C282" s="27"/>
      <c r="D282" s="833"/>
      <c r="E282" s="830"/>
      <c r="F282" s="27"/>
      <c r="G282" s="833"/>
      <c r="H282" s="834"/>
      <c r="I282" s="27"/>
      <c r="J282" s="837"/>
      <c r="K282" s="834"/>
      <c r="L282" s="27"/>
      <c r="M282" s="837"/>
      <c r="N282" s="727">
        <f>-SubstitutionCredit!D18</f>
        <v>0</v>
      </c>
      <c r="O282" s="26">
        <f>(N282/N$398)*100</f>
        <v>0</v>
      </c>
      <c r="P282" s="678">
        <v>0</v>
      </c>
      <c r="Q282" s="826"/>
    </row>
    <row r="283" spans="1:17" s="3" customFormat="1" x14ac:dyDescent="0.25">
      <c r="A283" s="979" t="s">
        <v>1936</v>
      </c>
      <c r="B283" s="830"/>
      <c r="C283" s="27"/>
      <c r="D283" s="833"/>
      <c r="E283" s="830"/>
      <c r="F283" s="27"/>
      <c r="G283" s="833"/>
      <c r="H283" s="834"/>
      <c r="I283" s="27"/>
      <c r="J283" s="837"/>
      <c r="K283" s="834"/>
      <c r="L283" s="27"/>
      <c r="M283" s="837"/>
      <c r="N283" s="727">
        <f>-SubstitutionCredit!D19</f>
        <v>0</v>
      </c>
      <c r="O283" s="26">
        <f>(N283/N$398)*100</f>
        <v>0</v>
      </c>
      <c r="P283" s="678">
        <v>0</v>
      </c>
      <c r="Q283" s="826"/>
    </row>
    <row r="284" spans="1:17" s="3" customFormat="1" x14ac:dyDescent="0.25">
      <c r="A284" s="212" t="s">
        <v>40</v>
      </c>
      <c r="B284" s="830"/>
      <c r="C284" s="27"/>
      <c r="D284" s="833"/>
      <c r="E284" s="830"/>
      <c r="F284" s="27"/>
      <c r="G284" s="833"/>
      <c r="H284" s="834"/>
      <c r="I284" s="27"/>
      <c r="J284" s="837"/>
      <c r="K284" s="834"/>
      <c r="L284" s="27"/>
      <c r="M284" s="837"/>
      <c r="N284" s="727">
        <f>-SubstitutionCredit!D22</f>
        <v>0</v>
      </c>
      <c r="O284" s="26">
        <f>(N284/N$398)*100</f>
        <v>0</v>
      </c>
      <c r="P284" s="678">
        <v>0</v>
      </c>
      <c r="Q284" s="826"/>
    </row>
    <row r="285" spans="1:17" s="3" customFormat="1" x14ac:dyDescent="0.25">
      <c r="A285" s="361"/>
      <c r="B285" s="766"/>
      <c r="C285" s="27"/>
      <c r="D285" s="827"/>
      <c r="E285" s="766"/>
      <c r="F285" s="27"/>
      <c r="G285" s="827"/>
      <c r="H285" s="783"/>
      <c r="I285" s="27"/>
      <c r="J285" s="828"/>
      <c r="K285" s="783"/>
      <c r="L285" s="27"/>
      <c r="M285" s="828"/>
      <c r="N285" s="766"/>
      <c r="O285" s="27"/>
      <c r="P285" s="829"/>
      <c r="Q285" s="826"/>
    </row>
    <row r="286" spans="1:17" s="3" customFormat="1" x14ac:dyDescent="0.25">
      <c r="A286" s="715" t="s">
        <v>971</v>
      </c>
      <c r="B286" s="831"/>
      <c r="C286" s="15"/>
      <c r="D286" s="832"/>
      <c r="E286" s="831"/>
      <c r="F286" s="15"/>
      <c r="G286" s="832"/>
      <c r="H286" s="835"/>
      <c r="I286" s="15"/>
      <c r="J286" s="836"/>
      <c r="K286" s="835"/>
      <c r="L286" s="15"/>
      <c r="M286" s="836"/>
      <c r="N286" s="730">
        <f>SUM(N281:N284)</f>
        <v>0</v>
      </c>
      <c r="O286" s="15">
        <f>(N286/N$398)*100</f>
        <v>0</v>
      </c>
      <c r="P286" s="759">
        <f>SQRT(SUMSQ(P281:P284))</f>
        <v>0</v>
      </c>
      <c r="Q286" s="826"/>
    </row>
    <row r="287" spans="1:17" s="3" customFormat="1" x14ac:dyDescent="0.25">
      <c r="A287" s="361"/>
      <c r="B287" s="766"/>
      <c r="C287" s="27"/>
      <c r="D287" s="827"/>
      <c r="E287" s="766"/>
      <c r="F287" s="27"/>
      <c r="G287" s="827"/>
      <c r="H287" s="783"/>
      <c r="I287" s="27"/>
      <c r="J287" s="828"/>
      <c r="K287" s="783"/>
      <c r="L287" s="27"/>
      <c r="M287" s="828"/>
      <c r="N287" s="766"/>
      <c r="O287" s="27"/>
      <c r="P287" s="829"/>
      <c r="Q287" s="826"/>
    </row>
    <row r="288" spans="1:17" x14ac:dyDescent="0.25">
      <c r="A288" s="154" t="s">
        <v>422</v>
      </c>
      <c r="B288" s="728"/>
      <c r="D288" s="735"/>
      <c r="E288" s="728"/>
      <c r="G288" s="735"/>
      <c r="H288" s="31"/>
      <c r="J288" s="724"/>
      <c r="K288" s="31"/>
      <c r="M288" s="724"/>
      <c r="N288" s="728"/>
      <c r="P288" s="735"/>
      <c r="Q288" s="30"/>
    </row>
    <row r="289" spans="1:17" x14ac:dyDescent="0.25">
      <c r="B289" s="728"/>
      <c r="D289" s="735"/>
      <c r="E289" s="728"/>
      <c r="G289" s="735"/>
      <c r="H289" s="31"/>
      <c r="J289" s="724"/>
      <c r="K289" s="31"/>
      <c r="M289" s="724"/>
      <c r="N289" s="728"/>
      <c r="P289" s="735"/>
      <c r="Q289" s="30"/>
    </row>
    <row r="290" spans="1:17" x14ac:dyDescent="0.25">
      <c r="A290" t="str">
        <f>RoadTransportEthanolStage1!A42</f>
        <v xml:space="preserve"> - Diesel Fuel</v>
      </c>
      <c r="B290" s="732">
        <f>(Unitflowchart!$S$320/Unitflowchart!$S$383)*RoadTransportEthanolStage1!J42*Unitflowchart!$S$329</f>
        <v>517.88672232212184</v>
      </c>
      <c r="C290" s="26">
        <f>(B290/B$398)*100</f>
        <v>4.0008609615279447</v>
      </c>
      <c r="D290" s="491">
        <f>(Unitflowchart!$S$320/Unitflowchart!$S$383)*RoadTransportEthanolStage1!K42*Unitflowchart!$S$329</f>
        <v>24.34067594913973</v>
      </c>
      <c r="E290" s="732">
        <f>(Unitflowchart!$S$320/Unitflowchart!$S$383)*RoadTransportEthanolStage1!P42*Unitflowchart!$S$329</f>
        <v>37.164284826471004</v>
      </c>
      <c r="F290" s="26">
        <f>(E290/E$398)*100</f>
        <v>4.6202303121259201</v>
      </c>
      <c r="G290" s="358">
        <f>(Unitflowchart!$S$320/Unitflowchart!$S$383)*RoadTransportEthanolStage1!Q42*Unitflowchart!$S$329</f>
        <v>1.7467213868441371</v>
      </c>
      <c r="H290" s="749">
        <f>(Unitflowchart!$S$320/Unitflowchart!$S$383)*RoadTransportEthanolStage1!V42*Unitflowchart!$S$329</f>
        <v>7.7224487951108563E-3</v>
      </c>
      <c r="I290" s="26">
        <f>(H290/H$398)*100</f>
        <v>0.76922259329382747</v>
      </c>
      <c r="J290" s="752">
        <f>(Unitflowchart!$S$320/Unitflowchart!$S$383)*RoadTransportEthanolStage1!W42*Unitflowchart!$S$329</f>
        <v>3.6295509337021026E-4</v>
      </c>
      <c r="K290" s="749">
        <f>(Unitflowchart!$S$320/Unitflowchart!$S$383)*RoadTransportEthanolStage1!AB42*Unitflowchart!$S$329</f>
        <v>1.0039183433644116E-2</v>
      </c>
      <c r="L290" s="26">
        <f>(K290/K$398)*100</f>
        <v>4.6204965523775554</v>
      </c>
      <c r="M290" s="752">
        <f>(Unitflowchart!$S$320/Unitflowchart!$S$383)*RoadTransportEthanolStage1!AC42*Unitflowchart!$S$329</f>
        <v>4.7184162138127345E-4</v>
      </c>
      <c r="N290" s="727">
        <f>E290+(GlobalWarmingPotentials!$B$11*H290)+(GlobalWarmingPotentials!$C$11*K290)</f>
        <v>40.313499445117209</v>
      </c>
      <c r="O290" s="26">
        <f>(N290/N$398)*100</f>
        <v>4.5205381008576948</v>
      </c>
      <c r="P290" s="760">
        <f>SQRT((G290^2)+((GlobalWarmingPotentials!$B$11*J290)^2)+((GlobalWarmingPotentials!$C$11*M290)^2))</f>
        <v>1.7523160780917761</v>
      </c>
      <c r="Q290" s="30"/>
    </row>
    <row r="291" spans="1:17" x14ac:dyDescent="0.25">
      <c r="A291" t="str">
        <f>RoadTransportEthanolStage1!A43</f>
        <v xml:space="preserve"> - Vehicle </v>
      </c>
      <c r="B291" s="732">
        <f>(Unitflowchart!$S$320/Unitflowchart!$S$383)*RoadTransportEthanolStage1!J43*Unitflowchart!$S$329</f>
        <v>0</v>
      </c>
      <c r="C291" s="26">
        <f>(B291/B$398)*100</f>
        <v>0</v>
      </c>
      <c r="D291" s="491">
        <f>(Unitflowchart!$S$320/Unitflowchart!$S$383)*RoadTransportEthanolStage1!K43*Unitflowchart!$S$329</f>
        <v>0</v>
      </c>
      <c r="E291" s="732">
        <f>(Unitflowchart!$S$320/Unitflowchart!$S$383)*RoadTransportEthanolStage1!P43*Unitflowchart!$S$329</f>
        <v>0</v>
      </c>
      <c r="F291" s="26">
        <f>(E291/E$398)*100</f>
        <v>0</v>
      </c>
      <c r="G291" s="358">
        <f>(Unitflowchart!$S$320/Unitflowchart!$S$383)*RoadTransportEthanolStage1!Q43*Unitflowchart!$S$329</f>
        <v>0</v>
      </c>
      <c r="H291" s="749">
        <f>(Unitflowchart!$S$320/Unitflowchart!$S$383)*RoadTransportEthanolStage1!V43*Unitflowchart!$S$329</f>
        <v>0</v>
      </c>
      <c r="I291" s="26">
        <f>(H291/H$398)*100</f>
        <v>0</v>
      </c>
      <c r="J291" s="752">
        <f>(Unitflowchart!$S$320/Unitflowchart!$S$383)*RoadTransportEthanolStage1!W43*Unitflowchart!$S$329</f>
        <v>0</v>
      </c>
      <c r="K291" s="749">
        <f>(Unitflowchart!$S$320/Unitflowchart!$S$383)*RoadTransportEthanolStage1!AB43*Unitflowchart!$S$329</f>
        <v>0</v>
      </c>
      <c r="L291" s="26">
        <f>(K291/K$398)*100</f>
        <v>0</v>
      </c>
      <c r="M291" s="752">
        <f>(Unitflowchart!$S$320/Unitflowchart!$S$383)*RoadTransportEthanolStage1!AC43*Unitflowchart!$S$329</f>
        <v>0</v>
      </c>
      <c r="N291" s="727">
        <f>E291+(GlobalWarmingPotentials!$B$11*H291)+(GlobalWarmingPotentials!$C$11*K291)</f>
        <v>0</v>
      </c>
      <c r="O291" s="26">
        <f>(N291/N$398)*100</f>
        <v>0</v>
      </c>
      <c r="P291" s="760">
        <f>SQRT((G291^2)+((GlobalWarmingPotentials!$B$11*J291)^2)+((GlobalWarmingPotentials!$C$11*M291)^2))</f>
        <v>0</v>
      </c>
      <c r="Q291" s="30"/>
    </row>
    <row r="292" spans="1:17" x14ac:dyDescent="0.25">
      <c r="A292" t="str">
        <f>RoadTransportEthanolStage1!A44</f>
        <v xml:space="preserve"> - Maintenance</v>
      </c>
      <c r="B292" s="732">
        <f>(Unitflowchart!$S$320/Unitflowchart!$S$383)*RoadTransportEthanolStage1!J44*Unitflowchart!$S$329</f>
        <v>0</v>
      </c>
      <c r="C292" s="26">
        <f>(B292/B$398)*100</f>
        <v>0</v>
      </c>
      <c r="D292" s="491">
        <f>(Unitflowchart!$S$320/Unitflowchart!$S$383)*RoadTransportEthanolStage1!K44*Unitflowchart!$S$329</f>
        <v>0</v>
      </c>
      <c r="E292" s="732">
        <f>(Unitflowchart!$S$320/Unitflowchart!$S$383)*RoadTransportEthanolStage1!P44*Unitflowchart!$S$329</f>
        <v>0</v>
      </c>
      <c r="F292" s="26">
        <f>(E292/E$398)*100</f>
        <v>0</v>
      </c>
      <c r="G292" s="358">
        <f>(Unitflowchart!$S$320/Unitflowchart!$S$383)*RoadTransportEthanolStage1!Q44*Unitflowchart!$S$329</f>
        <v>0</v>
      </c>
      <c r="H292" s="749">
        <f>(Unitflowchart!$S$320/Unitflowchart!$S$383)*RoadTransportEthanolStage1!V44*Unitflowchart!$S$329</f>
        <v>0</v>
      </c>
      <c r="I292" s="26">
        <f>(H292/H$398)*100</f>
        <v>0</v>
      </c>
      <c r="J292" s="752">
        <f>(Unitflowchart!$S$320/Unitflowchart!$S$383)*RoadTransportEthanolStage1!W44*Unitflowchart!$S$329</f>
        <v>0</v>
      </c>
      <c r="K292" s="749">
        <f>(Unitflowchart!$S$320/Unitflowchart!$S$383)*RoadTransportEthanolStage1!AB44*Unitflowchart!$S$329</f>
        <v>0</v>
      </c>
      <c r="L292" s="26">
        <f>(K292/K$398)*100</f>
        <v>0</v>
      </c>
      <c r="M292" s="752">
        <f>(Unitflowchart!$S$320/Unitflowchart!$S$383)*RoadTransportEthanolStage1!AC44*Unitflowchart!$S$329</f>
        <v>0</v>
      </c>
      <c r="N292" s="727">
        <f>E292+(GlobalWarmingPotentials!$B$11*H292)+(GlobalWarmingPotentials!$C$11*K292)</f>
        <v>0</v>
      </c>
      <c r="O292" s="26">
        <f>(N292/N$398)*100</f>
        <v>0</v>
      </c>
      <c r="P292" s="760">
        <f>SQRT((G292^2)+((GlobalWarmingPotentials!$B$11*J292)^2)+((GlobalWarmingPotentials!$C$11*M292)^2))</f>
        <v>0</v>
      </c>
      <c r="Q292" s="30"/>
    </row>
    <row r="293" spans="1:17" s="43" customFormat="1" x14ac:dyDescent="0.25">
      <c r="B293" s="766"/>
      <c r="C293" s="992"/>
      <c r="D293" s="779"/>
      <c r="E293" s="766"/>
      <c r="F293" s="992"/>
      <c r="G293" s="827"/>
      <c r="H293" s="783"/>
      <c r="I293" s="992"/>
      <c r="J293" s="828"/>
      <c r="K293" s="783"/>
      <c r="L293" s="992"/>
      <c r="M293" s="828"/>
      <c r="N293" s="1064"/>
      <c r="O293" s="1060"/>
      <c r="P293" s="1065"/>
      <c r="Q293" s="852"/>
    </row>
    <row r="294" spans="1:17" x14ac:dyDescent="0.25">
      <c r="A294" s="218" t="s">
        <v>866</v>
      </c>
      <c r="B294" s="730">
        <f>(Unitflowchart!$S$320/Unitflowchart!$S$383)*RoadTransportEthanolStage1!J46*Unitflowchart!$S$329</f>
        <v>517.88672232212184</v>
      </c>
      <c r="C294" s="15">
        <f>(B294/B$398)*100</f>
        <v>4.0008609615279447</v>
      </c>
      <c r="D294" s="740">
        <f>(Unitflowchart!$S$320/Unitflowchart!$S$383)*RoadTransportEthanolStage1!K46*Unitflowchart!$S$329</f>
        <v>24.34067594913973</v>
      </c>
      <c r="E294" s="730">
        <f>(Unitflowchart!$S$320/Unitflowchart!$S$383)*RoadTransportEthanolStage1!P46*Unitflowchart!$S$329</f>
        <v>37.164284826471004</v>
      </c>
      <c r="F294" s="15">
        <f>(E294/E$398)*100</f>
        <v>4.6202303121259201</v>
      </c>
      <c r="G294" s="737">
        <f>(Unitflowchart!$S$320/Unitflowchart!$S$383)*RoadTransportEthanolStage1!Q46*Unitflowchart!$S$329</f>
        <v>1.7467213868441371</v>
      </c>
      <c r="H294" s="215">
        <f>(Unitflowchart!$S$320/Unitflowchart!$S$383)*RoadTransportEthanolStage1!V46*Unitflowchart!$S$329</f>
        <v>7.7224487951108563E-3</v>
      </c>
      <c r="I294" s="15">
        <f>(H294/H$398)*100</f>
        <v>0.76922259329382747</v>
      </c>
      <c r="J294" s="747">
        <f>(Unitflowchart!$S$320/Unitflowchart!$S$383)*RoadTransportEthanolStage1!W46*Unitflowchart!$S$329</f>
        <v>3.6295509337021026E-4</v>
      </c>
      <c r="K294" s="215">
        <f>(Unitflowchart!$S$320/Unitflowchart!$S$383)*RoadTransportEthanolStage1!AB46*Unitflowchart!$S$329</f>
        <v>1.0039183433644116E-2</v>
      </c>
      <c r="L294" s="15">
        <f>(K294/K$398)*100</f>
        <v>4.6204965523775554</v>
      </c>
      <c r="M294" s="216">
        <f>(Unitflowchart!$S$320/Unitflowchart!$S$383)*RoadTransportEthanolStage1!AC46*Unitflowchart!$S$329</f>
        <v>4.7184162138127345E-4</v>
      </c>
      <c r="N294" s="762">
        <f>E294+(GlobalWarmingPotentials!$B$11*H294)+(GlobalWarmingPotentials!$C$11*K294)</f>
        <v>40.313499445117209</v>
      </c>
      <c r="O294" s="15">
        <f>(N294/N$398)*100</f>
        <v>4.5205381008576948</v>
      </c>
      <c r="P294" s="761">
        <f>SQRT((G294^2)+((GlobalWarmingPotentials!$B$11*J294)^2)+((GlobalWarmingPotentials!$C$11*M294)^2))</f>
        <v>1.7523160780917761</v>
      </c>
      <c r="Q294" s="30"/>
    </row>
    <row r="295" spans="1:17" x14ac:dyDescent="0.25">
      <c r="B295" s="728"/>
      <c r="D295" s="735"/>
      <c r="E295" s="728"/>
      <c r="G295" s="735"/>
      <c r="H295" s="31"/>
      <c r="J295" s="724"/>
      <c r="K295" s="31"/>
      <c r="M295" s="724"/>
      <c r="N295" s="728"/>
      <c r="P295" s="735"/>
      <c r="Q295" s="30"/>
    </row>
    <row r="296" spans="1:17" x14ac:dyDescent="0.25">
      <c r="A296" s="387" t="s">
        <v>917</v>
      </c>
      <c r="B296" s="728"/>
      <c r="D296" s="735"/>
      <c r="E296" s="728"/>
      <c r="G296" s="735"/>
      <c r="H296" s="31"/>
      <c r="J296" s="724"/>
      <c r="K296" s="31"/>
      <c r="M296" s="724"/>
      <c r="N296" s="728"/>
      <c r="P296" s="735"/>
      <c r="Q296" s="30"/>
    </row>
    <row r="297" spans="1:17" x14ac:dyDescent="0.25">
      <c r="B297" s="728"/>
      <c r="D297" s="735"/>
      <c r="E297" s="728"/>
      <c r="G297" s="735"/>
      <c r="H297" s="31"/>
      <c r="J297" s="724"/>
      <c r="K297" s="31"/>
      <c r="M297" s="724"/>
      <c r="N297" s="728"/>
      <c r="P297" s="735"/>
      <c r="Q297" s="30"/>
    </row>
    <row r="298" spans="1:17" x14ac:dyDescent="0.25">
      <c r="A298" t="str">
        <f>RailTransport!A11</f>
        <v xml:space="preserve"> - Gas Oil</v>
      </c>
      <c r="B298" s="726">
        <f>(Unitflowchart!$S$320/Unitflowchart!$S$383)*RailTransport!J11*Unitflowchart!$S$331</f>
        <v>0</v>
      </c>
      <c r="C298" s="25">
        <f>(B298/B$398)*100</f>
        <v>0</v>
      </c>
      <c r="D298" s="744">
        <f>(Unitflowchart!$S$320/Unitflowchart!$S$383)*RailTransport!K11*Unitflowchart!$S$331</f>
        <v>0</v>
      </c>
      <c r="E298" s="726">
        <f>(Unitflowchart!$S$320/Unitflowchart!$S$383)*RailTransport!P11*Unitflowchart!$S$331</f>
        <v>0</v>
      </c>
      <c r="F298" s="25">
        <f>(E298/E$398)*100</f>
        <v>0</v>
      </c>
      <c r="G298" s="744">
        <f>(Unitflowchart!$S$320/Unitflowchart!$S$383)*RailTransport!Q11*Unitflowchart!$S$331</f>
        <v>0</v>
      </c>
      <c r="H298" s="723">
        <f>(Unitflowchart!$S$320/Unitflowchart!$S$383)*RailTransport!V11*Unitflowchart!$S$331</f>
        <v>0</v>
      </c>
      <c r="I298" s="25">
        <f>(H298/H$398)*100</f>
        <v>0</v>
      </c>
      <c r="J298" s="725">
        <f>(Unitflowchart!$S$320/Unitflowchart!$S$383)*RailTransport!W11*Unitflowchart!$S$331</f>
        <v>0</v>
      </c>
      <c r="K298" s="723">
        <f>(Unitflowchart!$S$320/Unitflowchart!$S$383)*RailTransport!AB11*Unitflowchart!$S$331</f>
        <v>0</v>
      </c>
      <c r="L298" s="25">
        <f>(K298/K$398)*100</f>
        <v>0</v>
      </c>
      <c r="M298" s="725">
        <f>(Unitflowchart!$S$320/Unitflowchart!$S$383)*RailTransport!AC11*Unitflowchart!$S$331</f>
        <v>0</v>
      </c>
      <c r="N298" s="726">
        <f>E298+(GlobalWarmingPotentials!$B$11*H298)+(GlobalWarmingPotentials!$C$11*K298)</f>
        <v>0</v>
      </c>
      <c r="O298" s="25">
        <f>(N298/N$398)*100</f>
        <v>0</v>
      </c>
      <c r="P298" s="744">
        <f>SQRT((G298^2)+((GlobalWarmingPotentials!$B$11*J298)^2)+((GlobalWarmingPotentials!$C$11*M298)^2))</f>
        <v>0</v>
      </c>
      <c r="Q298" s="30"/>
    </row>
    <row r="299" spans="1:17" x14ac:dyDescent="0.25">
      <c r="A299" t="str">
        <f>RailTransport!A12</f>
        <v xml:space="preserve"> - Capital Equipment</v>
      </c>
      <c r="B299" s="726">
        <f>(Unitflowchart!$S$320/Unitflowchart!$S$383)*RailTransport!J12*Unitflowchart!$S$331</f>
        <v>0</v>
      </c>
      <c r="C299" s="25">
        <f>(B299/B$398)*100</f>
        <v>0</v>
      </c>
      <c r="D299" s="744">
        <f>(Unitflowchart!$S$320/Unitflowchart!$S$383)*RailTransport!K12*Unitflowchart!$S$331</f>
        <v>0</v>
      </c>
      <c r="E299" s="726">
        <f>(Unitflowchart!$S$320/Unitflowchart!$S$383)*RailTransport!P12*Unitflowchart!$S$331</f>
        <v>0</v>
      </c>
      <c r="F299" s="25">
        <f>(E299/E$398)*100</f>
        <v>0</v>
      </c>
      <c r="G299" s="744">
        <f>(Unitflowchart!$S$320/Unitflowchart!$S$383)*RailTransport!Q12*Unitflowchart!$S$331</f>
        <v>0</v>
      </c>
      <c r="H299" s="723">
        <f>(Unitflowchart!$S$320/Unitflowchart!$S$383)*RailTransport!V12*Unitflowchart!$S$331</f>
        <v>0</v>
      </c>
      <c r="I299" s="25">
        <f>(H299/H$398)*100</f>
        <v>0</v>
      </c>
      <c r="J299" s="725">
        <f>(Unitflowchart!$S$320/Unitflowchart!$S$383)*RailTransport!W12*Unitflowchart!$S$331</f>
        <v>0</v>
      </c>
      <c r="K299" s="723">
        <f>(Unitflowchart!$S$320/Unitflowchart!$S$383)*RailTransport!AB12*Unitflowchart!$S$331</f>
        <v>0</v>
      </c>
      <c r="L299" s="25">
        <f>(K299/K$398)*100</f>
        <v>0</v>
      </c>
      <c r="M299" s="725">
        <f>(Unitflowchart!$S$320/Unitflowchart!$S$383)*RailTransport!AC12*Unitflowchart!$S$331</f>
        <v>0</v>
      </c>
      <c r="N299" s="726">
        <f>E299+(GlobalWarmingPotentials!$B$11*H299)+(GlobalWarmingPotentials!$C$11*K299)</f>
        <v>0</v>
      </c>
      <c r="O299" s="25">
        <f>(N299/N$398)*100</f>
        <v>0</v>
      </c>
      <c r="P299" s="744">
        <f>SQRT((G299^2)+((GlobalWarmingPotentials!$B$11*J299)^2)+((GlobalWarmingPotentials!$C$11*M299)^2))</f>
        <v>0</v>
      </c>
      <c r="Q299" s="30"/>
    </row>
    <row r="300" spans="1:17" x14ac:dyDescent="0.25">
      <c r="A300" t="str">
        <f>RailTransport!A13</f>
        <v xml:space="preserve"> - Maintenance</v>
      </c>
      <c r="B300" s="726">
        <f>(Unitflowchart!$S$320/Unitflowchart!$S$383)*RailTransport!J13*Unitflowchart!$S$331</f>
        <v>0</v>
      </c>
      <c r="C300" s="25">
        <f>(B300/B$398)*100</f>
        <v>0</v>
      </c>
      <c r="D300" s="744">
        <f>(Unitflowchart!$S$320/Unitflowchart!$S$383)*RailTransport!K13*Unitflowchart!$S$331</f>
        <v>0</v>
      </c>
      <c r="E300" s="726">
        <f>(Unitflowchart!$S$320/Unitflowchart!$S$383)*RailTransport!P13*Unitflowchart!$S$331</f>
        <v>0</v>
      </c>
      <c r="F300" s="25">
        <f>(E300/E$398)*100</f>
        <v>0</v>
      </c>
      <c r="G300" s="744">
        <f>(Unitflowchart!$S$320/Unitflowchart!$S$383)*RailTransport!Q13*Unitflowchart!$S$331</f>
        <v>0</v>
      </c>
      <c r="H300" s="723">
        <f>(Unitflowchart!$S$320/Unitflowchart!$S$383)*RailTransport!V13*Unitflowchart!$S$331</f>
        <v>0</v>
      </c>
      <c r="I300" s="25">
        <f>(H300/H$398)*100</f>
        <v>0</v>
      </c>
      <c r="J300" s="725">
        <f>(Unitflowchart!$S$320/Unitflowchart!$S$383)*RailTransport!W13*Unitflowchart!$S$331</f>
        <v>0</v>
      </c>
      <c r="K300" s="723">
        <f>(Unitflowchart!$S$320/Unitflowchart!$S$383)*RailTransport!AB13*Unitflowchart!$S$331</f>
        <v>0</v>
      </c>
      <c r="L300" s="25">
        <f>(K300/K$398)*100</f>
        <v>0</v>
      </c>
      <c r="M300" s="725">
        <f>(Unitflowchart!$S$320/Unitflowchart!$S$383)*RailTransport!AC13*Unitflowchart!$S$331</f>
        <v>0</v>
      </c>
      <c r="N300" s="726">
        <f>E300+(GlobalWarmingPotentials!$B$11*H300)+(GlobalWarmingPotentials!$C$11*K300)</f>
        <v>0</v>
      </c>
      <c r="O300" s="25">
        <f>(N300/N$398)*100</f>
        <v>0</v>
      </c>
      <c r="P300" s="744">
        <f>SQRT((G300^2)+((GlobalWarmingPotentials!$B$11*J300)^2)+((GlobalWarmingPotentials!$C$11*M300)^2))</f>
        <v>0</v>
      </c>
      <c r="Q300" s="30"/>
    </row>
    <row r="301" spans="1:17" x14ac:dyDescent="0.25">
      <c r="B301" s="728"/>
      <c r="C301" s="25"/>
      <c r="D301" s="735"/>
      <c r="E301" s="728"/>
      <c r="F301" s="25"/>
      <c r="G301" s="735"/>
      <c r="H301" s="31"/>
      <c r="I301" s="25"/>
      <c r="J301" s="724"/>
      <c r="K301" s="31"/>
      <c r="L301" s="25"/>
      <c r="M301" s="724"/>
      <c r="N301" s="728"/>
      <c r="O301" s="25"/>
      <c r="P301" s="735"/>
      <c r="Q301" s="30"/>
    </row>
    <row r="302" spans="1:17" x14ac:dyDescent="0.25">
      <c r="A302" s="218" t="s">
        <v>867</v>
      </c>
      <c r="B302" s="734">
        <f>(Unitflowchart!$S$320/Unitflowchart!$S$383)*RailTransport!J15*Unitflowchart!$S$331</f>
        <v>0</v>
      </c>
      <c r="C302" s="721">
        <f>(B302/B$398)*100</f>
        <v>0</v>
      </c>
      <c r="D302" s="745">
        <f>(Unitflowchart!$S$320/Unitflowchart!$S$383)*RailTransport!K15*Unitflowchart!$S$331</f>
        <v>0</v>
      </c>
      <c r="E302" s="734">
        <f>(Unitflowchart!$S$320/Unitflowchart!$S$383)*RailTransport!P15*Unitflowchart!$S$331</f>
        <v>0</v>
      </c>
      <c r="F302" s="721">
        <f>(E302/E$398)*100</f>
        <v>0</v>
      </c>
      <c r="G302" s="745">
        <f>(Unitflowchart!$S$320/Unitflowchart!$S$383)*RailTransport!Q15*Unitflowchart!$S$331</f>
        <v>0</v>
      </c>
      <c r="H302" s="722">
        <f>(Unitflowchart!$S$320/Unitflowchart!$S$383)*RailTransport!V15*Unitflowchart!$S$331</f>
        <v>0</v>
      </c>
      <c r="I302" s="721">
        <f>(H302/H$398)*100</f>
        <v>0</v>
      </c>
      <c r="J302" s="720">
        <f>(Unitflowchart!$S$320/Unitflowchart!$S$383)*RailTransport!W15*Unitflowchart!$S$331</f>
        <v>0</v>
      </c>
      <c r="K302" s="722">
        <f>(Unitflowchart!$S$320/Unitflowchart!$S$383)*RailTransport!AB15*Unitflowchart!$S$331</f>
        <v>0</v>
      </c>
      <c r="L302" s="721">
        <f>(K302/K$398)*100</f>
        <v>0</v>
      </c>
      <c r="M302" s="720">
        <f>(Unitflowchart!$S$320/Unitflowchart!$S$383)*RailTransport!AC15*Unitflowchart!$S$331</f>
        <v>0</v>
      </c>
      <c r="N302" s="734">
        <f>E302+(GlobalWarmingPotentials!$B$11*H302)+(GlobalWarmingPotentials!$C$11*K302)</f>
        <v>0</v>
      </c>
      <c r="O302" s="721">
        <f>(N302/N$398)*100</f>
        <v>0</v>
      </c>
      <c r="P302" s="743">
        <f>SQRT((G302^2)+((GlobalWarmingPotentials!$B$11*J302)^2)+((GlobalWarmingPotentials!$C$11*M302)^2))</f>
        <v>0</v>
      </c>
      <c r="Q302" s="30"/>
    </row>
    <row r="303" spans="1:17" x14ac:dyDescent="0.25">
      <c r="B303" s="728"/>
      <c r="C303" s="25"/>
      <c r="D303" s="735"/>
      <c r="E303" s="728"/>
      <c r="F303" s="25"/>
      <c r="G303" s="735"/>
      <c r="H303" s="31"/>
      <c r="I303" s="25"/>
      <c r="J303" s="724"/>
      <c r="K303" s="31"/>
      <c r="L303" s="25"/>
      <c r="M303" s="724"/>
      <c r="N303" s="728"/>
      <c r="O303" s="25"/>
      <c r="P303" s="735"/>
      <c r="Q303" s="30"/>
    </row>
    <row r="304" spans="1:17" x14ac:dyDescent="0.25">
      <c r="A304" s="387" t="s">
        <v>918</v>
      </c>
      <c r="B304" s="728"/>
      <c r="C304" s="25"/>
      <c r="D304" s="735"/>
      <c r="E304" s="728"/>
      <c r="F304" s="25"/>
      <c r="G304" s="735"/>
      <c r="H304" s="31"/>
      <c r="I304" s="25"/>
      <c r="J304" s="724"/>
      <c r="K304" s="31"/>
      <c r="L304" s="25"/>
      <c r="M304" s="724"/>
      <c r="N304" s="728"/>
      <c r="O304" s="25"/>
      <c r="P304" s="735"/>
      <c r="Q304" s="30"/>
    </row>
    <row r="305" spans="1:17" x14ac:dyDescent="0.25">
      <c r="B305" s="728"/>
      <c r="C305" s="25"/>
      <c r="D305" s="735"/>
      <c r="E305" s="728"/>
      <c r="F305" s="25"/>
      <c r="G305" s="735"/>
      <c r="H305" s="31"/>
      <c r="I305" s="25"/>
      <c r="J305" s="724"/>
      <c r="K305" s="31"/>
      <c r="L305" s="25"/>
      <c r="M305" s="724"/>
      <c r="N305" s="728"/>
      <c r="O305" s="25"/>
      <c r="P305" s="735"/>
      <c r="Q305" s="30"/>
    </row>
    <row r="306" spans="1:17" x14ac:dyDescent="0.25">
      <c r="A306" t="str">
        <f>BargeTransport!A11</f>
        <v xml:space="preserve"> - Marine Diesel</v>
      </c>
      <c r="B306" s="726">
        <f>(Unitflowchart!$S$320/Unitflowchart!$S$383)*BargeTransport!J11*Unitflowchart!$S$333</f>
        <v>0</v>
      </c>
      <c r="C306" s="25">
        <f>(B306/B$398)*100</f>
        <v>0</v>
      </c>
      <c r="D306" s="744">
        <f>(Unitflowchart!$S$320/Unitflowchart!$S$383)*BargeTransport!K11*Unitflowchart!$S$333</f>
        <v>0</v>
      </c>
      <c r="E306" s="726">
        <f>(Unitflowchart!$S$320/Unitflowchart!$S$383)*BargeTransport!P11*Unitflowchart!$S$333</f>
        <v>0</v>
      </c>
      <c r="F306" s="25">
        <f>(E306/E$398)*100</f>
        <v>0</v>
      </c>
      <c r="G306" s="744">
        <f>(Unitflowchart!$S$320/Unitflowchart!$S$383)*BargeTransport!Q11*Unitflowchart!$S$333</f>
        <v>0</v>
      </c>
      <c r="H306" s="723">
        <f>(Unitflowchart!$S$320/Unitflowchart!$S$383)*BargeTransport!V11*Unitflowchart!$S$333</f>
        <v>0</v>
      </c>
      <c r="I306" s="25">
        <f>(H306/H$398)*100</f>
        <v>0</v>
      </c>
      <c r="J306" s="725">
        <f>(Unitflowchart!$S$320/Unitflowchart!$S$383)*BargeTransport!W11*Unitflowchart!$S$333</f>
        <v>0</v>
      </c>
      <c r="K306" s="723">
        <f>(Unitflowchart!$S$320/Unitflowchart!$S$383)*BargeTransport!AB11*Unitflowchart!$S$333</f>
        <v>0</v>
      </c>
      <c r="L306" s="25">
        <f>(K306/K$398)*100</f>
        <v>0</v>
      </c>
      <c r="M306" s="725">
        <f>(Unitflowchart!$S$320/Unitflowchart!$S$383)*BargeTransport!AC11*Unitflowchart!$S$333</f>
        <v>0</v>
      </c>
      <c r="N306" s="726">
        <f>E306+(GlobalWarmingPotentials!$B$11*H306)+(GlobalWarmingPotentials!$C$11*K306)</f>
        <v>0</v>
      </c>
      <c r="O306" s="25">
        <f>(N306/N$398)*100</f>
        <v>0</v>
      </c>
      <c r="P306" s="744">
        <f>SQRT((G306^2)+((GlobalWarmingPotentials!$B$11*J306)^2)+((GlobalWarmingPotentials!$C$11*M306)^2))</f>
        <v>0</v>
      </c>
      <c r="Q306" s="30"/>
    </row>
    <row r="307" spans="1:17" x14ac:dyDescent="0.25">
      <c r="A307" t="str">
        <f>BargeTransport!A12</f>
        <v xml:space="preserve"> - Barge Construction</v>
      </c>
      <c r="B307" s="726">
        <f>(Unitflowchart!$S$320/Unitflowchart!$S$383)*BargeTransport!J12*Unitflowchart!$S$333</f>
        <v>0</v>
      </c>
      <c r="C307" s="25">
        <f>(B307/B$398)*100</f>
        <v>0</v>
      </c>
      <c r="D307" s="744">
        <f>(Unitflowchart!$S$320/Unitflowchart!$S$383)*BargeTransport!K12*Unitflowchart!$S$333</f>
        <v>0</v>
      </c>
      <c r="E307" s="726">
        <f>(Unitflowchart!$S$320/Unitflowchart!$S$383)*BargeTransport!P12*Unitflowchart!$S$333</f>
        <v>0</v>
      </c>
      <c r="F307" s="25">
        <f>(E307/E$398)*100</f>
        <v>0</v>
      </c>
      <c r="G307" s="744">
        <f>(Unitflowchart!$S$320/Unitflowchart!$S$383)*BargeTransport!Q12*Unitflowchart!$S$333</f>
        <v>0</v>
      </c>
      <c r="H307" s="723">
        <f>(Unitflowchart!$S$320/Unitflowchart!$S$383)*BargeTransport!V12*Unitflowchart!$S$333</f>
        <v>0</v>
      </c>
      <c r="I307" s="25">
        <f>(H307/H$398)*100</f>
        <v>0</v>
      </c>
      <c r="J307" s="725">
        <f>(Unitflowchart!$S$320/Unitflowchart!$S$383)*BargeTransport!W12*Unitflowchart!$S$333</f>
        <v>0</v>
      </c>
      <c r="K307" s="723">
        <f>(Unitflowchart!$S$320/Unitflowchart!$S$383)*BargeTransport!AB12*Unitflowchart!$S$333</f>
        <v>0</v>
      </c>
      <c r="L307" s="25">
        <f>(K307/K$398)*100</f>
        <v>0</v>
      </c>
      <c r="M307" s="725">
        <f>(Unitflowchart!$S$320/Unitflowchart!$S$383)*BargeTransport!AC12*Unitflowchart!$S$333</f>
        <v>0</v>
      </c>
      <c r="N307" s="726">
        <f>E307+(GlobalWarmingPotentials!$B$11*H307)+(GlobalWarmingPotentials!$C$11*K307)</f>
        <v>0</v>
      </c>
      <c r="O307" s="25">
        <f>(N307/N$398)*100</f>
        <v>0</v>
      </c>
      <c r="P307" s="744">
        <f>SQRT((G307^2)+((GlobalWarmingPotentials!$B$11*J307)^2)+((GlobalWarmingPotentials!$C$11*M307)^2))</f>
        <v>0</v>
      </c>
      <c r="Q307" s="30"/>
    </row>
    <row r="308" spans="1:17" x14ac:dyDescent="0.25">
      <c r="A308" t="str">
        <f>BargeTransport!A13</f>
        <v xml:space="preserve"> - Barge Maintenance</v>
      </c>
      <c r="B308" s="726">
        <f>(Unitflowchart!$S$320/Unitflowchart!$S$383)*BargeTransport!J13*Unitflowchart!$S$333</f>
        <v>0</v>
      </c>
      <c r="C308" s="25">
        <f>(B308/B$398)*100</f>
        <v>0</v>
      </c>
      <c r="D308" s="744">
        <f>(Unitflowchart!$S$320/Unitflowchart!$S$383)*BargeTransport!K13*Unitflowchart!$S$333</f>
        <v>0</v>
      </c>
      <c r="E308" s="726">
        <f>(Unitflowchart!$S$320/Unitflowchart!$S$383)*BargeTransport!P13*Unitflowchart!$S$333</f>
        <v>0</v>
      </c>
      <c r="F308" s="25">
        <f>(E308/E$398)*100</f>
        <v>0</v>
      </c>
      <c r="G308" s="744">
        <f>(Unitflowchart!$S$320/Unitflowchart!$S$383)*BargeTransport!Q13*Unitflowchart!$S$333</f>
        <v>0</v>
      </c>
      <c r="H308" s="723">
        <f>(Unitflowchart!$S$320/Unitflowchart!$S$383)*BargeTransport!V13*Unitflowchart!$S$333</f>
        <v>0</v>
      </c>
      <c r="I308" s="25">
        <f>(H308/H$398)*100</f>
        <v>0</v>
      </c>
      <c r="J308" s="725">
        <f>(Unitflowchart!$S$320/Unitflowchart!$S$383)*BargeTransport!W13*Unitflowchart!$S$333</f>
        <v>0</v>
      </c>
      <c r="K308" s="723">
        <f>(Unitflowchart!$S$320/Unitflowchart!$S$383)*BargeTransport!AB13*Unitflowchart!$S$333</f>
        <v>0</v>
      </c>
      <c r="L308" s="25">
        <f>(K308/K$398)*100</f>
        <v>0</v>
      </c>
      <c r="M308" s="725">
        <f>(Unitflowchart!$S$320/Unitflowchart!$S$383)*BargeTransport!AC13*Unitflowchart!$S$333</f>
        <v>0</v>
      </c>
      <c r="N308" s="726">
        <f>E308+(GlobalWarmingPotentials!$B$11*H308)+(GlobalWarmingPotentials!$C$11*K308)</f>
        <v>0</v>
      </c>
      <c r="O308" s="25">
        <f>(N308/N$398)*100</f>
        <v>0</v>
      </c>
      <c r="P308" s="744">
        <f>SQRT((G308^2)+((GlobalWarmingPotentials!$B$11*J308)^2)+((GlobalWarmingPotentials!$C$11*M308)^2))</f>
        <v>0</v>
      </c>
      <c r="Q308" s="30"/>
    </row>
    <row r="309" spans="1:17" x14ac:dyDescent="0.25">
      <c r="B309" s="728"/>
      <c r="C309" s="25"/>
      <c r="D309" s="735"/>
      <c r="E309" s="728"/>
      <c r="F309" s="25"/>
      <c r="G309" s="735"/>
      <c r="H309" s="31"/>
      <c r="I309" s="25"/>
      <c r="J309" s="724"/>
      <c r="K309" s="31"/>
      <c r="L309" s="25"/>
      <c r="M309" s="724"/>
      <c r="N309" s="728"/>
      <c r="O309" s="25"/>
      <c r="P309" s="735"/>
      <c r="Q309" s="30"/>
    </row>
    <row r="310" spans="1:17" x14ac:dyDescent="0.25">
      <c r="A310" s="218" t="s">
        <v>871</v>
      </c>
      <c r="B310" s="734">
        <f>(Unitflowchart!$S$320/Unitflowchart!$S$383)*BargeTransport!J15*Unitflowchart!$S$333</f>
        <v>0</v>
      </c>
      <c r="C310" s="721">
        <f>(B310/B$398)*100</f>
        <v>0</v>
      </c>
      <c r="D310" s="745">
        <f>(Unitflowchart!$S$320/Unitflowchart!$S$383)*BargeTransport!K15*Unitflowchart!$S$333</f>
        <v>0</v>
      </c>
      <c r="E310" s="734">
        <f>(Unitflowchart!$S$320/Unitflowchart!$S$383)*BargeTransport!P15*Unitflowchart!$S$333</f>
        <v>0</v>
      </c>
      <c r="F310" s="721">
        <f>(E310/E$398)*100</f>
        <v>0</v>
      </c>
      <c r="G310" s="745">
        <f>(Unitflowchart!$S$320/Unitflowchart!$S$383)*BargeTransport!Q15*Unitflowchart!$S$333</f>
        <v>0</v>
      </c>
      <c r="H310" s="722">
        <f>(Unitflowchart!$S$320/Unitflowchart!$S$383)*BargeTransport!V15*Unitflowchart!$S$333</f>
        <v>0</v>
      </c>
      <c r="I310" s="721">
        <f>(H310/H$398)*100</f>
        <v>0</v>
      </c>
      <c r="J310" s="720">
        <f>(Unitflowchart!$S$320/Unitflowchart!$S$383)*BargeTransport!W15*Unitflowchart!$S$333</f>
        <v>0</v>
      </c>
      <c r="K310" s="722">
        <f>(Unitflowchart!$S$320/Unitflowchart!$S$383)*BargeTransport!AB15*Unitflowchart!$S$333</f>
        <v>0</v>
      </c>
      <c r="L310" s="721">
        <f>(K310/K$398)*100</f>
        <v>0</v>
      </c>
      <c r="M310" s="720">
        <f>(Unitflowchart!$S$320/Unitflowchart!$S$383)*BargeTransport!AC15*Unitflowchart!$S$333</f>
        <v>0</v>
      </c>
      <c r="N310" s="734">
        <f>E310+(GlobalWarmingPotentials!$B$11*H310)+(GlobalWarmingPotentials!$C$11*K310)</f>
        <v>0</v>
      </c>
      <c r="O310" s="721">
        <f>(N310/N$398)*100</f>
        <v>0</v>
      </c>
      <c r="P310" s="743">
        <f>SQRT((G310^2)+((GlobalWarmingPotentials!$B$11*J310)^2)+((GlobalWarmingPotentials!$C$11*M310)^2))</f>
        <v>0</v>
      </c>
      <c r="Q310" s="30"/>
    </row>
    <row r="311" spans="1:17" x14ac:dyDescent="0.25">
      <c r="B311" s="728"/>
      <c r="C311" s="25"/>
      <c r="D311" s="735"/>
      <c r="E311" s="728"/>
      <c r="F311" s="25"/>
      <c r="G311" s="735"/>
      <c r="H311" s="31"/>
      <c r="I311" s="25"/>
      <c r="J311" s="724"/>
      <c r="K311" s="31"/>
      <c r="L311" s="25"/>
      <c r="M311" s="724"/>
      <c r="N311" s="728"/>
      <c r="O311" s="25"/>
      <c r="P311" s="735"/>
      <c r="Q311" s="30"/>
    </row>
    <row r="312" spans="1:17" x14ac:dyDescent="0.25">
      <c r="A312" s="387" t="s">
        <v>919</v>
      </c>
      <c r="B312" s="728"/>
      <c r="C312" s="25"/>
      <c r="D312" s="735"/>
      <c r="E312" s="728"/>
      <c r="F312" s="25"/>
      <c r="G312" s="735"/>
      <c r="H312" s="31"/>
      <c r="I312" s="25"/>
      <c r="J312" s="724"/>
      <c r="K312" s="31"/>
      <c r="L312" s="25"/>
      <c r="M312" s="724"/>
      <c r="N312" s="728"/>
      <c r="O312" s="25"/>
      <c r="P312" s="735"/>
      <c r="Q312" s="30"/>
    </row>
    <row r="313" spans="1:17" x14ac:dyDescent="0.25">
      <c r="B313" s="728"/>
      <c r="C313" s="25"/>
      <c r="D313" s="735"/>
      <c r="E313" s="728"/>
      <c r="F313" s="25"/>
      <c r="G313" s="735"/>
      <c r="H313" s="31"/>
      <c r="I313" s="25"/>
      <c r="J313" s="724"/>
      <c r="K313" s="31"/>
      <c r="L313" s="25"/>
      <c r="M313" s="724"/>
      <c r="N313" s="728"/>
      <c r="O313" s="25"/>
      <c r="P313" s="735"/>
      <c r="Q313" s="30"/>
    </row>
    <row r="314" spans="1:17" x14ac:dyDescent="0.25">
      <c r="A314" t="str">
        <f>ShipTransport!A11</f>
        <v xml:space="preserve"> - Marine Diesel</v>
      </c>
      <c r="B314" s="726">
        <f>(Unitflowchart!$S$320/Unitflowchart!$S$383)*ShipTransport!J11*Unitflowchart!$S$335</f>
        <v>0</v>
      </c>
      <c r="C314" s="25">
        <f>(B314/B$398)*100</f>
        <v>0</v>
      </c>
      <c r="D314" s="744">
        <f>(Unitflowchart!$S$320/Unitflowchart!$S$383)*ShipTransport!K11*Unitflowchart!$S$335</f>
        <v>0</v>
      </c>
      <c r="E314" s="726">
        <f>(Unitflowchart!$S$320/Unitflowchart!$S$383)*ShipTransport!P11*Unitflowchart!$S$335</f>
        <v>0</v>
      </c>
      <c r="F314" s="25">
        <f>(E314/E$398)*100</f>
        <v>0</v>
      </c>
      <c r="G314" s="744">
        <f>(Unitflowchart!$S$320/Unitflowchart!$S$383)*ShipTransport!Q11*Unitflowchart!$S$335</f>
        <v>0</v>
      </c>
      <c r="H314" s="723">
        <f>(Unitflowchart!$S$320/Unitflowchart!$S$383)*ShipTransport!V11*Unitflowchart!$S$335</f>
        <v>0</v>
      </c>
      <c r="I314" s="25">
        <f>(H314/H$398)*100</f>
        <v>0</v>
      </c>
      <c r="J314" s="725">
        <f>(Unitflowchart!$S$320/Unitflowchart!$S$383)*ShipTransport!W11*Unitflowchart!$S$335</f>
        <v>0</v>
      </c>
      <c r="K314" s="723">
        <f>(Unitflowchart!$S$320/Unitflowchart!$S$383)*ShipTransport!AB11*Unitflowchart!$S$335</f>
        <v>0</v>
      </c>
      <c r="L314" s="25">
        <f>(K314/K$398)*100</f>
        <v>0</v>
      </c>
      <c r="M314" s="725">
        <f>(Unitflowchart!$S$320/Unitflowchart!$S$383)*ShipTransport!AC11*Unitflowchart!$S$335</f>
        <v>0</v>
      </c>
      <c r="N314" s="726">
        <f>E314+(GlobalWarmingPotentials!$B$11*H314)+(GlobalWarmingPotentials!$C$11*K314)</f>
        <v>0</v>
      </c>
      <c r="O314" s="25">
        <f>(N314/N$398)*100</f>
        <v>0</v>
      </c>
      <c r="P314" s="744">
        <f>SQRT((G314^2)+((GlobalWarmingPotentials!$B$11*J314)^2)+((GlobalWarmingPotentials!$C$11*M314)^2))</f>
        <v>0</v>
      </c>
      <c r="Q314" s="30"/>
    </row>
    <row r="315" spans="1:17" x14ac:dyDescent="0.25">
      <c r="A315" t="str">
        <f>ShipTransport!A12</f>
        <v xml:space="preserve"> - Ship Construction</v>
      </c>
      <c r="B315" s="726">
        <f>(Unitflowchart!$S$320/Unitflowchart!$S$383)*ShipTransport!J12*Unitflowchart!$S$335</f>
        <v>0</v>
      </c>
      <c r="C315" s="25">
        <f>(B315/B$398)*100</f>
        <v>0</v>
      </c>
      <c r="D315" s="744">
        <f>(Unitflowchart!$S$320/Unitflowchart!$S$383)*ShipTransport!K12*Unitflowchart!$S$335</f>
        <v>0</v>
      </c>
      <c r="E315" s="726">
        <f>(Unitflowchart!$S$320/Unitflowchart!$S$383)*ShipTransport!P12*Unitflowchart!$S$335</f>
        <v>0</v>
      </c>
      <c r="F315" s="25">
        <f>(E315/E$398)*100</f>
        <v>0</v>
      </c>
      <c r="G315" s="744">
        <f>(Unitflowchart!$S$320/Unitflowchart!$S$383)*ShipTransport!Q12*Unitflowchart!$S$335</f>
        <v>0</v>
      </c>
      <c r="H315" s="723">
        <f>(Unitflowchart!$S$320/Unitflowchart!$S$383)*ShipTransport!V12*Unitflowchart!$S$335</f>
        <v>0</v>
      </c>
      <c r="I315" s="25">
        <f>(H315/H$398)*100</f>
        <v>0</v>
      </c>
      <c r="J315" s="725">
        <f>(Unitflowchart!$S$320/Unitflowchart!$S$383)*ShipTransport!W12*Unitflowchart!$S$335</f>
        <v>0</v>
      </c>
      <c r="K315" s="723">
        <f>(Unitflowchart!$S$320/Unitflowchart!$S$383)*ShipTransport!AB12*Unitflowchart!$S$335</f>
        <v>0</v>
      </c>
      <c r="L315" s="25">
        <f>(K315/K$398)*100</f>
        <v>0</v>
      </c>
      <c r="M315" s="725">
        <f>(Unitflowchart!$S$320/Unitflowchart!$S$383)*ShipTransport!AC12*Unitflowchart!$S$335</f>
        <v>0</v>
      </c>
      <c r="N315" s="726">
        <f>E315+(GlobalWarmingPotentials!$B$11*H315)+(GlobalWarmingPotentials!$C$11*K315)</f>
        <v>0</v>
      </c>
      <c r="O315" s="25">
        <f>(N315/N$398)*100</f>
        <v>0</v>
      </c>
      <c r="P315" s="744">
        <f>SQRT((G315^2)+((GlobalWarmingPotentials!$B$11*J315)^2)+((GlobalWarmingPotentials!$C$11*M315)^2))</f>
        <v>0</v>
      </c>
      <c r="Q315" s="30"/>
    </row>
    <row r="316" spans="1:17" x14ac:dyDescent="0.25">
      <c r="A316" t="str">
        <f>ShipTransport!A13</f>
        <v xml:space="preserve"> - Ship Maintenance</v>
      </c>
      <c r="B316" s="726">
        <f>(Unitflowchart!$S$320/Unitflowchart!$S$383)*ShipTransport!J13*Unitflowchart!$S$335</f>
        <v>0</v>
      </c>
      <c r="C316" s="25">
        <f>(B316/B$398)*100</f>
        <v>0</v>
      </c>
      <c r="D316" s="744">
        <f>(Unitflowchart!$S$320/Unitflowchart!$S$383)*ShipTransport!K13*Unitflowchart!$S$335</f>
        <v>0</v>
      </c>
      <c r="E316" s="726">
        <f>(Unitflowchart!$S$320/Unitflowchart!$S$383)*ShipTransport!P13*Unitflowchart!$S$335</f>
        <v>0</v>
      </c>
      <c r="F316" s="25">
        <f>(E316/E$398)*100</f>
        <v>0</v>
      </c>
      <c r="G316" s="744">
        <f>(Unitflowchart!$S$320/Unitflowchart!$S$383)*ShipTransport!Q13*Unitflowchart!$S$335</f>
        <v>0</v>
      </c>
      <c r="H316" s="723">
        <f>(Unitflowchart!$S$320/Unitflowchart!$S$383)*ShipTransport!V13*Unitflowchart!$S$335</f>
        <v>0</v>
      </c>
      <c r="I316" s="25">
        <f>(H316/H$398)*100</f>
        <v>0</v>
      </c>
      <c r="J316" s="725">
        <f>(Unitflowchart!$S$320/Unitflowchart!$S$383)*ShipTransport!W13*Unitflowchart!$S$335</f>
        <v>0</v>
      </c>
      <c r="K316" s="723">
        <f>(Unitflowchart!$S$320/Unitflowchart!$S$383)*ShipTransport!AB13*Unitflowchart!$S$335</f>
        <v>0</v>
      </c>
      <c r="L316" s="25">
        <f>(K316/K$398)*100</f>
        <v>0</v>
      </c>
      <c r="M316" s="725">
        <f>(Unitflowchart!$S$320/Unitflowchart!$S$383)*ShipTransport!AC13*Unitflowchart!$S$335</f>
        <v>0</v>
      </c>
      <c r="N316" s="726">
        <f>E316+(GlobalWarmingPotentials!$B$11*H316)+(GlobalWarmingPotentials!$C$11*K316)</f>
        <v>0</v>
      </c>
      <c r="O316" s="25">
        <f>(N316/N$398)*100</f>
        <v>0</v>
      </c>
      <c r="P316" s="744">
        <f>SQRT((G316^2)+((GlobalWarmingPotentials!$B$11*J316)^2)+((GlobalWarmingPotentials!$C$11*M316)^2))</f>
        <v>0</v>
      </c>
      <c r="Q316" s="30"/>
    </row>
    <row r="317" spans="1:17" x14ac:dyDescent="0.25">
      <c r="B317" s="728"/>
      <c r="C317" s="25"/>
      <c r="D317" s="735"/>
      <c r="E317" s="728"/>
      <c r="F317" s="25"/>
      <c r="G317" s="735"/>
      <c r="H317" s="31"/>
      <c r="I317" s="25"/>
      <c r="J317" s="724"/>
      <c r="K317" s="31"/>
      <c r="L317" s="25"/>
      <c r="M317" s="724"/>
      <c r="N317" s="728"/>
      <c r="O317" s="25"/>
      <c r="P317" s="735"/>
      <c r="Q317" s="30"/>
    </row>
    <row r="318" spans="1:17" x14ac:dyDescent="0.25">
      <c r="A318" s="218" t="s">
        <v>873</v>
      </c>
      <c r="B318" s="734">
        <f>(Unitflowchart!$S$320/Unitflowchart!$S$383)*ShipTransport!J15*Unitflowchart!$S$335</f>
        <v>0</v>
      </c>
      <c r="C318" s="721">
        <f>(B318/B$398)*100</f>
        <v>0</v>
      </c>
      <c r="D318" s="745">
        <f>(Unitflowchart!$S$320/Unitflowchart!$S$383)*ShipTransport!K15*Unitflowchart!$S$335</f>
        <v>0</v>
      </c>
      <c r="E318" s="734">
        <f>(Unitflowchart!$S$320/Unitflowchart!$S$383)*ShipTransport!P15*Unitflowchart!$S$335</f>
        <v>0</v>
      </c>
      <c r="F318" s="721">
        <f>(E318/E$398)*100</f>
        <v>0</v>
      </c>
      <c r="G318" s="745">
        <f>(Unitflowchart!$S$320/Unitflowchart!$S$383)*ShipTransport!Q15*Unitflowchart!$S$335</f>
        <v>0</v>
      </c>
      <c r="H318" s="722">
        <f>(Unitflowchart!$S$320/Unitflowchart!$S$383)*ShipTransport!V15*Unitflowchart!$S$335</f>
        <v>0</v>
      </c>
      <c r="I318" s="721">
        <f>(H318/H$398)*100</f>
        <v>0</v>
      </c>
      <c r="J318" s="720">
        <f>(Unitflowchart!$S$320/Unitflowchart!$S$383)*ShipTransport!W15*Unitflowchart!$S$335</f>
        <v>0</v>
      </c>
      <c r="K318" s="722">
        <f>(Unitflowchart!$S$320/Unitflowchart!$S$383)*ShipTransport!AB15*Unitflowchart!$S$335</f>
        <v>0</v>
      </c>
      <c r="L318" s="721">
        <f>(K318/K$398)*100</f>
        <v>0</v>
      </c>
      <c r="M318" s="720">
        <f>(Unitflowchart!$S$320/Unitflowchart!$S$383)*ShipTransport!AC15*Unitflowchart!$S$335</f>
        <v>0</v>
      </c>
      <c r="N318" s="734">
        <f>E318+(GlobalWarmingPotentials!$B$11*H318)+(GlobalWarmingPotentials!$C$11*K318)</f>
        <v>0</v>
      </c>
      <c r="O318" s="721">
        <f>(N318/N$398)*100</f>
        <v>0</v>
      </c>
      <c r="P318" s="743">
        <f>SQRT((G318^2)+((GlobalWarmingPotentials!$B$11*J318)^2)+((GlobalWarmingPotentials!$C$11*M318)^2))</f>
        <v>0</v>
      </c>
      <c r="Q318" s="30"/>
    </row>
    <row r="319" spans="1:17" x14ac:dyDescent="0.25">
      <c r="B319" s="728"/>
      <c r="D319" s="735"/>
      <c r="E319" s="728"/>
      <c r="F319" s="25"/>
      <c r="G319" s="735"/>
      <c r="H319" s="31"/>
      <c r="I319" s="25"/>
      <c r="J319" s="724"/>
      <c r="K319" s="31"/>
      <c r="L319" s="25"/>
      <c r="M319" s="724"/>
      <c r="N319" s="728"/>
      <c r="O319" s="25"/>
      <c r="P319" s="735"/>
      <c r="Q319" s="30"/>
    </row>
    <row r="320" spans="1:17" x14ac:dyDescent="0.25">
      <c r="A320" s="715" t="s">
        <v>910</v>
      </c>
      <c r="B320" s="734">
        <f>B294+B302+B310+B318</f>
        <v>517.88672232212184</v>
      </c>
      <c r="C320" s="721">
        <f>(B320/B$398)*100</f>
        <v>4.0008609615279447</v>
      </c>
      <c r="D320" s="745">
        <f>SQRT((D294^2)+(D302^2)+(D310^2)+(D318^2))</f>
        <v>24.34067594913973</v>
      </c>
      <c r="E320" s="734">
        <f t="shared" ref="E320" si="59">E294+E302+E310+E318</f>
        <v>37.164284826471004</v>
      </c>
      <c r="F320" s="721">
        <f t="shared" ref="F320" si="60">(E320/E$398)*100</f>
        <v>4.6202303121259201</v>
      </c>
      <c r="G320" s="745">
        <f t="shared" ref="G320" si="61">SQRT((G294^2)+(G302^2)+(G310^2)+(G318^2))</f>
        <v>1.7467213868441371</v>
      </c>
      <c r="H320" s="722">
        <f t="shared" ref="H320" si="62">H294+H302+H310+H318</f>
        <v>7.7224487951108563E-3</v>
      </c>
      <c r="I320" s="721">
        <f t="shared" ref="I320" si="63">(H320/H$398)*100</f>
        <v>0.76922259329382747</v>
      </c>
      <c r="J320" s="720">
        <f t="shared" ref="J320" si="64">SQRT((J294^2)+(J302^2)+(J310^2)+(J318^2))</f>
        <v>3.6295509337021026E-4</v>
      </c>
      <c r="K320" s="722">
        <f t="shared" ref="K320" si="65">K294+K302+K310+K318</f>
        <v>1.0039183433644116E-2</v>
      </c>
      <c r="L320" s="721">
        <f t="shared" ref="L320" si="66">(K320/K$398)*100</f>
        <v>4.6204965523775554</v>
      </c>
      <c r="M320" s="720">
        <f t="shared" ref="M320" si="67">SQRT((M294^2)+(M302^2)+(M310^2)+(M318^2))</f>
        <v>4.7184162138127345E-4</v>
      </c>
      <c r="N320" s="734">
        <f t="shared" ref="N320" si="68">N294+N302+N310+N318</f>
        <v>40.313499445117209</v>
      </c>
      <c r="O320" s="721">
        <f t="shared" ref="O320" si="69">(N320/N$398)*100</f>
        <v>4.5205381008576948</v>
      </c>
      <c r="P320" s="743">
        <f t="shared" ref="P320" si="70">SQRT((P294^2)+(P302^2)+(P310^2)+(P318^2))</f>
        <v>1.7523160780917761</v>
      </c>
      <c r="Q320" s="30"/>
    </row>
    <row r="321" spans="1:17" x14ac:dyDescent="0.25">
      <c r="B321" s="728"/>
      <c r="D321" s="735"/>
      <c r="E321" s="728"/>
      <c r="G321" s="735"/>
      <c r="H321" s="31"/>
      <c r="J321" s="724"/>
      <c r="K321" s="31"/>
      <c r="M321" s="724"/>
      <c r="N321" s="728"/>
      <c r="P321" s="735"/>
      <c r="Q321" s="30"/>
    </row>
    <row r="322" spans="1:17" x14ac:dyDescent="0.25">
      <c r="A322" s="154" t="s">
        <v>423</v>
      </c>
      <c r="B322" s="728"/>
      <c r="D322" s="735"/>
      <c r="E322" s="728"/>
      <c r="G322" s="735"/>
      <c r="H322" s="31"/>
      <c r="J322" s="724"/>
      <c r="K322" s="31"/>
      <c r="M322" s="724"/>
      <c r="N322" s="728"/>
      <c r="P322" s="735"/>
      <c r="Q322" s="30"/>
    </row>
    <row r="323" spans="1:17" x14ac:dyDescent="0.25">
      <c r="B323" s="728"/>
      <c r="D323" s="735"/>
      <c r="E323" s="728"/>
      <c r="G323" s="735"/>
      <c r="H323" s="31"/>
      <c r="J323" s="724"/>
      <c r="K323" s="31"/>
      <c r="M323" s="724"/>
      <c r="N323" s="728"/>
      <c r="P323" s="735"/>
      <c r="Q323" s="30"/>
    </row>
    <row r="324" spans="1:17" x14ac:dyDescent="0.25">
      <c r="A324" t="str">
        <f>RoadTransportStage2!A28</f>
        <v xml:space="preserve"> - Diesel Fuel</v>
      </c>
      <c r="B324" s="732">
        <f>(Unitflowchart!$S$341/Unitflowchart!$S$383)*RoadTransportEthanolStage2!J28*Unitflowchart!$S$350</f>
        <v>0</v>
      </c>
      <c r="C324" s="26">
        <f>(B324/B$398)*100</f>
        <v>0</v>
      </c>
      <c r="D324" s="491">
        <f>(Unitflowchart!$S$341/Unitflowchart!$S$383)*RoadTransportEthanolStage2!K28*Unitflowchart!$S$350</f>
        <v>0</v>
      </c>
      <c r="E324" s="732">
        <f>(Unitflowchart!$S$341/Unitflowchart!$S$383)*RoadTransportEthanolStage2!P28*Unitflowchart!$S$350</f>
        <v>0</v>
      </c>
      <c r="F324" s="26">
        <f>(E324/E$398)*100</f>
        <v>0</v>
      </c>
      <c r="G324" s="491">
        <f>(Unitflowchart!$S$341/Unitflowchart!$S$383)*RoadTransportEthanolStage2!Q28*Unitflowchart!$S$350</f>
        <v>0</v>
      </c>
      <c r="H324" s="749">
        <f>(Unitflowchart!$S$341/Unitflowchart!$S$383)*RoadTransportEthanolStage2!V28*Unitflowchart!$S$350</f>
        <v>0</v>
      </c>
      <c r="I324" s="26">
        <f>(H324/H$398)*100</f>
        <v>0</v>
      </c>
      <c r="J324" s="752">
        <f>(Unitflowchart!$S$341/Unitflowchart!$S$383)*RoadTransportEthanolStage2!W28*Unitflowchart!$S$350</f>
        <v>0</v>
      </c>
      <c r="K324" s="749">
        <f>(Unitflowchart!$S$341/Unitflowchart!$S$383)*RoadTransportEthanolStage2!AB28*Unitflowchart!$S$350</f>
        <v>0</v>
      </c>
      <c r="L324" s="26">
        <f>(K324/K$398)*100</f>
        <v>0</v>
      </c>
      <c r="M324" s="751">
        <f>(Unitflowchart!$S$341/Unitflowchart!$S$383)*RoadTransportEthanolStage2!AC28*Unitflowchart!$S$350</f>
        <v>0</v>
      </c>
      <c r="N324" s="727">
        <f>E324+(GlobalWarmingPotentials!$B$11*H324)+(GlobalWarmingPotentials!$C$11*K324)</f>
        <v>0</v>
      </c>
      <c r="O324" s="26">
        <f>(N324/N$398)*100</f>
        <v>0</v>
      </c>
      <c r="P324" s="760">
        <f>SQRT((G324^2)+((GlobalWarmingPotentials!$B$11*J324)^2)+((GlobalWarmingPotentials!$C$11*M324)^2))</f>
        <v>0</v>
      </c>
      <c r="Q324" s="30"/>
    </row>
    <row r="325" spans="1:17" x14ac:dyDescent="0.25">
      <c r="A325" t="str">
        <f>RoadTransportStage2!A29</f>
        <v xml:space="preserve"> - Vehicle </v>
      </c>
      <c r="B325" s="732">
        <f>(Unitflowchart!$S$341/Unitflowchart!$S$383)*RoadTransportEthanolStage2!J29*Unitflowchart!$S$350</f>
        <v>0</v>
      </c>
      <c r="C325" s="26">
        <f>(B325/B$398)*100</f>
        <v>0</v>
      </c>
      <c r="D325" s="491">
        <f>(Unitflowchart!$S$341/Unitflowchart!$S$383)*RoadTransportEthanolStage2!K29*Unitflowchart!$S$350</f>
        <v>0</v>
      </c>
      <c r="E325" s="732">
        <f>(Unitflowchart!$S$341/Unitflowchart!$S$383)*RoadTransportEthanolStage2!P29*Unitflowchart!$S$350</f>
        <v>0</v>
      </c>
      <c r="F325" s="26">
        <f>(E325/E$398)*100</f>
        <v>0</v>
      </c>
      <c r="G325" s="491">
        <f>(Unitflowchart!$S$341/Unitflowchart!$S$383)*RoadTransportEthanolStage2!Q29*Unitflowchart!$S$350</f>
        <v>0</v>
      </c>
      <c r="H325" s="749">
        <f>(Unitflowchart!$S$341/Unitflowchart!$S$383)*RoadTransportEthanolStage2!V29*Unitflowchart!$S$350</f>
        <v>0</v>
      </c>
      <c r="I325" s="26">
        <f>(H325/H$398)*100</f>
        <v>0</v>
      </c>
      <c r="J325" s="752">
        <f>(Unitflowchart!$S$341/Unitflowchart!$S$383)*RoadTransportEthanolStage2!W29*Unitflowchart!$S$350</f>
        <v>0</v>
      </c>
      <c r="K325" s="749">
        <f>(Unitflowchart!$S$341/Unitflowchart!$S$383)*RoadTransportEthanolStage2!AB29*Unitflowchart!$S$350</f>
        <v>0</v>
      </c>
      <c r="L325" s="26">
        <f>(K325/K$398)*100</f>
        <v>0</v>
      </c>
      <c r="M325" s="751">
        <f>(Unitflowchart!$S$341/Unitflowchart!$S$383)*RoadTransportEthanolStage2!AC29*Unitflowchart!$S$350</f>
        <v>0</v>
      </c>
      <c r="N325" s="727">
        <f>E325+(GlobalWarmingPotentials!$B$11*H325)+(GlobalWarmingPotentials!$C$11*K325)</f>
        <v>0</v>
      </c>
      <c r="O325" s="26">
        <f>(N325/N$398)*100</f>
        <v>0</v>
      </c>
      <c r="P325" s="760">
        <f>SQRT((G325^2)+((GlobalWarmingPotentials!$B$11*J325)^2)+((GlobalWarmingPotentials!$C$11*M325)^2))</f>
        <v>0</v>
      </c>
      <c r="Q325" s="30"/>
    </row>
    <row r="326" spans="1:17" x14ac:dyDescent="0.25">
      <c r="A326" t="str">
        <f>RoadTransportStage2!A30</f>
        <v xml:space="preserve"> - Maintenance</v>
      </c>
      <c r="B326" s="732">
        <f>(Unitflowchart!$S$341/Unitflowchart!$S$383)*RoadTransportEthanolStage2!J30*Unitflowchart!$S$350</f>
        <v>0</v>
      </c>
      <c r="C326" s="26">
        <f>(B326/B$398)*100</f>
        <v>0</v>
      </c>
      <c r="D326" s="491">
        <f>(Unitflowchart!$S$341/Unitflowchart!$S$383)*RoadTransportEthanolStage2!K30*Unitflowchart!$S$350</f>
        <v>0</v>
      </c>
      <c r="E326" s="732">
        <f>(Unitflowchart!$S$341/Unitflowchart!$S$383)*RoadTransportEthanolStage2!P30*Unitflowchart!$S$350</f>
        <v>0</v>
      </c>
      <c r="F326" s="26">
        <f>(E326/E$398)*100</f>
        <v>0</v>
      </c>
      <c r="G326" s="491">
        <f>(Unitflowchart!$S$341/Unitflowchart!$S$383)*RoadTransportEthanolStage2!Q30*Unitflowchart!$S$350</f>
        <v>0</v>
      </c>
      <c r="H326" s="749">
        <f>(Unitflowchart!$S$341/Unitflowchart!$S$383)*RoadTransportEthanolStage2!V30*Unitflowchart!$S$350</f>
        <v>0</v>
      </c>
      <c r="I326" s="26">
        <f>(H326/H$398)*100</f>
        <v>0</v>
      </c>
      <c r="J326" s="752">
        <f>(Unitflowchart!$S$341/Unitflowchart!$S$383)*RoadTransportEthanolStage2!W30*Unitflowchart!$S$350</f>
        <v>0</v>
      </c>
      <c r="K326" s="749">
        <f>(Unitflowchart!$S$341/Unitflowchart!$S$383)*RoadTransportEthanolStage2!AB30*Unitflowchart!$S$350</f>
        <v>0</v>
      </c>
      <c r="L326" s="26">
        <f>(K326/K$398)*100</f>
        <v>0</v>
      </c>
      <c r="M326" s="751">
        <f>(Unitflowchart!$S$341/Unitflowchart!$S$383)*RoadTransportEthanolStage2!AC30*Unitflowchart!$S$350</f>
        <v>0</v>
      </c>
      <c r="N326" s="727">
        <f>E326+(GlobalWarmingPotentials!$B$11*H326)+(GlobalWarmingPotentials!$C$11*K326)</f>
        <v>0</v>
      </c>
      <c r="O326" s="26">
        <f>(N326/N$398)*100</f>
        <v>0</v>
      </c>
      <c r="P326" s="760">
        <f>SQRT((G326^2)+((GlobalWarmingPotentials!$B$11*J326)^2)+((GlobalWarmingPotentials!$C$11*M326)^2))</f>
        <v>0</v>
      </c>
      <c r="Q326" s="30"/>
    </row>
    <row r="327" spans="1:17" s="43" customFormat="1" x14ac:dyDescent="0.25">
      <c r="B327" s="766"/>
      <c r="C327" s="992"/>
      <c r="D327" s="779"/>
      <c r="E327" s="766"/>
      <c r="F327" s="992"/>
      <c r="G327" s="779"/>
      <c r="H327" s="783"/>
      <c r="I327" s="992"/>
      <c r="J327" s="828"/>
      <c r="K327" s="783"/>
      <c r="L327" s="992"/>
      <c r="M327" s="784"/>
      <c r="N327" s="729"/>
      <c r="O327" s="1060"/>
      <c r="P327" s="213"/>
      <c r="Q327" s="852"/>
    </row>
    <row r="328" spans="1:17" x14ac:dyDescent="0.25">
      <c r="A328" s="218" t="s">
        <v>868</v>
      </c>
      <c r="B328" s="730">
        <f>(Unitflowchart!$S$341/Unitflowchart!$S$383)*RoadTransportEthanolStage2!J32*Unitflowchart!$S$350</f>
        <v>0</v>
      </c>
      <c r="C328" s="15">
        <f>(B328/B$398)*100</f>
        <v>0</v>
      </c>
      <c r="D328" s="740">
        <f>(Unitflowchart!$S$341/Unitflowchart!$S$383)*RoadTransportEthanolStage2!K32*Unitflowchart!$S$350</f>
        <v>0</v>
      </c>
      <c r="E328" s="730">
        <f>(Unitflowchart!$S$341/Unitflowchart!$S$383)*RoadTransportEthanolStage2!P32*Unitflowchart!$S$350</f>
        <v>0</v>
      </c>
      <c r="F328" s="15">
        <f>(E328/E$398)*100</f>
        <v>0</v>
      </c>
      <c r="G328" s="740">
        <f>(Unitflowchart!$S$341/Unitflowchart!$S$383)*RoadTransportEthanolStage2!Q32*Unitflowchart!$S$350</f>
        <v>0</v>
      </c>
      <c r="H328" s="215">
        <f>(Unitflowchart!$S$341/Unitflowchart!$S$383)*RoadTransportEthanolStage2!V32*Unitflowchart!$S$350</f>
        <v>0</v>
      </c>
      <c r="I328" s="15">
        <f>(H328/H$398)*100</f>
        <v>0</v>
      </c>
      <c r="J328" s="747">
        <f>(Unitflowchart!$S$341/Unitflowchart!$S$383)*RoadTransportEthanolStage2!W32*Unitflowchart!$S$350</f>
        <v>0</v>
      </c>
      <c r="K328" s="215">
        <f>(Unitflowchart!$S$341/Unitflowchart!$S$383)*RoadTransportEthanolStage2!AB32*Unitflowchart!$S$350</f>
        <v>0</v>
      </c>
      <c r="L328" s="15">
        <f>(K328/K$398)*100</f>
        <v>0</v>
      </c>
      <c r="M328" s="216">
        <f>(Unitflowchart!$S$341/Unitflowchart!$S$383)*RoadTransportEthanolStage2!AC32*Unitflowchart!$S$350</f>
        <v>0</v>
      </c>
      <c r="N328" s="730">
        <f>E328+(GlobalWarmingPotentials!$B$11*H328)+(GlobalWarmingPotentials!$C$11*K328)</f>
        <v>0</v>
      </c>
      <c r="O328" s="15">
        <f>(N328/N$398)*100</f>
        <v>0</v>
      </c>
      <c r="P328" s="761">
        <f>SQRT((G328^2)+((GlobalWarmingPotentials!$B$11*J328)^2)+((GlobalWarmingPotentials!$C$11*M328)^2))</f>
        <v>0</v>
      </c>
      <c r="Q328" s="30"/>
    </row>
    <row r="329" spans="1:17" x14ac:dyDescent="0.25">
      <c r="B329" s="728"/>
      <c r="D329" s="735"/>
      <c r="E329" s="728"/>
      <c r="G329" s="735"/>
      <c r="H329" s="31"/>
      <c r="J329" s="724"/>
      <c r="K329" s="31"/>
      <c r="M329" s="724"/>
      <c r="N329" s="733"/>
      <c r="P329" s="735"/>
      <c r="Q329" s="30"/>
    </row>
    <row r="330" spans="1:17" x14ac:dyDescent="0.25">
      <c r="A330" s="387" t="s">
        <v>921</v>
      </c>
      <c r="B330" s="728"/>
      <c r="D330" s="735"/>
      <c r="E330" s="728"/>
      <c r="G330" s="735"/>
      <c r="H330" s="31"/>
      <c r="J330" s="724"/>
      <c r="K330" s="31"/>
      <c r="M330" s="724"/>
      <c r="N330" s="728"/>
      <c r="P330" s="735"/>
      <c r="Q330" s="30"/>
    </row>
    <row r="331" spans="1:17" x14ac:dyDescent="0.25">
      <c r="B331" s="728"/>
      <c r="D331" s="735"/>
      <c r="E331" s="728"/>
      <c r="G331" s="735"/>
      <c r="H331" s="31"/>
      <c r="J331" s="724"/>
      <c r="K331" s="31"/>
      <c r="M331" s="724"/>
      <c r="N331" s="728"/>
      <c r="P331" s="735"/>
      <c r="Q331" s="30"/>
    </row>
    <row r="332" spans="1:17" x14ac:dyDescent="0.25">
      <c r="A332" t="str">
        <f>RailTransport!A11</f>
        <v xml:space="preserve"> - Gas Oil</v>
      </c>
      <c r="B332" s="726">
        <f>(Unitflowchart!$S$341/Unitflowchart!$S$383)*RailTransport!J11*Unitflowchart!$S$352</f>
        <v>0</v>
      </c>
      <c r="C332" s="25">
        <f>(B332/B$398)*100</f>
        <v>0</v>
      </c>
      <c r="D332" s="744">
        <f>(Unitflowchart!$S$341/Unitflowchart!$S$383)*RailTransport!K11*Unitflowchart!$S$352</f>
        <v>0</v>
      </c>
      <c r="E332" s="726">
        <f>(Unitflowchart!$S$341/Unitflowchart!$S$383)*RailTransport!P11*Unitflowchart!$S$352</f>
        <v>0</v>
      </c>
      <c r="F332" s="25">
        <f>(E332/E$398)*100</f>
        <v>0</v>
      </c>
      <c r="G332" s="744">
        <f>(Unitflowchart!$S$341/Unitflowchart!$S$383)*RailTransport!Q11*Unitflowchart!$S$352</f>
        <v>0</v>
      </c>
      <c r="H332" s="723">
        <f>(Unitflowchart!$S$341/Unitflowchart!$S$383)*RailTransport!V11*Unitflowchart!$S$352</f>
        <v>0</v>
      </c>
      <c r="I332" s="25">
        <f>(H332/H$398)*100</f>
        <v>0</v>
      </c>
      <c r="J332" s="725">
        <f>(Unitflowchart!$S$341/Unitflowchart!$S$383)*RailTransport!W11*Unitflowchart!$S$352</f>
        <v>0</v>
      </c>
      <c r="K332" s="723">
        <f>(Unitflowchart!$S$341/Unitflowchart!$S$383)*RailTransport!AB11*Unitflowchart!$S$352</f>
        <v>0</v>
      </c>
      <c r="L332" s="25">
        <f>(K332/K$398)*100</f>
        <v>0</v>
      </c>
      <c r="M332" s="725">
        <f>(Unitflowchart!$S$341/Unitflowchart!$S$383)*RailTransport!AC11*Unitflowchart!$S$352</f>
        <v>0</v>
      </c>
      <c r="N332" s="726">
        <f>E332+(GlobalWarmingPotentials!$B$11*H332)+(GlobalWarmingPotentials!$C$11*K332)</f>
        <v>0</v>
      </c>
      <c r="O332" s="25">
        <f>(N332/N$398)*100</f>
        <v>0</v>
      </c>
      <c r="P332" s="744">
        <f>SQRT((G332^2)+((GlobalWarmingPotentials!$B$11*J332)^2)+((GlobalWarmingPotentials!$C$11*M332)^2))</f>
        <v>0</v>
      </c>
      <c r="Q332" s="30"/>
    </row>
    <row r="333" spans="1:17" x14ac:dyDescent="0.25">
      <c r="A333" t="str">
        <f>RailTransport!A12</f>
        <v xml:space="preserve"> - Capital Equipment</v>
      </c>
      <c r="B333" s="726">
        <f>(Unitflowchart!$S$341/Unitflowchart!$S$383)*RailTransport!J12*Unitflowchart!$S$352</f>
        <v>0</v>
      </c>
      <c r="C333" s="25">
        <f>(B333/B$398)*100</f>
        <v>0</v>
      </c>
      <c r="D333" s="744">
        <f>(Unitflowchart!$S$341/Unitflowchart!$S$383)*RailTransport!K12*Unitflowchart!$S$352</f>
        <v>0</v>
      </c>
      <c r="E333" s="726">
        <f>(Unitflowchart!$S$341/Unitflowchart!$S$383)*RailTransport!P12*Unitflowchart!$S$352</f>
        <v>0</v>
      </c>
      <c r="F333" s="25">
        <f>(E333/E$398)*100</f>
        <v>0</v>
      </c>
      <c r="G333" s="744">
        <f>(Unitflowchart!$S$341/Unitflowchart!$S$383)*RailTransport!Q12*Unitflowchart!$S$352</f>
        <v>0</v>
      </c>
      <c r="H333" s="723">
        <f>(Unitflowchart!$S$341/Unitflowchart!$S$383)*RailTransport!V12*Unitflowchart!$S$352</f>
        <v>0</v>
      </c>
      <c r="I333" s="25">
        <f>(H333/H$398)*100</f>
        <v>0</v>
      </c>
      <c r="J333" s="725">
        <f>(Unitflowchart!$S$341/Unitflowchart!$S$383)*RailTransport!W12*Unitflowchart!$S$352</f>
        <v>0</v>
      </c>
      <c r="K333" s="723">
        <f>(Unitflowchart!$S$341/Unitflowchart!$S$383)*RailTransport!AB12*Unitflowchart!$S$352</f>
        <v>0</v>
      </c>
      <c r="L333" s="25">
        <f>(K333/K$398)*100</f>
        <v>0</v>
      </c>
      <c r="M333" s="725">
        <f>(Unitflowchart!$S$341/Unitflowchart!$S$383)*RailTransport!AC12*Unitflowchart!$S$352</f>
        <v>0</v>
      </c>
      <c r="N333" s="726">
        <f>E333+(GlobalWarmingPotentials!$B$11*H333)+(GlobalWarmingPotentials!$C$11*K333)</f>
        <v>0</v>
      </c>
      <c r="O333" s="25">
        <f>(N333/N$398)*100</f>
        <v>0</v>
      </c>
      <c r="P333" s="744">
        <f>SQRT((G333^2)+((GlobalWarmingPotentials!$B$11*J333)^2)+((GlobalWarmingPotentials!$C$11*M333)^2))</f>
        <v>0</v>
      </c>
      <c r="Q333" s="30"/>
    </row>
    <row r="334" spans="1:17" x14ac:dyDescent="0.25">
      <c r="A334" t="str">
        <f>RailTransport!A13</f>
        <v xml:space="preserve"> - Maintenance</v>
      </c>
      <c r="B334" s="726">
        <f>(Unitflowchart!$S$341/Unitflowchart!$S$383)*RailTransport!J13*Unitflowchart!$S$352</f>
        <v>0</v>
      </c>
      <c r="C334" s="25">
        <f>(B334/B$398)*100</f>
        <v>0</v>
      </c>
      <c r="D334" s="744">
        <f>(Unitflowchart!$S$341/Unitflowchart!$S$383)*RailTransport!K13*Unitflowchart!$S$352</f>
        <v>0</v>
      </c>
      <c r="E334" s="726">
        <f>(Unitflowchart!$S$341/Unitflowchart!$S$383)*RailTransport!P13*Unitflowchart!$S$352</f>
        <v>0</v>
      </c>
      <c r="F334" s="25">
        <f>(E334/E$398)*100</f>
        <v>0</v>
      </c>
      <c r="G334" s="744">
        <f>(Unitflowchart!$S$341/Unitflowchart!$S$383)*RailTransport!Q13*Unitflowchart!$S$352</f>
        <v>0</v>
      </c>
      <c r="H334" s="723">
        <f>(Unitflowchart!$S$341/Unitflowchart!$S$383)*RailTransport!V13*Unitflowchart!$S$352</f>
        <v>0</v>
      </c>
      <c r="I334" s="25">
        <f>(H334/H$398)*100</f>
        <v>0</v>
      </c>
      <c r="J334" s="725">
        <f>(Unitflowchart!$S$341/Unitflowchart!$S$383)*RailTransport!W13*Unitflowchart!$S$352</f>
        <v>0</v>
      </c>
      <c r="K334" s="723">
        <f>(Unitflowchart!$S$341/Unitflowchart!$S$383)*RailTransport!AB13*Unitflowchart!$S$352</f>
        <v>0</v>
      </c>
      <c r="L334" s="25">
        <f>(K334/K$398)*100</f>
        <v>0</v>
      </c>
      <c r="M334" s="725">
        <f>(Unitflowchart!$S$341/Unitflowchart!$S$383)*RailTransport!AC13*Unitflowchart!$S$352</f>
        <v>0</v>
      </c>
      <c r="N334" s="726">
        <f>E334+(GlobalWarmingPotentials!$B$11*H334)+(GlobalWarmingPotentials!$C$11*K334)</f>
        <v>0</v>
      </c>
      <c r="O334" s="25">
        <f>(N334/N$398)*100</f>
        <v>0</v>
      </c>
      <c r="P334" s="744">
        <f>SQRT((G334^2)+((GlobalWarmingPotentials!$B$11*J334)^2)+((GlobalWarmingPotentials!$C$11*M334)^2))</f>
        <v>0</v>
      </c>
      <c r="Q334" s="30"/>
    </row>
    <row r="335" spans="1:17" x14ac:dyDescent="0.25">
      <c r="B335" s="728"/>
      <c r="C335" s="25"/>
      <c r="D335" s="735"/>
      <c r="E335" s="728"/>
      <c r="F335" s="25"/>
      <c r="G335" s="735"/>
      <c r="H335" s="31"/>
      <c r="I335" s="25"/>
      <c r="J335" s="724"/>
      <c r="K335" s="31"/>
      <c r="L335" s="25"/>
      <c r="M335" s="724"/>
      <c r="N335" s="728"/>
      <c r="O335" s="25"/>
      <c r="P335" s="735"/>
      <c r="Q335" s="30"/>
    </row>
    <row r="336" spans="1:17" x14ac:dyDescent="0.25">
      <c r="A336" s="218" t="s">
        <v>891</v>
      </c>
      <c r="B336" s="734">
        <f>(Unitflowchart!$S$341/Unitflowchart!$S$383)*RailTransport!J15*Unitflowchart!$S$352</f>
        <v>0</v>
      </c>
      <c r="C336" s="721">
        <f>(B336/B$398)*100</f>
        <v>0</v>
      </c>
      <c r="D336" s="745">
        <f>(Unitflowchart!$S$341/Unitflowchart!$S$383)*RailTransport!K15*Unitflowchart!$S$352</f>
        <v>0</v>
      </c>
      <c r="E336" s="734">
        <f>(Unitflowchart!$S$341/Unitflowchart!$S$383)*RailTransport!P15*Unitflowchart!$S$352</f>
        <v>0</v>
      </c>
      <c r="F336" s="721">
        <f>(E336/E$398)*100</f>
        <v>0</v>
      </c>
      <c r="G336" s="745">
        <f>(Unitflowchart!$S$341/Unitflowchart!$S$383)*RailTransport!Q15*Unitflowchart!$S$352</f>
        <v>0</v>
      </c>
      <c r="H336" s="722">
        <f>(Unitflowchart!$S$341/Unitflowchart!$S$383)*RailTransport!V15*Unitflowchart!$S$352</f>
        <v>0</v>
      </c>
      <c r="I336" s="721">
        <f>(H336/H$398)*100</f>
        <v>0</v>
      </c>
      <c r="J336" s="720">
        <f>(Unitflowchart!$S$341/Unitflowchart!$S$383)*RailTransport!W15*Unitflowchart!$S$352</f>
        <v>0</v>
      </c>
      <c r="K336" s="722">
        <f>(Unitflowchart!$S$341/Unitflowchart!$S$383)*RailTransport!AB15*Unitflowchart!$S$352</f>
        <v>0</v>
      </c>
      <c r="L336" s="721">
        <f>(K336/K$398)*100</f>
        <v>0</v>
      </c>
      <c r="M336" s="720">
        <f>(Unitflowchart!$S$341/Unitflowchart!$S$383)*RailTransport!AC15*Unitflowchart!$S$352</f>
        <v>0</v>
      </c>
      <c r="N336" s="734">
        <f>E336+(GlobalWarmingPotentials!$B$11*H336)+(GlobalWarmingPotentials!$C$11*K336)</f>
        <v>0</v>
      </c>
      <c r="O336" s="721">
        <f>(N336/N$398)*100</f>
        <v>0</v>
      </c>
      <c r="P336" s="743">
        <f>SQRT((G336^2)+((GlobalWarmingPotentials!$B$11*J336)^2)+((GlobalWarmingPotentials!$C$11*M336)^2))</f>
        <v>0</v>
      </c>
      <c r="Q336" s="30"/>
    </row>
    <row r="337" spans="1:17" x14ac:dyDescent="0.25">
      <c r="B337" s="728"/>
      <c r="D337" s="735"/>
      <c r="E337" s="728"/>
      <c r="G337" s="735"/>
      <c r="H337" s="31"/>
      <c r="J337" s="724"/>
      <c r="K337" s="31"/>
      <c r="M337" s="724"/>
      <c r="N337" s="728"/>
      <c r="P337" s="735"/>
      <c r="Q337" s="30"/>
    </row>
    <row r="338" spans="1:17" x14ac:dyDescent="0.25">
      <c r="A338" s="387" t="s">
        <v>922</v>
      </c>
      <c r="B338" s="728"/>
      <c r="D338" s="735"/>
      <c r="E338" s="728"/>
      <c r="G338" s="735"/>
      <c r="H338" s="31"/>
      <c r="J338" s="724"/>
      <c r="K338" s="31"/>
      <c r="M338" s="724"/>
      <c r="N338" s="728"/>
      <c r="P338" s="735"/>
      <c r="Q338" s="30"/>
    </row>
    <row r="339" spans="1:17" x14ac:dyDescent="0.25">
      <c r="B339" s="728"/>
      <c r="D339" s="735"/>
      <c r="E339" s="728"/>
      <c r="G339" s="735"/>
      <c r="H339" s="31"/>
      <c r="J339" s="724"/>
      <c r="K339" s="31"/>
      <c r="M339" s="724"/>
      <c r="N339" s="728"/>
      <c r="P339" s="735"/>
      <c r="Q339" s="30"/>
    </row>
    <row r="340" spans="1:17" x14ac:dyDescent="0.25">
      <c r="A340" t="str">
        <f>BargeTransport!A11</f>
        <v xml:space="preserve"> - Marine Diesel</v>
      </c>
      <c r="B340" s="726">
        <f>(Unitflowchart!$S$341/Unitflowchart!$S$383)*BargeTransport!J11*Unitflowchart!$S$354</f>
        <v>0</v>
      </c>
      <c r="C340" s="25">
        <f>(B340/B$398)*100</f>
        <v>0</v>
      </c>
      <c r="D340" s="744">
        <f>(Unitflowchart!$S$341/Unitflowchart!$S$383)*BargeTransport!K11*Unitflowchart!$S$354</f>
        <v>0</v>
      </c>
      <c r="E340" s="726">
        <f>(Unitflowchart!$S$341/Unitflowchart!$S$383)*BargeTransport!P11*Unitflowchart!$S$354</f>
        <v>0</v>
      </c>
      <c r="F340" s="25">
        <f>(E340/E$398)*100</f>
        <v>0</v>
      </c>
      <c r="G340" s="744">
        <f>(Unitflowchart!$S$341/Unitflowchart!$S$383)*BargeTransport!Q11*Unitflowchart!$S$354</f>
        <v>0</v>
      </c>
      <c r="H340" s="723">
        <f>(Unitflowchart!$S$341/Unitflowchart!$S$383)*BargeTransport!V11*Unitflowchart!$S$354</f>
        <v>0</v>
      </c>
      <c r="I340" s="25">
        <f>(H340/H$398)*100</f>
        <v>0</v>
      </c>
      <c r="J340" s="725">
        <f>(Unitflowchart!$S$341/Unitflowchart!$S$383)*BargeTransport!W11*Unitflowchart!$S$354</f>
        <v>0</v>
      </c>
      <c r="K340" s="723">
        <f>(Unitflowchart!$S$341/Unitflowchart!$S$383)*BargeTransport!AB11*Unitflowchart!$S$354</f>
        <v>0</v>
      </c>
      <c r="L340" s="25">
        <f>(K340/K$398)*100</f>
        <v>0</v>
      </c>
      <c r="M340" s="725">
        <f>(Unitflowchart!$S$341/Unitflowchart!$S$383)*BargeTransport!AC11*Unitflowchart!$S$354</f>
        <v>0</v>
      </c>
      <c r="N340" s="726">
        <f>E340+(GlobalWarmingPotentials!$B$11*H340)+(GlobalWarmingPotentials!$C$11*K340)</f>
        <v>0</v>
      </c>
      <c r="O340" s="25">
        <f>(N340/N$398)*100</f>
        <v>0</v>
      </c>
      <c r="P340" s="744">
        <f>SQRT((G340^2)+((GlobalWarmingPotentials!$B$11*J340)^2)+((GlobalWarmingPotentials!$C$11*M340)^2))</f>
        <v>0</v>
      </c>
      <c r="Q340" s="30"/>
    </row>
    <row r="341" spans="1:17" x14ac:dyDescent="0.25">
      <c r="A341" t="str">
        <f>BargeTransport!A12</f>
        <v xml:space="preserve"> - Barge Construction</v>
      </c>
      <c r="B341" s="726">
        <f>(Unitflowchart!$S$341/Unitflowchart!$S$383)*BargeTransport!J12*Unitflowchart!$S$354</f>
        <v>0</v>
      </c>
      <c r="C341" s="25">
        <f>(B341/B$398)*100</f>
        <v>0</v>
      </c>
      <c r="D341" s="744">
        <f>(Unitflowchart!$S$341/Unitflowchart!$S$383)*BargeTransport!K12*Unitflowchart!$S$354</f>
        <v>0</v>
      </c>
      <c r="E341" s="726">
        <f>(Unitflowchart!$S$341/Unitflowchart!$S$383)*BargeTransport!P12*Unitflowchart!$S$354</f>
        <v>0</v>
      </c>
      <c r="F341" s="25">
        <f>(E341/E$398)*100</f>
        <v>0</v>
      </c>
      <c r="G341" s="744">
        <f>(Unitflowchart!$S$341/Unitflowchart!$S$383)*BargeTransport!Q12*Unitflowchart!$S$354</f>
        <v>0</v>
      </c>
      <c r="H341" s="723">
        <f>(Unitflowchart!$S$341/Unitflowchart!$S$383)*BargeTransport!V12*Unitflowchart!$S$354</f>
        <v>0</v>
      </c>
      <c r="I341" s="25">
        <f>(H341/H$398)*100</f>
        <v>0</v>
      </c>
      <c r="J341" s="725">
        <f>(Unitflowchart!$S$341/Unitflowchart!$S$383)*BargeTransport!W12*Unitflowchart!$S$354</f>
        <v>0</v>
      </c>
      <c r="K341" s="723">
        <f>(Unitflowchart!$S$341/Unitflowchart!$S$383)*BargeTransport!AB12*Unitflowchart!$S$354</f>
        <v>0</v>
      </c>
      <c r="L341" s="25">
        <f>(K341/K$398)*100</f>
        <v>0</v>
      </c>
      <c r="M341" s="725">
        <f>(Unitflowchart!$S$341/Unitflowchart!$S$383)*BargeTransport!AC12*Unitflowchart!$S$354</f>
        <v>0</v>
      </c>
      <c r="N341" s="726">
        <f>E341+(GlobalWarmingPotentials!$B$11*H341)+(GlobalWarmingPotentials!$C$11*K341)</f>
        <v>0</v>
      </c>
      <c r="O341" s="25">
        <f>(N341/N$398)*100</f>
        <v>0</v>
      </c>
      <c r="P341" s="744">
        <f>SQRT((G341^2)+((GlobalWarmingPotentials!$B$11*J341)^2)+((GlobalWarmingPotentials!$C$11*M341)^2))</f>
        <v>0</v>
      </c>
      <c r="Q341" s="30"/>
    </row>
    <row r="342" spans="1:17" x14ac:dyDescent="0.25">
      <c r="A342" t="str">
        <f>BargeTransport!A13</f>
        <v xml:space="preserve"> - Barge Maintenance</v>
      </c>
      <c r="B342" s="726">
        <f>(Unitflowchart!$S$341/Unitflowchart!$S$383)*BargeTransport!J13*Unitflowchart!$S$354</f>
        <v>0</v>
      </c>
      <c r="C342" s="25">
        <f>(B342/B$398)*100</f>
        <v>0</v>
      </c>
      <c r="D342" s="744">
        <f>(Unitflowchart!$S$341/Unitflowchart!$S$383)*BargeTransport!K13*Unitflowchart!$S$354</f>
        <v>0</v>
      </c>
      <c r="E342" s="726">
        <f>(Unitflowchart!$S$341/Unitflowchart!$S$383)*BargeTransport!P13*Unitflowchart!$S$354</f>
        <v>0</v>
      </c>
      <c r="F342" s="25">
        <f>(E342/E$398)*100</f>
        <v>0</v>
      </c>
      <c r="G342" s="744">
        <f>(Unitflowchart!$S$341/Unitflowchart!$S$383)*BargeTransport!Q13*Unitflowchart!$S$354</f>
        <v>0</v>
      </c>
      <c r="H342" s="723">
        <f>(Unitflowchart!$S$341/Unitflowchart!$S$383)*BargeTransport!V13*Unitflowchart!$S$354</f>
        <v>0</v>
      </c>
      <c r="I342" s="25">
        <f>(H342/H$398)*100</f>
        <v>0</v>
      </c>
      <c r="J342" s="725">
        <f>(Unitflowchart!$S$341/Unitflowchart!$S$383)*BargeTransport!W13*Unitflowchart!$S$354</f>
        <v>0</v>
      </c>
      <c r="K342" s="723">
        <f>(Unitflowchart!$S$341/Unitflowchart!$S$383)*BargeTransport!AB13*Unitflowchart!$S$354</f>
        <v>0</v>
      </c>
      <c r="L342" s="25">
        <f>(K342/K$398)*100</f>
        <v>0</v>
      </c>
      <c r="M342" s="725">
        <f>(Unitflowchart!$S$341/Unitflowchart!$S$383)*BargeTransport!AC13*Unitflowchart!$S$354</f>
        <v>0</v>
      </c>
      <c r="N342" s="726">
        <f>E342+(GlobalWarmingPotentials!$B$11*H342)+(GlobalWarmingPotentials!$C$11*K342)</f>
        <v>0</v>
      </c>
      <c r="O342" s="25">
        <f>(N342/N$398)*100</f>
        <v>0</v>
      </c>
      <c r="P342" s="744">
        <f>SQRT((G342^2)+((GlobalWarmingPotentials!$B$11*J342)^2)+((GlobalWarmingPotentials!$C$11*M342)^2))</f>
        <v>0</v>
      </c>
      <c r="Q342" s="30"/>
    </row>
    <row r="343" spans="1:17" x14ac:dyDescent="0.25">
      <c r="B343" s="728"/>
      <c r="C343" s="25"/>
      <c r="D343" s="735"/>
      <c r="E343" s="728"/>
      <c r="F343" s="25"/>
      <c r="G343" s="735"/>
      <c r="H343" s="31"/>
      <c r="I343" s="25"/>
      <c r="J343" s="724"/>
      <c r="K343" s="31"/>
      <c r="L343" s="25"/>
      <c r="M343" s="724"/>
      <c r="N343" s="728"/>
      <c r="O343" s="25"/>
      <c r="P343" s="735"/>
      <c r="Q343" s="30"/>
    </row>
    <row r="344" spans="1:17" x14ac:dyDescent="0.25">
      <c r="A344" s="218" t="s">
        <v>893</v>
      </c>
      <c r="B344" s="734">
        <f>(Unitflowchart!$S$341/Unitflowchart!$S$383)*BargeTransport!J15*Unitflowchart!$S$354</f>
        <v>0</v>
      </c>
      <c r="C344" s="721">
        <f>(B344/B$398)*100</f>
        <v>0</v>
      </c>
      <c r="D344" s="745">
        <f>(Unitflowchart!$S$341/Unitflowchart!$S$383)*BargeTransport!K15*Unitflowchart!$S$354</f>
        <v>0</v>
      </c>
      <c r="E344" s="734">
        <f>(Unitflowchart!$S$341/Unitflowchart!$S$383)*BargeTransport!P15*Unitflowchart!$S$354</f>
        <v>0</v>
      </c>
      <c r="F344" s="721">
        <f>(E344/E$398)*100</f>
        <v>0</v>
      </c>
      <c r="G344" s="745">
        <f>(Unitflowchart!$S$341/Unitflowchart!$S$383)*BargeTransport!Q15*Unitflowchart!$S$354</f>
        <v>0</v>
      </c>
      <c r="H344" s="722">
        <f>(Unitflowchart!$S$341/Unitflowchart!$S$383)*BargeTransport!V15*Unitflowchart!$S$354</f>
        <v>0</v>
      </c>
      <c r="I344" s="721">
        <f>(H344/H$398)*100</f>
        <v>0</v>
      </c>
      <c r="J344" s="720">
        <f>(Unitflowchart!$S$341/Unitflowchart!$S$383)*BargeTransport!W15*Unitflowchart!$S$354</f>
        <v>0</v>
      </c>
      <c r="K344" s="722">
        <f>(Unitflowchart!$S$341/Unitflowchart!$S$383)*BargeTransport!AB15*Unitflowchart!$S$354</f>
        <v>0</v>
      </c>
      <c r="L344" s="721">
        <f>(K344/K$398)*100</f>
        <v>0</v>
      </c>
      <c r="M344" s="720">
        <f>(Unitflowchart!$S$341/Unitflowchart!$S$383)*BargeTransport!AC15*Unitflowchart!$S$354</f>
        <v>0</v>
      </c>
      <c r="N344" s="734">
        <f>E344+(GlobalWarmingPotentials!$B$11*H344)+(GlobalWarmingPotentials!$C$11*K344)</f>
        <v>0</v>
      </c>
      <c r="O344" s="721">
        <f>(N344/N$398)*100</f>
        <v>0</v>
      </c>
      <c r="P344" s="743">
        <f>SQRT((G344^2)+((GlobalWarmingPotentials!$B$11*J344)^2)+((GlobalWarmingPotentials!$C$11*M344)^2))</f>
        <v>0</v>
      </c>
      <c r="Q344" s="30"/>
    </row>
    <row r="345" spans="1:17" x14ac:dyDescent="0.25">
      <c r="B345" s="728"/>
      <c r="D345" s="735"/>
      <c r="E345" s="728"/>
      <c r="G345" s="735"/>
      <c r="H345" s="31"/>
      <c r="J345" s="724"/>
      <c r="K345" s="31"/>
      <c r="M345" s="724"/>
      <c r="N345" s="728"/>
      <c r="P345" s="735"/>
      <c r="Q345" s="30"/>
    </row>
    <row r="346" spans="1:17" x14ac:dyDescent="0.25">
      <c r="A346" s="387" t="s">
        <v>923</v>
      </c>
      <c r="B346" s="728"/>
      <c r="D346" s="735"/>
      <c r="E346" s="728"/>
      <c r="G346" s="735"/>
      <c r="H346" s="31"/>
      <c r="J346" s="724"/>
      <c r="K346" s="31"/>
      <c r="M346" s="724"/>
      <c r="N346" s="728"/>
      <c r="P346" s="735"/>
      <c r="Q346" s="30"/>
    </row>
    <row r="347" spans="1:17" x14ac:dyDescent="0.25">
      <c r="B347" s="728"/>
      <c r="D347" s="735"/>
      <c r="E347" s="728"/>
      <c r="G347" s="735"/>
      <c r="H347" s="31"/>
      <c r="J347" s="724"/>
      <c r="K347" s="31"/>
      <c r="M347" s="724"/>
      <c r="N347" s="728"/>
      <c r="P347" s="735"/>
      <c r="Q347" s="30"/>
    </row>
    <row r="348" spans="1:17" x14ac:dyDescent="0.25">
      <c r="A348" t="str">
        <f>ShipTransport!A11</f>
        <v xml:space="preserve"> - Marine Diesel</v>
      </c>
      <c r="B348" s="726">
        <f>(Unitflowchart!$S$341/Unitflowchart!$S$383)*ShipTransport!J11*Unitflowchart!$S$356</f>
        <v>0</v>
      </c>
      <c r="C348" s="25">
        <f>(B348/B$398)*100</f>
        <v>0</v>
      </c>
      <c r="D348" s="744">
        <f>(Unitflowchart!$S$341/Unitflowchart!$S$383)*ShipTransport!K11*Unitflowchart!$S$356</f>
        <v>0</v>
      </c>
      <c r="E348" s="726">
        <f>(Unitflowchart!$S$341/Unitflowchart!$S$383)*ShipTransport!P11*Unitflowchart!$S$356</f>
        <v>0</v>
      </c>
      <c r="F348" s="25">
        <f>(E348/E$398)*100</f>
        <v>0</v>
      </c>
      <c r="G348" s="744">
        <f>(Unitflowchart!$S$341/Unitflowchart!$S$383)*ShipTransport!Q11*Unitflowchart!$S$356</f>
        <v>0</v>
      </c>
      <c r="H348" s="723">
        <f>(Unitflowchart!$S$341/Unitflowchart!$S$383)*ShipTransport!V11*Unitflowchart!$S$356</f>
        <v>0</v>
      </c>
      <c r="I348" s="25">
        <f>(H348/H$398)*100</f>
        <v>0</v>
      </c>
      <c r="J348" s="725">
        <f>(Unitflowchart!$S$341/Unitflowchart!$S$383)*ShipTransport!W11*Unitflowchart!$S$356</f>
        <v>0</v>
      </c>
      <c r="K348" s="723">
        <f>(Unitflowchart!$S$341/Unitflowchart!$S$383)*ShipTransport!AB11*Unitflowchart!$S$356</f>
        <v>0</v>
      </c>
      <c r="L348" s="25">
        <f>(K348/K$398)*100</f>
        <v>0</v>
      </c>
      <c r="M348" s="725">
        <f>(Unitflowchart!$S$341/Unitflowchart!$S$383)*ShipTransport!AC19*Unitflowchart!$S$354</f>
        <v>0</v>
      </c>
      <c r="N348" s="726">
        <f>E348+(GlobalWarmingPotentials!$B$11*H348)+(GlobalWarmingPotentials!$C$11*K348)</f>
        <v>0</v>
      </c>
      <c r="O348" s="25">
        <f>(N348/N$398)*100</f>
        <v>0</v>
      </c>
      <c r="P348" s="744">
        <f>SQRT((G348^2)+((GlobalWarmingPotentials!$B$11*J348)^2)+((GlobalWarmingPotentials!$C$11*M348)^2))</f>
        <v>0</v>
      </c>
      <c r="Q348" s="30"/>
    </row>
    <row r="349" spans="1:17" x14ac:dyDescent="0.25">
      <c r="A349" t="str">
        <f>ShipTransport!A12</f>
        <v xml:space="preserve"> - Ship Construction</v>
      </c>
      <c r="B349" s="726">
        <f>(Unitflowchart!$S$341/Unitflowchart!$S$383)*ShipTransport!J12*Unitflowchart!$S$356</f>
        <v>0</v>
      </c>
      <c r="C349" s="25">
        <f t="shared" ref="C349:C350" si="71">(B349/B$398)*100</f>
        <v>0</v>
      </c>
      <c r="D349" s="744">
        <f>(Unitflowchart!$S$341/Unitflowchart!$S$383)*ShipTransport!K12*Unitflowchart!$S$356</f>
        <v>0</v>
      </c>
      <c r="E349" s="726">
        <f>(Unitflowchart!$S$341/Unitflowchart!$S$383)*ShipTransport!P12*Unitflowchart!$S$356</f>
        <v>0</v>
      </c>
      <c r="F349" s="25">
        <f t="shared" ref="F349:F350" si="72">(E349/E$398)*100</f>
        <v>0</v>
      </c>
      <c r="G349" s="744">
        <f>(Unitflowchart!$S$341/Unitflowchart!$S$383)*ShipTransport!Q12*Unitflowchart!$S$356</f>
        <v>0</v>
      </c>
      <c r="H349" s="723">
        <f>(Unitflowchart!$S$341/Unitflowchart!$S$383)*ShipTransport!V12*Unitflowchart!$S$356</f>
        <v>0</v>
      </c>
      <c r="I349" s="25">
        <f t="shared" ref="I349:I350" si="73">(H349/H$398)*100</f>
        <v>0</v>
      </c>
      <c r="J349" s="725">
        <f>(Unitflowchart!$S$341/Unitflowchart!$S$383)*ShipTransport!W12*Unitflowchart!$S$356</f>
        <v>0</v>
      </c>
      <c r="K349" s="723">
        <f>(Unitflowchart!$S$341/Unitflowchart!$S$383)*ShipTransport!AB12*Unitflowchart!$S$356</f>
        <v>0</v>
      </c>
      <c r="L349" s="25">
        <f t="shared" ref="L349:L350" si="74">(K349/K$398)*100</f>
        <v>0</v>
      </c>
      <c r="M349" s="725">
        <f>(Unitflowchart!$S$341/Unitflowchart!$S$383)*ShipTransport!AC20*Unitflowchart!$S$354</f>
        <v>0</v>
      </c>
      <c r="N349" s="726">
        <f>E349+(GlobalWarmingPotentials!$B$11*H349)+(GlobalWarmingPotentials!$C$11*K349)</f>
        <v>0</v>
      </c>
      <c r="O349" s="25">
        <f t="shared" ref="O349:O350" si="75">(N349/N$398)*100</f>
        <v>0</v>
      </c>
      <c r="P349" s="744">
        <f>SQRT((G349^2)+((GlobalWarmingPotentials!$B$11*J349)^2)+((GlobalWarmingPotentials!$C$11*M349)^2))</f>
        <v>0</v>
      </c>
      <c r="Q349" s="30"/>
    </row>
    <row r="350" spans="1:17" x14ac:dyDescent="0.25">
      <c r="A350" t="str">
        <f>ShipTransport!A13</f>
        <v xml:space="preserve"> - Ship Maintenance</v>
      </c>
      <c r="B350" s="726">
        <f>(Unitflowchart!$S$341/Unitflowchart!$S$383)*ShipTransport!J13*Unitflowchart!$S$356</f>
        <v>0</v>
      </c>
      <c r="C350" s="25">
        <f t="shared" si="71"/>
        <v>0</v>
      </c>
      <c r="D350" s="744">
        <f>(Unitflowchart!$S$341/Unitflowchart!$S$383)*ShipTransport!K13*Unitflowchart!$S$356</f>
        <v>0</v>
      </c>
      <c r="E350" s="726">
        <f>(Unitflowchart!$S$341/Unitflowchart!$S$383)*ShipTransport!P13*Unitflowchart!$S$356</f>
        <v>0</v>
      </c>
      <c r="F350" s="25">
        <f t="shared" si="72"/>
        <v>0</v>
      </c>
      <c r="G350" s="744">
        <f>(Unitflowchart!$S$341/Unitflowchart!$S$383)*ShipTransport!Q13*Unitflowchart!$S$356</f>
        <v>0</v>
      </c>
      <c r="H350" s="723">
        <f>(Unitflowchart!$S$341/Unitflowchart!$S$383)*ShipTransport!V13*Unitflowchart!$S$356</f>
        <v>0</v>
      </c>
      <c r="I350" s="25">
        <f t="shared" si="73"/>
        <v>0</v>
      </c>
      <c r="J350" s="725">
        <f>(Unitflowchart!$S$341/Unitflowchart!$S$383)*ShipTransport!W13*Unitflowchart!$S$356</f>
        <v>0</v>
      </c>
      <c r="K350" s="723">
        <f>(Unitflowchart!$S$341/Unitflowchart!$S$383)*ShipTransport!AB13*Unitflowchart!$S$356</f>
        <v>0</v>
      </c>
      <c r="L350" s="25">
        <f t="shared" si="74"/>
        <v>0</v>
      </c>
      <c r="M350" s="725">
        <f>(Unitflowchart!$S$341/Unitflowchart!$S$383)*ShipTransport!AC21*Unitflowchart!$S$354</f>
        <v>0</v>
      </c>
      <c r="N350" s="726">
        <f>E350+(GlobalWarmingPotentials!$B$11*H350)+(GlobalWarmingPotentials!$C$11*K350)</f>
        <v>0</v>
      </c>
      <c r="O350" s="25">
        <f t="shared" si="75"/>
        <v>0</v>
      </c>
      <c r="P350" s="744">
        <f>SQRT((G350^2)+((GlobalWarmingPotentials!$B$11*J350)^2)+((GlobalWarmingPotentials!$C$11*M350)^2))</f>
        <v>0</v>
      </c>
      <c r="Q350" s="30"/>
    </row>
    <row r="351" spans="1:17" x14ac:dyDescent="0.25">
      <c r="B351" s="728"/>
      <c r="D351" s="735"/>
      <c r="E351" s="728"/>
      <c r="F351" s="25"/>
      <c r="G351" s="735"/>
      <c r="H351" s="31"/>
      <c r="I351" s="25"/>
      <c r="J351" s="724"/>
      <c r="K351" s="31"/>
      <c r="L351" s="25"/>
      <c r="M351" s="724"/>
      <c r="N351" s="728"/>
      <c r="O351" s="25"/>
      <c r="P351" s="735"/>
      <c r="Q351" s="30"/>
    </row>
    <row r="352" spans="1:17" x14ac:dyDescent="0.25">
      <c r="A352" s="218" t="s">
        <v>895</v>
      </c>
      <c r="B352" s="734">
        <f>(Unitflowchart!$S$341/Unitflowchart!$S$383)*ShipTransport!J15*Unitflowchart!$S$356</f>
        <v>0</v>
      </c>
      <c r="C352" s="721">
        <f>(B352/B$398)*100</f>
        <v>0</v>
      </c>
      <c r="D352" s="745">
        <f>(Unitflowchart!$S$341/Unitflowchart!$S$383)*ShipTransport!K15*Unitflowchart!$S$356</f>
        <v>0</v>
      </c>
      <c r="E352" s="734">
        <f>(Unitflowchart!$S$341/Unitflowchart!$S$383)*ShipTransport!P15*Unitflowchart!$S$356</f>
        <v>0</v>
      </c>
      <c r="F352" s="721">
        <f>(E352/E$398)*100</f>
        <v>0</v>
      </c>
      <c r="G352" s="745">
        <f>(Unitflowchart!$S$341/Unitflowchart!$S$383)*ShipTransport!Q15*Unitflowchart!$S$356</f>
        <v>0</v>
      </c>
      <c r="H352" s="722">
        <f>(Unitflowchart!$S$341/Unitflowchart!$S$383)*ShipTransport!V15*Unitflowchart!$S$356</f>
        <v>0</v>
      </c>
      <c r="I352" s="721">
        <f>(H352/H$398)*100</f>
        <v>0</v>
      </c>
      <c r="J352" s="720">
        <f>(Unitflowchart!$S$341/Unitflowchart!$S$383)*ShipTransport!W15*Unitflowchart!$S$356</f>
        <v>0</v>
      </c>
      <c r="K352" s="722">
        <f>(Unitflowchart!$S$341/Unitflowchart!$S$383)*ShipTransport!AB15*Unitflowchart!$S$356</f>
        <v>0</v>
      </c>
      <c r="L352" s="721">
        <f>(K352/K$398)*100</f>
        <v>0</v>
      </c>
      <c r="M352" s="720">
        <f>(Unitflowchart!$S$341/Unitflowchart!$S$383)*ShipTransport!AC23*Unitflowchart!$S$354</f>
        <v>0</v>
      </c>
      <c r="N352" s="734">
        <f>E352+(GlobalWarmingPotentials!$B$11*H352)+(GlobalWarmingPotentials!$C$11*K352)</f>
        <v>0</v>
      </c>
      <c r="O352" s="721">
        <f>(N352/N$398)*100</f>
        <v>0</v>
      </c>
      <c r="P352" s="743">
        <f>SQRT((G352^2)+((GlobalWarmingPotentials!$B$11*J352)^2)+((GlobalWarmingPotentials!$C$11*M352)^2))</f>
        <v>0</v>
      </c>
      <c r="Q352" s="30"/>
    </row>
    <row r="353" spans="1:17" x14ac:dyDescent="0.25">
      <c r="B353" s="728"/>
      <c r="D353" s="735"/>
      <c r="E353" s="728"/>
      <c r="G353" s="735"/>
      <c r="H353" s="31"/>
      <c r="J353" s="724"/>
      <c r="K353" s="31"/>
      <c r="M353" s="724"/>
      <c r="N353" s="728"/>
      <c r="P353" s="735"/>
      <c r="Q353" s="30"/>
    </row>
    <row r="354" spans="1:17" x14ac:dyDescent="0.25">
      <c r="A354" s="218" t="s">
        <v>932</v>
      </c>
      <c r="B354" s="730">
        <f>B328+B336+B344+B352</f>
        <v>0</v>
      </c>
      <c r="C354" s="15">
        <f>(B354/B$398)*100</f>
        <v>0</v>
      </c>
      <c r="D354" s="740">
        <f>SQRT((D328^2)+(D336^2)+(D344^2)+(D352^2))</f>
        <v>0</v>
      </c>
      <c r="E354" s="730">
        <f t="shared" ref="E354" si="76">E328+E336+E344+E352</f>
        <v>0</v>
      </c>
      <c r="F354" s="15">
        <f t="shared" ref="F354" si="77">(E354/E$398)*100</f>
        <v>0</v>
      </c>
      <c r="G354" s="740">
        <f t="shared" ref="G354" si="78">SQRT((G328^2)+(G336^2)+(G344^2)+(G352^2))</f>
        <v>0</v>
      </c>
      <c r="H354" s="215">
        <f t="shared" ref="H354" si="79">H328+H336+H344+H352</f>
        <v>0</v>
      </c>
      <c r="I354" s="15">
        <f t="shared" ref="I354" si="80">(H354/H$398)*100</f>
        <v>0</v>
      </c>
      <c r="J354" s="216">
        <f t="shared" ref="J354" si="81">SQRT((J328^2)+(J336^2)+(J344^2)+(J352^2))</f>
        <v>0</v>
      </c>
      <c r="K354" s="215">
        <f t="shared" ref="K354" si="82">K328+K336+K344+K352</f>
        <v>0</v>
      </c>
      <c r="L354" s="15">
        <f t="shared" ref="L354" si="83">(K354/K$398)*100</f>
        <v>0</v>
      </c>
      <c r="M354" s="216">
        <f t="shared" ref="M354" si="84">SQRT((M328^2)+(M336^2)+(M344^2)+(M352^2))</f>
        <v>0</v>
      </c>
      <c r="N354" s="730">
        <f t="shared" ref="N354" si="85">N328+N336+N344+N352</f>
        <v>0</v>
      </c>
      <c r="O354" s="15">
        <f t="shared" ref="O354" si="86">(N354/N$398)*100</f>
        <v>0</v>
      </c>
      <c r="P354" s="740">
        <f t="shared" ref="P354" si="87">SQRT((P328^2)+(P336^2)+(P344^2)+(P352^2))</f>
        <v>0</v>
      </c>
      <c r="Q354" s="30"/>
    </row>
    <row r="355" spans="1:17" x14ac:dyDescent="0.25">
      <c r="B355" s="728"/>
      <c r="D355" s="735"/>
      <c r="E355" s="728"/>
      <c r="G355" s="735"/>
      <c r="H355" s="31"/>
      <c r="J355" s="724"/>
      <c r="K355" s="31"/>
      <c r="M355" s="724"/>
      <c r="N355" s="728"/>
      <c r="P355" s="735"/>
      <c r="Q355" s="30"/>
    </row>
    <row r="356" spans="1:17" x14ac:dyDescent="0.25">
      <c r="A356" s="154" t="s">
        <v>924</v>
      </c>
      <c r="B356" s="728"/>
      <c r="D356" s="735"/>
      <c r="E356" s="728"/>
      <c r="G356" s="735"/>
      <c r="H356" s="31"/>
      <c r="J356" s="724"/>
      <c r="K356" s="31"/>
      <c r="M356" s="724"/>
      <c r="N356" s="728"/>
      <c r="P356" s="735"/>
      <c r="Q356" s="30"/>
    </row>
    <row r="357" spans="1:17" x14ac:dyDescent="0.25">
      <c r="B357" s="728"/>
      <c r="D357" s="735"/>
      <c r="E357" s="728"/>
      <c r="G357" s="735"/>
      <c r="H357" s="31"/>
      <c r="J357" s="724"/>
      <c r="K357" s="31"/>
      <c r="M357" s="724"/>
      <c r="N357" s="728"/>
      <c r="P357" s="735"/>
      <c r="Q357" s="30"/>
    </row>
    <row r="358" spans="1:17" x14ac:dyDescent="0.25">
      <c r="A358" s="14" t="str">
        <f>RoadTransportEthanolStage3!A42</f>
        <v xml:space="preserve"> - Diesel Fuel</v>
      </c>
      <c r="B358" s="732">
        <f>(Unitflowchart!$S$362/Unitflowchart!$S$383)*RoadTransportEthanolStage3!J42*Unitflowchart!$S$371</f>
        <v>0</v>
      </c>
      <c r="C358" s="26">
        <f>(B358/B$398)*100</f>
        <v>0</v>
      </c>
      <c r="D358" s="491">
        <f>(Unitflowchart!$S$362/Unitflowchart!$S$383)*RoadTransportEthanolStage3!K42*Unitflowchart!$S$371</f>
        <v>0</v>
      </c>
      <c r="E358" s="732">
        <f>(Unitflowchart!$S$362/Unitflowchart!$S$383)*RoadTransportEthanolStage3!P42*Unitflowchart!$S$371</f>
        <v>0</v>
      </c>
      <c r="F358" s="26">
        <f>(E358/E$398)*100</f>
        <v>0</v>
      </c>
      <c r="G358" s="491">
        <f>(Unitflowchart!$S$362/Unitflowchart!$S$383)*RoadTransportEthanolStage3!Q42*Unitflowchart!$S$371</f>
        <v>0</v>
      </c>
      <c r="H358" s="749">
        <f>(Unitflowchart!$S$362/Unitflowchart!$S$383)*RoadTransportEthanolStage3!V42*Unitflowchart!$S$371</f>
        <v>0</v>
      </c>
      <c r="I358" s="26">
        <f>(H358/H$398)*100</f>
        <v>0</v>
      </c>
      <c r="J358" s="752">
        <f>(Unitflowchart!$S$362/Unitflowchart!$S$383)*RoadTransportEthanolStage3!W42*Unitflowchart!$S$371</f>
        <v>0</v>
      </c>
      <c r="K358" s="749">
        <f>(Unitflowchart!$S$362/Unitflowchart!$S$383)*RoadTransportEthanolStage3!AB42*Unitflowchart!$S$371</f>
        <v>0</v>
      </c>
      <c r="L358" s="26">
        <f>(K358/K$398)*100</f>
        <v>0</v>
      </c>
      <c r="M358" s="751">
        <f>(Unitflowchart!$S$362/Unitflowchart!$S$383)*RoadTransportEthanolStage3!AC42*Unitflowchart!$S$371</f>
        <v>0</v>
      </c>
      <c r="N358" s="727">
        <f>E358+(GlobalWarmingPotentials!$B$11*H358)+(GlobalWarmingPotentials!$C$11*K358)</f>
        <v>0</v>
      </c>
      <c r="O358" s="26">
        <f>(N358/N$398)*100</f>
        <v>0</v>
      </c>
      <c r="P358" s="760">
        <f>SQRT((G358^2)+((GlobalWarmingPotentials!$B$11*J358)^2)+((GlobalWarmingPotentials!$C$11*M358)^2))</f>
        <v>0</v>
      </c>
      <c r="Q358" s="30"/>
    </row>
    <row r="359" spans="1:17" x14ac:dyDescent="0.25">
      <c r="A359" s="14" t="str">
        <f>RoadTransportEthanolStage3!A43</f>
        <v xml:space="preserve"> - Vehicle</v>
      </c>
      <c r="B359" s="732">
        <f>(Unitflowchart!$S$362/Unitflowchart!$S$383)*RoadTransportEthanolStage3!J43*Unitflowchart!$S$371</f>
        <v>0</v>
      </c>
      <c r="C359" s="26">
        <f t="shared" ref="C359:C362" si="88">(B359/B$398)*100</f>
        <v>0</v>
      </c>
      <c r="D359" s="491">
        <f>(Unitflowchart!$S$362/Unitflowchart!$S$383)*RoadTransportEthanolStage3!K43*Unitflowchart!$S$371</f>
        <v>0</v>
      </c>
      <c r="E359" s="732">
        <f>(Unitflowchart!$S$362/Unitflowchart!$S$383)*RoadTransportEthanolStage3!P43*Unitflowchart!$S$371</f>
        <v>0</v>
      </c>
      <c r="F359" s="26">
        <f t="shared" ref="F359:F362" si="89">(E359/E$398)*100</f>
        <v>0</v>
      </c>
      <c r="G359" s="491">
        <f>(Unitflowchart!$S$362/Unitflowchart!$S$383)*RoadTransportEthanolStage3!Q43*Unitflowchart!$S$371</f>
        <v>0</v>
      </c>
      <c r="H359" s="749">
        <f>(Unitflowchart!$S$362/Unitflowchart!$S$383)*RoadTransportEthanolStage3!V43*Unitflowchart!$S$371</f>
        <v>0</v>
      </c>
      <c r="I359" s="26">
        <f t="shared" ref="I359:I362" si="90">(H359/H$398)*100</f>
        <v>0</v>
      </c>
      <c r="J359" s="752">
        <f>(Unitflowchart!$S$362/Unitflowchart!$S$383)*RoadTransportEthanolStage3!W43*Unitflowchart!$S$371</f>
        <v>0</v>
      </c>
      <c r="K359" s="749">
        <f>(Unitflowchart!$S$362/Unitflowchart!$S$383)*RoadTransportEthanolStage3!AB43*Unitflowchart!$S$371</f>
        <v>0</v>
      </c>
      <c r="L359" s="26">
        <f t="shared" ref="L359:L362" si="91">(K359/K$398)*100</f>
        <v>0</v>
      </c>
      <c r="M359" s="751">
        <f>(Unitflowchart!$S$362/Unitflowchart!$S$383)*RoadTransportEthanolStage3!AC43*Unitflowchart!$S$371</f>
        <v>0</v>
      </c>
      <c r="N359" s="727">
        <f>E359+(GlobalWarmingPotentials!$B$11*H359)+(GlobalWarmingPotentials!$C$11*K359)</f>
        <v>0</v>
      </c>
      <c r="O359" s="26">
        <f t="shared" ref="O359:O360" si="92">(N359/N$398)*100</f>
        <v>0</v>
      </c>
      <c r="P359" s="760">
        <f>SQRT((G359^2)+((GlobalWarmingPotentials!$B$11*J359)^2)+((GlobalWarmingPotentials!$C$11*M359)^2))</f>
        <v>0</v>
      </c>
      <c r="Q359" s="30"/>
    </row>
    <row r="360" spans="1:17" x14ac:dyDescent="0.25">
      <c r="A360" s="14" t="str">
        <f>RoadTransportEthanolStage3!A44</f>
        <v xml:space="preserve"> - Maintenance</v>
      </c>
      <c r="B360" s="732">
        <f>(Unitflowchart!$S$362/Unitflowchart!$S$383)*RoadTransportEthanolStage3!J44*Unitflowchart!$S$371</f>
        <v>0</v>
      </c>
      <c r="C360" s="26">
        <f t="shared" si="88"/>
        <v>0</v>
      </c>
      <c r="D360" s="491">
        <f>(Unitflowchart!$S$362/Unitflowchart!$S$383)*RoadTransportEthanolStage3!K44*Unitflowchart!$S$371</f>
        <v>0</v>
      </c>
      <c r="E360" s="732">
        <f>(Unitflowchart!$S$362/Unitflowchart!$S$383)*RoadTransportEthanolStage3!P44*Unitflowchart!$S$371</f>
        <v>0</v>
      </c>
      <c r="F360" s="26">
        <f t="shared" si="89"/>
        <v>0</v>
      </c>
      <c r="G360" s="491">
        <f>(Unitflowchart!$S$362/Unitflowchart!$S$383)*RoadTransportEthanolStage3!Q44*Unitflowchart!$S$371</f>
        <v>0</v>
      </c>
      <c r="H360" s="749">
        <f>(Unitflowchart!$S$362/Unitflowchart!$S$383)*RoadTransportEthanolStage3!V44*Unitflowchart!$S$371</f>
        <v>0</v>
      </c>
      <c r="I360" s="26">
        <f t="shared" si="90"/>
        <v>0</v>
      </c>
      <c r="J360" s="752">
        <f>(Unitflowchart!$S$362/Unitflowchart!$S$383)*RoadTransportEthanolStage3!W44*Unitflowchart!$S$371</f>
        <v>0</v>
      </c>
      <c r="K360" s="749">
        <f>(Unitflowchart!$S$362/Unitflowchart!$S$383)*RoadTransportEthanolStage3!AB44*Unitflowchart!$S$371</f>
        <v>0</v>
      </c>
      <c r="L360" s="26">
        <f t="shared" si="91"/>
        <v>0</v>
      </c>
      <c r="M360" s="751">
        <f>(Unitflowchart!$S$362/Unitflowchart!$S$383)*RoadTransportEthanolStage3!AC44*Unitflowchart!$S$371</f>
        <v>0</v>
      </c>
      <c r="N360" s="727">
        <f>E360+(GlobalWarmingPotentials!$B$11*H360)+(GlobalWarmingPotentials!$C$11*K360)</f>
        <v>0</v>
      </c>
      <c r="O360" s="26">
        <f t="shared" si="92"/>
        <v>0</v>
      </c>
      <c r="P360" s="760">
        <f>SQRT((G360^2)+((GlobalWarmingPotentials!$B$11*J360)^2)+((GlobalWarmingPotentials!$C$11*M360)^2))</f>
        <v>0</v>
      </c>
      <c r="Q360" s="30"/>
    </row>
    <row r="361" spans="1:17" x14ac:dyDescent="0.25">
      <c r="B361" s="732">
        <f>(Unitflowchart!$S$362/Unitflowchart!$S$383)*RoadTransportEthanolStage3!J45*Unitflowchart!$S$371</f>
        <v>0</v>
      </c>
      <c r="C361" s="26">
        <f t="shared" si="88"/>
        <v>0</v>
      </c>
      <c r="D361" s="491">
        <f>(Unitflowchart!$S$362/Unitflowchart!$S$383)*RoadTransportEthanolStage3!K45*Unitflowchart!$S$371</f>
        <v>0</v>
      </c>
      <c r="E361" s="732">
        <f>(Unitflowchart!$S$362/Unitflowchart!$S$383)*RoadTransportEthanolStage3!P45*Unitflowchart!$S$371</f>
        <v>0</v>
      </c>
      <c r="F361" s="26">
        <f t="shared" si="89"/>
        <v>0</v>
      </c>
      <c r="G361" s="491">
        <f>(Unitflowchart!$S$362/Unitflowchart!$S$383)*RoadTransportEthanolStage3!Q45*Unitflowchart!$S$371</f>
        <v>0</v>
      </c>
      <c r="H361" s="749">
        <f>(Unitflowchart!$S$362/Unitflowchart!$S$383)*RoadTransportEthanolStage3!V45*Unitflowchart!$S$371</f>
        <v>0</v>
      </c>
      <c r="I361" s="26">
        <f t="shared" si="90"/>
        <v>0</v>
      </c>
      <c r="J361" s="752">
        <f>(Unitflowchart!$S$362/Unitflowchart!$S$383)*RoadTransportEthanolStage3!W45*Unitflowchart!$S$371</f>
        <v>0</v>
      </c>
      <c r="K361" s="749">
        <f>(Unitflowchart!$S$362/Unitflowchart!$S$383)*RoadTransportEthanolStage3!AB45*Unitflowchart!$S$371</f>
        <v>0</v>
      </c>
      <c r="L361" s="26">
        <f t="shared" si="91"/>
        <v>0</v>
      </c>
      <c r="M361" s="751">
        <f>(Unitflowchart!$S$362/Unitflowchart!$S$383)*RoadTransportEthanolStage3!AC45*Unitflowchart!$S$371</f>
        <v>0</v>
      </c>
      <c r="N361" s="728"/>
      <c r="P361" s="735"/>
      <c r="Q361" s="30"/>
    </row>
    <row r="362" spans="1:17" x14ac:dyDescent="0.25">
      <c r="A362" s="218" t="s">
        <v>927</v>
      </c>
      <c r="B362" s="730">
        <f>(Unitflowchart!$S$362/Unitflowchart!$S$383)*RoadTransportEthanolStage3!J46*Unitflowchart!$S$371</f>
        <v>0</v>
      </c>
      <c r="C362" s="15">
        <f t="shared" si="88"/>
        <v>0</v>
      </c>
      <c r="D362" s="740">
        <f>(Unitflowchart!$S$362/Unitflowchart!$S$383)*RoadTransportEthanolStage3!K46*Unitflowchart!$S$371</f>
        <v>0</v>
      </c>
      <c r="E362" s="730">
        <f>(Unitflowchart!$S$362/Unitflowchart!$S$383)*RoadTransportEthanolStage3!P46*Unitflowchart!$S$371</f>
        <v>0</v>
      </c>
      <c r="F362" s="15">
        <f t="shared" si="89"/>
        <v>0</v>
      </c>
      <c r="G362" s="740">
        <f>(Unitflowchart!$S$362/Unitflowchart!$S$383)*RoadTransportEthanolStage3!Q46*Unitflowchart!$S$371</f>
        <v>0</v>
      </c>
      <c r="H362" s="215">
        <f>(Unitflowchart!$S$362/Unitflowchart!$S$383)*RoadTransportEthanolStage3!V46*Unitflowchart!$S$371</f>
        <v>0</v>
      </c>
      <c r="I362" s="15">
        <f t="shared" si="90"/>
        <v>0</v>
      </c>
      <c r="J362" s="747">
        <f>(Unitflowchart!$S$362/Unitflowchart!$S$383)*RoadTransportEthanolStage3!W46*Unitflowchart!$S$371</f>
        <v>0</v>
      </c>
      <c r="K362" s="215">
        <f>(Unitflowchart!$S$362/Unitflowchart!$S$383)*RoadTransportEthanolStage3!AB46*Unitflowchart!$S$371</f>
        <v>0</v>
      </c>
      <c r="L362" s="15">
        <f t="shared" si="91"/>
        <v>0</v>
      </c>
      <c r="M362" s="216">
        <f>(Unitflowchart!$S$362/Unitflowchart!$S$383)*RoadTransportEthanolStage3!AC46*Unitflowchart!$S$371</f>
        <v>0</v>
      </c>
      <c r="N362" s="734">
        <f>E362+(GlobalWarmingPotentials!$B$11*H362)+(GlobalWarmingPotentials!$C$11*K362)</f>
        <v>0</v>
      </c>
      <c r="O362" s="218">
        <f>(N362/N$398)*100</f>
        <v>0</v>
      </c>
      <c r="P362" s="743">
        <f>SQRT((G362^2)+((GlobalWarmingPotentials!$B$11*J362)^2)+((GlobalWarmingPotentials!$C$11*M362)^2))</f>
        <v>0</v>
      </c>
      <c r="Q362" s="30"/>
    </row>
    <row r="363" spans="1:17" x14ac:dyDescent="0.25">
      <c r="B363" s="728"/>
      <c r="D363" s="735"/>
      <c r="E363" s="728"/>
      <c r="G363" s="735"/>
      <c r="H363" s="31"/>
      <c r="J363" s="724"/>
      <c r="K363" s="31"/>
      <c r="M363" s="724"/>
      <c r="N363" s="728"/>
      <c r="P363" s="735"/>
      <c r="Q363" s="30"/>
    </row>
    <row r="364" spans="1:17" x14ac:dyDescent="0.25">
      <c r="A364" s="387" t="s">
        <v>925</v>
      </c>
      <c r="B364" s="728"/>
      <c r="D364" s="735"/>
      <c r="E364" s="728"/>
      <c r="G364" s="735"/>
      <c r="H364" s="31"/>
      <c r="J364" s="724"/>
      <c r="K364" s="31"/>
      <c r="M364" s="724"/>
      <c r="N364" s="728"/>
      <c r="P364" s="735"/>
      <c r="Q364" s="30"/>
    </row>
    <row r="365" spans="1:17" x14ac:dyDescent="0.25">
      <c r="B365" s="728"/>
      <c r="D365" s="735"/>
      <c r="E365" s="728"/>
      <c r="G365" s="735"/>
      <c r="H365" s="31"/>
      <c r="J365" s="724"/>
      <c r="K365" s="31"/>
      <c r="M365" s="724"/>
      <c r="N365" s="728"/>
      <c r="P365" s="735"/>
      <c r="Q365" s="30"/>
    </row>
    <row r="366" spans="1:17" x14ac:dyDescent="0.25">
      <c r="A366" s="14" t="str">
        <f>RailTransport!A11</f>
        <v xml:space="preserve"> - Gas Oil</v>
      </c>
      <c r="B366" s="726">
        <f>(Unitflowchart!$S$362/Unitflowchart!$S$383)*RailTransport!J11*Unitflowchart!$S$373</f>
        <v>0</v>
      </c>
      <c r="C366" s="25">
        <f>(B366/B$398)*100</f>
        <v>0</v>
      </c>
      <c r="D366" s="744">
        <f>(Unitflowchart!$S$362/Unitflowchart!$S$383)*RailTransport!K11*Unitflowchart!$S$373</f>
        <v>0</v>
      </c>
      <c r="E366" s="726">
        <f>(Unitflowchart!$S$362/Unitflowchart!$S$383)*RailTransport!P11*Unitflowchart!$S$373</f>
        <v>0</v>
      </c>
      <c r="F366" s="25">
        <f>(E366/E$398)*100</f>
        <v>0</v>
      </c>
      <c r="G366" s="744">
        <f>(Unitflowchart!$S$362/Unitflowchart!$S$383)*RailTransport!Q11*Unitflowchart!$S$373</f>
        <v>0</v>
      </c>
      <c r="H366" s="723">
        <f>(Unitflowchart!$S$362/Unitflowchart!$S$383)*RailTransport!V11*Unitflowchart!$S$373</f>
        <v>0</v>
      </c>
      <c r="I366" s="25">
        <f>(H366/H$398)*100</f>
        <v>0</v>
      </c>
      <c r="J366" s="725">
        <f>(Unitflowchart!$S$362/Unitflowchart!$S$383)*RailTransport!W11*Unitflowchart!$S$373</f>
        <v>0</v>
      </c>
      <c r="K366" s="723">
        <f>(Unitflowchart!$S$362/Unitflowchart!$S$383)*RailTransport!AB11*Unitflowchart!$S$373</f>
        <v>0</v>
      </c>
      <c r="L366" s="25">
        <f>(K366/K$398)*100</f>
        <v>0</v>
      </c>
      <c r="M366" s="725">
        <f>(Unitflowchart!$S$362/Unitflowchart!$S$383)*RailTransport!AC11*Unitflowchart!$S$373</f>
        <v>0</v>
      </c>
      <c r="N366" s="726">
        <f>E366+(GlobalWarmingPotentials!$B$11*H366)+(GlobalWarmingPotentials!$C$11*K366)</f>
        <v>0</v>
      </c>
      <c r="O366" s="25">
        <f>(N366/N$398)*100</f>
        <v>0</v>
      </c>
      <c r="P366" s="744">
        <f>SQRT((G366^2)+((GlobalWarmingPotentials!$B$11*J366)^2)+((GlobalWarmingPotentials!$C$11*M366)^2))</f>
        <v>0</v>
      </c>
      <c r="Q366" s="30"/>
    </row>
    <row r="367" spans="1:17" x14ac:dyDescent="0.25">
      <c r="A367" s="14" t="str">
        <f>RailTransport!A12</f>
        <v xml:space="preserve"> - Capital Equipment</v>
      </c>
      <c r="B367" s="726">
        <f>(Unitflowchart!$S$362/Unitflowchart!$S$383)*RailTransport!J12*Unitflowchart!$S$373</f>
        <v>0</v>
      </c>
      <c r="C367" s="25">
        <f t="shared" ref="C367:C368" si="93">(B367/B$398)*100</f>
        <v>0</v>
      </c>
      <c r="D367" s="744">
        <f>(Unitflowchart!$S$362/Unitflowchart!$S$383)*RailTransport!K12*Unitflowchart!$S$373</f>
        <v>0</v>
      </c>
      <c r="E367" s="726">
        <f>(Unitflowchart!$S$362/Unitflowchart!$S$383)*RailTransport!P12*Unitflowchart!$S$373</f>
        <v>0</v>
      </c>
      <c r="F367" s="25">
        <f t="shared" ref="F367:F368" si="94">(E367/E$398)*100</f>
        <v>0</v>
      </c>
      <c r="G367" s="744">
        <f>(Unitflowchart!$S$362/Unitflowchart!$S$383)*RailTransport!Q12*Unitflowchart!$S$373</f>
        <v>0</v>
      </c>
      <c r="H367" s="723">
        <f>(Unitflowchart!$S$362/Unitflowchart!$S$383)*RailTransport!V12*Unitflowchart!$S$373</f>
        <v>0</v>
      </c>
      <c r="I367" s="25">
        <f t="shared" ref="I367:I368" si="95">(H367/H$398)*100</f>
        <v>0</v>
      </c>
      <c r="J367" s="725">
        <f>(Unitflowchart!$S$362/Unitflowchart!$S$383)*RailTransport!W12*Unitflowchart!$S$373</f>
        <v>0</v>
      </c>
      <c r="K367" s="723">
        <f>(Unitflowchart!$S$362/Unitflowchart!$S$383)*RailTransport!AB12*Unitflowchart!$S$373</f>
        <v>0</v>
      </c>
      <c r="L367" s="25">
        <f t="shared" ref="L367:L368" si="96">(K367/K$398)*100</f>
        <v>0</v>
      </c>
      <c r="M367" s="725">
        <f>(Unitflowchart!$S$362/Unitflowchart!$S$383)*RailTransport!AC12*Unitflowchart!$S$373</f>
        <v>0</v>
      </c>
      <c r="N367" s="726">
        <f>E367+(GlobalWarmingPotentials!$B$11*H367)+(GlobalWarmingPotentials!$C$11*K367)</f>
        <v>0</v>
      </c>
      <c r="O367" s="25">
        <f t="shared" ref="O367:O368" si="97">(N367/N$398)*100</f>
        <v>0</v>
      </c>
      <c r="P367" s="744">
        <f>SQRT((G367^2)+((GlobalWarmingPotentials!$B$11*J367)^2)+((GlobalWarmingPotentials!$C$11*M367)^2))</f>
        <v>0</v>
      </c>
      <c r="Q367" s="30"/>
    </row>
    <row r="368" spans="1:17" x14ac:dyDescent="0.25">
      <c r="A368" s="14" t="str">
        <f>RailTransport!A13</f>
        <v xml:space="preserve"> - Maintenance</v>
      </c>
      <c r="B368" s="726">
        <f>(Unitflowchart!$S$362/Unitflowchart!$S$383)*RailTransport!J13*Unitflowchart!$S$373</f>
        <v>0</v>
      </c>
      <c r="C368" s="25">
        <f t="shared" si="93"/>
        <v>0</v>
      </c>
      <c r="D368" s="744">
        <f>(Unitflowchart!$S$362/Unitflowchart!$S$383)*RailTransport!K13*Unitflowchart!$S$373</f>
        <v>0</v>
      </c>
      <c r="E368" s="726">
        <f>(Unitflowchart!$S$362/Unitflowchart!$S$383)*RailTransport!P13*Unitflowchart!$S$373</f>
        <v>0</v>
      </c>
      <c r="F368" s="25">
        <f t="shared" si="94"/>
        <v>0</v>
      </c>
      <c r="G368" s="744">
        <f>(Unitflowchart!$S$362/Unitflowchart!$S$383)*RailTransport!Q13*Unitflowchart!$S$373</f>
        <v>0</v>
      </c>
      <c r="H368" s="723">
        <f>(Unitflowchart!$S$362/Unitflowchart!$S$383)*RailTransport!V13*Unitflowchart!$S$373</f>
        <v>0</v>
      </c>
      <c r="I368" s="25">
        <f t="shared" si="95"/>
        <v>0</v>
      </c>
      <c r="J368" s="725">
        <f>(Unitflowchart!$S$362/Unitflowchart!$S$383)*RailTransport!W13*Unitflowchart!$S$373</f>
        <v>0</v>
      </c>
      <c r="K368" s="723">
        <f>(Unitflowchart!$S$362/Unitflowchart!$S$383)*RailTransport!AB13*Unitflowchart!$S$373</f>
        <v>0</v>
      </c>
      <c r="L368" s="25">
        <f t="shared" si="96"/>
        <v>0</v>
      </c>
      <c r="M368" s="725">
        <f>(Unitflowchart!$S$362/Unitflowchart!$S$383)*RailTransport!AC13*Unitflowchart!$S$373</f>
        <v>0</v>
      </c>
      <c r="N368" s="726">
        <f>E368+(GlobalWarmingPotentials!$B$11*H368)+(GlobalWarmingPotentials!$C$11*K368)</f>
        <v>0</v>
      </c>
      <c r="O368" s="25">
        <f t="shared" si="97"/>
        <v>0</v>
      </c>
      <c r="P368" s="744">
        <f>SQRT((G368^2)+((GlobalWarmingPotentials!$B$11*J368)^2)+((GlobalWarmingPotentials!$C$11*M368)^2))</f>
        <v>0</v>
      </c>
      <c r="Q368" s="30"/>
    </row>
    <row r="369" spans="1:17" x14ac:dyDescent="0.25">
      <c r="B369" s="728"/>
      <c r="C369" s="25"/>
      <c r="D369" s="735"/>
      <c r="E369" s="728"/>
      <c r="F369" s="25"/>
      <c r="G369" s="735"/>
      <c r="H369" s="31"/>
      <c r="I369" s="25"/>
      <c r="J369" s="724"/>
      <c r="K369" s="31"/>
      <c r="L369" s="25"/>
      <c r="M369" s="724"/>
      <c r="N369" s="728"/>
      <c r="O369" s="25"/>
      <c r="P369" s="735"/>
      <c r="Q369" s="30"/>
    </row>
    <row r="370" spans="1:17" x14ac:dyDescent="0.25">
      <c r="A370" s="218" t="s">
        <v>926</v>
      </c>
      <c r="B370" s="734">
        <f>(Unitflowchart!$S$362/Unitflowchart!$S$383)*RailTransport!J15*Unitflowchart!$S$373</f>
        <v>0</v>
      </c>
      <c r="C370" s="721">
        <f>(B370/B$398)*100</f>
        <v>0</v>
      </c>
      <c r="D370" s="745">
        <f>(Unitflowchart!$S$362/Unitflowchart!$S$383)*RailTransport!K15*Unitflowchart!$S$373</f>
        <v>0</v>
      </c>
      <c r="E370" s="734">
        <f>(Unitflowchart!$S$362/Unitflowchart!$S$383)*RailTransport!P15*Unitflowchart!$S$373</f>
        <v>0</v>
      </c>
      <c r="F370" s="721">
        <f>(E370/E$398)*100</f>
        <v>0</v>
      </c>
      <c r="G370" s="745">
        <f>(Unitflowchart!$S$362/Unitflowchart!$S$383)*RailTransport!Q15*Unitflowchart!$S$373</f>
        <v>0</v>
      </c>
      <c r="H370" s="722">
        <f>(Unitflowchart!$S$362/Unitflowchart!$S$383)*RailTransport!V15*Unitflowchart!$S$373</f>
        <v>0</v>
      </c>
      <c r="I370" s="721">
        <f>(H370/H$398)*100</f>
        <v>0</v>
      </c>
      <c r="J370" s="720">
        <f>(Unitflowchart!$S$362/Unitflowchart!$S$383)*RailTransport!W15*Unitflowchart!$S$373</f>
        <v>0</v>
      </c>
      <c r="K370" s="722">
        <f>(Unitflowchart!$S$362/Unitflowchart!$S$383)*RailTransport!AB15*Unitflowchart!$S$373</f>
        <v>0</v>
      </c>
      <c r="L370" s="721">
        <f>(K370/K$398)*100</f>
        <v>0</v>
      </c>
      <c r="M370" s="720">
        <f>(Unitflowchart!$S$362/Unitflowchart!$S$383)*RailTransport!AC15*Unitflowchart!$S$373</f>
        <v>0</v>
      </c>
      <c r="N370" s="734">
        <f>E370+(GlobalWarmingPotentials!$B$11*H370)+(GlobalWarmingPotentials!$C$11*K370)</f>
        <v>0</v>
      </c>
      <c r="O370" s="721">
        <f>(N370/N$398)*100</f>
        <v>0</v>
      </c>
      <c r="P370" s="743">
        <f>SQRT((G370^2)+((GlobalWarmingPotentials!$B$11*J370)^2)+((GlobalWarmingPotentials!$C$11*M370)^2))</f>
        <v>0</v>
      </c>
      <c r="Q370" s="30"/>
    </row>
    <row r="371" spans="1:17" x14ac:dyDescent="0.25">
      <c r="B371" s="728"/>
      <c r="D371" s="735"/>
      <c r="E371" s="728"/>
      <c r="G371" s="735"/>
      <c r="H371" s="31"/>
      <c r="J371" s="724"/>
      <c r="K371" s="31"/>
      <c r="M371" s="724"/>
      <c r="N371" s="728"/>
      <c r="P371" s="735"/>
      <c r="Q371" s="30"/>
    </row>
    <row r="372" spans="1:17" x14ac:dyDescent="0.25">
      <c r="A372" s="387" t="s">
        <v>928</v>
      </c>
      <c r="B372" s="728"/>
      <c r="D372" s="735"/>
      <c r="E372" s="728"/>
      <c r="G372" s="735"/>
      <c r="H372" s="31"/>
      <c r="J372" s="724"/>
      <c r="K372" s="31"/>
      <c r="M372" s="724"/>
      <c r="N372" s="728"/>
      <c r="P372" s="735"/>
      <c r="Q372" s="30"/>
    </row>
    <row r="373" spans="1:17" x14ac:dyDescent="0.25">
      <c r="B373" s="728"/>
      <c r="D373" s="735"/>
      <c r="E373" s="728"/>
      <c r="G373" s="735"/>
      <c r="H373" s="31"/>
      <c r="J373" s="724"/>
      <c r="K373" s="31"/>
      <c r="M373" s="724"/>
      <c r="N373" s="728"/>
      <c r="P373" s="735"/>
      <c r="Q373" s="30"/>
    </row>
    <row r="374" spans="1:17" x14ac:dyDescent="0.25">
      <c r="A374" s="14" t="str">
        <f>BargeTransport!A11</f>
        <v xml:space="preserve"> - Marine Diesel</v>
      </c>
      <c r="B374" s="726">
        <f>(Unitflowchart!$S$362/Unitflowchart!$S$383)*BargeTransport!J11*Unitflowchart!$S$375</f>
        <v>0</v>
      </c>
      <c r="C374" s="25">
        <f>(B374/B$398)*100</f>
        <v>0</v>
      </c>
      <c r="D374" s="744">
        <f>(Unitflowchart!$S$362/Unitflowchart!$S$383)*BargeTransport!K11*Unitflowchart!$S$375</f>
        <v>0</v>
      </c>
      <c r="E374" s="726">
        <f>(Unitflowchart!$S$362/Unitflowchart!$S$383)*BargeTransport!P11*Unitflowchart!$S$375</f>
        <v>0</v>
      </c>
      <c r="F374" s="25">
        <f>(E374/E$398)*100</f>
        <v>0</v>
      </c>
      <c r="G374" s="744">
        <f>(Unitflowchart!$S$362/Unitflowchart!$S$383)*BargeTransport!Q11*Unitflowchart!$S$375</f>
        <v>0</v>
      </c>
      <c r="H374" s="723">
        <f>(Unitflowchart!$S$362/Unitflowchart!$S$383)*BargeTransport!V11*Unitflowchart!$S$375</f>
        <v>0</v>
      </c>
      <c r="I374" s="25">
        <f>(H374/H$398)*100</f>
        <v>0</v>
      </c>
      <c r="J374" s="725">
        <f>(Unitflowchart!$S$362/Unitflowchart!$S$383)*BargeTransport!W11*Unitflowchart!$S$375</f>
        <v>0</v>
      </c>
      <c r="K374" s="723">
        <f>(Unitflowchart!$S$362/Unitflowchart!$S$383)*BargeTransport!AB11*Unitflowchart!$S$375</f>
        <v>0</v>
      </c>
      <c r="L374" s="25">
        <f>(K374/K$398)*100</f>
        <v>0</v>
      </c>
      <c r="M374" s="725">
        <f>(Unitflowchart!$S$362/Unitflowchart!$S$383)*BargeTransport!AC11*Unitflowchart!$S$375</f>
        <v>0</v>
      </c>
      <c r="N374" s="726">
        <f>E374+(GlobalWarmingPotentials!$B$11*H374)+(GlobalWarmingPotentials!$C$11*K374)</f>
        <v>0</v>
      </c>
      <c r="O374" s="25">
        <f>(N374/N$398)*100</f>
        <v>0</v>
      </c>
      <c r="P374" s="744">
        <f>SQRT((G374^2)+((GlobalWarmingPotentials!$B$11*J374)^2)+((GlobalWarmingPotentials!$C$11*M374)^2))</f>
        <v>0</v>
      </c>
      <c r="Q374" s="30"/>
    </row>
    <row r="375" spans="1:17" x14ac:dyDescent="0.25">
      <c r="A375" s="14" t="str">
        <f>BargeTransport!A12</f>
        <v xml:space="preserve"> - Barge Construction</v>
      </c>
      <c r="B375" s="726">
        <f>(Unitflowchart!$S$362/Unitflowchart!$S$383)*BargeTransport!J12*Unitflowchart!$S$375</f>
        <v>0</v>
      </c>
      <c r="C375" s="25">
        <f t="shared" ref="C375:C376" si="98">(B375/B$398)*100</f>
        <v>0</v>
      </c>
      <c r="D375" s="744">
        <f>(Unitflowchart!$S$362/Unitflowchart!$S$383)*BargeTransport!K12*Unitflowchart!$S$375</f>
        <v>0</v>
      </c>
      <c r="E375" s="726">
        <f>(Unitflowchart!$S$362/Unitflowchart!$S$383)*BargeTransport!P12*Unitflowchart!$S$375</f>
        <v>0</v>
      </c>
      <c r="F375" s="25">
        <f t="shared" ref="F375:F376" si="99">(E375/E$398)*100</f>
        <v>0</v>
      </c>
      <c r="G375" s="744">
        <f>(Unitflowchart!$S$362/Unitflowchart!$S$383)*BargeTransport!Q12*Unitflowchart!$S$375</f>
        <v>0</v>
      </c>
      <c r="H375" s="723">
        <f>(Unitflowchart!$S$362/Unitflowchart!$S$383)*BargeTransport!V12*Unitflowchart!$S$375</f>
        <v>0</v>
      </c>
      <c r="I375" s="25">
        <f t="shared" ref="I375:I376" si="100">(H375/H$398)*100</f>
        <v>0</v>
      </c>
      <c r="J375" s="725">
        <f>(Unitflowchart!$S$362/Unitflowchart!$S$383)*BargeTransport!W12*Unitflowchart!$S$375</f>
        <v>0</v>
      </c>
      <c r="K375" s="723">
        <f>(Unitflowchart!$S$362/Unitflowchart!$S$383)*BargeTransport!AB12*Unitflowchart!$S$375</f>
        <v>0</v>
      </c>
      <c r="L375" s="25">
        <f t="shared" ref="L375:L376" si="101">(K375/K$398)*100</f>
        <v>0</v>
      </c>
      <c r="M375" s="725">
        <f>(Unitflowchart!$S$362/Unitflowchart!$S$383)*BargeTransport!AC12*Unitflowchart!$S$375</f>
        <v>0</v>
      </c>
      <c r="N375" s="726">
        <f>E375+(GlobalWarmingPotentials!$B$11*H375)+(GlobalWarmingPotentials!$C$11*K375)</f>
        <v>0</v>
      </c>
      <c r="O375" s="25">
        <f t="shared" ref="O375:O376" si="102">(N375/N$398)*100</f>
        <v>0</v>
      </c>
      <c r="P375" s="744">
        <f>SQRT((G375^2)+((GlobalWarmingPotentials!$B$11*J375)^2)+((GlobalWarmingPotentials!$C$11*M375)^2))</f>
        <v>0</v>
      </c>
      <c r="Q375" s="30"/>
    </row>
    <row r="376" spans="1:17" x14ac:dyDescent="0.25">
      <c r="A376" s="14" t="str">
        <f>BargeTransport!A13</f>
        <v xml:space="preserve"> - Barge Maintenance</v>
      </c>
      <c r="B376" s="726">
        <f>(Unitflowchart!$S$362/Unitflowchart!$S$383)*BargeTransport!J13*Unitflowchart!$S$375</f>
        <v>0</v>
      </c>
      <c r="C376" s="25">
        <f t="shared" si="98"/>
        <v>0</v>
      </c>
      <c r="D376" s="744">
        <f>(Unitflowchart!$S$362/Unitflowchart!$S$383)*BargeTransport!K13*Unitflowchart!$S$375</f>
        <v>0</v>
      </c>
      <c r="E376" s="726">
        <f>(Unitflowchart!$S$362/Unitflowchart!$S$383)*BargeTransport!P13*Unitflowchart!$S$375</f>
        <v>0</v>
      </c>
      <c r="F376" s="25">
        <f t="shared" si="99"/>
        <v>0</v>
      </c>
      <c r="G376" s="744">
        <f>(Unitflowchart!$S$362/Unitflowchart!$S$383)*BargeTransport!Q13*Unitflowchart!$S$375</f>
        <v>0</v>
      </c>
      <c r="H376" s="723">
        <f>(Unitflowchart!$S$362/Unitflowchart!$S$383)*BargeTransport!V13*Unitflowchart!$S$375</f>
        <v>0</v>
      </c>
      <c r="I376" s="25">
        <f t="shared" si="100"/>
        <v>0</v>
      </c>
      <c r="J376" s="725">
        <f>(Unitflowchart!$S$362/Unitflowchart!$S$383)*BargeTransport!W13*Unitflowchart!$S$375</f>
        <v>0</v>
      </c>
      <c r="K376" s="723">
        <f>(Unitflowchart!$S$362/Unitflowchart!$S$383)*BargeTransport!AB13*Unitflowchart!$S$375</f>
        <v>0</v>
      </c>
      <c r="L376" s="25">
        <f t="shared" si="101"/>
        <v>0</v>
      </c>
      <c r="M376" s="725">
        <f>(Unitflowchart!$S$362/Unitflowchart!$S$383)*BargeTransport!AC13*Unitflowchart!$S$375</f>
        <v>0</v>
      </c>
      <c r="N376" s="726">
        <f>E376+(GlobalWarmingPotentials!$B$11*H376)+(GlobalWarmingPotentials!$C$11*K376)</f>
        <v>0</v>
      </c>
      <c r="O376" s="25">
        <f t="shared" si="102"/>
        <v>0</v>
      </c>
      <c r="P376" s="744">
        <f>SQRT((G376^2)+((GlobalWarmingPotentials!$B$11*J376)^2)+((GlobalWarmingPotentials!$C$11*M376)^2))</f>
        <v>0</v>
      </c>
      <c r="Q376" s="30"/>
    </row>
    <row r="377" spans="1:17" x14ac:dyDescent="0.25">
      <c r="B377" s="728"/>
      <c r="D377" s="735"/>
      <c r="E377" s="728"/>
      <c r="G377" s="735"/>
      <c r="H377" s="31"/>
      <c r="J377" s="724"/>
      <c r="K377" s="31"/>
      <c r="M377" s="724"/>
      <c r="N377" s="728"/>
      <c r="P377" s="735"/>
      <c r="Q377" s="30"/>
    </row>
    <row r="378" spans="1:17" x14ac:dyDescent="0.25">
      <c r="A378" s="218" t="s">
        <v>929</v>
      </c>
      <c r="B378" s="734">
        <f>(Unitflowchart!$S$362/Unitflowchart!$S$383)*BargeTransport!J15*Unitflowchart!$S$375</f>
        <v>0</v>
      </c>
      <c r="C378" s="721">
        <f>(B378/B$398)*100</f>
        <v>0</v>
      </c>
      <c r="D378" s="745">
        <f>(Unitflowchart!$S$362/Unitflowchart!$S$383)*BargeTransport!K15*Unitflowchart!$S$375</f>
        <v>0</v>
      </c>
      <c r="E378" s="734">
        <f>(Unitflowchart!$S$362/Unitflowchart!$S$383)*BargeTransport!P15*Unitflowchart!$S$375</f>
        <v>0</v>
      </c>
      <c r="F378" s="721">
        <f>(E378/E$398)*100</f>
        <v>0</v>
      </c>
      <c r="G378" s="745">
        <f>(Unitflowchart!$S$362/Unitflowchart!$S$383)*BargeTransport!Q15*Unitflowchart!$S$375</f>
        <v>0</v>
      </c>
      <c r="H378" s="722">
        <f>(Unitflowchart!$S$362/Unitflowchart!$S$383)*BargeTransport!V15*Unitflowchart!$S$375</f>
        <v>0</v>
      </c>
      <c r="I378" s="721">
        <f>(H378/H$398)*100</f>
        <v>0</v>
      </c>
      <c r="J378" s="720">
        <f>(Unitflowchart!$S$362/Unitflowchart!$S$383)*BargeTransport!W15*Unitflowchart!$S$375</f>
        <v>0</v>
      </c>
      <c r="K378" s="722">
        <f>(Unitflowchart!$S$362/Unitflowchart!$S$383)*BargeTransport!AB15*Unitflowchart!$S$375</f>
        <v>0</v>
      </c>
      <c r="L378" s="721">
        <f>(K378/K$398)*100</f>
        <v>0</v>
      </c>
      <c r="M378" s="720">
        <f>(Unitflowchart!$S$362/Unitflowchart!$S$383)*BargeTransport!AC15*Unitflowchart!$S$375</f>
        <v>0</v>
      </c>
      <c r="N378" s="734">
        <f>E378+(GlobalWarmingPotentials!$B$11*H378)+(GlobalWarmingPotentials!$C$11*K378)</f>
        <v>0</v>
      </c>
      <c r="O378" s="721">
        <f>(N378/N$398)*100</f>
        <v>0</v>
      </c>
      <c r="P378" s="743">
        <f>SQRT((G378^2)+((GlobalWarmingPotentials!$B$11*J378)^2)+((GlobalWarmingPotentials!$C$11*M378)^2))</f>
        <v>0</v>
      </c>
      <c r="Q378" s="30"/>
    </row>
    <row r="379" spans="1:17" x14ac:dyDescent="0.25">
      <c r="B379" s="728"/>
      <c r="D379" s="735"/>
      <c r="E379" s="728"/>
      <c r="G379" s="735"/>
      <c r="H379" s="31"/>
      <c r="J379" s="724"/>
      <c r="K379" s="31"/>
      <c r="M379" s="724"/>
      <c r="N379" s="728"/>
      <c r="P379" s="735"/>
      <c r="Q379" s="30"/>
    </row>
    <row r="380" spans="1:17" x14ac:dyDescent="0.25">
      <c r="A380" s="387" t="s">
        <v>930</v>
      </c>
      <c r="B380" s="728"/>
      <c r="D380" s="735"/>
      <c r="E380" s="728"/>
      <c r="G380" s="735"/>
      <c r="H380" s="31"/>
      <c r="J380" s="724"/>
      <c r="K380" s="31"/>
      <c r="M380" s="724"/>
      <c r="N380" s="728"/>
      <c r="P380" s="735"/>
      <c r="Q380" s="30"/>
    </row>
    <row r="381" spans="1:17" x14ac:dyDescent="0.25">
      <c r="B381" s="728"/>
      <c r="D381" s="735"/>
      <c r="E381" s="728"/>
      <c r="G381" s="735"/>
      <c r="H381" s="31"/>
      <c r="J381" s="724"/>
      <c r="K381" s="31"/>
      <c r="M381" s="724"/>
      <c r="N381" s="728"/>
      <c r="P381" s="735"/>
      <c r="Q381" s="30"/>
    </row>
    <row r="382" spans="1:17" x14ac:dyDescent="0.25">
      <c r="A382" s="14" t="str">
        <f>ShipTransport!A11</f>
        <v xml:space="preserve"> - Marine Diesel</v>
      </c>
      <c r="B382" s="726">
        <f>(Unitflowchart!$S$362/Unitflowchart!$S$383)*ShipTransport!J11*Unitflowchart!$S$377</f>
        <v>0</v>
      </c>
      <c r="C382" s="25">
        <f>(B382/B$398)*100</f>
        <v>0</v>
      </c>
      <c r="D382" s="744">
        <f>(Unitflowchart!$S$362/Unitflowchart!$S$383)*ShipTransport!K11*Unitflowchart!$S$377</f>
        <v>0</v>
      </c>
      <c r="E382" s="726">
        <f>(Unitflowchart!$S$362/Unitflowchart!$S$383)*ShipTransport!P11*Unitflowchart!$S$377</f>
        <v>0</v>
      </c>
      <c r="F382" s="25">
        <f>(E382/E$398)*100</f>
        <v>0</v>
      </c>
      <c r="G382" s="744">
        <f>(Unitflowchart!$S$362/Unitflowchart!$S$383)*ShipTransport!Q11*Unitflowchart!$S$377</f>
        <v>0</v>
      </c>
      <c r="H382" s="723">
        <f>(Unitflowchart!$S$362/Unitflowchart!$S$383)*ShipTransport!V11*Unitflowchart!$S$377</f>
        <v>0</v>
      </c>
      <c r="I382" s="25">
        <f>(H382/H$398)*100</f>
        <v>0</v>
      </c>
      <c r="J382" s="725">
        <f>(Unitflowchart!$S$362/Unitflowchart!$S$383)*ShipTransport!W11*Unitflowchart!$S$377</f>
        <v>0</v>
      </c>
      <c r="K382" s="723">
        <f>(Unitflowchart!$S$362/Unitflowchart!$S$383)*ShipTransport!AB11*Unitflowchart!$S$377</f>
        <v>0</v>
      </c>
      <c r="L382" s="25">
        <f>(K382/K$398)*100</f>
        <v>0</v>
      </c>
      <c r="M382" s="725">
        <f>(Unitflowchart!$S$362/Unitflowchart!$S$383)*ShipTransport!AC11*Unitflowchart!$S$377</f>
        <v>0</v>
      </c>
      <c r="N382" s="726">
        <f>E382+(GlobalWarmingPotentials!$B$11*H382)+(GlobalWarmingPotentials!$C$11*K382)</f>
        <v>0</v>
      </c>
      <c r="O382" s="25">
        <f>(N382/N$398)*100</f>
        <v>0</v>
      </c>
      <c r="P382" s="744">
        <f>SQRT((G382^2)+((GlobalWarmingPotentials!$B$11*J382)^2)+((GlobalWarmingPotentials!$C$11*M382)^2))</f>
        <v>0</v>
      </c>
      <c r="Q382" s="30"/>
    </row>
    <row r="383" spans="1:17" x14ac:dyDescent="0.25">
      <c r="A383" s="14" t="str">
        <f>ShipTransport!A12</f>
        <v xml:space="preserve"> - Ship Construction</v>
      </c>
      <c r="B383" s="726">
        <f>(Unitflowchart!$S$362/Unitflowchart!$S$383)*ShipTransport!J12*Unitflowchart!$S$377</f>
        <v>0</v>
      </c>
      <c r="C383" s="25">
        <f t="shared" ref="C383:C384" si="103">(B383/B$398)*100</f>
        <v>0</v>
      </c>
      <c r="D383" s="744">
        <f>(Unitflowchart!$S$362/Unitflowchart!$S$383)*ShipTransport!K12*Unitflowchart!$S$377</f>
        <v>0</v>
      </c>
      <c r="E383" s="726">
        <f>(Unitflowchart!$S$362/Unitflowchart!$S$383)*ShipTransport!P12*Unitflowchart!$S$377</f>
        <v>0</v>
      </c>
      <c r="F383" s="25">
        <f t="shared" ref="F383:F384" si="104">(E383/E$398)*100</f>
        <v>0</v>
      </c>
      <c r="G383" s="744">
        <f>(Unitflowchart!$S$362/Unitflowchart!$S$383)*ShipTransport!Q12*Unitflowchart!$S$377</f>
        <v>0</v>
      </c>
      <c r="H383" s="723">
        <f>(Unitflowchart!$S$362/Unitflowchart!$S$383)*ShipTransport!V12*Unitflowchart!$S$377</f>
        <v>0</v>
      </c>
      <c r="I383" s="25">
        <f t="shared" ref="I383:I384" si="105">(H383/H$398)*100</f>
        <v>0</v>
      </c>
      <c r="J383" s="725">
        <f>(Unitflowchart!$S$362/Unitflowchart!$S$383)*ShipTransport!W12*Unitflowchart!$S$377</f>
        <v>0</v>
      </c>
      <c r="K383" s="723">
        <f>(Unitflowchart!$S$362/Unitflowchart!$S$383)*ShipTransport!AB12*Unitflowchart!$S$377</f>
        <v>0</v>
      </c>
      <c r="L383" s="25">
        <f t="shared" ref="L383:L384" si="106">(K383/K$398)*100</f>
        <v>0</v>
      </c>
      <c r="M383" s="725">
        <f>(Unitflowchart!$S$362/Unitflowchart!$S$383)*ShipTransport!AC12*Unitflowchart!$S$377</f>
        <v>0</v>
      </c>
      <c r="N383" s="726">
        <f>E383+(GlobalWarmingPotentials!$B$11*H383)+(GlobalWarmingPotentials!$C$11*K383)</f>
        <v>0</v>
      </c>
      <c r="O383" s="25">
        <f t="shared" ref="O383:O384" si="107">(N383/N$398)*100</f>
        <v>0</v>
      </c>
      <c r="P383" s="744">
        <f>SQRT((G383^2)+((GlobalWarmingPotentials!$B$11*J383)^2)+((GlobalWarmingPotentials!$C$11*M383)^2))</f>
        <v>0</v>
      </c>
      <c r="Q383" s="30"/>
    </row>
    <row r="384" spans="1:17" x14ac:dyDescent="0.25">
      <c r="A384" s="14" t="str">
        <f>ShipTransport!A13</f>
        <v xml:space="preserve"> - Ship Maintenance</v>
      </c>
      <c r="B384" s="726">
        <f>(Unitflowchart!$S$362/Unitflowchart!$S$383)*ShipTransport!J13*Unitflowchart!$S$377</f>
        <v>0</v>
      </c>
      <c r="C384" s="25">
        <f t="shared" si="103"/>
        <v>0</v>
      </c>
      <c r="D384" s="744">
        <f>(Unitflowchart!$S$362/Unitflowchart!$S$383)*ShipTransport!K13*Unitflowchart!$S$377</f>
        <v>0</v>
      </c>
      <c r="E384" s="726">
        <f>(Unitflowchart!$S$362/Unitflowchart!$S$383)*ShipTransport!P13*Unitflowchart!$S$377</f>
        <v>0</v>
      </c>
      <c r="F384" s="25">
        <f t="shared" si="104"/>
        <v>0</v>
      </c>
      <c r="G384" s="744">
        <f>(Unitflowchart!$S$362/Unitflowchart!$S$383)*ShipTransport!Q13*Unitflowchart!$S$377</f>
        <v>0</v>
      </c>
      <c r="H384" s="723">
        <f>(Unitflowchart!$S$362/Unitflowchart!$S$383)*ShipTransport!V13*Unitflowchart!$S$377</f>
        <v>0</v>
      </c>
      <c r="I384" s="25">
        <f t="shared" si="105"/>
        <v>0</v>
      </c>
      <c r="J384" s="725">
        <f>(Unitflowchart!$S$362/Unitflowchart!$S$383)*ShipTransport!W13*Unitflowchart!$S$377</f>
        <v>0</v>
      </c>
      <c r="K384" s="723">
        <f>(Unitflowchart!$S$362/Unitflowchart!$S$383)*ShipTransport!AB13*Unitflowchart!$S$377</f>
        <v>0</v>
      </c>
      <c r="L384" s="25">
        <f t="shared" si="106"/>
        <v>0</v>
      </c>
      <c r="M384" s="725">
        <f>(Unitflowchart!$S$362/Unitflowchart!$S$383)*ShipTransport!AC13*Unitflowchart!$S$377</f>
        <v>0</v>
      </c>
      <c r="N384" s="726">
        <f>E384+(GlobalWarmingPotentials!$B$11*H384)+(GlobalWarmingPotentials!$C$11*K384)</f>
        <v>0</v>
      </c>
      <c r="O384" s="25">
        <f t="shared" si="107"/>
        <v>0</v>
      </c>
      <c r="P384" s="744">
        <f>SQRT((G384^2)+((GlobalWarmingPotentials!$B$11*J384)^2)+((GlobalWarmingPotentials!$C$11*M384)^2))</f>
        <v>0</v>
      </c>
      <c r="Q384" s="30"/>
    </row>
    <row r="385" spans="1:17" x14ac:dyDescent="0.25">
      <c r="B385" s="728"/>
      <c r="C385" s="25"/>
      <c r="D385" s="735"/>
      <c r="E385" s="728"/>
      <c r="F385" s="25"/>
      <c r="G385" s="735"/>
      <c r="H385" s="31"/>
      <c r="I385" s="25"/>
      <c r="J385" s="724"/>
      <c r="K385" s="31"/>
      <c r="L385" s="25"/>
      <c r="M385" s="724"/>
      <c r="N385" s="728"/>
      <c r="O385" s="25"/>
      <c r="P385" s="735"/>
      <c r="Q385" s="30"/>
    </row>
    <row r="386" spans="1:17" x14ac:dyDescent="0.25">
      <c r="A386" s="218" t="s">
        <v>931</v>
      </c>
      <c r="B386" s="734">
        <f>(Unitflowchart!$S$362/Unitflowchart!$S$383)*ShipTransport!J15*Unitflowchart!$S$377</f>
        <v>0</v>
      </c>
      <c r="C386" s="721">
        <f>(B386/B$398)*100</f>
        <v>0</v>
      </c>
      <c r="D386" s="745">
        <f>(Unitflowchart!$S$362/Unitflowchart!$S$383)*ShipTransport!K15*Unitflowchart!$S$377</f>
        <v>0</v>
      </c>
      <c r="E386" s="734">
        <f>(Unitflowchart!$S$362/Unitflowchart!$S$383)*ShipTransport!P15*Unitflowchart!$S$377</f>
        <v>0</v>
      </c>
      <c r="F386" s="721">
        <f>(E386/E$398)*100</f>
        <v>0</v>
      </c>
      <c r="G386" s="745">
        <f>(Unitflowchart!$S$362/Unitflowchart!$S$383)*ShipTransport!Q15*Unitflowchart!$S$377</f>
        <v>0</v>
      </c>
      <c r="H386" s="722">
        <f>(Unitflowchart!$S$362/Unitflowchart!$S$383)*ShipTransport!V15*Unitflowchart!$S$377</f>
        <v>0</v>
      </c>
      <c r="I386" s="721">
        <f>(H386/H$398)*100</f>
        <v>0</v>
      </c>
      <c r="J386" s="720">
        <f>(Unitflowchart!$S$362/Unitflowchart!$S$383)*ShipTransport!W15*Unitflowchart!$S$377</f>
        <v>0</v>
      </c>
      <c r="K386" s="722">
        <f>(Unitflowchart!$S$362/Unitflowchart!$S$383)*ShipTransport!AB15*Unitflowchart!$S$377</f>
        <v>0</v>
      </c>
      <c r="L386" s="721">
        <f>(K386/K$398)*100</f>
        <v>0</v>
      </c>
      <c r="M386" s="720">
        <f>(Unitflowchart!$S$362/Unitflowchart!$S$383)*ShipTransport!AC15*Unitflowchart!$S$377</f>
        <v>0</v>
      </c>
      <c r="N386" s="734">
        <f>E386+(GlobalWarmingPotentials!$B$11*H386)+(GlobalWarmingPotentials!$C$11*K386)</f>
        <v>0</v>
      </c>
      <c r="O386" s="721">
        <f>(N386/N$398)*100</f>
        <v>0</v>
      </c>
      <c r="P386" s="743">
        <f>SQRT((G386^2)+((GlobalWarmingPotentials!$B$11*J386)^2)+((GlobalWarmingPotentials!$C$11*M386)^2))</f>
        <v>0</v>
      </c>
      <c r="Q386" s="30"/>
    </row>
    <row r="387" spans="1:17" x14ac:dyDescent="0.25">
      <c r="A387" s="23"/>
      <c r="B387" s="728"/>
      <c r="D387" s="735"/>
      <c r="E387" s="728"/>
      <c r="G387" s="735"/>
      <c r="H387" s="31"/>
      <c r="J387" s="724"/>
      <c r="K387" s="31"/>
      <c r="M387" s="724"/>
      <c r="N387" s="728"/>
      <c r="P387" s="735"/>
      <c r="Q387" s="30"/>
    </row>
    <row r="388" spans="1:17" x14ac:dyDescent="0.25">
      <c r="A388" s="218" t="s">
        <v>920</v>
      </c>
      <c r="B388" s="734">
        <f>B362+B370+B378+B386</f>
        <v>0</v>
      </c>
      <c r="C388" s="721">
        <f>(B388/B$398)*100</f>
        <v>0</v>
      </c>
      <c r="D388" s="745">
        <f>SQRT((D362^2)+(D370^2)+(D378^2)+(D386^2))</f>
        <v>0</v>
      </c>
      <c r="E388" s="734">
        <f t="shared" ref="E388" si="108">E362+E370+E378+E386</f>
        <v>0</v>
      </c>
      <c r="F388" s="721">
        <f t="shared" ref="F388" si="109">(E388/E$398)*100</f>
        <v>0</v>
      </c>
      <c r="G388" s="745">
        <f t="shared" ref="G388" si="110">SQRT((G362^2)+(G370^2)+(G378^2)+(G386^2))</f>
        <v>0</v>
      </c>
      <c r="H388" s="722">
        <f t="shared" ref="H388" si="111">H362+H370+H378+H386</f>
        <v>0</v>
      </c>
      <c r="I388" s="721">
        <f t="shared" ref="I388" si="112">(H388/H$398)*100</f>
        <v>0</v>
      </c>
      <c r="J388" s="720">
        <f t="shared" ref="J388" si="113">SQRT((J362^2)+(J370^2)+(J378^2)+(J386^2))</f>
        <v>0</v>
      </c>
      <c r="K388" s="722">
        <f t="shared" ref="K388" si="114">K362+K370+K378+K386</f>
        <v>0</v>
      </c>
      <c r="L388" s="721">
        <f t="shared" ref="L388" si="115">(K388/K$398)*100</f>
        <v>0</v>
      </c>
      <c r="M388" s="720">
        <f t="shared" ref="M388" si="116">SQRT((M362^2)+(M370^2)+(M378^2)+(M386^2))</f>
        <v>0</v>
      </c>
      <c r="N388" s="734">
        <f t="shared" ref="N388" si="117">N362+N370+N378+N386</f>
        <v>0</v>
      </c>
      <c r="O388" s="721">
        <f t="shared" ref="O388" si="118">(N388/N$398)*100</f>
        <v>0</v>
      </c>
      <c r="P388" s="743">
        <f t="shared" ref="P388" si="119">SQRT((P362^2)+(P370^2)+(P378^2)+(P386^2))</f>
        <v>0</v>
      </c>
      <c r="Q388" s="30"/>
    </row>
    <row r="389" spans="1:17" x14ac:dyDescent="0.25">
      <c r="B389" s="728"/>
      <c r="D389" s="735"/>
      <c r="E389" s="728"/>
      <c r="G389" s="735"/>
      <c r="H389" s="31"/>
      <c r="J389" s="724"/>
      <c r="K389" s="31"/>
      <c r="M389" s="724"/>
      <c r="N389" s="728"/>
      <c r="P389" s="735"/>
      <c r="Q389" s="30"/>
    </row>
    <row r="390" spans="1:17" x14ac:dyDescent="0.25">
      <c r="A390" s="387" t="s">
        <v>878</v>
      </c>
      <c r="B390" s="728"/>
      <c r="D390" s="735"/>
      <c r="E390" s="728"/>
      <c r="G390" s="735"/>
      <c r="H390" s="31"/>
      <c r="J390" s="724"/>
      <c r="K390" s="31"/>
      <c r="M390" s="724"/>
      <c r="N390" s="728"/>
      <c r="P390" s="735"/>
      <c r="Q390" s="30"/>
    </row>
    <row r="391" spans="1:17" x14ac:dyDescent="0.25">
      <c r="B391" s="728"/>
      <c r="D391" s="735"/>
      <c r="E391" s="728"/>
      <c r="G391" s="735"/>
      <c r="H391" s="31"/>
      <c r="J391" s="724"/>
      <c r="K391" s="31"/>
      <c r="M391" s="724"/>
      <c r="N391" s="728"/>
      <c r="P391" s="735"/>
      <c r="Q391" s="30"/>
    </row>
    <row r="392" spans="1:17" x14ac:dyDescent="0.25">
      <c r="A392" t="str">
        <f>Biorefinery!A16</f>
        <v xml:space="preserve"> - Plant Construction</v>
      </c>
      <c r="B392" s="732">
        <f>Unitflowchart!$S$312/Unitflowchart!$S$383*(Biorefinery!J16)</f>
        <v>0</v>
      </c>
      <c r="C392" s="26">
        <f t="shared" ref="C392" si="120">(B392/B$398)*100</f>
        <v>0</v>
      </c>
      <c r="D392" s="358">
        <f>Unitflowchart!$S$312/Unitflowchart!$S$383*(Biorefinery!K16)</f>
        <v>0</v>
      </c>
      <c r="E392" s="732">
        <f>Unitflowchart!$S$312/Unitflowchart!$S$383*(Biorefinery!P16)</f>
        <v>0</v>
      </c>
      <c r="F392" s="26">
        <f t="shared" ref="F392" si="121">(E392/E$398)*100</f>
        <v>0</v>
      </c>
      <c r="G392" s="358">
        <f>Unitflowchart!$S$312/Unitflowchart!$S$383*(Biorefinery!Q16)</f>
        <v>0</v>
      </c>
      <c r="H392" s="749">
        <f>Unitflowchart!$S$312/Unitflowchart!$S$383*(Biorefinery!V16)</f>
        <v>0</v>
      </c>
      <c r="I392" s="26">
        <f t="shared" ref="I392" si="122">(H392/H$398)*100</f>
        <v>0</v>
      </c>
      <c r="J392" s="752">
        <f>Unitflowchart!$S$312/Unitflowchart!$S$383*(Biorefinery!W16)</f>
        <v>0</v>
      </c>
      <c r="K392" s="749">
        <f>Unitflowchart!$S$312/Unitflowchart!$S$383*(Biorefinery!AB16)</f>
        <v>0</v>
      </c>
      <c r="L392" s="26">
        <f t="shared" ref="L392" si="123">(K392/K$398)*100</f>
        <v>0</v>
      </c>
      <c r="M392" s="752">
        <f>Unitflowchart!$S$312/Unitflowchart!$S$383*(Biorefinery!AC16)</f>
        <v>0</v>
      </c>
      <c r="N392" s="727">
        <f>E392+(GlobalWarmingPotentials!$B$11*H392)+(GlobalWarmingPotentials!$C$11*K392)</f>
        <v>0</v>
      </c>
      <c r="O392" s="26">
        <f t="shared" ref="O392:O394" si="124">(N392/N$398)*100</f>
        <v>0</v>
      </c>
      <c r="P392" s="760">
        <f>SQRT((G392^2)+((GlobalWarmingPotentials!$B$11*J392)^2)+((GlobalWarmingPotentials!$C$11*M392)^2))</f>
        <v>0</v>
      </c>
      <c r="Q392" s="30"/>
    </row>
    <row r="393" spans="1:17" x14ac:dyDescent="0.25">
      <c r="A393" t="str">
        <f>Biorefinery!A17</f>
        <v xml:space="preserve"> - Plant Maintenance</v>
      </c>
      <c r="B393" s="732">
        <f>Unitflowchart!$S$312/Unitflowchart!$S$383*(Biorefinery!J17)</f>
        <v>0</v>
      </c>
      <c r="C393" s="26">
        <f t="shared" ref="C393:C394" si="125">(B393/B$398)*100</f>
        <v>0</v>
      </c>
      <c r="D393" s="358">
        <f>Unitflowchart!$S$312/Unitflowchart!$S$383*(Biorefinery!K17)</f>
        <v>0</v>
      </c>
      <c r="E393" s="732">
        <f>Unitflowchart!$S$312/Unitflowchart!$S$383*(Biorefinery!P17)</f>
        <v>0</v>
      </c>
      <c r="F393" s="26">
        <f t="shared" ref="F393:F394" si="126">(E393/E$398)*100</f>
        <v>0</v>
      </c>
      <c r="G393" s="358">
        <f>Unitflowchart!$S$312/Unitflowchart!$S$383*(Biorefinery!Q17)</f>
        <v>0</v>
      </c>
      <c r="H393" s="749">
        <f>Unitflowchart!$S$312/Unitflowchart!$S$383*(Biorefinery!V17)</f>
        <v>0</v>
      </c>
      <c r="I393" s="26">
        <f t="shared" ref="I393:I394" si="127">(H393/H$398)*100</f>
        <v>0</v>
      </c>
      <c r="J393" s="752">
        <f>Unitflowchart!$S$312/Unitflowchart!$S$383*(Biorefinery!W17)</f>
        <v>0</v>
      </c>
      <c r="K393" s="749">
        <f>Unitflowchart!$S$312/Unitflowchart!$S$383*(Biorefinery!AB17)</f>
        <v>0</v>
      </c>
      <c r="L393" s="26">
        <f t="shared" ref="L393:L394" si="128">(K393/K$398)*100</f>
        <v>0</v>
      </c>
      <c r="M393" s="752">
        <f>Unitflowchart!$S$312/Unitflowchart!$S$383*(Biorefinery!AC17)</f>
        <v>0</v>
      </c>
      <c r="N393" s="727">
        <f>E393+(GlobalWarmingPotentials!$B$11*H393)+(GlobalWarmingPotentials!$C$11*K393)</f>
        <v>0</v>
      </c>
      <c r="O393" s="26">
        <f t="shared" si="124"/>
        <v>0</v>
      </c>
      <c r="P393" s="760">
        <f>SQRT((G393^2)+((GlobalWarmingPotentials!$B$11*J393)^2)+((GlobalWarmingPotentials!$C$11*M393)^2))</f>
        <v>0</v>
      </c>
      <c r="Q393" s="30"/>
    </row>
    <row r="394" spans="1:17" x14ac:dyDescent="0.25">
      <c r="A394" t="str">
        <f>Biorefinery!A18</f>
        <v xml:space="preserve"> - Plant Decommissioning</v>
      </c>
      <c r="B394" s="732">
        <f>Unitflowchart!$S$312/Unitflowchart!$S$383*(Biorefinery!J18)</f>
        <v>0</v>
      </c>
      <c r="C394" s="26">
        <f t="shared" si="125"/>
        <v>0</v>
      </c>
      <c r="D394" s="358">
        <f>Unitflowchart!$S$312/Unitflowchart!$S$383*(Biorefinery!K18)</f>
        <v>0</v>
      </c>
      <c r="E394" s="732">
        <f>Unitflowchart!$S$312/Unitflowchart!$S$383*(Biorefinery!P18)</f>
        <v>0</v>
      </c>
      <c r="F394" s="26">
        <f t="shared" si="126"/>
        <v>0</v>
      </c>
      <c r="G394" s="358">
        <f>Unitflowchart!$S$312/Unitflowchart!$S$383*(Biorefinery!Q18)</f>
        <v>0</v>
      </c>
      <c r="H394" s="749">
        <f>Unitflowchart!$S$312/Unitflowchart!$S$383*(Biorefinery!V18)</f>
        <v>0</v>
      </c>
      <c r="I394" s="26">
        <f t="shared" si="127"/>
        <v>0</v>
      </c>
      <c r="J394" s="752">
        <f>Unitflowchart!$S$312/Unitflowchart!$S$383*(Biorefinery!W18)</f>
        <v>0</v>
      </c>
      <c r="K394" s="749">
        <f>Unitflowchart!$S$312/Unitflowchart!$S$383*(Biorefinery!AB18)</f>
        <v>0</v>
      </c>
      <c r="L394" s="26">
        <f t="shared" si="128"/>
        <v>0</v>
      </c>
      <c r="M394" s="752">
        <f>Unitflowchart!$S$312/Unitflowchart!$S$383*(Biorefinery!AC18)</f>
        <v>0</v>
      </c>
      <c r="N394" s="727">
        <f>E394+(GlobalWarmingPotentials!$B$11*H394)+(GlobalWarmingPotentials!$C$11*K394)</f>
        <v>0</v>
      </c>
      <c r="O394" s="26">
        <f t="shared" si="124"/>
        <v>0</v>
      </c>
      <c r="P394" s="760">
        <f>SQRT((G394^2)+((GlobalWarmingPotentials!$B$11*J394)^2)+((GlobalWarmingPotentials!$C$11*M394)^2))</f>
        <v>0</v>
      </c>
      <c r="Q394" s="30"/>
    </row>
    <row r="395" spans="1:17" x14ac:dyDescent="0.25">
      <c r="B395" s="728"/>
      <c r="C395" s="156"/>
      <c r="D395" s="735"/>
      <c r="E395" s="728"/>
      <c r="F395" s="156"/>
      <c r="G395" s="735"/>
      <c r="H395" s="31"/>
      <c r="I395" s="156"/>
      <c r="J395" s="724"/>
      <c r="K395" s="31"/>
      <c r="L395" s="156"/>
      <c r="M395" s="724"/>
      <c r="N395" s="728"/>
      <c r="O395" s="156"/>
      <c r="P395" s="735"/>
      <c r="Q395" s="30"/>
    </row>
    <row r="396" spans="1:17" x14ac:dyDescent="0.25">
      <c r="A396" s="218" t="s">
        <v>916</v>
      </c>
      <c r="B396" s="730">
        <f>Unitflowchart!$S$312/Unitflowchart!$S$383*(Biorefinery!J20)</f>
        <v>0</v>
      </c>
      <c r="C396" s="15">
        <f t="shared" ref="C396" si="129">(B396/B$398)*100</f>
        <v>0</v>
      </c>
      <c r="D396" s="740">
        <f>Unitflowchart!$S$312/Unitflowchart!$S$383*(Biorefinery!K20)</f>
        <v>0</v>
      </c>
      <c r="E396" s="730">
        <f>Unitflowchart!$S$312/Unitflowchart!$S$383*(Biorefinery!P20)</f>
        <v>0</v>
      </c>
      <c r="F396" s="15">
        <f t="shared" ref="F396" si="130">(E396/E$398)*100</f>
        <v>0</v>
      </c>
      <c r="G396" s="740">
        <f>Unitflowchart!$S$312/Unitflowchart!$S$383*(Biorefinery!Q20)</f>
        <v>0</v>
      </c>
      <c r="H396" s="215">
        <f>Unitflowchart!$S$312/Unitflowchart!$S$383*(Biorefinery!V20)</f>
        <v>0</v>
      </c>
      <c r="I396" s="15">
        <f t="shared" ref="I396" si="131">(H396/H$398)*100</f>
        <v>0</v>
      </c>
      <c r="J396" s="747">
        <f>Unitflowchart!$S$312/Unitflowchart!$S$383*(Biorefinery!W20)</f>
        <v>0</v>
      </c>
      <c r="K396" s="215">
        <f>Unitflowchart!$S$312/Unitflowchart!$S$383*(Biorefinery!AB20)</f>
        <v>0</v>
      </c>
      <c r="L396" s="15">
        <f t="shared" ref="L396" si="132">(K396/K$398)*100</f>
        <v>0</v>
      </c>
      <c r="M396" s="216">
        <f>Unitflowchart!$S$312/Unitflowchart!$S$383*(Biorefinery!AC20)</f>
        <v>0</v>
      </c>
      <c r="N396" s="730">
        <f>E396+(GlobalWarmingPotentials!$B$11*H396)+(GlobalWarmingPotentials!$C$11*K396)</f>
        <v>0</v>
      </c>
      <c r="O396" s="15">
        <f>(N396/N$398)*100</f>
        <v>0</v>
      </c>
      <c r="P396" s="761">
        <f>SQRT((G396^2)+((GlobalWarmingPotentials!$B$11*J396)^2)+((GlobalWarmingPotentials!$C$11*M396)^2))</f>
        <v>0</v>
      </c>
      <c r="Q396" s="30"/>
    </row>
    <row r="397" spans="1:17" x14ac:dyDescent="0.25">
      <c r="B397" s="728"/>
      <c r="D397" s="735"/>
      <c r="E397" s="728"/>
      <c r="G397" s="735"/>
      <c r="H397" s="31"/>
      <c r="J397" s="724"/>
      <c r="K397" s="750"/>
      <c r="M397" s="754"/>
      <c r="N397" s="735"/>
      <c r="P397" s="735"/>
      <c r="Q397" s="30"/>
    </row>
    <row r="398" spans="1:17" x14ac:dyDescent="0.25">
      <c r="A398" s="994" t="s">
        <v>424</v>
      </c>
      <c r="B398" s="831">
        <f>B118+B146+B180+B214+B220+B244+B251+B258+B271+B237+B265+B277+B286+B320+B354+B388+B396</f>
        <v>12944.38190434738</v>
      </c>
      <c r="C398" s="15">
        <f>(B398/B$398)*100</f>
        <v>100</v>
      </c>
      <c r="D398" s="832">
        <f>SQRT((D118^2)+(D146^2)+(D180^2)+(D214^2)+(D220^2)+(D244^2)+(D251^2)+(D258^2)+(D271^2)+(D237^2)+(D265^2)+(D277^2)+(D286^2)+(D320^2)+(D354^2)+(D388)+(D396^2))</f>
        <v>827.39839929050697</v>
      </c>
      <c r="E398" s="831">
        <f t="shared" ref="E398" si="133">E118+E146+E180+E214+E220+E244+E251+E258+E271+E237+E265+E277+E286+E320+E354+E388+E396</f>
        <v>804.38165017298661</v>
      </c>
      <c r="F398" s="15">
        <f t="shared" ref="F398" si="134">(E398/E$398)*100</f>
        <v>100</v>
      </c>
      <c r="G398" s="832">
        <f t="shared" ref="G398" si="135">SQRT((G118^2)+(G146^2)+(G180^2)+(G214^2)+(G220^2)+(G244^2)+(G251^2)+(G258^2)+(G271^2)+(G237^2)+(G265^2)+(G277^2)+(G286^2)+(G320^2)+(G354^2)+(G388)+(G396^2))</f>
        <v>51.560977474000268</v>
      </c>
      <c r="H398" s="835">
        <f t="shared" ref="H398" si="136">H118+H146+H180+H214+H220+H244+H251+H258+H271+H237+H265+H277+H286+H320+H354+H388+H396</f>
        <v>1.0039290138428159</v>
      </c>
      <c r="I398" s="15">
        <f t="shared" ref="I398" si="137">(H398/H$398)*100</f>
        <v>100</v>
      </c>
      <c r="J398" s="836">
        <f t="shared" ref="J398" si="138">SQRT((J118^2)+(J146^2)+(J180^2)+(J214^2)+(J220^2)+(J244^2)+(J251^2)+(J258^2)+(J271^2)+(J237^2)+(J265^2)+(J277^2)+(J286^2)+(J320^2)+(J354^2)+(J388)+(J396^2))</f>
        <v>8.2467606777242131E-2</v>
      </c>
      <c r="K398" s="835">
        <f t="shared" ref="K398" si="139">K118+K146+K180+K214+K220+K244+K251+K258+K271+K237+K265+K277+K286+K320+K354+K388+K396</f>
        <v>0.21727499024922509</v>
      </c>
      <c r="L398" s="15">
        <f t="shared" ref="L398" si="140">(K398/K$398)*100</f>
        <v>100</v>
      </c>
      <c r="M398" s="836">
        <f t="shared" ref="M398" si="141">SQRT((M118^2)+(M146^2)+(M180^2)+(M214^2)+(M220^2)+(M244^2)+(M251^2)+(M258^2)+(M271^2)+(M237^2)+(M265^2)+(M277^2)+(M286^2)+(M320^2)+(M354^2)+(M388)+(M396^2))</f>
        <v>8.6893338480532965E-4</v>
      </c>
      <c r="N398" s="734">
        <f t="shared" ref="N398" si="142">N118+N146+N180+N214+N220+N244+N251+N258+N271+N237+N265+N277+N286+N320+N354+N388+N396</f>
        <v>891.78541460514214</v>
      </c>
      <c r="O398" s="15">
        <f t="shared" ref="O398" si="143">(N398/N$398)*100</f>
        <v>100</v>
      </c>
      <c r="P398" s="745">
        <f t="shared" ref="P398" si="144">SQRT((P118^2)+(P146^2)+(P180^2)+(P214^2)+(P220^2)+(P244^2)+(P251^2)+(P258^2)+(P271^2)+(P237^2)+(P265^2)+(P277^2)+(P286^2)+(P320^2)+(P354^2)+(P388)+(P396^2))</f>
        <v>51.596494371998119</v>
      </c>
      <c r="Q398" s="30"/>
    </row>
    <row r="399" spans="1:17" x14ac:dyDescent="0.25">
      <c r="A399" s="354"/>
      <c r="B399" s="354"/>
      <c r="D399" s="354"/>
      <c r="E399" s="354"/>
      <c r="G399" s="354"/>
      <c r="H399" s="354"/>
      <c r="J399" s="354"/>
      <c r="K399" s="354"/>
      <c r="M399" s="354"/>
      <c r="N399" s="354"/>
      <c r="P399" s="354"/>
      <c r="Q399" s="24"/>
    </row>
    <row r="400" spans="1:17" x14ac:dyDescent="0.25">
      <c r="B400" s="24"/>
      <c r="E400" s="24"/>
      <c r="G400" s="24"/>
      <c r="H400" s="24"/>
      <c r="J400" s="24"/>
      <c r="K400" s="24"/>
      <c r="M400" s="24"/>
      <c r="N400" s="24"/>
      <c r="P400" s="24"/>
    </row>
    <row r="401" spans="2:16" x14ac:dyDescent="0.25">
      <c r="B401" s="24"/>
      <c r="E401" s="24"/>
      <c r="G401" s="24"/>
      <c r="H401" s="24"/>
      <c r="J401" s="24"/>
      <c r="K401" s="24"/>
      <c r="M401" s="24"/>
      <c r="N401" s="24"/>
      <c r="P401" s="24"/>
    </row>
    <row r="402" spans="2:16" x14ac:dyDescent="0.25">
      <c r="B402" s="24"/>
      <c r="E402" s="24"/>
      <c r="G402" s="24"/>
      <c r="H402" s="24"/>
      <c r="J402" s="24"/>
      <c r="K402" s="24"/>
      <c r="M402" s="24"/>
      <c r="N402" s="24"/>
      <c r="P402" s="24"/>
    </row>
    <row r="403" spans="2:16" x14ac:dyDescent="0.25">
      <c r="B403" s="24"/>
      <c r="E403" s="24"/>
      <c r="G403" s="24"/>
      <c r="H403" s="24"/>
      <c r="J403" s="24"/>
      <c r="K403" s="24"/>
      <c r="M403" s="24"/>
      <c r="N403" s="24"/>
      <c r="P403" s="24"/>
    </row>
    <row r="404" spans="2:16" x14ac:dyDescent="0.25">
      <c r="B404" s="24"/>
      <c r="E404" s="24"/>
      <c r="G404" s="24"/>
      <c r="H404" s="24"/>
      <c r="J404" s="24"/>
      <c r="K404" s="24"/>
      <c r="M404" s="24"/>
      <c r="N404" s="24"/>
      <c r="P404" s="24"/>
    </row>
    <row r="405" spans="2:16" x14ac:dyDescent="0.25">
      <c r="B405" s="24"/>
      <c r="E405" s="24"/>
      <c r="G405" s="24"/>
      <c r="H405" s="24"/>
      <c r="J405" s="24"/>
      <c r="K405" s="24"/>
      <c r="M405" s="24"/>
      <c r="N405" s="24"/>
      <c r="P405" s="24"/>
    </row>
    <row r="406" spans="2:16" x14ac:dyDescent="0.25">
      <c r="B406" s="24"/>
      <c r="E406" s="24"/>
      <c r="G406" s="24"/>
      <c r="H406" s="24"/>
      <c r="J406" s="24"/>
      <c r="K406" s="24"/>
      <c r="M406" s="24"/>
      <c r="N406" s="24"/>
      <c r="P406" s="24"/>
    </row>
    <row r="407" spans="2:16" x14ac:dyDescent="0.25">
      <c r="B407" s="24"/>
      <c r="E407" s="24"/>
      <c r="G407" s="24"/>
      <c r="H407" s="24"/>
      <c r="J407" s="24"/>
      <c r="K407" s="24"/>
      <c r="M407" s="24"/>
      <c r="N407" s="24"/>
      <c r="P407" s="24"/>
    </row>
    <row r="408" spans="2:16" x14ac:dyDescent="0.25">
      <c r="B408" s="24"/>
      <c r="E408" s="24"/>
      <c r="G408" s="24"/>
      <c r="H408" s="24"/>
      <c r="J408" s="24"/>
      <c r="K408" s="24"/>
      <c r="M408" s="24"/>
      <c r="N408" s="24"/>
      <c r="P408" s="24"/>
    </row>
    <row r="409" spans="2:16" x14ac:dyDescent="0.25">
      <c r="B409" s="24"/>
      <c r="E409" s="24"/>
      <c r="G409" s="24"/>
      <c r="H409" s="24"/>
      <c r="J409" s="24"/>
      <c r="K409" s="24"/>
      <c r="M409" s="24"/>
      <c r="N409" s="24"/>
      <c r="P409" s="24"/>
    </row>
    <row r="410" spans="2:16" x14ac:dyDescent="0.25">
      <c r="B410" s="24"/>
      <c r="E410" s="24"/>
      <c r="G410" s="24"/>
      <c r="H410" s="24"/>
      <c r="J410" s="24"/>
      <c r="K410" s="24"/>
      <c r="M410" s="24"/>
      <c r="N410" s="24"/>
      <c r="P410" s="24"/>
    </row>
    <row r="411" spans="2:16" x14ac:dyDescent="0.25">
      <c r="B411" s="24"/>
      <c r="E411" s="24"/>
      <c r="G411" s="24"/>
      <c r="H411" s="24"/>
      <c r="J411" s="24"/>
      <c r="K411" s="24"/>
      <c r="M411" s="24"/>
      <c r="N411" s="24"/>
      <c r="P411" s="24"/>
    </row>
    <row r="412" spans="2:16" x14ac:dyDescent="0.25">
      <c r="B412" s="24"/>
      <c r="E412" s="24"/>
      <c r="G412" s="24"/>
      <c r="H412" s="24"/>
      <c r="J412" s="24"/>
      <c r="K412" s="24"/>
      <c r="M412" s="24"/>
      <c r="N412" s="24"/>
      <c r="P412" s="24"/>
    </row>
    <row r="413" spans="2:16" x14ac:dyDescent="0.25">
      <c r="B413" s="24"/>
      <c r="E413" s="24"/>
      <c r="G413" s="24"/>
      <c r="H413" s="24"/>
      <c r="J413" s="24"/>
      <c r="K413" s="24"/>
      <c r="M413" s="24"/>
      <c r="N413" s="24"/>
      <c r="P413" s="24"/>
    </row>
    <row r="414" spans="2:16" x14ac:dyDescent="0.25">
      <c r="B414" s="24"/>
      <c r="E414" s="24"/>
      <c r="G414" s="24"/>
      <c r="H414" s="24"/>
      <c r="J414" s="24"/>
      <c r="K414" s="24"/>
      <c r="M414" s="24"/>
      <c r="N414" s="24"/>
      <c r="P414" s="24"/>
    </row>
    <row r="415" spans="2:16" x14ac:dyDescent="0.25">
      <c r="B415" s="24"/>
      <c r="E415" s="24"/>
      <c r="G415" s="24"/>
      <c r="H415" s="24"/>
      <c r="J415" s="24"/>
      <c r="K415" s="24"/>
      <c r="M415" s="24"/>
      <c r="N415" s="24"/>
      <c r="P415" s="24"/>
    </row>
    <row r="416" spans="2:16" x14ac:dyDescent="0.25">
      <c r="B416" s="24"/>
      <c r="E416" s="24"/>
      <c r="G416" s="24"/>
      <c r="H416" s="24"/>
      <c r="J416" s="24"/>
      <c r="K416" s="24"/>
      <c r="M416" s="24"/>
      <c r="N416" s="24"/>
      <c r="P416" s="24"/>
    </row>
    <row r="417" spans="2:16" x14ac:dyDescent="0.25">
      <c r="B417" s="24"/>
      <c r="E417" s="24"/>
      <c r="G417" s="24"/>
      <c r="H417" s="24"/>
      <c r="J417" s="24"/>
      <c r="K417" s="24"/>
      <c r="M417" s="24"/>
      <c r="N417" s="24"/>
      <c r="P417" s="24"/>
    </row>
    <row r="418" spans="2:16" x14ac:dyDescent="0.25">
      <c r="B418" s="24"/>
      <c r="E418" s="24"/>
      <c r="G418" s="24"/>
      <c r="H418" s="24"/>
      <c r="J418" s="24"/>
      <c r="K418" s="24"/>
      <c r="M418" s="24"/>
      <c r="N418" s="24"/>
      <c r="P418" s="24"/>
    </row>
    <row r="419" spans="2:16" x14ac:dyDescent="0.25">
      <c r="B419" s="24"/>
      <c r="E419" s="24"/>
      <c r="G419" s="24"/>
      <c r="H419" s="24"/>
      <c r="J419" s="24"/>
      <c r="K419" s="24"/>
      <c r="M419" s="24"/>
      <c r="N419" s="24"/>
      <c r="P419" s="24"/>
    </row>
    <row r="420" spans="2:16" x14ac:dyDescent="0.25">
      <c r="B420" s="24"/>
      <c r="E420" s="24"/>
      <c r="G420" s="24"/>
      <c r="H420" s="24"/>
      <c r="J420" s="24"/>
      <c r="K420" s="24"/>
      <c r="M420" s="24"/>
      <c r="N420" s="24"/>
      <c r="P420" s="24"/>
    </row>
    <row r="421" spans="2:16" x14ac:dyDescent="0.25">
      <c r="B421" s="24"/>
      <c r="E421" s="24"/>
      <c r="G421" s="24"/>
      <c r="H421" s="24"/>
      <c r="J421" s="24"/>
      <c r="K421" s="24"/>
      <c r="M421" s="24"/>
      <c r="N421" s="24"/>
      <c r="P421" s="24"/>
    </row>
    <row r="422" spans="2:16" x14ac:dyDescent="0.25">
      <c r="B422" s="24"/>
      <c r="E422" s="24"/>
      <c r="G422" s="24"/>
      <c r="H422" s="24"/>
      <c r="J422" s="24"/>
      <c r="K422" s="24"/>
      <c r="M422" s="24"/>
      <c r="N422" s="24"/>
      <c r="P422" s="24"/>
    </row>
    <row r="423" spans="2:16" x14ac:dyDescent="0.25">
      <c r="B423" s="24"/>
      <c r="E423" s="24"/>
      <c r="G423" s="24"/>
      <c r="H423" s="24"/>
      <c r="J423" s="24"/>
      <c r="K423" s="24"/>
      <c r="M423" s="24"/>
      <c r="N423" s="24"/>
      <c r="P423" s="24"/>
    </row>
    <row r="424" spans="2:16" x14ac:dyDescent="0.25">
      <c r="B424" s="24"/>
      <c r="E424" s="24"/>
      <c r="G424" s="24"/>
      <c r="H424" s="24"/>
      <c r="J424" s="24"/>
      <c r="K424" s="24"/>
      <c r="M424" s="24"/>
      <c r="N424" s="24"/>
      <c r="P424" s="24"/>
    </row>
    <row r="425" spans="2:16" x14ac:dyDescent="0.25">
      <c r="B425" s="24"/>
      <c r="E425" s="24"/>
      <c r="G425" s="24"/>
      <c r="H425" s="24"/>
      <c r="J425" s="24"/>
      <c r="K425" s="24"/>
      <c r="M425" s="24"/>
      <c r="N425" s="24"/>
      <c r="P425" s="24"/>
    </row>
    <row r="426" spans="2:16" x14ac:dyDescent="0.25">
      <c r="B426" s="24"/>
      <c r="E426" s="24"/>
      <c r="G426" s="24"/>
      <c r="H426" s="24"/>
      <c r="J426" s="24"/>
      <c r="K426" s="24"/>
      <c r="M426" s="24"/>
      <c r="N426" s="24"/>
      <c r="P426" s="24"/>
    </row>
    <row r="427" spans="2:16" x14ac:dyDescent="0.25">
      <c r="B427" s="24"/>
      <c r="E427" s="24"/>
      <c r="G427" s="24"/>
      <c r="H427" s="24"/>
      <c r="J427" s="24"/>
      <c r="K427" s="24"/>
      <c r="M427" s="24"/>
      <c r="N427" s="24"/>
      <c r="P427" s="24"/>
    </row>
    <row r="428" spans="2:16" x14ac:dyDescent="0.25">
      <c r="B428" s="24"/>
      <c r="E428" s="24"/>
      <c r="G428" s="24"/>
      <c r="H428" s="24"/>
      <c r="J428" s="24"/>
      <c r="K428" s="24"/>
      <c r="M428" s="24"/>
      <c r="N428" s="24"/>
      <c r="P428" s="24"/>
    </row>
    <row r="429" spans="2:16" x14ac:dyDescent="0.25">
      <c r="B429" s="24"/>
      <c r="E429" s="24"/>
      <c r="G429" s="24"/>
      <c r="H429" s="24"/>
      <c r="J429" s="24"/>
      <c r="K429" s="24"/>
      <c r="M429" s="24"/>
      <c r="N429" s="24"/>
      <c r="P429" s="24"/>
    </row>
    <row r="430" spans="2:16" x14ac:dyDescent="0.25">
      <c r="B430" s="24"/>
      <c r="E430" s="24"/>
      <c r="G430" s="24"/>
      <c r="H430" s="24"/>
      <c r="J430" s="24"/>
      <c r="K430" s="24"/>
      <c r="M430" s="24"/>
      <c r="N430" s="24"/>
      <c r="P430" s="24"/>
    </row>
    <row r="431" spans="2:16" x14ac:dyDescent="0.25">
      <c r="B431" s="24"/>
      <c r="E431" s="24"/>
      <c r="G431" s="24"/>
      <c r="H431" s="24"/>
      <c r="J431" s="24"/>
      <c r="K431" s="24"/>
      <c r="M431" s="24"/>
      <c r="N431" s="24"/>
      <c r="P431" s="24"/>
    </row>
    <row r="432" spans="2:16" x14ac:dyDescent="0.25">
      <c r="B432" s="24"/>
      <c r="E432" s="24"/>
      <c r="G432" s="24"/>
      <c r="H432" s="24"/>
      <c r="J432" s="24"/>
      <c r="K432" s="24"/>
      <c r="M432" s="24"/>
      <c r="N432" s="24"/>
      <c r="P432" s="24"/>
    </row>
    <row r="433" spans="2:16" x14ac:dyDescent="0.25">
      <c r="B433" s="24"/>
      <c r="E433" s="24"/>
      <c r="G433" s="24"/>
      <c r="H433" s="24"/>
      <c r="J433" s="24"/>
      <c r="K433" s="24"/>
      <c r="M433" s="24"/>
      <c r="N433" s="24"/>
      <c r="P433" s="24"/>
    </row>
    <row r="434" spans="2:16" x14ac:dyDescent="0.25">
      <c r="B434" s="24"/>
      <c r="E434" s="24"/>
      <c r="G434" s="24"/>
      <c r="H434" s="24"/>
      <c r="J434" s="24"/>
      <c r="K434" s="24"/>
      <c r="M434" s="24"/>
      <c r="N434" s="24"/>
      <c r="P434" s="24"/>
    </row>
    <row r="435" spans="2:16" x14ac:dyDescent="0.25">
      <c r="B435" s="24"/>
      <c r="E435" s="24"/>
      <c r="G435" s="24"/>
      <c r="H435" s="24"/>
      <c r="J435" s="24"/>
      <c r="K435" s="24"/>
      <c r="M435" s="24"/>
      <c r="N435" s="24"/>
      <c r="P435" s="24"/>
    </row>
    <row r="436" spans="2:16" x14ac:dyDescent="0.25">
      <c r="B436" s="24"/>
      <c r="E436" s="24"/>
      <c r="G436" s="24"/>
      <c r="H436" s="24"/>
      <c r="J436" s="24"/>
      <c r="K436" s="24"/>
      <c r="M436" s="24"/>
      <c r="N436" s="24"/>
      <c r="P436" s="24"/>
    </row>
    <row r="437" spans="2:16" x14ac:dyDescent="0.25">
      <c r="B437" s="24"/>
      <c r="E437" s="24"/>
      <c r="G437" s="24"/>
      <c r="H437" s="24"/>
      <c r="J437" s="24"/>
      <c r="K437" s="24"/>
      <c r="M437" s="24"/>
      <c r="N437" s="24"/>
      <c r="P437" s="24"/>
    </row>
    <row r="438" spans="2:16" x14ac:dyDescent="0.25">
      <c r="B438" s="24"/>
      <c r="E438" s="24"/>
      <c r="G438" s="24"/>
      <c r="H438" s="24"/>
      <c r="J438" s="24"/>
      <c r="K438" s="24"/>
      <c r="M438" s="24"/>
      <c r="N438" s="24"/>
      <c r="P438" s="24"/>
    </row>
    <row r="439" spans="2:16" x14ac:dyDescent="0.25">
      <c r="B439" s="24"/>
      <c r="E439" s="24"/>
      <c r="G439" s="24"/>
      <c r="H439" s="24"/>
      <c r="J439" s="24"/>
      <c r="K439" s="24"/>
      <c r="M439" s="24"/>
      <c r="N439" s="24"/>
      <c r="P439" s="24"/>
    </row>
    <row r="440" spans="2:16" x14ac:dyDescent="0.25">
      <c r="B440" s="24"/>
      <c r="E440" s="24"/>
      <c r="G440" s="24"/>
      <c r="H440" s="24"/>
      <c r="J440" s="24"/>
      <c r="K440" s="24"/>
      <c r="M440" s="24"/>
      <c r="N440" s="24"/>
      <c r="P440" s="24"/>
    </row>
    <row r="441" spans="2:16" x14ac:dyDescent="0.25">
      <c r="B441" s="24"/>
      <c r="E441" s="24"/>
      <c r="G441" s="24"/>
      <c r="H441" s="24"/>
      <c r="J441" s="24"/>
      <c r="K441" s="24"/>
      <c r="M441" s="24"/>
      <c r="N441" s="24"/>
      <c r="P441" s="24"/>
    </row>
    <row r="442" spans="2:16" x14ac:dyDescent="0.25">
      <c r="B442" s="24"/>
      <c r="E442" s="24"/>
      <c r="G442" s="24"/>
      <c r="H442" s="24"/>
      <c r="J442" s="24"/>
      <c r="K442" s="24"/>
      <c r="M442" s="24"/>
      <c r="N442" s="24"/>
      <c r="P442" s="24"/>
    </row>
    <row r="443" spans="2:16" x14ac:dyDescent="0.25">
      <c r="B443" s="24"/>
      <c r="E443" s="24"/>
      <c r="G443" s="24"/>
      <c r="H443" s="24"/>
      <c r="J443" s="24"/>
      <c r="K443" s="24"/>
      <c r="M443" s="24"/>
      <c r="N443" s="24"/>
      <c r="P443" s="24"/>
    </row>
    <row r="444" spans="2:16" x14ac:dyDescent="0.25">
      <c r="B444" s="24"/>
      <c r="E444" s="24"/>
      <c r="G444" s="24"/>
      <c r="H444" s="24"/>
      <c r="J444" s="24"/>
      <c r="K444" s="24"/>
      <c r="M444" s="24"/>
      <c r="N444" s="24"/>
      <c r="P444" s="24"/>
    </row>
    <row r="445" spans="2:16" x14ac:dyDescent="0.25">
      <c r="B445" s="24"/>
      <c r="E445" s="24"/>
      <c r="G445" s="24"/>
      <c r="H445" s="24"/>
      <c r="J445" s="24"/>
      <c r="K445" s="24"/>
      <c r="M445" s="24"/>
      <c r="N445" s="24"/>
      <c r="P445" s="24"/>
    </row>
    <row r="446" spans="2:16" x14ac:dyDescent="0.25">
      <c r="B446" s="24"/>
      <c r="E446" s="24"/>
      <c r="G446" s="24"/>
      <c r="H446" s="24"/>
      <c r="J446" s="24"/>
      <c r="K446" s="24"/>
      <c r="M446" s="24"/>
      <c r="N446" s="24"/>
      <c r="P446" s="24"/>
    </row>
    <row r="447" spans="2:16" x14ac:dyDescent="0.25">
      <c r="B447" s="24"/>
      <c r="E447" s="24"/>
      <c r="G447" s="24"/>
      <c r="H447" s="24"/>
      <c r="J447" s="24"/>
      <c r="K447" s="24"/>
      <c r="M447" s="24"/>
      <c r="N447" s="24"/>
      <c r="P447" s="24"/>
    </row>
    <row r="448" spans="2:16" x14ac:dyDescent="0.25">
      <c r="B448" s="24"/>
      <c r="E448" s="24"/>
      <c r="G448" s="24"/>
      <c r="H448" s="24"/>
      <c r="J448" s="24"/>
      <c r="K448" s="24"/>
      <c r="M448" s="24"/>
      <c r="N448" s="24"/>
      <c r="P448" s="24"/>
    </row>
    <row r="449" spans="2:16" x14ac:dyDescent="0.25">
      <c r="B449" s="24"/>
      <c r="E449" s="24"/>
      <c r="G449" s="24"/>
      <c r="H449" s="24"/>
      <c r="J449" s="24"/>
      <c r="K449" s="24"/>
      <c r="M449" s="24"/>
      <c r="N449" s="24"/>
      <c r="P449" s="24"/>
    </row>
    <row r="450" spans="2:16" x14ac:dyDescent="0.25">
      <c r="B450" s="24"/>
      <c r="E450" s="24"/>
      <c r="G450" s="24"/>
      <c r="H450" s="24"/>
      <c r="J450" s="24"/>
      <c r="K450" s="24"/>
      <c r="M450" s="24"/>
      <c r="N450" s="24"/>
      <c r="P450" s="24"/>
    </row>
    <row r="451" spans="2:16" x14ac:dyDescent="0.25">
      <c r="B451" s="24"/>
      <c r="E451" s="24"/>
      <c r="G451" s="24"/>
      <c r="H451" s="24"/>
      <c r="J451" s="24"/>
      <c r="K451" s="24"/>
      <c r="M451" s="24"/>
      <c r="N451" s="24"/>
      <c r="P451" s="24"/>
    </row>
    <row r="452" spans="2:16" x14ac:dyDescent="0.25">
      <c r="B452" s="24"/>
      <c r="E452" s="24"/>
      <c r="G452" s="24"/>
      <c r="H452" s="24"/>
      <c r="J452" s="24"/>
      <c r="K452" s="24"/>
      <c r="M452" s="24"/>
      <c r="N452" s="24"/>
      <c r="P452" s="24"/>
    </row>
    <row r="453" spans="2:16" x14ac:dyDescent="0.25">
      <c r="B453" s="24"/>
      <c r="E453" s="24"/>
      <c r="G453" s="24"/>
      <c r="H453" s="24"/>
      <c r="J453" s="24"/>
      <c r="K453" s="24"/>
      <c r="M453" s="24"/>
      <c r="N453" s="24"/>
      <c r="P453" s="24"/>
    </row>
    <row r="454" spans="2:16" x14ac:dyDescent="0.25">
      <c r="B454" s="24"/>
      <c r="E454" s="24"/>
      <c r="G454" s="24"/>
      <c r="H454" s="24"/>
      <c r="J454" s="24"/>
      <c r="K454" s="24"/>
      <c r="M454" s="24"/>
      <c r="N454" s="24"/>
      <c r="P454" s="24"/>
    </row>
    <row r="455" spans="2:16" x14ac:dyDescent="0.25">
      <c r="B455" s="24"/>
      <c r="E455" s="24"/>
      <c r="G455" s="24"/>
      <c r="H455" s="24"/>
      <c r="J455" s="24"/>
      <c r="K455" s="24"/>
      <c r="M455" s="24"/>
      <c r="N455" s="24"/>
      <c r="P455" s="24"/>
    </row>
    <row r="456" spans="2:16" x14ac:dyDescent="0.25">
      <c r="B456" s="24"/>
      <c r="E456" s="24"/>
      <c r="G456" s="24"/>
      <c r="H456" s="24"/>
      <c r="J456" s="24"/>
      <c r="K456" s="24"/>
      <c r="M456" s="24"/>
      <c r="N456" s="24"/>
      <c r="P456" s="24"/>
    </row>
    <row r="457" spans="2:16" x14ac:dyDescent="0.25">
      <c r="B457" s="24"/>
      <c r="E457" s="24"/>
      <c r="G457" s="24"/>
      <c r="H457" s="24"/>
      <c r="J457" s="24"/>
      <c r="K457" s="24"/>
      <c r="M457" s="24"/>
      <c r="N457" s="24"/>
      <c r="P457" s="24"/>
    </row>
    <row r="458" spans="2:16" x14ac:dyDescent="0.25">
      <c r="B458" s="24"/>
      <c r="E458" s="24"/>
      <c r="G458" s="24"/>
      <c r="H458" s="24"/>
      <c r="J458" s="24"/>
      <c r="K458" s="24"/>
      <c r="M458" s="24"/>
      <c r="N458" s="24"/>
      <c r="P458" s="24"/>
    </row>
    <row r="459" spans="2:16" x14ac:dyDescent="0.25">
      <c r="B459" s="24"/>
      <c r="E459" s="24"/>
      <c r="G459" s="24"/>
      <c r="H459" s="24"/>
      <c r="J459" s="24"/>
      <c r="K459" s="24"/>
      <c r="M459" s="24"/>
      <c r="N459" s="24"/>
      <c r="P459" s="24"/>
    </row>
    <row r="460" spans="2:16" x14ac:dyDescent="0.25">
      <c r="B460" s="24"/>
      <c r="E460" s="24"/>
      <c r="G460" s="24"/>
      <c r="H460" s="24"/>
      <c r="J460" s="24"/>
      <c r="K460" s="24"/>
      <c r="M460" s="24"/>
      <c r="N460" s="24"/>
      <c r="P460" s="24"/>
    </row>
    <row r="461" spans="2:16" x14ac:dyDescent="0.25">
      <c r="B461" s="24"/>
      <c r="E461" s="24"/>
      <c r="G461" s="24"/>
      <c r="H461" s="24"/>
      <c r="J461" s="24"/>
      <c r="K461" s="24"/>
      <c r="M461" s="24"/>
      <c r="N461" s="24"/>
      <c r="P461" s="24"/>
    </row>
    <row r="462" spans="2:16" x14ac:dyDescent="0.25">
      <c r="B462" s="24"/>
      <c r="E462" s="24"/>
      <c r="G462" s="24"/>
      <c r="H462" s="24"/>
      <c r="J462" s="24"/>
      <c r="K462" s="24"/>
      <c r="M462" s="24"/>
      <c r="N462" s="24"/>
      <c r="P462" s="24"/>
    </row>
    <row r="463" spans="2:16" x14ac:dyDescent="0.25">
      <c r="B463" s="24"/>
      <c r="E463" s="24"/>
      <c r="G463" s="24"/>
      <c r="H463" s="24"/>
      <c r="J463" s="24"/>
      <c r="K463" s="24"/>
      <c r="M463" s="24"/>
      <c r="N463" s="24"/>
      <c r="P463" s="24"/>
    </row>
    <row r="464" spans="2:16" x14ac:dyDescent="0.25">
      <c r="B464" s="24"/>
      <c r="E464" s="24"/>
      <c r="G464" s="24"/>
      <c r="H464" s="24"/>
      <c r="J464" s="24"/>
      <c r="K464" s="24"/>
      <c r="M464" s="24"/>
      <c r="N464" s="24"/>
      <c r="P464" s="24"/>
    </row>
    <row r="465" spans="2:16" x14ac:dyDescent="0.25">
      <c r="B465" s="24"/>
      <c r="E465" s="24"/>
      <c r="G465" s="24"/>
      <c r="H465" s="24"/>
      <c r="J465" s="24"/>
      <c r="K465" s="24"/>
      <c r="M465" s="24"/>
      <c r="N465" s="24"/>
      <c r="P465" s="24"/>
    </row>
    <row r="466" spans="2:16" x14ac:dyDescent="0.25">
      <c r="B466" s="24"/>
      <c r="E466" s="24"/>
      <c r="G466" s="24"/>
      <c r="H466" s="24"/>
      <c r="J466" s="24"/>
      <c r="K466" s="24"/>
      <c r="M466" s="24"/>
      <c r="N466" s="24"/>
      <c r="P466" s="24"/>
    </row>
    <row r="467" spans="2:16" x14ac:dyDescent="0.25">
      <c r="B467" s="24"/>
      <c r="E467" s="24"/>
      <c r="G467" s="24"/>
      <c r="H467" s="24"/>
      <c r="J467" s="24"/>
      <c r="K467" s="24"/>
      <c r="M467" s="24"/>
      <c r="N467" s="24"/>
      <c r="P467" s="24"/>
    </row>
    <row r="468" spans="2:16" x14ac:dyDescent="0.25">
      <c r="B468" s="24"/>
      <c r="E468" s="24"/>
      <c r="G468" s="24"/>
      <c r="H468" s="24"/>
      <c r="J468" s="24"/>
      <c r="K468" s="24"/>
      <c r="M468" s="24"/>
      <c r="N468" s="24"/>
      <c r="P468" s="24"/>
    </row>
    <row r="469" spans="2:16" x14ac:dyDescent="0.25">
      <c r="B469" s="24"/>
      <c r="E469" s="24"/>
      <c r="G469" s="24"/>
      <c r="H469" s="24"/>
      <c r="J469" s="24"/>
      <c r="K469" s="24"/>
      <c r="M469" s="24"/>
      <c r="N469" s="24"/>
      <c r="P469" s="24"/>
    </row>
    <row r="470" spans="2:16" x14ac:dyDescent="0.25">
      <c r="B470" s="24"/>
      <c r="E470" s="24"/>
      <c r="G470" s="24"/>
      <c r="H470" s="24"/>
      <c r="J470" s="24"/>
      <c r="K470" s="24"/>
      <c r="M470" s="24"/>
      <c r="N470" s="24"/>
      <c r="P470" s="24"/>
    </row>
    <row r="471" spans="2:16" x14ac:dyDescent="0.25">
      <c r="B471" s="24"/>
      <c r="E471" s="24"/>
      <c r="G471" s="24"/>
      <c r="H471" s="24"/>
      <c r="J471" s="24"/>
      <c r="K471" s="24"/>
      <c r="M471" s="24"/>
      <c r="N471" s="24"/>
      <c r="P471" s="24"/>
    </row>
    <row r="472" spans="2:16" x14ac:dyDescent="0.25">
      <c r="B472" s="24"/>
      <c r="E472" s="24"/>
      <c r="G472" s="24"/>
      <c r="H472" s="24"/>
      <c r="J472" s="24"/>
      <c r="K472" s="24"/>
      <c r="M472" s="24"/>
      <c r="N472" s="24"/>
      <c r="P472" s="24"/>
    </row>
    <row r="473" spans="2:16" x14ac:dyDescent="0.25">
      <c r="B473" s="24"/>
      <c r="E473" s="24"/>
      <c r="G473" s="24"/>
      <c r="H473" s="24"/>
      <c r="J473" s="24"/>
      <c r="K473" s="24"/>
      <c r="M473" s="24"/>
      <c r="N473" s="24"/>
      <c r="P473" s="24"/>
    </row>
    <row r="474" spans="2:16" x14ac:dyDescent="0.25">
      <c r="B474" s="24"/>
      <c r="E474" s="24"/>
      <c r="G474" s="24"/>
      <c r="H474" s="24"/>
      <c r="J474" s="24"/>
      <c r="K474" s="24"/>
      <c r="M474" s="24"/>
      <c r="N474" s="24"/>
      <c r="P474" s="24"/>
    </row>
    <row r="475" spans="2:16" x14ac:dyDescent="0.25">
      <c r="B475" s="24"/>
      <c r="E475" s="24"/>
      <c r="G475" s="24"/>
      <c r="H475" s="24"/>
      <c r="J475" s="24"/>
      <c r="K475" s="24"/>
      <c r="M475" s="24"/>
      <c r="N475" s="24"/>
      <c r="P475" s="24"/>
    </row>
    <row r="476" spans="2:16" x14ac:dyDescent="0.25">
      <c r="B476" s="24"/>
      <c r="E476" s="24"/>
      <c r="G476" s="24"/>
      <c r="H476" s="24"/>
      <c r="J476" s="24"/>
      <c r="K476" s="24"/>
      <c r="M476" s="24"/>
      <c r="N476" s="24"/>
      <c r="P476" s="24"/>
    </row>
    <row r="477" spans="2:16" x14ac:dyDescent="0.25">
      <c r="B477" s="24"/>
      <c r="E477" s="24"/>
      <c r="G477" s="24"/>
      <c r="H477" s="24"/>
      <c r="J477" s="24"/>
      <c r="K477" s="24"/>
      <c r="M477" s="24"/>
      <c r="N477" s="24"/>
      <c r="P477" s="24"/>
    </row>
    <row r="478" spans="2:16" x14ac:dyDescent="0.25">
      <c r="B478" s="24"/>
      <c r="E478" s="24"/>
      <c r="G478" s="24"/>
      <c r="H478" s="24"/>
      <c r="J478" s="24"/>
      <c r="K478" s="24"/>
      <c r="M478" s="24"/>
      <c r="N478" s="24"/>
      <c r="P478" s="24"/>
    </row>
    <row r="479" spans="2:16" x14ac:dyDescent="0.25">
      <c r="B479" s="24"/>
      <c r="E479" s="24"/>
      <c r="G479" s="24"/>
      <c r="H479" s="24"/>
      <c r="J479" s="24"/>
      <c r="K479" s="24"/>
      <c r="M479" s="24"/>
      <c r="N479" s="24"/>
      <c r="P479" s="24"/>
    </row>
    <row r="480" spans="2:16" x14ac:dyDescent="0.25">
      <c r="B480" s="24"/>
      <c r="E480" s="24"/>
      <c r="G480" s="24"/>
      <c r="H480" s="24"/>
      <c r="J480" s="24"/>
      <c r="K480" s="24"/>
      <c r="M480" s="24"/>
      <c r="N480" s="24"/>
      <c r="P480" s="24"/>
    </row>
    <row r="481" spans="2:16" x14ac:dyDescent="0.25">
      <c r="B481" s="24"/>
      <c r="E481" s="24"/>
      <c r="G481" s="24"/>
      <c r="H481" s="24"/>
      <c r="J481" s="24"/>
      <c r="K481" s="24"/>
      <c r="M481" s="24"/>
      <c r="N481" s="24"/>
      <c r="P481" s="24"/>
    </row>
    <row r="482" spans="2:16" x14ac:dyDescent="0.25">
      <c r="B482" s="24"/>
      <c r="E482" s="24"/>
      <c r="G482" s="24"/>
      <c r="H482" s="24"/>
      <c r="J482" s="24"/>
      <c r="K482" s="24"/>
      <c r="M482" s="24"/>
      <c r="N482" s="24"/>
      <c r="P482" s="24"/>
    </row>
    <row r="483" spans="2:16" x14ac:dyDescent="0.25">
      <c r="B483" s="24"/>
      <c r="E483" s="24"/>
      <c r="G483" s="24"/>
      <c r="H483" s="24"/>
      <c r="J483" s="24"/>
      <c r="K483" s="24"/>
      <c r="M483" s="24"/>
      <c r="N483" s="24"/>
      <c r="P483" s="24"/>
    </row>
    <row r="484" spans="2:16" x14ac:dyDescent="0.25">
      <c r="B484" s="24"/>
      <c r="E484" s="24"/>
      <c r="G484" s="24"/>
      <c r="H484" s="24"/>
      <c r="J484" s="24"/>
      <c r="K484" s="24"/>
      <c r="M484" s="24"/>
      <c r="N484" s="24"/>
      <c r="P484" s="24"/>
    </row>
    <row r="485" spans="2:16" x14ac:dyDescent="0.25">
      <c r="B485" s="24"/>
      <c r="E485" s="24"/>
      <c r="G485" s="24"/>
      <c r="H485" s="24"/>
      <c r="J485" s="24"/>
      <c r="K485" s="24"/>
      <c r="M485" s="24"/>
      <c r="N485" s="24"/>
      <c r="P485" s="24"/>
    </row>
    <row r="486" spans="2:16" x14ac:dyDescent="0.25">
      <c r="B486" s="24"/>
      <c r="E486" s="24"/>
      <c r="G486" s="24"/>
      <c r="H486" s="24"/>
      <c r="J486" s="24"/>
      <c r="K486" s="24"/>
      <c r="M486" s="24"/>
      <c r="N486" s="24"/>
      <c r="P486" s="24"/>
    </row>
    <row r="487" spans="2:16" x14ac:dyDescent="0.25">
      <c r="B487" s="24"/>
      <c r="E487" s="24"/>
      <c r="G487" s="24"/>
      <c r="H487" s="24"/>
      <c r="J487" s="24"/>
      <c r="K487" s="24"/>
      <c r="M487" s="24"/>
      <c r="N487" s="24"/>
      <c r="P487" s="24"/>
    </row>
    <row r="488" spans="2:16" x14ac:dyDescent="0.25">
      <c r="B488" s="24"/>
      <c r="E488" s="24"/>
      <c r="G488" s="24"/>
      <c r="H488" s="24"/>
      <c r="J488" s="24"/>
      <c r="K488" s="24"/>
      <c r="M488" s="24"/>
      <c r="N488" s="24"/>
      <c r="P488" s="24"/>
    </row>
    <row r="489" spans="2:16" x14ac:dyDescent="0.25">
      <c r="B489" s="24"/>
      <c r="E489" s="24"/>
      <c r="G489" s="24"/>
      <c r="H489" s="24"/>
      <c r="J489" s="24"/>
      <c r="K489" s="24"/>
      <c r="M489" s="24"/>
      <c r="N489" s="24"/>
      <c r="P489" s="24"/>
    </row>
    <row r="490" spans="2:16" x14ac:dyDescent="0.25">
      <c r="B490" s="24"/>
      <c r="E490" s="24"/>
      <c r="G490" s="24"/>
      <c r="H490" s="24"/>
      <c r="J490" s="24"/>
      <c r="K490" s="24"/>
      <c r="M490" s="24"/>
      <c r="N490" s="24"/>
      <c r="P490" s="24"/>
    </row>
    <row r="491" spans="2:16" x14ac:dyDescent="0.25">
      <c r="B491" s="24"/>
      <c r="E491" s="24"/>
      <c r="G491" s="24"/>
      <c r="H491" s="24"/>
      <c r="J491" s="24"/>
      <c r="K491" s="24"/>
      <c r="M491" s="24"/>
      <c r="N491" s="24"/>
      <c r="P491" s="24"/>
    </row>
    <row r="492" spans="2:16" x14ac:dyDescent="0.25">
      <c r="B492" s="24"/>
      <c r="E492" s="24"/>
      <c r="G492" s="24"/>
      <c r="H492" s="24"/>
      <c r="J492" s="24"/>
      <c r="K492" s="24"/>
      <c r="M492" s="24"/>
      <c r="N492" s="24"/>
      <c r="P492" s="24"/>
    </row>
    <row r="493" spans="2:16" x14ac:dyDescent="0.25">
      <c r="B493" s="24"/>
      <c r="E493" s="24"/>
      <c r="G493" s="24"/>
      <c r="H493" s="24"/>
      <c r="J493" s="24"/>
      <c r="K493" s="24"/>
      <c r="M493" s="24"/>
      <c r="N493" s="24"/>
      <c r="P493" s="24"/>
    </row>
    <row r="494" spans="2:16" x14ac:dyDescent="0.25">
      <c r="B494" s="24"/>
      <c r="E494" s="24"/>
      <c r="G494" s="24"/>
      <c r="H494" s="24"/>
      <c r="J494" s="24"/>
      <c r="K494" s="24"/>
      <c r="M494" s="24"/>
      <c r="N494" s="24"/>
      <c r="P494" s="24"/>
    </row>
    <row r="495" spans="2:16" x14ac:dyDescent="0.25">
      <c r="B495" s="24"/>
      <c r="E495" s="24"/>
      <c r="G495" s="24"/>
      <c r="H495" s="24"/>
      <c r="J495" s="24"/>
      <c r="K495" s="24"/>
      <c r="M495" s="24"/>
      <c r="N495" s="24"/>
      <c r="P495" s="24"/>
    </row>
    <row r="496" spans="2:16" x14ac:dyDescent="0.25">
      <c r="B496" s="24"/>
      <c r="E496" s="24"/>
      <c r="G496" s="24"/>
      <c r="H496" s="24"/>
      <c r="J496" s="24"/>
      <c r="K496" s="24"/>
      <c r="M496" s="24"/>
      <c r="N496" s="24"/>
      <c r="P496" s="24"/>
    </row>
    <row r="497" spans="2:16" x14ac:dyDescent="0.25">
      <c r="B497" s="24"/>
      <c r="E497" s="24"/>
      <c r="G497" s="24"/>
      <c r="H497" s="24"/>
      <c r="J497" s="24"/>
      <c r="K497" s="24"/>
      <c r="M497" s="24"/>
      <c r="N497" s="24"/>
      <c r="P497" s="24"/>
    </row>
    <row r="498" spans="2:16" x14ac:dyDescent="0.25">
      <c r="B498" s="24"/>
      <c r="E498" s="24"/>
      <c r="G498" s="24"/>
      <c r="H498" s="24"/>
      <c r="J498" s="24"/>
      <c r="K498" s="24"/>
      <c r="M498" s="24"/>
      <c r="N498" s="24"/>
      <c r="P498" s="24"/>
    </row>
    <row r="499" spans="2:16" x14ac:dyDescent="0.25">
      <c r="B499" s="24"/>
      <c r="E499" s="24"/>
      <c r="G499" s="24"/>
      <c r="H499" s="24"/>
      <c r="J499" s="24"/>
      <c r="K499" s="24"/>
      <c r="M499" s="24"/>
      <c r="N499" s="24"/>
      <c r="P499" s="24"/>
    </row>
    <row r="500" spans="2:16" x14ac:dyDescent="0.25">
      <c r="B500" s="24"/>
      <c r="E500" s="24"/>
      <c r="G500" s="24"/>
      <c r="H500" s="24"/>
      <c r="J500" s="24"/>
      <c r="K500" s="24"/>
      <c r="M500" s="24"/>
      <c r="N500" s="24"/>
      <c r="P500" s="24"/>
    </row>
    <row r="501" spans="2:16" x14ac:dyDescent="0.25">
      <c r="B501" s="24"/>
      <c r="E501" s="24"/>
      <c r="G501" s="24"/>
      <c r="H501" s="24"/>
      <c r="J501" s="24"/>
      <c r="K501" s="24"/>
      <c r="M501" s="24"/>
      <c r="N501" s="24"/>
      <c r="P501" s="24"/>
    </row>
    <row r="502" spans="2:16" x14ac:dyDescent="0.25">
      <c r="B502" s="24"/>
      <c r="E502" s="24"/>
      <c r="G502" s="24"/>
      <c r="H502" s="24"/>
      <c r="J502" s="24"/>
      <c r="K502" s="24"/>
      <c r="M502" s="24"/>
      <c r="N502" s="24"/>
      <c r="P502" s="24"/>
    </row>
    <row r="503" spans="2:16" x14ac:dyDescent="0.25">
      <c r="B503" s="24"/>
      <c r="E503" s="24"/>
      <c r="G503" s="24"/>
      <c r="H503" s="24"/>
      <c r="J503" s="24"/>
      <c r="K503" s="24"/>
      <c r="M503" s="24"/>
      <c r="N503" s="24"/>
      <c r="P503" s="24"/>
    </row>
    <row r="504" spans="2:16" x14ac:dyDescent="0.25">
      <c r="B504" s="24"/>
      <c r="E504" s="24"/>
      <c r="G504" s="24"/>
      <c r="H504" s="24"/>
      <c r="J504" s="24"/>
      <c r="K504" s="24"/>
      <c r="M504" s="24"/>
      <c r="N504" s="24"/>
      <c r="P504" s="24"/>
    </row>
    <row r="505" spans="2:16" x14ac:dyDescent="0.25">
      <c r="B505" s="24"/>
      <c r="E505" s="24"/>
      <c r="G505" s="24"/>
      <c r="H505" s="24"/>
      <c r="J505" s="24"/>
      <c r="K505" s="24"/>
      <c r="M505" s="24"/>
      <c r="N505" s="24"/>
      <c r="P505" s="24"/>
    </row>
    <row r="506" spans="2:16" x14ac:dyDescent="0.25">
      <c r="B506" s="24"/>
      <c r="E506" s="24"/>
      <c r="G506" s="24"/>
      <c r="H506" s="24"/>
      <c r="J506" s="24"/>
      <c r="K506" s="24"/>
      <c r="M506" s="24"/>
      <c r="N506" s="24"/>
      <c r="P506" s="24"/>
    </row>
    <row r="507" spans="2:16" x14ac:dyDescent="0.25">
      <c r="B507" s="24"/>
      <c r="E507" s="24"/>
      <c r="G507" s="24"/>
      <c r="H507" s="24"/>
      <c r="J507" s="24"/>
      <c r="K507" s="24"/>
      <c r="M507" s="24"/>
      <c r="N507" s="24"/>
      <c r="P507" s="24"/>
    </row>
    <row r="508" spans="2:16" x14ac:dyDescent="0.25">
      <c r="B508" s="24"/>
      <c r="E508" s="24"/>
      <c r="G508" s="24"/>
      <c r="H508" s="24"/>
      <c r="J508" s="24"/>
      <c r="K508" s="24"/>
      <c r="M508" s="24"/>
      <c r="N508" s="24"/>
      <c r="P508" s="24"/>
    </row>
    <row r="509" spans="2:16" x14ac:dyDescent="0.25">
      <c r="B509" s="24"/>
      <c r="E509" s="24"/>
      <c r="G509" s="24"/>
      <c r="H509" s="24"/>
      <c r="J509" s="24"/>
      <c r="K509" s="24"/>
      <c r="M509" s="24"/>
      <c r="N509" s="24"/>
      <c r="P509" s="24"/>
    </row>
    <row r="510" spans="2:16" x14ac:dyDescent="0.25">
      <c r="B510" s="24"/>
      <c r="E510" s="24"/>
      <c r="G510" s="24"/>
      <c r="H510" s="24"/>
      <c r="J510" s="24"/>
      <c r="K510" s="24"/>
      <c r="M510" s="24"/>
      <c r="N510" s="24"/>
      <c r="P510" s="24"/>
    </row>
    <row r="511" spans="2:16" x14ac:dyDescent="0.25">
      <c r="B511" s="24"/>
      <c r="E511" s="24"/>
      <c r="G511" s="24"/>
      <c r="H511" s="24"/>
      <c r="J511" s="24"/>
      <c r="K511" s="24"/>
      <c r="M511" s="24"/>
      <c r="N511" s="24"/>
      <c r="P511" s="24"/>
    </row>
    <row r="512" spans="2:16" x14ac:dyDescent="0.25">
      <c r="B512" s="24"/>
      <c r="E512" s="24"/>
      <c r="G512" s="24"/>
      <c r="H512" s="24"/>
      <c r="J512" s="24"/>
      <c r="K512" s="24"/>
      <c r="M512" s="24"/>
      <c r="N512" s="24"/>
      <c r="P512" s="24"/>
    </row>
    <row r="513" spans="2:16" x14ac:dyDescent="0.25">
      <c r="B513" s="24"/>
      <c r="E513" s="24"/>
      <c r="G513" s="24"/>
      <c r="H513" s="24"/>
      <c r="J513" s="24"/>
      <c r="K513" s="24"/>
      <c r="M513" s="24"/>
      <c r="N513" s="24"/>
      <c r="P513" s="24"/>
    </row>
    <row r="514" spans="2:16" x14ac:dyDescent="0.25">
      <c r="B514" s="24"/>
      <c r="E514" s="24"/>
      <c r="G514" s="24"/>
      <c r="H514" s="24"/>
      <c r="J514" s="24"/>
      <c r="K514" s="24"/>
      <c r="M514" s="24"/>
      <c r="N514" s="24"/>
      <c r="P514" s="24"/>
    </row>
    <row r="515" spans="2:16" x14ac:dyDescent="0.25">
      <c r="B515" s="24"/>
      <c r="E515" s="24"/>
      <c r="G515" s="24"/>
      <c r="H515" s="24"/>
      <c r="J515" s="24"/>
      <c r="K515" s="24"/>
      <c r="M515" s="24"/>
      <c r="N515" s="24"/>
      <c r="P515" s="24"/>
    </row>
    <row r="516" spans="2:16" x14ac:dyDescent="0.25">
      <c r="B516" s="24"/>
      <c r="E516" s="24"/>
      <c r="G516" s="24"/>
      <c r="H516" s="24"/>
      <c r="J516" s="24"/>
      <c r="K516" s="24"/>
      <c r="M516" s="24"/>
      <c r="N516" s="24"/>
      <c r="P516" s="24"/>
    </row>
    <row r="517" spans="2:16" x14ac:dyDescent="0.25">
      <c r="B517" s="24"/>
      <c r="E517" s="24"/>
      <c r="G517" s="24"/>
      <c r="H517" s="24"/>
      <c r="J517" s="24"/>
      <c r="K517" s="24"/>
      <c r="M517" s="24"/>
      <c r="N517" s="24"/>
      <c r="P517" s="24"/>
    </row>
    <row r="518" spans="2:16" x14ac:dyDescent="0.25">
      <c r="B518" s="24"/>
      <c r="E518" s="24"/>
      <c r="G518" s="24"/>
      <c r="H518" s="24"/>
      <c r="J518" s="24"/>
      <c r="K518" s="24"/>
      <c r="M518" s="24"/>
      <c r="N518" s="24"/>
      <c r="P518" s="24"/>
    </row>
    <row r="519" spans="2:16" x14ac:dyDescent="0.25">
      <c r="B519" s="24"/>
      <c r="E519" s="24"/>
      <c r="G519" s="24"/>
      <c r="H519" s="24"/>
      <c r="J519" s="24"/>
      <c r="K519" s="24"/>
      <c r="M519" s="24"/>
      <c r="N519" s="24"/>
      <c r="P519" s="24"/>
    </row>
    <row r="520" spans="2:16" x14ac:dyDescent="0.25">
      <c r="B520" s="24"/>
      <c r="E520" s="24"/>
      <c r="G520" s="24"/>
      <c r="H520" s="24"/>
      <c r="J520" s="24"/>
      <c r="K520" s="24"/>
      <c r="M520" s="24"/>
      <c r="N520" s="24"/>
      <c r="P520" s="24"/>
    </row>
    <row r="521" spans="2:16" x14ac:dyDescent="0.25">
      <c r="B521" s="24"/>
      <c r="E521" s="24"/>
      <c r="G521" s="24"/>
      <c r="H521" s="24"/>
      <c r="J521" s="24"/>
      <c r="K521" s="24"/>
      <c r="M521" s="24"/>
      <c r="N521" s="24"/>
      <c r="P521" s="24"/>
    </row>
    <row r="522" spans="2:16" x14ac:dyDescent="0.25">
      <c r="B522" s="24"/>
      <c r="E522" s="24"/>
      <c r="G522" s="24"/>
      <c r="H522" s="24"/>
      <c r="J522" s="24"/>
      <c r="K522" s="24"/>
      <c r="M522" s="24"/>
      <c r="N522" s="24"/>
      <c r="P522" s="24"/>
    </row>
    <row r="523" spans="2:16" x14ac:dyDescent="0.25">
      <c r="B523" s="24"/>
      <c r="E523" s="24"/>
      <c r="G523" s="24"/>
      <c r="H523" s="24"/>
      <c r="J523" s="24"/>
      <c r="K523" s="24"/>
      <c r="M523" s="24"/>
      <c r="N523" s="24"/>
      <c r="P523" s="24"/>
    </row>
    <row r="524" spans="2:16" x14ac:dyDescent="0.25">
      <c r="B524" s="24"/>
      <c r="E524" s="24"/>
      <c r="G524" s="24"/>
      <c r="H524" s="24"/>
      <c r="J524" s="24"/>
      <c r="K524" s="24"/>
      <c r="M524" s="24"/>
      <c r="N524" s="24"/>
      <c r="P524" s="24"/>
    </row>
    <row r="525" spans="2:16" x14ac:dyDescent="0.25">
      <c r="B525" s="24"/>
      <c r="E525" s="24"/>
      <c r="G525" s="24"/>
      <c r="H525" s="24"/>
      <c r="J525" s="24"/>
      <c r="K525" s="24"/>
      <c r="M525" s="24"/>
      <c r="N525" s="24"/>
      <c r="P525" s="24"/>
    </row>
    <row r="526" spans="2:16" x14ac:dyDescent="0.25">
      <c r="B526" s="24"/>
      <c r="E526" s="24"/>
      <c r="G526" s="24"/>
      <c r="H526" s="24"/>
      <c r="J526" s="24"/>
      <c r="K526" s="24"/>
      <c r="M526" s="24"/>
      <c r="N526" s="24"/>
      <c r="P526" s="24"/>
    </row>
    <row r="527" spans="2:16" x14ac:dyDescent="0.25">
      <c r="B527" s="24"/>
      <c r="E527" s="24"/>
      <c r="G527" s="24"/>
      <c r="H527" s="24"/>
      <c r="J527" s="24"/>
      <c r="K527" s="24"/>
      <c r="M527" s="24"/>
      <c r="N527" s="24"/>
      <c r="P527" s="24"/>
    </row>
    <row r="528" spans="2:16" x14ac:dyDescent="0.25">
      <c r="B528" s="24"/>
      <c r="E528" s="24"/>
      <c r="G528" s="24"/>
      <c r="H528" s="24"/>
      <c r="J528" s="24"/>
      <c r="K528" s="24"/>
      <c r="M528" s="24"/>
      <c r="N528" s="24"/>
      <c r="P528" s="24"/>
    </row>
    <row r="529" spans="2:16" x14ac:dyDescent="0.25">
      <c r="B529" s="24"/>
      <c r="E529" s="24"/>
      <c r="G529" s="24"/>
      <c r="H529" s="24"/>
      <c r="J529" s="24"/>
      <c r="K529" s="24"/>
      <c r="M529" s="24"/>
      <c r="N529" s="24"/>
      <c r="P529" s="24"/>
    </row>
    <row r="530" spans="2:16" x14ac:dyDescent="0.25">
      <c r="B530" s="24"/>
      <c r="E530" s="24"/>
      <c r="G530" s="24"/>
      <c r="H530" s="24"/>
      <c r="J530" s="24"/>
      <c r="K530" s="24"/>
      <c r="M530" s="24"/>
      <c r="N530" s="24"/>
      <c r="P530" s="24"/>
    </row>
    <row r="531" spans="2:16" x14ac:dyDescent="0.25">
      <c r="B531" s="24"/>
      <c r="E531" s="24"/>
      <c r="G531" s="24"/>
      <c r="H531" s="24"/>
      <c r="J531" s="24"/>
      <c r="K531" s="24"/>
      <c r="M531" s="24"/>
      <c r="N531" s="24"/>
      <c r="P531" s="24"/>
    </row>
    <row r="532" spans="2:16" x14ac:dyDescent="0.25">
      <c r="B532" s="24"/>
      <c r="E532" s="24"/>
      <c r="G532" s="24"/>
      <c r="H532" s="24"/>
      <c r="J532" s="24"/>
      <c r="K532" s="24"/>
      <c r="M532" s="24"/>
      <c r="N532" s="24"/>
      <c r="P532" s="24"/>
    </row>
    <row r="533" spans="2:16" x14ac:dyDescent="0.25">
      <c r="B533" s="24"/>
      <c r="E533" s="24"/>
      <c r="G533" s="24"/>
      <c r="H533" s="24"/>
      <c r="J533" s="24"/>
      <c r="K533" s="24"/>
      <c r="M533" s="24"/>
      <c r="N533" s="24"/>
      <c r="P533" s="24"/>
    </row>
    <row r="534" spans="2:16" x14ac:dyDescent="0.25">
      <c r="B534" s="24"/>
      <c r="E534" s="24"/>
      <c r="G534" s="24"/>
      <c r="H534" s="24"/>
      <c r="J534" s="24"/>
      <c r="K534" s="24"/>
      <c r="M534" s="24"/>
      <c r="N534" s="24"/>
      <c r="P534" s="24"/>
    </row>
    <row r="535" spans="2:16" x14ac:dyDescent="0.25">
      <c r="B535" s="24"/>
      <c r="E535" s="24"/>
      <c r="G535" s="24"/>
      <c r="H535" s="24"/>
      <c r="J535" s="24"/>
      <c r="K535" s="24"/>
      <c r="M535" s="24"/>
      <c r="N535" s="24"/>
      <c r="P535" s="24"/>
    </row>
    <row r="536" spans="2:16" x14ac:dyDescent="0.25">
      <c r="B536" s="24"/>
      <c r="E536" s="24"/>
      <c r="G536" s="24"/>
      <c r="H536" s="24"/>
      <c r="J536" s="24"/>
      <c r="K536" s="24"/>
      <c r="M536" s="24"/>
      <c r="N536" s="24"/>
      <c r="P536" s="24"/>
    </row>
    <row r="537" spans="2:16" x14ac:dyDescent="0.25">
      <c r="B537" s="24"/>
      <c r="E537" s="24"/>
      <c r="G537" s="24"/>
      <c r="H537" s="24"/>
      <c r="J537" s="24"/>
      <c r="K537" s="24"/>
      <c r="M537" s="24"/>
      <c r="N537" s="24"/>
      <c r="P537" s="24"/>
    </row>
    <row r="538" spans="2:16" x14ac:dyDescent="0.25">
      <c r="B538" s="24"/>
      <c r="E538" s="24"/>
      <c r="G538" s="24"/>
      <c r="H538" s="24"/>
      <c r="J538" s="24"/>
      <c r="K538" s="24"/>
      <c r="M538" s="24"/>
      <c r="N538" s="24"/>
      <c r="P538" s="24"/>
    </row>
    <row r="539" spans="2:16" x14ac:dyDescent="0.25">
      <c r="B539" s="24"/>
      <c r="E539" s="24"/>
      <c r="G539" s="24"/>
      <c r="H539" s="24"/>
      <c r="J539" s="24"/>
      <c r="K539" s="24"/>
      <c r="M539" s="24"/>
      <c r="N539" s="24"/>
      <c r="P539" s="24"/>
    </row>
    <row r="540" spans="2:16" x14ac:dyDescent="0.25">
      <c r="B540" s="24"/>
      <c r="E540" s="24"/>
      <c r="G540" s="24"/>
      <c r="H540" s="24"/>
      <c r="J540" s="24"/>
      <c r="K540" s="24"/>
      <c r="M540" s="24"/>
      <c r="N540" s="24"/>
      <c r="P540" s="24"/>
    </row>
    <row r="541" spans="2:16" x14ac:dyDescent="0.25">
      <c r="B541" s="24"/>
      <c r="E541" s="24"/>
      <c r="G541" s="24"/>
      <c r="H541" s="24"/>
      <c r="J541" s="24"/>
      <c r="K541" s="24"/>
      <c r="M541" s="24"/>
      <c r="N541" s="24"/>
      <c r="P541" s="24"/>
    </row>
    <row r="542" spans="2:16" x14ac:dyDescent="0.25">
      <c r="B542" s="24"/>
      <c r="E542" s="24"/>
      <c r="G542" s="24"/>
      <c r="H542" s="24"/>
      <c r="J542" s="24"/>
      <c r="K542" s="24"/>
      <c r="M542" s="24"/>
      <c r="N542" s="24"/>
      <c r="P542" s="24"/>
    </row>
    <row r="543" spans="2:16" x14ac:dyDescent="0.25">
      <c r="B543" s="24"/>
      <c r="E543" s="24"/>
      <c r="G543" s="24"/>
      <c r="H543" s="24"/>
      <c r="J543" s="24"/>
      <c r="K543" s="24"/>
      <c r="M543" s="24"/>
      <c r="N543" s="24"/>
      <c r="P543" s="24"/>
    </row>
    <row r="544" spans="2:16" x14ac:dyDescent="0.25">
      <c r="B544" s="24"/>
      <c r="E544" s="24"/>
      <c r="G544" s="24"/>
      <c r="H544" s="24"/>
      <c r="J544" s="24"/>
      <c r="K544" s="24"/>
      <c r="M544" s="24"/>
      <c r="N544" s="24"/>
      <c r="P544" s="24"/>
    </row>
    <row r="545" spans="2:16" x14ac:dyDescent="0.25">
      <c r="B545" s="24"/>
      <c r="E545" s="24"/>
      <c r="G545" s="24"/>
      <c r="H545" s="24"/>
      <c r="J545" s="24"/>
      <c r="K545" s="24"/>
      <c r="M545" s="24"/>
      <c r="N545" s="24"/>
      <c r="P545" s="24"/>
    </row>
    <row r="546" spans="2:16" x14ac:dyDescent="0.25">
      <c r="B546" s="24"/>
      <c r="E546" s="24"/>
      <c r="G546" s="24"/>
      <c r="H546" s="24"/>
      <c r="J546" s="24"/>
      <c r="K546" s="24"/>
      <c r="M546" s="24"/>
      <c r="N546" s="24"/>
      <c r="P546" s="24"/>
    </row>
    <row r="547" spans="2:16" x14ac:dyDescent="0.25">
      <c r="B547" s="24"/>
      <c r="E547" s="24"/>
      <c r="G547" s="24"/>
      <c r="H547" s="24"/>
      <c r="J547" s="24"/>
      <c r="K547" s="24"/>
      <c r="M547" s="24"/>
      <c r="N547" s="24"/>
      <c r="P547" s="24"/>
    </row>
    <row r="548" spans="2:16" x14ac:dyDescent="0.25">
      <c r="B548" s="24"/>
      <c r="E548" s="24"/>
      <c r="G548" s="24"/>
      <c r="H548" s="24"/>
      <c r="J548" s="24"/>
      <c r="K548" s="24"/>
      <c r="M548" s="24"/>
      <c r="N548" s="24"/>
      <c r="P548" s="24"/>
    </row>
    <row r="549" spans="2:16" x14ac:dyDescent="0.25">
      <c r="B549" s="24"/>
      <c r="E549" s="24"/>
      <c r="G549" s="24"/>
      <c r="H549" s="24"/>
      <c r="J549" s="24"/>
      <c r="K549" s="24"/>
      <c r="M549" s="24"/>
      <c r="N549" s="24"/>
      <c r="P549" s="24"/>
    </row>
    <row r="550" spans="2:16" x14ac:dyDescent="0.25">
      <c r="B550" s="24"/>
      <c r="E550" s="24"/>
      <c r="G550" s="24"/>
      <c r="H550" s="24"/>
      <c r="J550" s="24"/>
      <c r="K550" s="24"/>
      <c r="M550" s="24"/>
      <c r="N550" s="24"/>
      <c r="P550" s="24"/>
    </row>
    <row r="551" spans="2:16" x14ac:dyDescent="0.25">
      <c r="B551" s="24"/>
      <c r="E551" s="24"/>
      <c r="G551" s="24"/>
      <c r="H551" s="24"/>
      <c r="J551" s="24"/>
      <c r="K551" s="24"/>
      <c r="M551" s="24"/>
      <c r="N551" s="24"/>
      <c r="P551" s="24"/>
    </row>
    <row r="552" spans="2:16" x14ac:dyDescent="0.25">
      <c r="B552" s="24"/>
      <c r="E552" s="24"/>
      <c r="G552" s="24"/>
      <c r="H552" s="24"/>
      <c r="J552" s="24"/>
      <c r="K552" s="24"/>
      <c r="M552" s="24"/>
      <c r="N552" s="24"/>
      <c r="P552" s="24"/>
    </row>
    <row r="553" spans="2:16" x14ac:dyDescent="0.25">
      <c r="B553" s="24"/>
      <c r="E553" s="24"/>
      <c r="G553" s="24"/>
      <c r="H553" s="24"/>
      <c r="J553" s="24"/>
      <c r="K553" s="24"/>
      <c r="M553" s="24"/>
      <c r="N553" s="24"/>
      <c r="P553" s="24"/>
    </row>
    <row r="554" spans="2:16" x14ac:dyDescent="0.25">
      <c r="B554" s="24"/>
      <c r="E554" s="24"/>
      <c r="G554" s="24"/>
      <c r="H554" s="24"/>
      <c r="J554" s="24"/>
      <c r="K554" s="24"/>
      <c r="M554" s="24"/>
      <c r="N554" s="24"/>
      <c r="P554" s="24"/>
    </row>
    <row r="555" spans="2:16" x14ac:dyDescent="0.25">
      <c r="B555" s="24"/>
      <c r="E555" s="24"/>
      <c r="G555" s="24"/>
      <c r="H555" s="24"/>
      <c r="J555" s="24"/>
      <c r="K555" s="24"/>
      <c r="M555" s="24"/>
      <c r="N555" s="24"/>
      <c r="P555" s="24"/>
    </row>
    <row r="556" spans="2:16" x14ac:dyDescent="0.25">
      <c r="B556" s="24"/>
      <c r="E556" s="24"/>
      <c r="G556" s="24"/>
      <c r="H556" s="24"/>
      <c r="J556" s="24"/>
      <c r="K556" s="24"/>
      <c r="M556" s="24"/>
      <c r="N556" s="24"/>
      <c r="P556" s="24"/>
    </row>
    <row r="557" spans="2:16" x14ac:dyDescent="0.25">
      <c r="B557" s="24"/>
      <c r="E557" s="24"/>
      <c r="G557" s="24"/>
      <c r="H557" s="24"/>
      <c r="J557" s="24"/>
      <c r="K557" s="24"/>
      <c r="M557" s="24"/>
      <c r="N557" s="24"/>
      <c r="P557" s="24"/>
    </row>
    <row r="558" spans="2:16" x14ac:dyDescent="0.25">
      <c r="B558" s="24"/>
      <c r="E558" s="24"/>
      <c r="G558" s="24"/>
      <c r="H558" s="24"/>
      <c r="J558" s="24"/>
      <c r="K558" s="24"/>
      <c r="M558" s="24"/>
      <c r="N558" s="24"/>
      <c r="P558" s="24"/>
    </row>
    <row r="559" spans="2:16" x14ac:dyDescent="0.25">
      <c r="B559" s="24"/>
      <c r="E559" s="24"/>
      <c r="G559" s="24"/>
      <c r="H559" s="24"/>
      <c r="J559" s="24"/>
      <c r="K559" s="24"/>
      <c r="M559" s="24"/>
      <c r="N559" s="24"/>
      <c r="P559" s="24"/>
    </row>
    <row r="560" spans="2:16" x14ac:dyDescent="0.25">
      <c r="B560" s="24"/>
      <c r="E560" s="24"/>
      <c r="G560" s="24"/>
      <c r="H560" s="24"/>
      <c r="J560" s="24"/>
      <c r="K560" s="24"/>
      <c r="M560" s="24"/>
      <c r="N560" s="24"/>
      <c r="P560" s="24"/>
    </row>
    <row r="561" spans="2:16" x14ac:dyDescent="0.25">
      <c r="B561" s="24"/>
      <c r="E561" s="24"/>
      <c r="G561" s="24"/>
      <c r="H561" s="24"/>
      <c r="J561" s="24"/>
      <c r="K561" s="24"/>
      <c r="M561" s="24"/>
      <c r="N561" s="24"/>
      <c r="P561" s="24"/>
    </row>
    <row r="562" spans="2:16" x14ac:dyDescent="0.25">
      <c r="B562" s="24"/>
      <c r="E562" s="24"/>
      <c r="G562" s="24"/>
      <c r="H562" s="24"/>
      <c r="J562" s="24"/>
      <c r="K562" s="24"/>
      <c r="M562" s="24"/>
      <c r="N562" s="24"/>
      <c r="P562" s="24"/>
    </row>
    <row r="563" spans="2:16" x14ac:dyDescent="0.25">
      <c r="B563" s="24"/>
      <c r="E563" s="24"/>
      <c r="G563" s="24"/>
      <c r="H563" s="24"/>
      <c r="J563" s="24"/>
      <c r="K563" s="24"/>
      <c r="M563" s="24"/>
      <c r="N563" s="24"/>
      <c r="P563" s="24"/>
    </row>
    <row r="564" spans="2:16" x14ac:dyDescent="0.25">
      <c r="B564" s="24"/>
      <c r="E564" s="24"/>
      <c r="G564" s="24"/>
      <c r="H564" s="24"/>
      <c r="J564" s="24"/>
      <c r="K564" s="24"/>
      <c r="M564" s="24"/>
      <c r="N564" s="24"/>
      <c r="P564" s="24"/>
    </row>
    <row r="565" spans="2:16" x14ac:dyDescent="0.25">
      <c r="B565" s="24"/>
      <c r="E565" s="24"/>
      <c r="G565" s="24"/>
      <c r="H565" s="24"/>
      <c r="J565" s="24"/>
      <c r="K565" s="24"/>
      <c r="M565" s="24"/>
      <c r="N565" s="24"/>
      <c r="P565" s="24"/>
    </row>
    <row r="566" spans="2:16" x14ac:dyDescent="0.25">
      <c r="B566" s="24"/>
      <c r="E566" s="24"/>
      <c r="G566" s="24"/>
      <c r="H566" s="24"/>
      <c r="J566" s="24"/>
      <c r="K566" s="24"/>
      <c r="M566" s="24"/>
      <c r="N566" s="24"/>
      <c r="P566" s="24"/>
    </row>
    <row r="567" spans="2:16" x14ac:dyDescent="0.25">
      <c r="B567" s="24"/>
      <c r="E567" s="24"/>
      <c r="G567" s="24"/>
      <c r="H567" s="24"/>
      <c r="J567" s="24"/>
      <c r="K567" s="24"/>
      <c r="M567" s="24"/>
      <c r="N567" s="24"/>
      <c r="P567" s="24"/>
    </row>
    <row r="568" spans="2:16" x14ac:dyDescent="0.25">
      <c r="B568" s="24"/>
      <c r="E568" s="24"/>
      <c r="G568" s="24"/>
      <c r="H568" s="24"/>
      <c r="J568" s="24"/>
      <c r="K568" s="24"/>
      <c r="M568" s="24"/>
      <c r="N568" s="24"/>
      <c r="P568" s="24"/>
    </row>
    <row r="569" spans="2:16" x14ac:dyDescent="0.25">
      <c r="B569" s="24"/>
      <c r="E569" s="24"/>
      <c r="G569" s="24"/>
      <c r="H569" s="24"/>
      <c r="J569" s="24"/>
      <c r="K569" s="24"/>
      <c r="M569" s="24"/>
      <c r="N569" s="24"/>
      <c r="P569" s="24"/>
    </row>
    <row r="570" spans="2:16" x14ac:dyDescent="0.25">
      <c r="B570" s="24"/>
      <c r="E570" s="24"/>
      <c r="G570" s="24"/>
      <c r="H570" s="24"/>
      <c r="J570" s="24"/>
      <c r="K570" s="24"/>
      <c r="M570" s="24"/>
      <c r="N570" s="24"/>
      <c r="P570" s="24"/>
    </row>
    <row r="571" spans="2:16" x14ac:dyDescent="0.25">
      <c r="B571" s="24"/>
      <c r="E571" s="24"/>
      <c r="G571" s="24"/>
      <c r="H571" s="24"/>
      <c r="J571" s="24"/>
      <c r="K571" s="24"/>
      <c r="M571" s="24"/>
      <c r="N571" s="24"/>
      <c r="P571" s="24"/>
    </row>
    <row r="572" spans="2:16" x14ac:dyDescent="0.25">
      <c r="B572" s="24"/>
      <c r="E572" s="24"/>
      <c r="G572" s="24"/>
      <c r="H572" s="24"/>
      <c r="J572" s="24"/>
      <c r="K572" s="24"/>
      <c r="M572" s="24"/>
      <c r="N572" s="24"/>
      <c r="P572" s="24"/>
    </row>
    <row r="573" spans="2:16" x14ac:dyDescent="0.25">
      <c r="B573" s="24"/>
      <c r="E573" s="24"/>
      <c r="G573" s="24"/>
      <c r="H573" s="24"/>
      <c r="J573" s="24"/>
      <c r="K573" s="24"/>
      <c r="M573" s="24"/>
      <c r="N573" s="24"/>
      <c r="P573" s="24"/>
    </row>
    <row r="574" spans="2:16" x14ac:dyDescent="0.25">
      <c r="B574" s="24"/>
      <c r="E574" s="24"/>
      <c r="G574" s="24"/>
      <c r="H574" s="24"/>
      <c r="J574" s="24"/>
      <c r="K574" s="24"/>
      <c r="M574" s="24"/>
      <c r="N574" s="24"/>
      <c r="P574" s="24"/>
    </row>
    <row r="575" spans="2:16" x14ac:dyDescent="0.25">
      <c r="B575" s="24"/>
      <c r="E575" s="24"/>
      <c r="G575" s="24"/>
      <c r="H575" s="24"/>
      <c r="J575" s="24"/>
      <c r="K575" s="24"/>
      <c r="M575" s="24"/>
      <c r="N575" s="24"/>
      <c r="P575" s="24"/>
    </row>
    <row r="576" spans="2:16" x14ac:dyDescent="0.25">
      <c r="B576" s="24"/>
      <c r="E576" s="24"/>
      <c r="G576" s="24"/>
      <c r="H576" s="24"/>
      <c r="J576" s="24"/>
      <c r="K576" s="24"/>
      <c r="M576" s="24"/>
      <c r="N576" s="24"/>
      <c r="P576" s="24"/>
    </row>
    <row r="577" spans="2:16" x14ac:dyDescent="0.25">
      <c r="B577" s="24"/>
      <c r="E577" s="24"/>
      <c r="G577" s="24"/>
      <c r="H577" s="24"/>
      <c r="J577" s="24"/>
      <c r="K577" s="24"/>
      <c r="M577" s="24"/>
      <c r="N577" s="24"/>
      <c r="P577" s="24"/>
    </row>
    <row r="578" spans="2:16" x14ac:dyDescent="0.25">
      <c r="B578" s="24"/>
      <c r="E578" s="24"/>
      <c r="G578" s="24"/>
      <c r="H578" s="24"/>
      <c r="J578" s="24"/>
      <c r="K578" s="24"/>
      <c r="M578" s="24"/>
      <c r="N578" s="24"/>
      <c r="P578" s="24"/>
    </row>
    <row r="579" spans="2:16" x14ac:dyDescent="0.25">
      <c r="B579" s="24"/>
      <c r="E579" s="24"/>
      <c r="G579" s="24"/>
      <c r="H579" s="24"/>
      <c r="J579" s="24"/>
      <c r="K579" s="24"/>
      <c r="M579" s="24"/>
      <c r="N579" s="24"/>
      <c r="P579" s="24"/>
    </row>
    <row r="580" spans="2:16" x14ac:dyDescent="0.25">
      <c r="B580" s="24"/>
      <c r="E580" s="24"/>
      <c r="G580" s="24"/>
      <c r="H580" s="24"/>
      <c r="J580" s="24"/>
      <c r="K580" s="24"/>
      <c r="M580" s="24"/>
      <c r="N580" s="24"/>
      <c r="P580" s="24"/>
    </row>
    <row r="581" spans="2:16" x14ac:dyDescent="0.25">
      <c r="B581" s="24"/>
      <c r="E581" s="24"/>
      <c r="G581" s="24"/>
      <c r="H581" s="24"/>
      <c r="J581" s="24"/>
      <c r="K581" s="24"/>
      <c r="M581" s="24"/>
      <c r="N581" s="24"/>
      <c r="P581" s="24"/>
    </row>
    <row r="582" spans="2:16" x14ac:dyDescent="0.25">
      <c r="B582" s="24"/>
      <c r="E582" s="24"/>
      <c r="G582" s="24"/>
      <c r="H582" s="24"/>
      <c r="J582" s="24"/>
      <c r="K582" s="24"/>
      <c r="M582" s="24"/>
      <c r="N582" s="24"/>
      <c r="P582" s="24"/>
    </row>
    <row r="583" spans="2:16" x14ac:dyDescent="0.25">
      <c r="B583" s="24"/>
      <c r="E583" s="24"/>
      <c r="G583" s="24"/>
      <c r="H583" s="24"/>
      <c r="J583" s="24"/>
      <c r="K583" s="24"/>
      <c r="M583" s="24"/>
      <c r="N583" s="24"/>
      <c r="P583" s="24"/>
    </row>
    <row r="584" spans="2:16" x14ac:dyDescent="0.25">
      <c r="B584" s="24"/>
      <c r="E584" s="24"/>
      <c r="G584" s="24"/>
      <c r="H584" s="24"/>
      <c r="J584" s="24"/>
      <c r="K584" s="24"/>
      <c r="M584" s="24"/>
      <c r="N584" s="24"/>
      <c r="P584" s="24"/>
    </row>
    <row r="585" spans="2:16" x14ac:dyDescent="0.25">
      <c r="B585" s="24"/>
      <c r="E585" s="24"/>
      <c r="G585" s="24"/>
      <c r="H585" s="24"/>
      <c r="J585" s="24"/>
      <c r="K585" s="24"/>
      <c r="M585" s="24"/>
      <c r="N585" s="24"/>
      <c r="P585" s="24"/>
    </row>
    <row r="586" spans="2:16" x14ac:dyDescent="0.25">
      <c r="B586" s="24"/>
      <c r="E586" s="24"/>
      <c r="G586" s="24"/>
      <c r="H586" s="24"/>
      <c r="J586" s="24"/>
      <c r="K586" s="24"/>
      <c r="M586" s="24"/>
      <c r="N586" s="24"/>
      <c r="P586" s="24"/>
    </row>
    <row r="587" spans="2:16" x14ac:dyDescent="0.25">
      <c r="B587" s="24"/>
      <c r="E587" s="24"/>
      <c r="G587" s="24"/>
      <c r="H587" s="24"/>
      <c r="J587" s="24"/>
      <c r="K587" s="24"/>
      <c r="M587" s="24"/>
      <c r="N587" s="24"/>
      <c r="P587" s="24"/>
    </row>
    <row r="588" spans="2:16" x14ac:dyDescent="0.25">
      <c r="B588" s="24"/>
      <c r="E588" s="24"/>
      <c r="G588" s="24"/>
      <c r="H588" s="24"/>
      <c r="J588" s="24"/>
      <c r="K588" s="24"/>
      <c r="M588" s="24"/>
      <c r="N588" s="24"/>
      <c r="P588" s="24"/>
    </row>
    <row r="589" spans="2:16" x14ac:dyDescent="0.25">
      <c r="B589" s="24"/>
      <c r="E589" s="24"/>
      <c r="G589" s="24"/>
      <c r="H589" s="24"/>
      <c r="J589" s="24"/>
      <c r="K589" s="24"/>
      <c r="M589" s="24"/>
      <c r="N589" s="24"/>
      <c r="P589" s="24"/>
    </row>
    <row r="590" spans="2:16" x14ac:dyDescent="0.25">
      <c r="B590" s="24"/>
      <c r="E590" s="24"/>
      <c r="G590" s="24"/>
      <c r="H590" s="24"/>
      <c r="J590" s="24"/>
      <c r="K590" s="24"/>
      <c r="M590" s="24"/>
      <c r="N590" s="24"/>
      <c r="P590" s="24"/>
    </row>
    <row r="591" spans="2:16" x14ac:dyDescent="0.25">
      <c r="B591" s="24"/>
      <c r="E591" s="24"/>
      <c r="G591" s="24"/>
      <c r="H591" s="24"/>
      <c r="J591" s="24"/>
      <c r="K591" s="24"/>
      <c r="M591" s="24"/>
      <c r="N591" s="24"/>
      <c r="P591" s="24"/>
    </row>
    <row r="592" spans="2:16" x14ac:dyDescent="0.25">
      <c r="B592" s="24"/>
      <c r="E592" s="24"/>
      <c r="G592" s="24"/>
      <c r="H592" s="24"/>
      <c r="J592" s="24"/>
      <c r="K592" s="24"/>
      <c r="M592" s="24"/>
      <c r="N592" s="24"/>
      <c r="P592" s="24"/>
    </row>
    <row r="593" spans="2:16" x14ac:dyDescent="0.25">
      <c r="B593" s="24"/>
      <c r="E593" s="24"/>
      <c r="G593" s="24"/>
      <c r="H593" s="24"/>
      <c r="J593" s="24"/>
      <c r="K593" s="24"/>
      <c r="M593" s="24"/>
      <c r="N593" s="24"/>
      <c r="P593" s="24"/>
    </row>
    <row r="594" spans="2:16" x14ac:dyDescent="0.25">
      <c r="B594" s="24"/>
      <c r="E594" s="24"/>
      <c r="G594" s="24"/>
      <c r="H594" s="24"/>
      <c r="J594" s="24"/>
      <c r="K594" s="24"/>
      <c r="M594" s="24"/>
      <c r="N594" s="24"/>
      <c r="P594" s="24"/>
    </row>
    <row r="595" spans="2:16" x14ac:dyDescent="0.25">
      <c r="B595" s="24"/>
      <c r="E595" s="24"/>
      <c r="G595" s="24"/>
      <c r="H595" s="24"/>
      <c r="J595" s="24"/>
      <c r="K595" s="24"/>
      <c r="M595" s="24"/>
      <c r="N595" s="24"/>
      <c r="P595" s="24"/>
    </row>
    <row r="596" spans="2:16" x14ac:dyDescent="0.25">
      <c r="B596" s="24"/>
      <c r="E596" s="24"/>
      <c r="G596" s="24"/>
      <c r="H596" s="24"/>
      <c r="J596" s="24"/>
      <c r="K596" s="24"/>
      <c r="M596" s="24"/>
      <c r="N596" s="24"/>
      <c r="P596" s="24"/>
    </row>
    <row r="597" spans="2:16" x14ac:dyDescent="0.25">
      <c r="B597" s="24"/>
      <c r="E597" s="24"/>
      <c r="G597" s="24"/>
      <c r="H597" s="24"/>
      <c r="J597" s="24"/>
      <c r="K597" s="24"/>
      <c r="M597" s="24"/>
      <c r="N597" s="24"/>
      <c r="P597" s="24"/>
    </row>
    <row r="598" spans="2:16" x14ac:dyDescent="0.25">
      <c r="B598" s="24"/>
      <c r="E598" s="24"/>
      <c r="G598" s="24"/>
      <c r="H598" s="24"/>
      <c r="J598" s="24"/>
      <c r="K598" s="24"/>
      <c r="M598" s="24"/>
      <c r="N598" s="24"/>
      <c r="P598" s="24"/>
    </row>
    <row r="599" spans="2:16" x14ac:dyDescent="0.25">
      <c r="B599" s="24"/>
      <c r="E599" s="24"/>
      <c r="G599" s="24"/>
      <c r="H599" s="24"/>
      <c r="J599" s="24"/>
      <c r="K599" s="24"/>
      <c r="M599" s="24"/>
      <c r="N599" s="24"/>
      <c r="P599" s="24"/>
    </row>
    <row r="600" spans="2:16" x14ac:dyDescent="0.25">
      <c r="B600" s="24"/>
      <c r="E600" s="24"/>
      <c r="G600" s="24"/>
      <c r="H600" s="24"/>
      <c r="J600" s="24"/>
      <c r="K600" s="24"/>
      <c r="M600" s="24"/>
      <c r="N600" s="24"/>
      <c r="P600" s="24"/>
    </row>
    <row r="601" spans="2:16" x14ac:dyDescent="0.25">
      <c r="B601" s="24"/>
      <c r="E601" s="24"/>
      <c r="G601" s="24"/>
      <c r="H601" s="24"/>
      <c r="J601" s="24"/>
      <c r="K601" s="24"/>
      <c r="M601" s="24"/>
      <c r="N601" s="24"/>
      <c r="P601" s="24"/>
    </row>
    <row r="602" spans="2:16" x14ac:dyDescent="0.25">
      <c r="B602" s="24"/>
      <c r="E602" s="24"/>
      <c r="G602" s="24"/>
      <c r="H602" s="24"/>
      <c r="J602" s="24"/>
      <c r="K602" s="24"/>
      <c r="M602" s="24"/>
      <c r="N602" s="24"/>
      <c r="P602" s="24"/>
    </row>
    <row r="603" spans="2:16" x14ac:dyDescent="0.25">
      <c r="B603" s="24"/>
      <c r="E603" s="24"/>
      <c r="G603" s="24"/>
      <c r="H603" s="24"/>
      <c r="J603" s="24"/>
      <c r="K603" s="24"/>
      <c r="M603" s="24"/>
      <c r="N603" s="24"/>
      <c r="P603" s="24"/>
    </row>
    <row r="604" spans="2:16" x14ac:dyDescent="0.25">
      <c r="B604" s="24"/>
      <c r="E604" s="24"/>
      <c r="G604" s="24"/>
      <c r="H604" s="24"/>
      <c r="J604" s="24"/>
      <c r="K604" s="24"/>
      <c r="M604" s="24"/>
      <c r="N604" s="24"/>
      <c r="P604" s="24"/>
    </row>
    <row r="605" spans="2:16" x14ac:dyDescent="0.25">
      <c r="B605" s="24"/>
      <c r="E605" s="24"/>
      <c r="G605" s="24"/>
      <c r="H605" s="24"/>
      <c r="J605" s="24"/>
      <c r="K605" s="24"/>
      <c r="M605" s="24"/>
      <c r="N605" s="24"/>
      <c r="P605" s="24"/>
    </row>
    <row r="606" spans="2:16" x14ac:dyDescent="0.25">
      <c r="B606" s="24"/>
      <c r="E606" s="24"/>
      <c r="G606" s="24"/>
      <c r="H606" s="24"/>
      <c r="J606" s="24"/>
      <c r="K606" s="24"/>
      <c r="M606" s="24"/>
      <c r="N606" s="24"/>
      <c r="P606" s="24"/>
    </row>
    <row r="607" spans="2:16" x14ac:dyDescent="0.25">
      <c r="B607" s="24"/>
      <c r="E607" s="24"/>
      <c r="G607" s="24"/>
      <c r="H607" s="24"/>
      <c r="J607" s="24"/>
      <c r="K607" s="24"/>
      <c r="M607" s="24"/>
      <c r="N607" s="24"/>
      <c r="P607" s="24"/>
    </row>
    <row r="608" spans="2:16" x14ac:dyDescent="0.25">
      <c r="B608" s="24"/>
      <c r="E608" s="24"/>
      <c r="G608" s="24"/>
      <c r="H608" s="24"/>
      <c r="J608" s="24"/>
      <c r="K608" s="24"/>
      <c r="M608" s="24"/>
      <c r="N608" s="24"/>
      <c r="P608" s="24"/>
    </row>
    <row r="609" spans="2:16" x14ac:dyDescent="0.25">
      <c r="B609" s="24"/>
      <c r="E609" s="24"/>
      <c r="G609" s="24"/>
      <c r="H609" s="24"/>
      <c r="J609" s="24"/>
      <c r="K609" s="24"/>
      <c r="M609" s="24"/>
      <c r="N609" s="24"/>
      <c r="P609" s="24"/>
    </row>
    <row r="610" spans="2:16" x14ac:dyDescent="0.25">
      <c r="B610" s="24"/>
      <c r="E610" s="24"/>
      <c r="G610" s="24"/>
      <c r="H610" s="24"/>
      <c r="J610" s="24"/>
      <c r="K610" s="24"/>
      <c r="M610" s="24"/>
      <c r="N610" s="24"/>
      <c r="P610" s="24"/>
    </row>
    <row r="611" spans="2:16" x14ac:dyDescent="0.25">
      <c r="B611" s="24"/>
      <c r="E611" s="24"/>
      <c r="G611" s="24"/>
      <c r="H611" s="24"/>
      <c r="J611" s="24"/>
      <c r="K611" s="24"/>
      <c r="M611" s="24"/>
      <c r="N611" s="24"/>
      <c r="P611" s="24"/>
    </row>
    <row r="612" spans="2:16" x14ac:dyDescent="0.25">
      <c r="B612" s="24"/>
      <c r="E612" s="24"/>
      <c r="G612" s="24"/>
      <c r="H612" s="24"/>
      <c r="J612" s="24"/>
      <c r="K612" s="24"/>
      <c r="M612" s="24"/>
      <c r="N612" s="24"/>
      <c r="P612" s="24"/>
    </row>
    <row r="613" spans="2:16" x14ac:dyDescent="0.25">
      <c r="B613" s="24"/>
      <c r="E613" s="24"/>
      <c r="G613" s="24"/>
      <c r="H613" s="24"/>
      <c r="J613" s="24"/>
      <c r="K613" s="24"/>
      <c r="M613" s="24"/>
      <c r="N613" s="24"/>
      <c r="P613" s="24"/>
    </row>
    <row r="614" spans="2:16" x14ac:dyDescent="0.25">
      <c r="B614" s="24"/>
      <c r="E614" s="24"/>
      <c r="G614" s="24"/>
      <c r="H614" s="24"/>
      <c r="J614" s="24"/>
      <c r="K614" s="24"/>
      <c r="M614" s="24"/>
      <c r="N614" s="24"/>
      <c r="P614" s="24"/>
    </row>
    <row r="615" spans="2:16" x14ac:dyDescent="0.25">
      <c r="B615" s="24"/>
      <c r="E615" s="24"/>
      <c r="G615" s="24"/>
      <c r="H615" s="24"/>
      <c r="J615" s="24"/>
      <c r="K615" s="24"/>
      <c r="M615" s="24"/>
      <c r="N615" s="24"/>
      <c r="P615" s="24"/>
    </row>
    <row r="616" spans="2:16" x14ac:dyDescent="0.25">
      <c r="B616" s="24"/>
      <c r="E616" s="24"/>
      <c r="G616" s="24"/>
      <c r="H616" s="24"/>
      <c r="J616" s="24"/>
      <c r="K616" s="24"/>
      <c r="M616" s="24"/>
      <c r="N616" s="24"/>
      <c r="P616" s="24"/>
    </row>
    <row r="617" spans="2:16" x14ac:dyDescent="0.25">
      <c r="B617" s="24"/>
      <c r="E617" s="24"/>
      <c r="G617" s="24"/>
      <c r="H617" s="24"/>
      <c r="J617" s="24"/>
      <c r="K617" s="24"/>
      <c r="M617" s="24"/>
      <c r="N617" s="24"/>
      <c r="P617" s="24"/>
    </row>
    <row r="618" spans="2:16" x14ac:dyDescent="0.25">
      <c r="B618" s="24"/>
      <c r="E618" s="24"/>
      <c r="G618" s="24"/>
      <c r="H618" s="24"/>
      <c r="J618" s="24"/>
      <c r="K618" s="24"/>
      <c r="M618" s="24"/>
      <c r="N618" s="24"/>
      <c r="P618" s="24"/>
    </row>
    <row r="619" spans="2:16" x14ac:dyDescent="0.25">
      <c r="B619" s="24"/>
      <c r="E619" s="24"/>
      <c r="G619" s="24"/>
      <c r="H619" s="24"/>
      <c r="J619" s="24"/>
      <c r="K619" s="24"/>
      <c r="M619" s="24"/>
      <c r="N619" s="24"/>
      <c r="P619" s="24"/>
    </row>
    <row r="620" spans="2:16" x14ac:dyDescent="0.25">
      <c r="B620" s="24"/>
      <c r="E620" s="24"/>
      <c r="G620" s="24"/>
      <c r="H620" s="24"/>
      <c r="J620" s="24"/>
      <c r="K620" s="24"/>
      <c r="M620" s="24"/>
      <c r="N620" s="24"/>
      <c r="P620" s="24"/>
    </row>
    <row r="621" spans="2:16" x14ac:dyDescent="0.25">
      <c r="B621" s="24"/>
      <c r="E621" s="24"/>
      <c r="G621" s="24"/>
      <c r="H621" s="24"/>
      <c r="J621" s="24"/>
      <c r="K621" s="24"/>
      <c r="M621" s="24"/>
      <c r="N621" s="24"/>
      <c r="P621" s="24"/>
    </row>
    <row r="622" spans="2:16" x14ac:dyDescent="0.25">
      <c r="B622" s="24"/>
      <c r="E622" s="24"/>
      <c r="G622" s="24"/>
      <c r="H622" s="24"/>
      <c r="J622" s="24"/>
      <c r="K622" s="24"/>
      <c r="M622" s="24"/>
      <c r="N622" s="24"/>
      <c r="P622" s="24"/>
    </row>
    <row r="623" spans="2:16" x14ac:dyDescent="0.25">
      <c r="B623" s="24"/>
      <c r="E623" s="24"/>
      <c r="G623" s="24"/>
      <c r="H623" s="24"/>
      <c r="J623" s="24"/>
      <c r="K623" s="24"/>
      <c r="M623" s="24"/>
      <c r="N623" s="24"/>
      <c r="P623" s="24"/>
    </row>
    <row r="624" spans="2:16" x14ac:dyDescent="0.25">
      <c r="B624" s="24"/>
      <c r="E624" s="24"/>
      <c r="G624" s="24"/>
      <c r="H624" s="24"/>
      <c r="J624" s="24"/>
      <c r="K624" s="24"/>
      <c r="M624" s="24"/>
      <c r="N624" s="24"/>
      <c r="P624" s="24"/>
    </row>
    <row r="625" spans="2:16" x14ac:dyDescent="0.25">
      <c r="B625" s="24"/>
      <c r="E625" s="24"/>
      <c r="G625" s="24"/>
      <c r="H625" s="24"/>
      <c r="J625" s="24"/>
      <c r="K625" s="24"/>
      <c r="M625" s="24"/>
      <c r="N625" s="24"/>
      <c r="P625" s="24"/>
    </row>
    <row r="626" spans="2:16" x14ac:dyDescent="0.25">
      <c r="B626" s="24"/>
      <c r="E626" s="24"/>
      <c r="G626" s="24"/>
      <c r="H626" s="24"/>
      <c r="J626" s="24"/>
      <c r="K626" s="24"/>
      <c r="M626" s="24"/>
      <c r="N626" s="24"/>
      <c r="P626" s="24"/>
    </row>
    <row r="627" spans="2:16" x14ac:dyDescent="0.25">
      <c r="B627" s="24"/>
      <c r="E627" s="24"/>
      <c r="G627" s="24"/>
      <c r="H627" s="24"/>
      <c r="J627" s="24"/>
      <c r="K627" s="24"/>
      <c r="M627" s="24"/>
      <c r="N627" s="24"/>
      <c r="P627" s="24"/>
    </row>
    <row r="628" spans="2:16" x14ac:dyDescent="0.25">
      <c r="B628" s="24"/>
      <c r="E628" s="24"/>
      <c r="G628" s="24"/>
      <c r="H628" s="24"/>
      <c r="J628" s="24"/>
      <c r="K628" s="24"/>
      <c r="M628" s="24"/>
      <c r="N628" s="24"/>
      <c r="P628" s="24"/>
    </row>
    <row r="629" spans="2:16" x14ac:dyDescent="0.25">
      <c r="B629" s="24"/>
      <c r="E629" s="24"/>
      <c r="G629" s="24"/>
      <c r="H629" s="24"/>
      <c r="J629" s="24"/>
      <c r="K629" s="24"/>
      <c r="M629" s="24"/>
      <c r="N629" s="24"/>
      <c r="P629" s="24"/>
    </row>
    <row r="630" spans="2:16" x14ac:dyDescent="0.25">
      <c r="B630" s="24"/>
      <c r="E630" s="24"/>
      <c r="G630" s="24"/>
      <c r="H630" s="24"/>
      <c r="J630" s="24"/>
      <c r="K630" s="24"/>
      <c r="M630" s="24"/>
      <c r="N630" s="24"/>
      <c r="P630" s="24"/>
    </row>
    <row r="631" spans="2:16" x14ac:dyDescent="0.25">
      <c r="B631" s="24"/>
      <c r="E631" s="24"/>
      <c r="G631" s="24"/>
      <c r="H631" s="24"/>
      <c r="J631" s="24"/>
      <c r="K631" s="24"/>
      <c r="M631" s="24"/>
      <c r="N631" s="24"/>
      <c r="P631" s="24"/>
    </row>
    <row r="632" spans="2:16" x14ac:dyDescent="0.25">
      <c r="B632" s="24"/>
      <c r="E632" s="24"/>
      <c r="G632" s="24"/>
      <c r="H632" s="24"/>
      <c r="J632" s="24"/>
      <c r="K632" s="24"/>
      <c r="M632" s="24"/>
      <c r="N632" s="24"/>
      <c r="P632" s="24"/>
    </row>
    <row r="633" spans="2:16" x14ac:dyDescent="0.25">
      <c r="B633" s="24"/>
      <c r="E633" s="24"/>
      <c r="G633" s="24"/>
      <c r="H633" s="24"/>
      <c r="J633" s="24"/>
      <c r="K633" s="24"/>
      <c r="M633" s="24"/>
      <c r="N633" s="24"/>
      <c r="P633" s="24"/>
    </row>
    <row r="634" spans="2:16" x14ac:dyDescent="0.25">
      <c r="B634" s="24"/>
      <c r="E634" s="24"/>
      <c r="G634" s="24"/>
      <c r="H634" s="24"/>
      <c r="J634" s="24"/>
      <c r="K634" s="24"/>
      <c r="M634" s="24"/>
      <c r="N634" s="24"/>
      <c r="P634" s="24"/>
    </row>
    <row r="635" spans="2:16" x14ac:dyDescent="0.25">
      <c r="B635" s="24"/>
      <c r="E635" s="24"/>
      <c r="G635" s="24"/>
      <c r="H635" s="24"/>
      <c r="J635" s="24"/>
      <c r="K635" s="24"/>
      <c r="M635" s="24"/>
      <c r="N635" s="24"/>
      <c r="P635" s="24"/>
    </row>
    <row r="636" spans="2:16" x14ac:dyDescent="0.25">
      <c r="B636" s="24"/>
      <c r="E636" s="24"/>
      <c r="G636" s="24"/>
      <c r="H636" s="24"/>
      <c r="J636" s="24"/>
      <c r="K636" s="24"/>
      <c r="M636" s="24"/>
      <c r="N636" s="24"/>
      <c r="P636" s="24"/>
    </row>
    <row r="637" spans="2:16" x14ac:dyDescent="0.25">
      <c r="B637" s="24"/>
      <c r="E637" s="24"/>
      <c r="G637" s="24"/>
      <c r="H637" s="24"/>
      <c r="J637" s="24"/>
      <c r="K637" s="24"/>
      <c r="M637" s="24"/>
      <c r="N637" s="24"/>
      <c r="P637" s="24"/>
    </row>
    <row r="638" spans="2:16" x14ac:dyDescent="0.25">
      <c r="B638" s="24"/>
      <c r="E638" s="24"/>
      <c r="G638" s="24"/>
      <c r="H638" s="24"/>
      <c r="J638" s="24"/>
      <c r="K638" s="24"/>
      <c r="M638" s="24"/>
      <c r="N638" s="24"/>
      <c r="P638" s="24"/>
    </row>
    <row r="639" spans="2:16" x14ac:dyDescent="0.25">
      <c r="B639" s="24"/>
      <c r="E639" s="24"/>
      <c r="G639" s="24"/>
      <c r="H639" s="24"/>
      <c r="J639" s="24"/>
      <c r="K639" s="24"/>
      <c r="M639" s="24"/>
      <c r="N639" s="24"/>
      <c r="P639" s="24"/>
    </row>
    <row r="640" spans="2:16" x14ac:dyDescent="0.25">
      <c r="B640" s="24"/>
      <c r="E640" s="24"/>
      <c r="G640" s="24"/>
      <c r="H640" s="24"/>
      <c r="J640" s="24"/>
      <c r="K640" s="24"/>
      <c r="M640" s="24"/>
      <c r="N640" s="24"/>
      <c r="P640" s="24"/>
    </row>
    <row r="641" spans="2:16" x14ac:dyDescent="0.25">
      <c r="B641" s="24"/>
      <c r="E641" s="24"/>
      <c r="G641" s="24"/>
      <c r="H641" s="24"/>
      <c r="J641" s="24"/>
      <c r="K641" s="24"/>
      <c r="M641" s="24"/>
      <c r="N641" s="24"/>
      <c r="P641" s="24"/>
    </row>
    <row r="642" spans="2:16" x14ac:dyDescent="0.25">
      <c r="B642" s="24"/>
      <c r="E642" s="24"/>
      <c r="G642" s="24"/>
      <c r="H642" s="24"/>
      <c r="J642" s="24"/>
      <c r="K642" s="24"/>
      <c r="M642" s="24"/>
      <c r="N642" s="24"/>
      <c r="P642" s="24"/>
    </row>
    <row r="643" spans="2:16" x14ac:dyDescent="0.25">
      <c r="B643" s="24"/>
      <c r="E643" s="24"/>
      <c r="G643" s="24"/>
      <c r="H643" s="24"/>
      <c r="J643" s="24"/>
      <c r="K643" s="24"/>
      <c r="M643" s="24"/>
      <c r="N643" s="24"/>
      <c r="P643" s="24"/>
    </row>
    <row r="644" spans="2:16" x14ac:dyDescent="0.25">
      <c r="B644" s="24"/>
      <c r="E644" s="24"/>
      <c r="G644" s="24"/>
      <c r="H644" s="24"/>
      <c r="J644" s="24"/>
      <c r="K644" s="24"/>
      <c r="M644" s="24"/>
      <c r="N644" s="24"/>
      <c r="P644" s="24"/>
    </row>
    <row r="645" spans="2:16" x14ac:dyDescent="0.25">
      <c r="B645" s="24"/>
      <c r="E645" s="24"/>
      <c r="G645" s="24"/>
      <c r="H645" s="24"/>
      <c r="J645" s="24"/>
      <c r="K645" s="24"/>
      <c r="M645" s="24"/>
      <c r="N645" s="24"/>
      <c r="P645" s="24"/>
    </row>
    <row r="646" spans="2:16" x14ac:dyDescent="0.25">
      <c r="B646" s="24"/>
      <c r="E646" s="24"/>
      <c r="G646" s="24"/>
      <c r="H646" s="24"/>
      <c r="J646" s="24"/>
      <c r="K646" s="24"/>
      <c r="M646" s="24"/>
      <c r="N646" s="24"/>
      <c r="P646" s="24"/>
    </row>
    <row r="647" spans="2:16" x14ac:dyDescent="0.25">
      <c r="B647" s="24"/>
      <c r="E647" s="24"/>
      <c r="G647" s="24"/>
      <c r="H647" s="24"/>
      <c r="J647" s="24"/>
      <c r="K647" s="24"/>
      <c r="M647" s="24"/>
      <c r="N647" s="24"/>
      <c r="P647" s="24"/>
    </row>
    <row r="648" spans="2:16" x14ac:dyDescent="0.25">
      <c r="B648" s="24"/>
      <c r="E648" s="24"/>
      <c r="G648" s="24"/>
      <c r="H648" s="24"/>
      <c r="J648" s="24"/>
      <c r="K648" s="24"/>
      <c r="M648" s="24"/>
      <c r="N648" s="24"/>
      <c r="P648" s="24"/>
    </row>
    <row r="649" spans="2:16" x14ac:dyDescent="0.25">
      <c r="B649" s="24"/>
      <c r="E649" s="24"/>
      <c r="G649" s="24"/>
      <c r="H649" s="24"/>
      <c r="J649" s="24"/>
      <c r="K649" s="24"/>
      <c r="M649" s="24"/>
      <c r="N649" s="24"/>
      <c r="P649" s="24"/>
    </row>
    <row r="650" spans="2:16" x14ac:dyDescent="0.25">
      <c r="B650" s="24"/>
      <c r="E650" s="24"/>
      <c r="G650" s="24"/>
      <c r="H650" s="24"/>
      <c r="J650" s="24"/>
      <c r="K650" s="24"/>
      <c r="M650" s="24"/>
      <c r="N650" s="24"/>
      <c r="P650" s="24"/>
    </row>
    <row r="651" spans="2:16" x14ac:dyDescent="0.25">
      <c r="B651" s="24"/>
      <c r="E651" s="24"/>
      <c r="G651" s="24"/>
      <c r="H651" s="24"/>
      <c r="J651" s="24"/>
      <c r="K651" s="24"/>
      <c r="M651" s="24"/>
      <c r="N651" s="24"/>
      <c r="P651" s="24"/>
    </row>
    <row r="652" spans="2:16" x14ac:dyDescent="0.25">
      <c r="B652" s="24"/>
      <c r="E652" s="24"/>
      <c r="G652" s="24"/>
      <c r="H652" s="24"/>
      <c r="J652" s="24"/>
      <c r="K652" s="24"/>
      <c r="M652" s="24"/>
      <c r="N652" s="24"/>
      <c r="P652" s="24"/>
    </row>
    <row r="653" spans="2:16" x14ac:dyDescent="0.25">
      <c r="B653" s="24"/>
      <c r="E653" s="24"/>
      <c r="G653" s="24"/>
      <c r="H653" s="24"/>
      <c r="J653" s="24"/>
      <c r="K653" s="24"/>
      <c r="M653" s="24"/>
      <c r="N653" s="24"/>
      <c r="P653" s="24"/>
    </row>
    <row r="654" spans="2:16" x14ac:dyDescent="0.25">
      <c r="B654" s="24"/>
      <c r="E654" s="24"/>
      <c r="G654" s="24"/>
      <c r="H654" s="24"/>
      <c r="J654" s="24"/>
      <c r="K654" s="24"/>
      <c r="M654" s="24"/>
      <c r="N654" s="24"/>
      <c r="P654" s="24"/>
    </row>
    <row r="655" spans="2:16" x14ac:dyDescent="0.25">
      <c r="B655" s="24"/>
      <c r="E655" s="24"/>
      <c r="G655" s="24"/>
      <c r="H655" s="24"/>
      <c r="J655" s="24"/>
      <c r="K655" s="24"/>
      <c r="M655" s="24"/>
      <c r="N655" s="24"/>
      <c r="P655" s="24"/>
    </row>
    <row r="656" spans="2:16" x14ac:dyDescent="0.25">
      <c r="B656" s="24"/>
      <c r="E656" s="24"/>
      <c r="G656" s="24"/>
      <c r="H656" s="24"/>
      <c r="J656" s="24"/>
      <c r="K656" s="24"/>
      <c r="M656" s="24"/>
      <c r="N656" s="24"/>
      <c r="P656" s="24"/>
    </row>
    <row r="657" spans="2:16" x14ac:dyDescent="0.25">
      <c r="B657" s="24"/>
      <c r="E657" s="24"/>
      <c r="G657" s="24"/>
      <c r="H657" s="24"/>
      <c r="J657" s="24"/>
      <c r="K657" s="24"/>
      <c r="M657" s="24"/>
      <c r="N657" s="24"/>
      <c r="P657" s="24"/>
    </row>
    <row r="658" spans="2:16" x14ac:dyDescent="0.25">
      <c r="B658" s="24"/>
      <c r="E658" s="24"/>
      <c r="G658" s="24"/>
      <c r="H658" s="24"/>
      <c r="J658" s="24"/>
      <c r="K658" s="24"/>
      <c r="M658" s="24"/>
      <c r="N658" s="24"/>
      <c r="P658" s="24"/>
    </row>
    <row r="659" spans="2:16" x14ac:dyDescent="0.25">
      <c r="B659" s="24"/>
      <c r="E659" s="24"/>
      <c r="G659" s="24"/>
      <c r="H659" s="24"/>
      <c r="J659" s="24"/>
      <c r="K659" s="24"/>
      <c r="M659" s="24"/>
      <c r="N659" s="24"/>
      <c r="P659" s="24"/>
    </row>
    <row r="660" spans="2:16" x14ac:dyDescent="0.25">
      <c r="B660" s="24"/>
      <c r="E660" s="24"/>
      <c r="G660" s="24"/>
      <c r="H660" s="24"/>
      <c r="J660" s="24"/>
      <c r="K660" s="24"/>
      <c r="M660" s="24"/>
      <c r="N660" s="24"/>
      <c r="P660" s="24"/>
    </row>
    <row r="661" spans="2:16" x14ac:dyDescent="0.25">
      <c r="B661" s="24"/>
      <c r="E661" s="24"/>
      <c r="G661" s="24"/>
      <c r="H661" s="24"/>
      <c r="J661" s="24"/>
      <c r="K661" s="24"/>
      <c r="M661" s="24"/>
      <c r="N661" s="24"/>
      <c r="P661" s="24"/>
    </row>
    <row r="662" spans="2:16" x14ac:dyDescent="0.25">
      <c r="B662" s="24"/>
      <c r="E662" s="24"/>
      <c r="G662" s="24"/>
      <c r="H662" s="24"/>
      <c r="J662" s="24"/>
      <c r="K662" s="24"/>
      <c r="M662" s="24"/>
      <c r="N662" s="24"/>
      <c r="P662" s="24"/>
    </row>
    <row r="663" spans="2:16" x14ac:dyDescent="0.25">
      <c r="B663" s="24"/>
      <c r="E663" s="24"/>
      <c r="G663" s="24"/>
      <c r="H663" s="24"/>
      <c r="J663" s="24"/>
      <c r="K663" s="24"/>
      <c r="M663" s="24"/>
      <c r="N663" s="24"/>
      <c r="P663" s="24"/>
    </row>
    <row r="664" spans="2:16" x14ac:dyDescent="0.25">
      <c r="B664" s="24"/>
      <c r="E664" s="24"/>
      <c r="G664" s="24"/>
      <c r="H664" s="24"/>
      <c r="J664" s="24"/>
      <c r="K664" s="24"/>
      <c r="M664" s="24"/>
      <c r="N664" s="24"/>
      <c r="P664" s="24"/>
    </row>
    <row r="665" spans="2:16" x14ac:dyDescent="0.25">
      <c r="B665" s="24"/>
      <c r="E665" s="24"/>
      <c r="G665" s="24"/>
      <c r="H665" s="24"/>
      <c r="J665" s="24"/>
      <c r="K665" s="24"/>
      <c r="M665" s="24"/>
      <c r="N665" s="24"/>
      <c r="P665" s="24"/>
    </row>
    <row r="666" spans="2:16" x14ac:dyDescent="0.25">
      <c r="B666" s="24"/>
      <c r="E666" s="24"/>
      <c r="G666" s="24"/>
      <c r="H666" s="24"/>
      <c r="J666" s="24"/>
      <c r="K666" s="24"/>
      <c r="M666" s="24"/>
      <c r="N666" s="24"/>
      <c r="P666" s="24"/>
    </row>
    <row r="667" spans="2:16" x14ac:dyDescent="0.25">
      <c r="B667" s="24"/>
      <c r="E667" s="24"/>
      <c r="G667" s="24"/>
      <c r="H667" s="24"/>
      <c r="J667" s="24"/>
      <c r="K667" s="24"/>
      <c r="M667" s="24"/>
      <c r="N667" s="24"/>
      <c r="P667" s="24"/>
    </row>
    <row r="668" spans="2:16" x14ac:dyDescent="0.25">
      <c r="B668" s="24"/>
      <c r="E668" s="24"/>
      <c r="G668" s="24"/>
      <c r="H668" s="24"/>
      <c r="J668" s="24"/>
      <c r="K668" s="24"/>
      <c r="M668" s="24"/>
      <c r="N668" s="24"/>
      <c r="P668" s="24"/>
    </row>
    <row r="669" spans="2:16" x14ac:dyDescent="0.25">
      <c r="B669" s="24"/>
      <c r="E669" s="24"/>
      <c r="G669" s="24"/>
      <c r="H669" s="24"/>
      <c r="J669" s="24"/>
      <c r="K669" s="24"/>
      <c r="M669" s="24"/>
      <c r="N669" s="24"/>
      <c r="P669" s="24"/>
    </row>
    <row r="670" spans="2:16" x14ac:dyDescent="0.25">
      <c r="B670" s="24"/>
      <c r="E670" s="24"/>
      <c r="G670" s="24"/>
      <c r="H670" s="24"/>
      <c r="J670" s="24"/>
      <c r="K670" s="24"/>
      <c r="M670" s="24"/>
      <c r="N670" s="24"/>
      <c r="P670" s="24"/>
    </row>
    <row r="671" spans="2:16" x14ac:dyDescent="0.25">
      <c r="B671" s="24"/>
      <c r="E671" s="24"/>
      <c r="G671" s="24"/>
      <c r="H671" s="24"/>
      <c r="J671" s="24"/>
      <c r="K671" s="24"/>
      <c r="M671" s="24"/>
      <c r="N671" s="24"/>
      <c r="P671" s="24"/>
    </row>
    <row r="672" spans="2:16" x14ac:dyDescent="0.25">
      <c r="B672" s="24"/>
      <c r="E672" s="24"/>
      <c r="G672" s="24"/>
      <c r="H672" s="24"/>
      <c r="J672" s="24"/>
      <c r="K672" s="24"/>
      <c r="M672" s="24"/>
      <c r="N672" s="24"/>
      <c r="P672" s="24"/>
    </row>
    <row r="673" spans="2:16" x14ac:dyDescent="0.25">
      <c r="B673" s="24"/>
      <c r="E673" s="24"/>
      <c r="G673" s="24"/>
      <c r="H673" s="24"/>
      <c r="J673" s="24"/>
      <c r="K673" s="24"/>
      <c r="M673" s="24"/>
      <c r="N673" s="24"/>
      <c r="P673" s="24"/>
    </row>
    <row r="674" spans="2:16" x14ac:dyDescent="0.25">
      <c r="B674" s="24"/>
      <c r="E674" s="24"/>
      <c r="G674" s="24"/>
      <c r="H674" s="24"/>
      <c r="J674" s="24"/>
      <c r="K674" s="24"/>
      <c r="M674" s="24"/>
      <c r="N674" s="24"/>
      <c r="P674" s="24"/>
    </row>
    <row r="675" spans="2:16" x14ac:dyDescent="0.25">
      <c r="B675" s="24"/>
      <c r="E675" s="24"/>
      <c r="G675" s="24"/>
      <c r="H675" s="24"/>
      <c r="J675" s="24"/>
      <c r="K675" s="24"/>
      <c r="M675" s="24"/>
      <c r="N675" s="24"/>
      <c r="P675" s="24"/>
    </row>
    <row r="676" spans="2:16" x14ac:dyDescent="0.25">
      <c r="B676" s="24"/>
      <c r="E676" s="24"/>
      <c r="G676" s="24"/>
      <c r="H676" s="24"/>
      <c r="J676" s="24"/>
      <c r="K676" s="24"/>
      <c r="M676" s="24"/>
      <c r="N676" s="24"/>
      <c r="P676" s="24"/>
    </row>
    <row r="677" spans="2:16" x14ac:dyDescent="0.25">
      <c r="B677" s="24"/>
      <c r="E677" s="24"/>
      <c r="G677" s="24"/>
      <c r="H677" s="24"/>
      <c r="J677" s="24"/>
      <c r="K677" s="24"/>
      <c r="M677" s="24"/>
      <c r="N677" s="24"/>
      <c r="P677" s="24"/>
    </row>
    <row r="678" spans="2:16" x14ac:dyDescent="0.25">
      <c r="B678" s="24"/>
      <c r="E678" s="24"/>
      <c r="G678" s="24"/>
      <c r="H678" s="24"/>
      <c r="J678" s="24"/>
      <c r="K678" s="24"/>
      <c r="M678" s="24"/>
      <c r="N678" s="24"/>
      <c r="P678" s="24"/>
    </row>
    <row r="679" spans="2:16" x14ac:dyDescent="0.25">
      <c r="B679" s="24"/>
      <c r="E679" s="24"/>
      <c r="G679" s="24"/>
      <c r="H679" s="24"/>
      <c r="J679" s="24"/>
      <c r="K679" s="24"/>
      <c r="M679" s="24"/>
      <c r="N679" s="24"/>
      <c r="P679" s="24"/>
    </row>
    <row r="680" spans="2:16" x14ac:dyDescent="0.25">
      <c r="B680" s="24"/>
      <c r="E680" s="24"/>
      <c r="G680" s="24"/>
      <c r="H680" s="24"/>
      <c r="J680" s="24"/>
      <c r="K680" s="24"/>
      <c r="M680" s="24"/>
      <c r="N680" s="24"/>
      <c r="P680" s="24"/>
    </row>
    <row r="681" spans="2:16" x14ac:dyDescent="0.25">
      <c r="B681" s="24"/>
      <c r="E681" s="24"/>
      <c r="G681" s="24"/>
      <c r="H681" s="24"/>
      <c r="J681" s="24"/>
      <c r="K681" s="24"/>
      <c r="M681" s="24"/>
      <c r="N681" s="24"/>
      <c r="P681" s="24"/>
    </row>
    <row r="682" spans="2:16" x14ac:dyDescent="0.25">
      <c r="B682" s="24"/>
      <c r="E682" s="24"/>
      <c r="G682" s="24"/>
      <c r="H682" s="24"/>
      <c r="J682" s="24"/>
      <c r="K682" s="24"/>
      <c r="M682" s="24"/>
      <c r="N682" s="24"/>
      <c r="P682" s="24"/>
    </row>
    <row r="683" spans="2:16" x14ac:dyDescent="0.25">
      <c r="B683" s="24"/>
      <c r="E683" s="24"/>
      <c r="G683" s="24"/>
      <c r="H683" s="24"/>
      <c r="J683" s="24"/>
      <c r="K683" s="24"/>
      <c r="M683" s="24"/>
      <c r="N683" s="24"/>
      <c r="P683" s="24"/>
    </row>
    <row r="684" spans="2:16" x14ac:dyDescent="0.25">
      <c r="B684" s="24"/>
      <c r="E684" s="24"/>
      <c r="G684" s="24"/>
      <c r="H684" s="24"/>
      <c r="J684" s="24"/>
      <c r="K684" s="24"/>
      <c r="M684" s="24"/>
      <c r="N684" s="24"/>
      <c r="P684" s="24"/>
    </row>
    <row r="685" spans="2:16" x14ac:dyDescent="0.25">
      <c r="B685" s="24"/>
      <c r="E685" s="24"/>
      <c r="G685" s="24"/>
      <c r="H685" s="24"/>
      <c r="J685" s="24"/>
      <c r="K685" s="24"/>
      <c r="M685" s="24"/>
      <c r="N685" s="24"/>
      <c r="P685" s="24"/>
    </row>
    <row r="686" spans="2:16" x14ac:dyDescent="0.25">
      <c r="B686" s="24"/>
      <c r="E686" s="24"/>
      <c r="G686" s="24"/>
      <c r="H686" s="24"/>
      <c r="J686" s="24"/>
      <c r="K686" s="24"/>
      <c r="M686" s="24"/>
      <c r="N686" s="24"/>
      <c r="P686" s="24"/>
    </row>
    <row r="687" spans="2:16" x14ac:dyDescent="0.25">
      <c r="B687" s="24"/>
      <c r="E687" s="24"/>
      <c r="G687" s="24"/>
      <c r="H687" s="24"/>
      <c r="J687" s="24"/>
      <c r="K687" s="24"/>
      <c r="M687" s="24"/>
      <c r="N687" s="24"/>
      <c r="P687" s="24"/>
    </row>
    <row r="688" spans="2:16" x14ac:dyDescent="0.25">
      <c r="B688" s="24"/>
      <c r="E688" s="24"/>
      <c r="G688" s="24"/>
      <c r="H688" s="24"/>
      <c r="J688" s="24"/>
      <c r="K688" s="24"/>
      <c r="M688" s="24"/>
      <c r="N688" s="24"/>
      <c r="P688" s="24"/>
    </row>
    <row r="689" spans="2:16" x14ac:dyDescent="0.25">
      <c r="B689" s="24"/>
      <c r="E689" s="24"/>
      <c r="G689" s="24"/>
      <c r="H689" s="24"/>
      <c r="J689" s="24"/>
      <c r="K689" s="24"/>
      <c r="M689" s="24"/>
      <c r="N689" s="24"/>
      <c r="P689" s="24"/>
    </row>
    <row r="690" spans="2:16" x14ac:dyDescent="0.25">
      <c r="B690" s="24"/>
      <c r="E690" s="24"/>
      <c r="G690" s="24"/>
      <c r="H690" s="24"/>
      <c r="J690" s="24"/>
      <c r="K690" s="24"/>
      <c r="M690" s="24"/>
      <c r="N690" s="24"/>
      <c r="P690" s="24"/>
    </row>
    <row r="691" spans="2:16" x14ac:dyDescent="0.25">
      <c r="B691" s="24"/>
      <c r="E691" s="24"/>
      <c r="G691" s="24"/>
      <c r="H691" s="24"/>
      <c r="J691" s="24"/>
      <c r="K691" s="24"/>
      <c r="M691" s="24"/>
      <c r="N691" s="24"/>
      <c r="P691" s="24"/>
    </row>
    <row r="692" spans="2:16" x14ac:dyDescent="0.25">
      <c r="B692" s="24"/>
      <c r="E692" s="24"/>
      <c r="G692" s="24"/>
      <c r="H692" s="24"/>
      <c r="J692" s="24"/>
      <c r="K692" s="24"/>
      <c r="M692" s="24"/>
      <c r="N692" s="24"/>
      <c r="P692" s="24"/>
    </row>
    <row r="693" spans="2:16" x14ac:dyDescent="0.25">
      <c r="B693" s="24"/>
      <c r="E693" s="24"/>
      <c r="G693" s="24"/>
      <c r="H693" s="24"/>
      <c r="J693" s="24"/>
      <c r="K693" s="24"/>
      <c r="M693" s="24"/>
      <c r="N693" s="24"/>
      <c r="P693" s="24"/>
    </row>
    <row r="694" spans="2:16" x14ac:dyDescent="0.25">
      <c r="B694" s="24"/>
      <c r="E694" s="24"/>
      <c r="G694" s="24"/>
      <c r="H694" s="24"/>
      <c r="J694" s="24"/>
      <c r="K694" s="24"/>
      <c r="M694" s="24"/>
      <c r="N694" s="24"/>
      <c r="P694" s="24"/>
    </row>
    <row r="695" spans="2:16" x14ac:dyDescent="0.25">
      <c r="B695" s="24"/>
      <c r="E695" s="24"/>
      <c r="G695" s="24"/>
      <c r="H695" s="24"/>
      <c r="J695" s="24"/>
      <c r="K695" s="24"/>
      <c r="M695" s="24"/>
      <c r="N695" s="24"/>
      <c r="P695" s="24"/>
    </row>
    <row r="696" spans="2:16" x14ac:dyDescent="0.25">
      <c r="B696" s="24"/>
      <c r="E696" s="24"/>
      <c r="G696" s="24"/>
      <c r="H696" s="24"/>
      <c r="J696" s="24"/>
      <c r="K696" s="24"/>
      <c r="M696" s="24"/>
      <c r="N696" s="24"/>
      <c r="P696" s="24"/>
    </row>
    <row r="697" spans="2:16" x14ac:dyDescent="0.25">
      <c r="B697" s="24"/>
      <c r="E697" s="24"/>
      <c r="G697" s="24"/>
      <c r="H697" s="24"/>
      <c r="J697" s="24"/>
      <c r="K697" s="24"/>
      <c r="M697" s="24"/>
      <c r="N697" s="24"/>
      <c r="P697" s="24"/>
    </row>
    <row r="698" spans="2:16" x14ac:dyDescent="0.25">
      <c r="B698" s="24"/>
      <c r="E698" s="24"/>
      <c r="G698" s="24"/>
      <c r="H698" s="24"/>
      <c r="J698" s="24"/>
      <c r="K698" s="24"/>
      <c r="M698" s="24"/>
      <c r="N698" s="24"/>
      <c r="P698" s="24"/>
    </row>
    <row r="699" spans="2:16" x14ac:dyDescent="0.25">
      <c r="B699" s="24"/>
      <c r="E699" s="24"/>
      <c r="G699" s="24"/>
      <c r="H699" s="24"/>
      <c r="J699" s="24"/>
      <c r="K699" s="24"/>
      <c r="M699" s="24"/>
      <c r="N699" s="24"/>
      <c r="P699" s="24"/>
    </row>
    <row r="700" spans="2:16" x14ac:dyDescent="0.25">
      <c r="B700" s="24"/>
      <c r="E700" s="24"/>
      <c r="G700" s="24"/>
      <c r="H700" s="24"/>
      <c r="J700" s="24"/>
      <c r="K700" s="24"/>
      <c r="M700" s="24"/>
      <c r="N700" s="24"/>
      <c r="P700" s="24"/>
    </row>
    <row r="701" spans="2:16" x14ac:dyDescent="0.25">
      <c r="B701" s="24"/>
      <c r="E701" s="24"/>
      <c r="G701" s="24"/>
      <c r="H701" s="24"/>
      <c r="J701" s="24"/>
      <c r="K701" s="24"/>
      <c r="M701" s="24"/>
      <c r="N701" s="24"/>
      <c r="P701" s="24"/>
    </row>
    <row r="702" spans="2:16" x14ac:dyDescent="0.25">
      <c r="B702" s="24"/>
      <c r="E702" s="24"/>
      <c r="G702" s="24"/>
      <c r="H702" s="24"/>
      <c r="J702" s="24"/>
      <c r="K702" s="24"/>
      <c r="M702" s="24"/>
      <c r="N702" s="24"/>
      <c r="P702" s="24"/>
    </row>
    <row r="703" spans="2:16" x14ac:dyDescent="0.25">
      <c r="B703" s="24"/>
      <c r="E703" s="24"/>
      <c r="G703" s="24"/>
      <c r="H703" s="24"/>
      <c r="J703" s="24"/>
      <c r="K703" s="24"/>
      <c r="M703" s="24"/>
      <c r="N703" s="24"/>
      <c r="P703" s="24"/>
    </row>
    <row r="704" spans="2:16" x14ac:dyDescent="0.25">
      <c r="B704" s="24"/>
      <c r="E704" s="24"/>
      <c r="G704" s="24"/>
      <c r="H704" s="24"/>
      <c r="J704" s="24"/>
      <c r="K704" s="24"/>
      <c r="M704" s="24"/>
      <c r="N704" s="24"/>
      <c r="P704" s="24"/>
    </row>
    <row r="705" spans="2:16" x14ac:dyDescent="0.25">
      <c r="B705" s="24"/>
      <c r="E705" s="24"/>
      <c r="G705" s="24"/>
      <c r="H705" s="24"/>
      <c r="J705" s="24"/>
      <c r="K705" s="24"/>
      <c r="M705" s="24"/>
      <c r="N705" s="24"/>
      <c r="P705" s="24"/>
    </row>
    <row r="706" spans="2:16" x14ac:dyDescent="0.25">
      <c r="B706" s="24"/>
      <c r="E706" s="24"/>
      <c r="G706" s="24"/>
      <c r="H706" s="24"/>
      <c r="J706" s="24"/>
      <c r="K706" s="24"/>
      <c r="M706" s="24"/>
      <c r="N706" s="24"/>
      <c r="P706" s="24"/>
    </row>
    <row r="707" spans="2:16" x14ac:dyDescent="0.25">
      <c r="B707" s="24"/>
      <c r="E707" s="24"/>
      <c r="G707" s="24"/>
      <c r="H707" s="24"/>
      <c r="J707" s="24"/>
      <c r="K707" s="24"/>
      <c r="M707" s="24"/>
      <c r="N707" s="24"/>
      <c r="P707" s="24"/>
    </row>
    <row r="708" spans="2:16" x14ac:dyDescent="0.25">
      <c r="B708" s="24"/>
      <c r="E708" s="24"/>
      <c r="G708" s="24"/>
      <c r="H708" s="24"/>
      <c r="J708" s="24"/>
      <c r="K708" s="24"/>
      <c r="M708" s="24"/>
      <c r="N708" s="24"/>
      <c r="P708" s="24"/>
    </row>
    <row r="709" spans="2:16" x14ac:dyDescent="0.25">
      <c r="B709" s="24"/>
      <c r="E709" s="24"/>
      <c r="G709" s="24"/>
      <c r="H709" s="24"/>
      <c r="J709" s="24"/>
      <c r="K709" s="24"/>
      <c r="M709" s="24"/>
      <c r="N709" s="24"/>
      <c r="P709" s="24"/>
    </row>
    <row r="710" spans="2:16" x14ac:dyDescent="0.25">
      <c r="B710" s="24"/>
      <c r="E710" s="24"/>
      <c r="G710" s="24"/>
      <c r="H710" s="24"/>
      <c r="J710" s="24"/>
      <c r="K710" s="24"/>
      <c r="M710" s="24"/>
      <c r="N710" s="24"/>
      <c r="P710" s="24"/>
    </row>
    <row r="711" spans="2:16" x14ac:dyDescent="0.25">
      <c r="B711" s="24"/>
      <c r="E711" s="24"/>
      <c r="G711" s="24"/>
      <c r="H711" s="24"/>
      <c r="J711" s="24"/>
      <c r="K711" s="24"/>
      <c r="M711" s="24"/>
      <c r="N711" s="24"/>
      <c r="P711" s="24"/>
    </row>
    <row r="712" spans="2:16" x14ac:dyDescent="0.25">
      <c r="B712" s="24"/>
      <c r="E712" s="24"/>
      <c r="G712" s="24"/>
      <c r="H712" s="24"/>
      <c r="J712" s="24"/>
      <c r="K712" s="24"/>
      <c r="M712" s="24"/>
      <c r="N712" s="24"/>
      <c r="P712" s="24"/>
    </row>
    <row r="713" spans="2:16" x14ac:dyDescent="0.25">
      <c r="B713" s="24"/>
      <c r="E713" s="24"/>
      <c r="G713" s="24"/>
      <c r="H713" s="24"/>
      <c r="J713" s="24"/>
      <c r="K713" s="24"/>
      <c r="M713" s="24"/>
      <c r="N713" s="24"/>
      <c r="P713" s="24"/>
    </row>
    <row r="714" spans="2:16" x14ac:dyDescent="0.25">
      <c r="B714" s="24"/>
      <c r="E714" s="24"/>
      <c r="G714" s="24"/>
      <c r="H714" s="24"/>
      <c r="J714" s="24"/>
      <c r="K714" s="24"/>
      <c r="M714" s="24"/>
      <c r="N714" s="24"/>
      <c r="P714" s="24"/>
    </row>
    <row r="715" spans="2:16" x14ac:dyDescent="0.25">
      <c r="B715" s="24"/>
      <c r="E715" s="24"/>
      <c r="G715" s="24"/>
      <c r="H715" s="24"/>
      <c r="J715" s="24"/>
      <c r="K715" s="24"/>
      <c r="M715" s="24"/>
      <c r="N715" s="24"/>
      <c r="P715" s="24"/>
    </row>
    <row r="716" spans="2:16" x14ac:dyDescent="0.25">
      <c r="B716" s="24"/>
      <c r="E716" s="24"/>
      <c r="G716" s="24"/>
      <c r="H716" s="24"/>
      <c r="J716" s="24"/>
      <c r="K716" s="24"/>
      <c r="M716" s="24"/>
      <c r="N716" s="24"/>
      <c r="P716" s="24"/>
    </row>
    <row r="717" spans="2:16" x14ac:dyDescent="0.25">
      <c r="B717" s="24"/>
      <c r="E717" s="24"/>
      <c r="G717" s="24"/>
      <c r="H717" s="24"/>
      <c r="J717" s="24"/>
      <c r="K717" s="24"/>
      <c r="M717" s="24"/>
      <c r="N717" s="24"/>
      <c r="P717" s="24"/>
    </row>
    <row r="718" spans="2:16" x14ac:dyDescent="0.25">
      <c r="B718" s="24"/>
      <c r="E718" s="24"/>
      <c r="G718" s="24"/>
      <c r="H718" s="24"/>
      <c r="J718" s="24"/>
      <c r="K718" s="24"/>
      <c r="M718" s="24"/>
      <c r="N718" s="24"/>
      <c r="P718" s="24"/>
    </row>
    <row r="719" spans="2:16" x14ac:dyDescent="0.25">
      <c r="B719" s="24"/>
      <c r="E719" s="24"/>
      <c r="G719" s="24"/>
      <c r="H719" s="24"/>
      <c r="J719" s="24"/>
      <c r="K719" s="24"/>
      <c r="M719" s="24"/>
      <c r="N719" s="24"/>
      <c r="P719" s="24"/>
    </row>
    <row r="720" spans="2:16" x14ac:dyDescent="0.25">
      <c r="B720" s="24"/>
      <c r="E720" s="24"/>
      <c r="G720" s="24"/>
      <c r="H720" s="24"/>
      <c r="J720" s="24"/>
      <c r="K720" s="24"/>
      <c r="M720" s="24"/>
      <c r="N720" s="24"/>
      <c r="P720" s="24"/>
    </row>
    <row r="721" spans="2:16" x14ac:dyDescent="0.25">
      <c r="B721" s="24"/>
      <c r="E721" s="24"/>
      <c r="G721" s="24"/>
      <c r="H721" s="24"/>
      <c r="J721" s="24"/>
      <c r="K721" s="24"/>
      <c r="M721" s="24"/>
      <c r="N721" s="24"/>
      <c r="P721" s="24"/>
    </row>
    <row r="722" spans="2:16" x14ac:dyDescent="0.25">
      <c r="B722" s="24"/>
      <c r="E722" s="24"/>
      <c r="G722" s="24"/>
      <c r="H722" s="24"/>
      <c r="J722" s="24"/>
      <c r="K722" s="24"/>
      <c r="M722" s="24"/>
      <c r="N722" s="24"/>
      <c r="P722" s="24"/>
    </row>
    <row r="723" spans="2:16" x14ac:dyDescent="0.25">
      <c r="B723" s="24"/>
      <c r="E723" s="24"/>
      <c r="G723" s="24"/>
      <c r="H723" s="24"/>
      <c r="J723" s="24"/>
      <c r="K723" s="24"/>
      <c r="M723" s="24"/>
      <c r="N723" s="24"/>
      <c r="P723" s="24"/>
    </row>
    <row r="724" spans="2:16" x14ac:dyDescent="0.25">
      <c r="B724" s="24"/>
      <c r="E724" s="24"/>
      <c r="G724" s="24"/>
      <c r="H724" s="24"/>
      <c r="J724" s="24"/>
      <c r="K724" s="24"/>
      <c r="M724" s="24"/>
      <c r="N724" s="24"/>
      <c r="P724" s="24"/>
    </row>
    <row r="725" spans="2:16" x14ac:dyDescent="0.25">
      <c r="B725" s="24"/>
      <c r="E725" s="24"/>
      <c r="G725" s="24"/>
      <c r="H725" s="24"/>
      <c r="J725" s="24"/>
      <c r="K725" s="24"/>
      <c r="M725" s="24"/>
      <c r="N725" s="24"/>
      <c r="P725" s="24"/>
    </row>
    <row r="726" spans="2:16" x14ac:dyDescent="0.25">
      <c r="B726" s="24"/>
      <c r="E726" s="24"/>
      <c r="G726" s="24"/>
      <c r="H726" s="24"/>
      <c r="J726" s="24"/>
      <c r="K726" s="24"/>
      <c r="M726" s="24"/>
      <c r="N726" s="24"/>
      <c r="P726" s="24"/>
    </row>
    <row r="727" spans="2:16" x14ac:dyDescent="0.25">
      <c r="B727" s="24"/>
      <c r="E727" s="24"/>
      <c r="G727" s="24"/>
      <c r="H727" s="24"/>
      <c r="J727" s="24"/>
      <c r="K727" s="24"/>
      <c r="M727" s="24"/>
      <c r="N727" s="24"/>
      <c r="P727" s="24"/>
    </row>
    <row r="728" spans="2:16" x14ac:dyDescent="0.25">
      <c r="B728" s="24"/>
      <c r="E728" s="24"/>
      <c r="G728" s="24"/>
      <c r="H728" s="24"/>
      <c r="J728" s="24"/>
      <c r="K728" s="24"/>
      <c r="M728" s="24"/>
      <c r="N728" s="24"/>
      <c r="P728" s="24"/>
    </row>
    <row r="729" spans="2:16" x14ac:dyDescent="0.25">
      <c r="B729" s="24"/>
      <c r="E729" s="24"/>
      <c r="G729" s="24"/>
      <c r="H729" s="24"/>
      <c r="J729" s="24"/>
      <c r="K729" s="24"/>
      <c r="M729" s="24"/>
      <c r="N729" s="24"/>
      <c r="P729" s="24"/>
    </row>
    <row r="730" spans="2:16" x14ac:dyDescent="0.25">
      <c r="B730" s="24"/>
      <c r="E730" s="24"/>
      <c r="G730" s="24"/>
      <c r="H730" s="24"/>
      <c r="J730" s="24"/>
      <c r="K730" s="24"/>
      <c r="M730" s="24"/>
      <c r="N730" s="24"/>
      <c r="P730" s="24"/>
    </row>
    <row r="731" spans="2:16" x14ac:dyDescent="0.25">
      <c r="B731" s="24"/>
      <c r="E731" s="24"/>
      <c r="G731" s="24"/>
      <c r="H731" s="24"/>
      <c r="J731" s="24"/>
      <c r="K731" s="24"/>
      <c r="M731" s="24"/>
      <c r="N731" s="24"/>
      <c r="P731" s="24"/>
    </row>
    <row r="732" spans="2:16" x14ac:dyDescent="0.25">
      <c r="B732" s="24"/>
      <c r="E732" s="24"/>
      <c r="G732" s="24"/>
      <c r="H732" s="24"/>
      <c r="J732" s="24"/>
      <c r="K732" s="24"/>
      <c r="M732" s="24"/>
      <c r="N732" s="24"/>
      <c r="P732" s="24"/>
    </row>
    <row r="733" spans="2:16" x14ac:dyDescent="0.25">
      <c r="B733" s="24"/>
      <c r="E733" s="24"/>
      <c r="G733" s="24"/>
      <c r="H733" s="24"/>
      <c r="J733" s="24"/>
      <c r="K733" s="24"/>
      <c r="M733" s="24"/>
      <c r="N733" s="24"/>
      <c r="P733" s="24"/>
    </row>
    <row r="734" spans="2:16" x14ac:dyDescent="0.25">
      <c r="B734" s="24"/>
      <c r="E734" s="24"/>
      <c r="G734" s="24"/>
      <c r="H734" s="24"/>
      <c r="J734" s="24"/>
      <c r="K734" s="24"/>
      <c r="M734" s="24"/>
      <c r="N734" s="24"/>
      <c r="P734" s="24"/>
    </row>
    <row r="735" spans="2:16" x14ac:dyDescent="0.25">
      <c r="B735" s="24"/>
      <c r="E735" s="24"/>
      <c r="G735" s="24"/>
      <c r="H735" s="24"/>
      <c r="J735" s="24"/>
      <c r="K735" s="24"/>
      <c r="M735" s="24"/>
      <c r="N735" s="24"/>
      <c r="P735" s="24"/>
    </row>
    <row r="736" spans="2:16" x14ac:dyDescent="0.25">
      <c r="B736" s="24"/>
      <c r="E736" s="24"/>
      <c r="G736" s="24"/>
      <c r="H736" s="24"/>
      <c r="J736" s="24"/>
      <c r="K736" s="24"/>
      <c r="M736" s="24"/>
      <c r="N736" s="24"/>
      <c r="P736" s="24"/>
    </row>
    <row r="737" spans="2:16" x14ac:dyDescent="0.25">
      <c r="B737" s="24"/>
      <c r="E737" s="24"/>
      <c r="G737" s="24"/>
      <c r="H737" s="24"/>
      <c r="J737" s="24"/>
      <c r="K737" s="24"/>
      <c r="M737" s="24"/>
      <c r="N737" s="24"/>
      <c r="P737" s="24"/>
    </row>
    <row r="738" spans="2:16" x14ac:dyDescent="0.25">
      <c r="B738" s="24"/>
      <c r="E738" s="24"/>
      <c r="G738" s="24"/>
      <c r="H738" s="24"/>
      <c r="J738" s="24"/>
      <c r="K738" s="24"/>
      <c r="M738" s="24"/>
      <c r="N738" s="24"/>
      <c r="P738" s="24"/>
    </row>
    <row r="739" spans="2:16" x14ac:dyDescent="0.25">
      <c r="B739" s="24"/>
      <c r="E739" s="24"/>
      <c r="G739" s="24"/>
      <c r="H739" s="24"/>
      <c r="J739" s="24"/>
      <c r="K739" s="24"/>
      <c r="M739" s="24"/>
      <c r="N739" s="24"/>
      <c r="P739" s="24"/>
    </row>
    <row r="740" spans="2:16" x14ac:dyDescent="0.25">
      <c r="B740" s="24"/>
      <c r="E740" s="24"/>
      <c r="G740" s="24"/>
      <c r="H740" s="24"/>
      <c r="J740" s="24"/>
      <c r="K740" s="24"/>
      <c r="M740" s="24"/>
      <c r="N740" s="24"/>
      <c r="P740" s="24"/>
    </row>
    <row r="741" spans="2:16" x14ac:dyDescent="0.25">
      <c r="B741" s="24"/>
      <c r="E741" s="24"/>
      <c r="G741" s="24"/>
      <c r="H741" s="24"/>
      <c r="J741" s="24"/>
      <c r="K741" s="24"/>
      <c r="M741" s="24"/>
      <c r="N741" s="24"/>
      <c r="P741" s="24"/>
    </row>
    <row r="742" spans="2:16" x14ac:dyDescent="0.25">
      <c r="B742" s="24"/>
      <c r="E742" s="24"/>
      <c r="G742" s="24"/>
      <c r="H742" s="24"/>
      <c r="J742" s="24"/>
      <c r="K742" s="24"/>
      <c r="M742" s="24"/>
      <c r="N742" s="24"/>
      <c r="P742" s="24"/>
    </row>
    <row r="743" spans="2:16" x14ac:dyDescent="0.25">
      <c r="B743" s="24"/>
      <c r="E743" s="24"/>
      <c r="G743" s="24"/>
      <c r="H743" s="24"/>
      <c r="J743" s="24"/>
      <c r="K743" s="24"/>
      <c r="M743" s="24"/>
      <c r="N743" s="24"/>
      <c r="P743" s="24"/>
    </row>
    <row r="744" spans="2:16" x14ac:dyDescent="0.25">
      <c r="B744" s="24"/>
      <c r="E744" s="24"/>
      <c r="G744" s="24"/>
      <c r="H744" s="24"/>
      <c r="J744" s="24"/>
      <c r="K744" s="24"/>
      <c r="M744" s="24"/>
      <c r="N744" s="24"/>
      <c r="P744" s="24"/>
    </row>
    <row r="745" spans="2:16" x14ac:dyDescent="0.25">
      <c r="B745" s="24"/>
      <c r="E745" s="24"/>
      <c r="G745" s="24"/>
      <c r="H745" s="24"/>
      <c r="J745" s="24"/>
      <c r="K745" s="24"/>
      <c r="M745" s="24"/>
      <c r="N745" s="24"/>
      <c r="P745" s="24"/>
    </row>
    <row r="746" spans="2:16" x14ac:dyDescent="0.25">
      <c r="B746" s="24"/>
      <c r="E746" s="24"/>
      <c r="G746" s="24"/>
      <c r="H746" s="24"/>
      <c r="J746" s="24"/>
      <c r="K746" s="24"/>
      <c r="M746" s="24"/>
      <c r="N746" s="24"/>
      <c r="P746" s="24"/>
    </row>
    <row r="747" spans="2:16" x14ac:dyDescent="0.25">
      <c r="B747" s="24"/>
      <c r="E747" s="24"/>
      <c r="G747" s="24"/>
      <c r="H747" s="24"/>
      <c r="J747" s="24"/>
      <c r="K747" s="24"/>
      <c r="M747" s="24"/>
      <c r="N747" s="24"/>
      <c r="P747" s="24"/>
    </row>
    <row r="748" spans="2:16" x14ac:dyDescent="0.25">
      <c r="B748" s="24"/>
      <c r="E748" s="24"/>
      <c r="G748" s="24"/>
      <c r="H748" s="24"/>
      <c r="J748" s="24"/>
      <c r="K748" s="24"/>
      <c r="M748" s="24"/>
      <c r="N748" s="24"/>
      <c r="P748" s="24"/>
    </row>
    <row r="749" spans="2:16" x14ac:dyDescent="0.25">
      <c r="B749" s="24"/>
      <c r="E749" s="24"/>
      <c r="G749" s="24"/>
      <c r="H749" s="24"/>
      <c r="J749" s="24"/>
      <c r="K749" s="24"/>
      <c r="M749" s="24"/>
      <c r="N749" s="24"/>
      <c r="P749" s="24"/>
    </row>
    <row r="750" spans="2:16" x14ac:dyDescent="0.25">
      <c r="B750" s="24"/>
      <c r="E750" s="24"/>
      <c r="G750" s="24"/>
      <c r="H750" s="24"/>
      <c r="J750" s="24"/>
      <c r="K750" s="24"/>
      <c r="M750" s="24"/>
      <c r="N750" s="24"/>
      <c r="P750" s="24"/>
    </row>
    <row r="751" spans="2:16" x14ac:dyDescent="0.25">
      <c r="B751" s="24"/>
      <c r="E751" s="24"/>
      <c r="G751" s="24"/>
      <c r="H751" s="24"/>
      <c r="J751" s="24"/>
      <c r="K751" s="24"/>
      <c r="M751" s="24"/>
      <c r="N751" s="24"/>
      <c r="P751" s="24"/>
    </row>
    <row r="752" spans="2:16" x14ac:dyDescent="0.25">
      <c r="B752" s="24"/>
      <c r="E752" s="24"/>
      <c r="G752" s="24"/>
      <c r="H752" s="24"/>
      <c r="J752" s="24"/>
      <c r="K752" s="24"/>
      <c r="M752" s="24"/>
      <c r="N752" s="24"/>
      <c r="P752" s="24"/>
    </row>
    <row r="753" spans="2:16" x14ac:dyDescent="0.25">
      <c r="B753" s="24"/>
      <c r="E753" s="24"/>
      <c r="G753" s="24"/>
      <c r="H753" s="24"/>
      <c r="J753" s="24"/>
      <c r="K753" s="24"/>
      <c r="M753" s="24"/>
      <c r="N753" s="24"/>
      <c r="P753" s="24"/>
    </row>
    <row r="754" spans="2:16" x14ac:dyDescent="0.25">
      <c r="B754" s="24"/>
      <c r="E754" s="24"/>
      <c r="G754" s="24"/>
      <c r="H754" s="24"/>
      <c r="J754" s="24"/>
      <c r="K754" s="24"/>
      <c r="M754" s="24"/>
      <c r="N754" s="24"/>
      <c r="P754" s="24"/>
    </row>
    <row r="755" spans="2:16" x14ac:dyDescent="0.25">
      <c r="B755" s="24"/>
      <c r="E755" s="24"/>
      <c r="G755" s="24"/>
      <c r="H755" s="24"/>
      <c r="J755" s="24"/>
      <c r="K755" s="24"/>
      <c r="M755" s="24"/>
      <c r="N755" s="24"/>
      <c r="P755" s="24"/>
    </row>
    <row r="756" spans="2:16" x14ac:dyDescent="0.25">
      <c r="B756" s="24"/>
      <c r="E756" s="24"/>
      <c r="G756" s="24"/>
      <c r="H756" s="24"/>
      <c r="J756" s="24"/>
      <c r="K756" s="24"/>
      <c r="M756" s="24"/>
      <c r="N756" s="24"/>
      <c r="P756" s="24"/>
    </row>
    <row r="757" spans="2:16" x14ac:dyDescent="0.25">
      <c r="B757" s="24"/>
      <c r="E757" s="24"/>
      <c r="G757" s="24"/>
      <c r="H757" s="24"/>
      <c r="J757" s="24"/>
      <c r="K757" s="24"/>
      <c r="M757" s="24"/>
      <c r="N757" s="24"/>
      <c r="P757" s="24"/>
    </row>
    <row r="758" spans="2:16" x14ac:dyDescent="0.25">
      <c r="B758" s="24"/>
      <c r="E758" s="24"/>
      <c r="G758" s="24"/>
      <c r="H758" s="24"/>
      <c r="J758" s="24"/>
      <c r="K758" s="24"/>
      <c r="M758" s="24"/>
      <c r="N758" s="24"/>
      <c r="P758" s="24"/>
    </row>
    <row r="759" spans="2:16" x14ac:dyDescent="0.25">
      <c r="B759" s="24"/>
      <c r="E759" s="24"/>
      <c r="G759" s="24"/>
      <c r="H759" s="24"/>
      <c r="J759" s="24"/>
      <c r="K759" s="24"/>
      <c r="M759" s="24"/>
      <c r="N759" s="24"/>
      <c r="P759" s="24"/>
    </row>
    <row r="760" spans="2:16" x14ac:dyDescent="0.25">
      <c r="B760" s="24"/>
      <c r="E760" s="24"/>
      <c r="G760" s="24"/>
      <c r="H760" s="24"/>
      <c r="J760" s="24"/>
      <c r="K760" s="24"/>
      <c r="M760" s="24"/>
      <c r="N760" s="24"/>
      <c r="P760" s="24"/>
    </row>
    <row r="761" spans="2:16" x14ac:dyDescent="0.25">
      <c r="B761" s="24"/>
      <c r="E761" s="24"/>
      <c r="G761" s="24"/>
      <c r="H761" s="24"/>
      <c r="J761" s="24"/>
      <c r="K761" s="24"/>
      <c r="M761" s="24"/>
      <c r="N761" s="24"/>
      <c r="P761" s="24"/>
    </row>
    <row r="762" spans="2:16" x14ac:dyDescent="0.25">
      <c r="B762" s="24"/>
      <c r="E762" s="24"/>
      <c r="G762" s="24"/>
      <c r="H762" s="24"/>
      <c r="J762" s="24"/>
      <c r="K762" s="24"/>
      <c r="M762" s="24"/>
      <c r="N762" s="24"/>
      <c r="P762" s="24"/>
    </row>
    <row r="763" spans="2:16" x14ac:dyDescent="0.25">
      <c r="B763" s="24"/>
      <c r="E763" s="24"/>
      <c r="G763" s="24"/>
      <c r="H763" s="24"/>
      <c r="J763" s="24"/>
      <c r="K763" s="24"/>
      <c r="M763" s="24"/>
      <c r="N763" s="24"/>
      <c r="P763" s="24"/>
    </row>
    <row r="764" spans="2:16" x14ac:dyDescent="0.25">
      <c r="B764" s="24"/>
      <c r="E764" s="24"/>
      <c r="G764" s="24"/>
      <c r="H764" s="24"/>
      <c r="J764" s="24"/>
      <c r="K764" s="24"/>
      <c r="M764" s="24"/>
      <c r="N764" s="24"/>
      <c r="P764" s="24"/>
    </row>
    <row r="765" spans="2:16" x14ac:dyDescent="0.25">
      <c r="B765" s="24"/>
      <c r="E765" s="24"/>
      <c r="G765" s="24"/>
      <c r="H765" s="24"/>
      <c r="J765" s="24"/>
      <c r="K765" s="24"/>
      <c r="M765" s="24"/>
      <c r="N765" s="24"/>
      <c r="P765" s="24"/>
    </row>
    <row r="766" spans="2:16" x14ac:dyDescent="0.25">
      <c r="B766" s="24"/>
      <c r="E766" s="24"/>
      <c r="G766" s="24"/>
      <c r="H766" s="24"/>
      <c r="J766" s="24"/>
      <c r="K766" s="24"/>
      <c r="M766" s="24"/>
      <c r="N766" s="24"/>
      <c r="P766" s="24"/>
    </row>
    <row r="767" spans="2:16" x14ac:dyDescent="0.25">
      <c r="B767" s="24"/>
      <c r="E767" s="24"/>
      <c r="G767" s="24"/>
      <c r="H767" s="24"/>
      <c r="J767" s="24"/>
      <c r="K767" s="24"/>
      <c r="M767" s="24"/>
      <c r="N767" s="24"/>
      <c r="P767" s="24"/>
    </row>
    <row r="768" spans="2:16" x14ac:dyDescent="0.25">
      <c r="B768" s="24"/>
      <c r="E768" s="24"/>
      <c r="G768" s="24"/>
      <c r="H768" s="24"/>
      <c r="J768" s="24"/>
      <c r="K768" s="24"/>
      <c r="M768" s="24"/>
      <c r="N768" s="24"/>
      <c r="P768" s="24"/>
    </row>
    <row r="769" spans="2:16" x14ac:dyDescent="0.25">
      <c r="B769" s="24"/>
      <c r="E769" s="24"/>
      <c r="G769" s="24"/>
      <c r="H769" s="24"/>
      <c r="J769" s="24"/>
      <c r="K769" s="24"/>
      <c r="M769" s="24"/>
      <c r="N769" s="24"/>
      <c r="P769" s="24"/>
    </row>
    <row r="770" spans="2:16" x14ac:dyDescent="0.25">
      <c r="B770" s="24"/>
      <c r="E770" s="24"/>
      <c r="G770" s="24"/>
      <c r="H770" s="24"/>
      <c r="J770" s="24"/>
      <c r="K770" s="24"/>
      <c r="M770" s="24"/>
      <c r="N770" s="24"/>
      <c r="P770" s="24"/>
    </row>
    <row r="771" spans="2:16" x14ac:dyDescent="0.25">
      <c r="B771" s="24"/>
      <c r="E771" s="24"/>
      <c r="G771" s="24"/>
      <c r="H771" s="24"/>
      <c r="J771" s="24"/>
      <c r="K771" s="24"/>
      <c r="M771" s="24"/>
      <c r="N771" s="24"/>
      <c r="P771" s="24"/>
    </row>
    <row r="772" spans="2:16" x14ac:dyDescent="0.25">
      <c r="B772" s="24"/>
      <c r="E772" s="24"/>
      <c r="G772" s="24"/>
      <c r="H772" s="24"/>
      <c r="J772" s="24"/>
      <c r="K772" s="24"/>
      <c r="M772" s="24"/>
      <c r="N772" s="24"/>
      <c r="P772" s="24"/>
    </row>
    <row r="773" spans="2:16" x14ac:dyDescent="0.25">
      <c r="B773" s="24"/>
      <c r="E773" s="24"/>
      <c r="G773" s="24"/>
      <c r="H773" s="24"/>
      <c r="J773" s="24"/>
      <c r="K773" s="24"/>
      <c r="M773" s="24"/>
      <c r="N773" s="24"/>
      <c r="P773" s="24"/>
    </row>
    <row r="774" spans="2:16" x14ac:dyDescent="0.25">
      <c r="B774" s="24"/>
      <c r="E774" s="24"/>
      <c r="G774" s="24"/>
      <c r="H774" s="24"/>
      <c r="J774" s="24"/>
      <c r="K774" s="24"/>
      <c r="M774" s="24"/>
      <c r="N774" s="24"/>
      <c r="P774" s="24"/>
    </row>
    <row r="775" spans="2:16" x14ac:dyDescent="0.25">
      <c r="B775" s="24"/>
      <c r="E775" s="24"/>
      <c r="G775" s="24"/>
      <c r="H775" s="24"/>
      <c r="J775" s="24"/>
      <c r="K775" s="24"/>
      <c r="M775" s="24"/>
      <c r="N775" s="24"/>
      <c r="P775" s="24"/>
    </row>
    <row r="776" spans="2:16" x14ac:dyDescent="0.25">
      <c r="B776" s="24"/>
      <c r="E776" s="24"/>
      <c r="G776" s="24"/>
      <c r="H776" s="24"/>
      <c r="J776" s="24"/>
      <c r="K776" s="24"/>
      <c r="M776" s="24"/>
      <c r="N776" s="24"/>
      <c r="P776" s="24"/>
    </row>
    <row r="777" spans="2:16" x14ac:dyDescent="0.25">
      <c r="B777" s="24"/>
      <c r="E777" s="24"/>
      <c r="G777" s="24"/>
      <c r="H777" s="24"/>
      <c r="J777" s="24"/>
      <c r="K777" s="24"/>
      <c r="M777" s="24"/>
      <c r="N777" s="24"/>
      <c r="P777" s="24"/>
    </row>
    <row r="778" spans="2:16" x14ac:dyDescent="0.25">
      <c r="B778" s="24"/>
      <c r="E778" s="24"/>
      <c r="G778" s="24"/>
      <c r="H778" s="24"/>
      <c r="J778" s="24"/>
      <c r="K778" s="24"/>
      <c r="M778" s="24"/>
      <c r="N778" s="24"/>
      <c r="P778" s="24"/>
    </row>
    <row r="779" spans="2:16" x14ac:dyDescent="0.25">
      <c r="B779" s="24"/>
      <c r="E779" s="24"/>
      <c r="G779" s="24"/>
      <c r="H779" s="24"/>
      <c r="J779" s="24"/>
      <c r="K779" s="24"/>
      <c r="M779" s="24"/>
      <c r="N779" s="24"/>
      <c r="P779" s="24"/>
    </row>
    <row r="780" spans="2:16" x14ac:dyDescent="0.25">
      <c r="B780" s="24"/>
      <c r="E780" s="24"/>
      <c r="G780" s="24"/>
      <c r="H780" s="24"/>
      <c r="J780" s="24"/>
      <c r="K780" s="24"/>
      <c r="M780" s="24"/>
      <c r="N780" s="24"/>
      <c r="P780" s="24"/>
    </row>
    <row r="781" spans="2:16" x14ac:dyDescent="0.25">
      <c r="B781" s="24"/>
      <c r="E781" s="24"/>
      <c r="G781" s="24"/>
      <c r="H781" s="24"/>
      <c r="J781" s="24"/>
      <c r="K781" s="24"/>
      <c r="M781" s="24"/>
      <c r="N781" s="24"/>
      <c r="P781" s="24"/>
    </row>
    <row r="782" spans="2:16" x14ac:dyDescent="0.25">
      <c r="B782" s="24"/>
      <c r="E782" s="24"/>
      <c r="G782" s="24"/>
      <c r="H782" s="24"/>
      <c r="J782" s="24"/>
      <c r="K782" s="24"/>
      <c r="M782" s="24"/>
      <c r="N782" s="24"/>
      <c r="P782" s="24"/>
    </row>
    <row r="783" spans="2:16" x14ac:dyDescent="0.25">
      <c r="B783" s="24"/>
      <c r="E783" s="24"/>
      <c r="G783" s="24"/>
      <c r="H783" s="24"/>
      <c r="J783" s="24"/>
      <c r="K783" s="24"/>
      <c r="M783" s="24"/>
      <c r="N783" s="24"/>
      <c r="P783" s="24"/>
    </row>
    <row r="784" spans="2:16" x14ac:dyDescent="0.25">
      <c r="B784" s="24"/>
      <c r="E784" s="24"/>
      <c r="G784" s="24"/>
      <c r="H784" s="24"/>
      <c r="J784" s="24"/>
      <c r="K784" s="24"/>
      <c r="M784" s="24"/>
      <c r="N784" s="24"/>
      <c r="P784" s="24"/>
    </row>
    <row r="785" spans="2:16" x14ac:dyDescent="0.25">
      <c r="B785" s="24"/>
      <c r="E785" s="24"/>
      <c r="G785" s="24"/>
      <c r="H785" s="24"/>
      <c r="J785" s="24"/>
      <c r="K785" s="24"/>
      <c r="M785" s="24"/>
      <c r="N785" s="24"/>
      <c r="P785" s="24"/>
    </row>
    <row r="786" spans="2:16" x14ac:dyDescent="0.25">
      <c r="B786" s="24"/>
      <c r="E786" s="24"/>
      <c r="G786" s="24"/>
      <c r="H786" s="24"/>
      <c r="J786" s="24"/>
      <c r="K786" s="24"/>
      <c r="M786" s="24"/>
      <c r="N786" s="24"/>
      <c r="P786" s="24"/>
    </row>
    <row r="787" spans="2:16" x14ac:dyDescent="0.25">
      <c r="B787" s="24"/>
      <c r="E787" s="24"/>
      <c r="G787" s="24"/>
      <c r="H787" s="24"/>
      <c r="J787" s="24"/>
      <c r="K787" s="24"/>
      <c r="M787" s="24"/>
      <c r="N787" s="24"/>
      <c r="P787" s="24"/>
    </row>
    <row r="788" spans="2:16" x14ac:dyDescent="0.25">
      <c r="B788" s="24"/>
      <c r="E788" s="24"/>
      <c r="G788" s="24"/>
      <c r="H788" s="24"/>
      <c r="J788" s="24"/>
      <c r="K788" s="24"/>
      <c r="M788" s="24"/>
      <c r="N788" s="24"/>
      <c r="P788" s="24"/>
    </row>
    <row r="789" spans="2:16" x14ac:dyDescent="0.25">
      <c r="B789" s="24"/>
      <c r="E789" s="24"/>
      <c r="G789" s="24"/>
      <c r="H789" s="24"/>
      <c r="J789" s="24"/>
      <c r="K789" s="24"/>
      <c r="M789" s="24"/>
      <c r="N789" s="24"/>
      <c r="P789" s="24"/>
    </row>
    <row r="790" spans="2:16" x14ac:dyDescent="0.25">
      <c r="B790" s="24"/>
      <c r="E790" s="24"/>
      <c r="G790" s="24"/>
      <c r="H790" s="24"/>
      <c r="J790" s="24"/>
      <c r="K790" s="24"/>
      <c r="M790" s="24"/>
      <c r="N790" s="24"/>
      <c r="P790" s="24"/>
    </row>
    <row r="791" spans="2:16" x14ac:dyDescent="0.25">
      <c r="B791" s="24"/>
      <c r="E791" s="24"/>
      <c r="G791" s="24"/>
      <c r="H791" s="24"/>
      <c r="J791" s="24"/>
      <c r="K791" s="24"/>
      <c r="M791" s="24"/>
      <c r="N791" s="24"/>
      <c r="P791" s="24"/>
    </row>
    <row r="792" spans="2:16" x14ac:dyDescent="0.25">
      <c r="B792" s="24"/>
      <c r="E792" s="24"/>
      <c r="G792" s="24"/>
      <c r="H792" s="24"/>
      <c r="J792" s="24"/>
      <c r="K792" s="24"/>
      <c r="M792" s="24"/>
      <c r="N792" s="24"/>
      <c r="P792" s="24"/>
    </row>
    <row r="793" spans="2:16" x14ac:dyDescent="0.25">
      <c r="B793" s="24"/>
      <c r="E793" s="24"/>
      <c r="G793" s="24"/>
      <c r="H793" s="24"/>
      <c r="J793" s="24"/>
      <c r="K793" s="24"/>
      <c r="M793" s="24"/>
      <c r="N793" s="24"/>
      <c r="P793" s="24"/>
    </row>
    <row r="794" spans="2:16" x14ac:dyDescent="0.25">
      <c r="B794" s="24"/>
      <c r="E794" s="24"/>
      <c r="G794" s="24"/>
      <c r="H794" s="24"/>
      <c r="J794" s="24"/>
      <c r="K794" s="24"/>
      <c r="M794" s="24"/>
      <c r="N794" s="24"/>
      <c r="P794" s="24"/>
    </row>
    <row r="795" spans="2:16" x14ac:dyDescent="0.25">
      <c r="B795" s="24"/>
      <c r="E795" s="24"/>
      <c r="G795" s="24"/>
      <c r="H795" s="24"/>
      <c r="J795" s="24"/>
      <c r="K795" s="24"/>
      <c r="M795" s="24"/>
      <c r="N795" s="24"/>
      <c r="P795" s="24"/>
    </row>
    <row r="796" spans="2:16" x14ac:dyDescent="0.25">
      <c r="B796" s="24"/>
      <c r="E796" s="24"/>
      <c r="G796" s="24"/>
      <c r="H796" s="24"/>
      <c r="J796" s="24"/>
      <c r="K796" s="24"/>
      <c r="M796" s="24"/>
      <c r="N796" s="24"/>
      <c r="P796" s="24"/>
    </row>
    <row r="797" spans="2:16" x14ac:dyDescent="0.25">
      <c r="B797" s="24"/>
      <c r="E797" s="24"/>
      <c r="G797" s="24"/>
      <c r="H797" s="24"/>
      <c r="J797" s="24"/>
      <c r="K797" s="24"/>
      <c r="M797" s="24"/>
      <c r="N797" s="24"/>
      <c r="P797" s="24"/>
    </row>
    <row r="798" spans="2:16" x14ac:dyDescent="0.25">
      <c r="B798" s="24"/>
      <c r="E798" s="24"/>
      <c r="G798" s="24"/>
      <c r="H798" s="24"/>
      <c r="J798" s="24"/>
      <c r="K798" s="24"/>
      <c r="M798" s="24"/>
      <c r="N798" s="24"/>
      <c r="P798" s="24"/>
    </row>
    <row r="799" spans="2:16" x14ac:dyDescent="0.25">
      <c r="B799" s="24"/>
      <c r="E799" s="24"/>
      <c r="G799" s="24"/>
      <c r="H799" s="24"/>
      <c r="J799" s="24"/>
      <c r="K799" s="24"/>
      <c r="M799" s="24"/>
      <c r="N799" s="24"/>
      <c r="P799" s="24"/>
    </row>
    <row r="800" spans="2:16" x14ac:dyDescent="0.25">
      <c r="B800" s="24"/>
      <c r="E800" s="24"/>
      <c r="G800" s="24"/>
      <c r="H800" s="24"/>
      <c r="J800" s="24"/>
      <c r="K800" s="24"/>
      <c r="M800" s="24"/>
      <c r="N800" s="24"/>
      <c r="P800" s="24"/>
    </row>
    <row r="801" spans="2:16" x14ac:dyDescent="0.25">
      <c r="B801" s="24"/>
      <c r="E801" s="24"/>
      <c r="G801" s="24"/>
      <c r="H801" s="24"/>
      <c r="J801" s="24"/>
      <c r="K801" s="24"/>
      <c r="M801" s="24"/>
      <c r="N801" s="24"/>
      <c r="P801" s="24"/>
    </row>
    <row r="802" spans="2:16" x14ac:dyDescent="0.25">
      <c r="B802" s="24"/>
      <c r="E802" s="24"/>
      <c r="G802" s="24"/>
      <c r="H802" s="24"/>
      <c r="J802" s="24"/>
      <c r="K802" s="24"/>
      <c r="M802" s="24"/>
      <c r="N802" s="24"/>
      <c r="P802" s="24"/>
    </row>
    <row r="803" spans="2:16" x14ac:dyDescent="0.25">
      <c r="B803" s="24"/>
      <c r="E803" s="24"/>
      <c r="G803" s="24"/>
      <c r="H803" s="24"/>
      <c r="J803" s="24"/>
      <c r="K803" s="24"/>
      <c r="M803" s="24"/>
      <c r="N803" s="24"/>
      <c r="P803" s="24"/>
    </row>
    <row r="804" spans="2:16" x14ac:dyDescent="0.25">
      <c r="B804" s="24"/>
      <c r="E804" s="24"/>
      <c r="G804" s="24"/>
      <c r="H804" s="24"/>
      <c r="J804" s="24"/>
      <c r="K804" s="24"/>
      <c r="M804" s="24"/>
      <c r="N804" s="24"/>
      <c r="P804" s="24"/>
    </row>
    <row r="805" spans="2:16" x14ac:dyDescent="0.25">
      <c r="B805" s="24"/>
      <c r="E805" s="24"/>
      <c r="G805" s="24"/>
      <c r="H805" s="24"/>
      <c r="J805" s="24"/>
      <c r="K805" s="24"/>
      <c r="M805" s="24"/>
      <c r="N805" s="24"/>
      <c r="P805" s="24"/>
    </row>
    <row r="806" spans="2:16" x14ac:dyDescent="0.25">
      <c r="B806" s="24"/>
      <c r="E806" s="24"/>
      <c r="G806" s="24"/>
      <c r="H806" s="24"/>
      <c r="J806" s="24"/>
      <c r="K806" s="24"/>
      <c r="M806" s="24"/>
      <c r="N806" s="24"/>
      <c r="P806" s="24"/>
    </row>
    <row r="807" spans="2:16" x14ac:dyDescent="0.25">
      <c r="B807" s="24"/>
      <c r="E807" s="24"/>
      <c r="G807" s="24"/>
      <c r="H807" s="24"/>
      <c r="J807" s="24"/>
      <c r="K807" s="24"/>
      <c r="M807" s="24"/>
      <c r="N807" s="24"/>
      <c r="P807" s="24"/>
    </row>
    <row r="808" spans="2:16" x14ac:dyDescent="0.25">
      <c r="B808" s="24"/>
      <c r="E808" s="24"/>
      <c r="G808" s="24"/>
      <c r="H808" s="24"/>
      <c r="J808" s="24"/>
      <c r="K808" s="24"/>
      <c r="M808" s="24"/>
      <c r="N808" s="24"/>
      <c r="P808" s="24"/>
    </row>
    <row r="809" spans="2:16" x14ac:dyDescent="0.25">
      <c r="B809" s="24"/>
      <c r="E809" s="24"/>
      <c r="G809" s="24"/>
      <c r="H809" s="24"/>
      <c r="J809" s="24"/>
      <c r="K809" s="24"/>
      <c r="M809" s="24"/>
      <c r="N809" s="24"/>
      <c r="P809" s="24"/>
    </row>
    <row r="810" spans="2:16" x14ac:dyDescent="0.25">
      <c r="B810" s="24"/>
      <c r="E810" s="24"/>
      <c r="G810" s="24"/>
      <c r="H810" s="24"/>
      <c r="J810" s="24"/>
      <c r="K810" s="24"/>
      <c r="M810" s="24"/>
      <c r="N810" s="24"/>
      <c r="P810" s="24"/>
    </row>
    <row r="811" spans="2:16" x14ac:dyDescent="0.25">
      <c r="B811" s="24"/>
      <c r="E811" s="24"/>
      <c r="G811" s="24"/>
      <c r="H811" s="24"/>
      <c r="J811" s="24"/>
      <c r="K811" s="24"/>
      <c r="M811" s="24"/>
      <c r="N811" s="24"/>
      <c r="P811" s="24"/>
    </row>
    <row r="812" spans="2:16" x14ac:dyDescent="0.25">
      <c r="B812" s="24"/>
      <c r="E812" s="24"/>
      <c r="G812" s="24"/>
      <c r="H812" s="24"/>
      <c r="J812" s="24"/>
      <c r="K812" s="24"/>
      <c r="M812" s="24"/>
      <c r="N812" s="24"/>
      <c r="P812" s="24"/>
    </row>
    <row r="813" spans="2:16" x14ac:dyDescent="0.25">
      <c r="B813" s="24"/>
      <c r="E813" s="24"/>
      <c r="G813" s="24"/>
      <c r="H813" s="24"/>
      <c r="J813" s="24"/>
      <c r="K813" s="24"/>
      <c r="M813" s="24"/>
      <c r="N813" s="24"/>
      <c r="P813" s="24"/>
    </row>
    <row r="814" spans="2:16" x14ac:dyDescent="0.25">
      <c r="B814" s="24"/>
      <c r="E814" s="24"/>
      <c r="G814" s="24"/>
      <c r="H814" s="24"/>
      <c r="J814" s="24"/>
      <c r="K814" s="24"/>
      <c r="M814" s="24"/>
      <c r="N814" s="24"/>
      <c r="P814" s="24"/>
    </row>
    <row r="815" spans="2:16" x14ac:dyDescent="0.25">
      <c r="B815" s="24"/>
      <c r="E815" s="24"/>
      <c r="G815" s="24"/>
      <c r="H815" s="24"/>
      <c r="J815" s="24"/>
      <c r="K815" s="24"/>
      <c r="M815" s="24"/>
      <c r="N815" s="24"/>
      <c r="P815" s="24"/>
    </row>
    <row r="816" spans="2:16" x14ac:dyDescent="0.25">
      <c r="B816" s="24"/>
      <c r="E816" s="24"/>
      <c r="G816" s="24"/>
      <c r="H816" s="24"/>
      <c r="J816" s="24"/>
      <c r="K816" s="24"/>
      <c r="M816" s="24"/>
      <c r="N816" s="24"/>
      <c r="P816" s="24"/>
    </row>
    <row r="817" spans="2:16" x14ac:dyDescent="0.25">
      <c r="B817" s="24"/>
      <c r="E817" s="24"/>
      <c r="G817" s="24"/>
      <c r="H817" s="24"/>
      <c r="J817" s="24"/>
      <c r="K817" s="24"/>
      <c r="M817" s="24"/>
      <c r="N817" s="24"/>
      <c r="P817" s="24"/>
    </row>
    <row r="818" spans="2:16" x14ac:dyDescent="0.25">
      <c r="B818" s="24"/>
      <c r="E818" s="24"/>
      <c r="G818" s="24"/>
      <c r="H818" s="24"/>
      <c r="J818" s="24"/>
      <c r="K818" s="24"/>
      <c r="M818" s="24"/>
      <c r="N818" s="24"/>
      <c r="P818" s="24"/>
    </row>
    <row r="819" spans="2:16" x14ac:dyDescent="0.25">
      <c r="B819" s="24"/>
      <c r="E819" s="24"/>
      <c r="G819" s="24"/>
      <c r="H819" s="24"/>
      <c r="J819" s="24"/>
      <c r="K819" s="24"/>
      <c r="M819" s="24"/>
      <c r="N819" s="24"/>
      <c r="P819" s="24"/>
    </row>
    <row r="820" spans="2:16" x14ac:dyDescent="0.25">
      <c r="B820" s="24"/>
      <c r="E820" s="24"/>
      <c r="G820" s="24"/>
      <c r="H820" s="24"/>
      <c r="J820" s="24"/>
      <c r="K820" s="24"/>
      <c r="M820" s="24"/>
      <c r="N820" s="24"/>
      <c r="P820" s="24"/>
    </row>
    <row r="821" spans="2:16" x14ac:dyDescent="0.25">
      <c r="B821" s="24"/>
      <c r="E821" s="24"/>
      <c r="G821" s="24"/>
      <c r="H821" s="24"/>
      <c r="J821" s="24"/>
      <c r="K821" s="24"/>
      <c r="M821" s="24"/>
      <c r="N821" s="24"/>
      <c r="P821" s="24"/>
    </row>
    <row r="822" spans="2:16" x14ac:dyDescent="0.25">
      <c r="B822" s="24"/>
      <c r="E822" s="24"/>
      <c r="G822" s="24"/>
      <c r="H822" s="24"/>
      <c r="J822" s="24"/>
      <c r="K822" s="24"/>
      <c r="M822" s="24"/>
      <c r="N822" s="24"/>
      <c r="P822" s="24"/>
    </row>
    <row r="823" spans="2:16" x14ac:dyDescent="0.25">
      <c r="B823" s="24"/>
      <c r="E823" s="24"/>
      <c r="G823" s="24"/>
      <c r="H823" s="24"/>
      <c r="J823" s="24"/>
      <c r="K823" s="24"/>
      <c r="M823" s="24"/>
      <c r="N823" s="24"/>
      <c r="P823" s="24"/>
    </row>
    <row r="824" spans="2:16" x14ac:dyDescent="0.25">
      <c r="B824" s="24"/>
      <c r="E824" s="24"/>
      <c r="G824" s="24"/>
      <c r="H824" s="24"/>
      <c r="J824" s="24"/>
      <c r="K824" s="24"/>
      <c r="M824" s="24"/>
      <c r="N824" s="24"/>
      <c r="P824" s="24"/>
    </row>
    <row r="825" spans="2:16" x14ac:dyDescent="0.25">
      <c r="B825" s="24"/>
      <c r="E825" s="24"/>
      <c r="G825" s="24"/>
      <c r="H825" s="24"/>
      <c r="J825" s="24"/>
      <c r="K825" s="24"/>
      <c r="M825" s="24"/>
      <c r="N825" s="24"/>
      <c r="P825" s="24"/>
    </row>
    <row r="826" spans="2:16" x14ac:dyDescent="0.25">
      <c r="B826" s="24"/>
      <c r="E826" s="24"/>
      <c r="G826" s="24"/>
      <c r="H826" s="24"/>
      <c r="J826" s="24"/>
      <c r="K826" s="24"/>
      <c r="M826" s="24"/>
      <c r="N826" s="24"/>
      <c r="P826" s="24"/>
    </row>
    <row r="827" spans="2:16" x14ac:dyDescent="0.25">
      <c r="B827" s="24"/>
      <c r="E827" s="24"/>
      <c r="G827" s="24"/>
      <c r="H827" s="24"/>
      <c r="J827" s="24"/>
      <c r="K827" s="24"/>
      <c r="M827" s="24"/>
      <c r="N827" s="24"/>
      <c r="P827" s="24"/>
    </row>
    <row r="828" spans="2:16" x14ac:dyDescent="0.25">
      <c r="B828" s="24"/>
      <c r="E828" s="24"/>
      <c r="G828" s="24"/>
      <c r="H828" s="24"/>
      <c r="J828" s="24"/>
      <c r="K828" s="24"/>
      <c r="M828" s="24"/>
      <c r="N828" s="24"/>
      <c r="P828" s="24"/>
    </row>
    <row r="829" spans="2:16" x14ac:dyDescent="0.25">
      <c r="B829" s="24"/>
      <c r="E829" s="24"/>
      <c r="G829" s="24"/>
      <c r="H829" s="24"/>
      <c r="J829" s="24"/>
      <c r="K829" s="24"/>
      <c r="M829" s="24"/>
      <c r="N829" s="24"/>
      <c r="P829" s="24"/>
    </row>
    <row r="830" spans="2:16" x14ac:dyDescent="0.25">
      <c r="B830" s="24"/>
      <c r="E830" s="24"/>
      <c r="G830" s="24"/>
      <c r="H830" s="24"/>
      <c r="J830" s="24"/>
      <c r="K830" s="24"/>
      <c r="M830" s="24"/>
      <c r="N830" s="24"/>
      <c r="P830" s="24"/>
    </row>
    <row r="831" spans="2:16" x14ac:dyDescent="0.25">
      <c r="B831" s="24"/>
      <c r="E831" s="24"/>
      <c r="G831" s="24"/>
      <c r="H831" s="24"/>
      <c r="J831" s="24"/>
      <c r="K831" s="24"/>
      <c r="M831" s="24"/>
      <c r="N831" s="24"/>
      <c r="P831" s="24"/>
    </row>
    <row r="832" spans="2:16" x14ac:dyDescent="0.25">
      <c r="B832" s="24"/>
      <c r="E832" s="24"/>
      <c r="G832" s="24"/>
      <c r="H832" s="24"/>
      <c r="J832" s="24"/>
      <c r="K832" s="24"/>
      <c r="M832" s="24"/>
      <c r="N832" s="24"/>
      <c r="P832" s="24"/>
    </row>
    <row r="833" spans="2:16" x14ac:dyDescent="0.25">
      <c r="B833" s="24"/>
      <c r="E833" s="24"/>
      <c r="G833" s="24"/>
      <c r="H833" s="24"/>
      <c r="J833" s="24"/>
      <c r="K833" s="24"/>
      <c r="M833" s="24"/>
      <c r="N833" s="24"/>
      <c r="P833" s="24"/>
    </row>
    <row r="834" spans="2:16" x14ac:dyDescent="0.25">
      <c r="B834" s="24"/>
      <c r="E834" s="24"/>
      <c r="G834" s="24"/>
      <c r="H834" s="24"/>
      <c r="J834" s="24"/>
      <c r="K834" s="24"/>
      <c r="M834" s="24"/>
      <c r="N834" s="24"/>
      <c r="P834" s="24"/>
    </row>
    <row r="835" spans="2:16" x14ac:dyDescent="0.25">
      <c r="B835" s="24"/>
      <c r="E835" s="24"/>
      <c r="G835" s="24"/>
      <c r="H835" s="24"/>
      <c r="J835" s="24"/>
      <c r="K835" s="24"/>
      <c r="M835" s="24"/>
      <c r="N835" s="24"/>
      <c r="P835" s="24"/>
    </row>
    <row r="836" spans="2:16" x14ac:dyDescent="0.25">
      <c r="B836" s="24"/>
      <c r="E836" s="24"/>
      <c r="G836" s="24"/>
      <c r="H836" s="24"/>
      <c r="J836" s="24"/>
      <c r="K836" s="24"/>
      <c r="M836" s="24"/>
      <c r="N836" s="24"/>
      <c r="P836" s="24"/>
    </row>
    <row r="837" spans="2:16" x14ac:dyDescent="0.25">
      <c r="B837" s="24"/>
      <c r="E837" s="24"/>
      <c r="G837" s="24"/>
      <c r="H837" s="24"/>
      <c r="J837" s="24"/>
      <c r="K837" s="24"/>
      <c r="M837" s="24"/>
      <c r="N837" s="24"/>
      <c r="P837" s="24"/>
    </row>
    <row r="838" spans="2:16" x14ac:dyDescent="0.25">
      <c r="B838" s="24"/>
      <c r="E838" s="24"/>
      <c r="G838" s="24"/>
      <c r="H838" s="24"/>
      <c r="J838" s="24"/>
      <c r="K838" s="24"/>
      <c r="M838" s="24"/>
      <c r="N838" s="24"/>
      <c r="P838" s="24"/>
    </row>
    <row r="839" spans="2:16" x14ac:dyDescent="0.25">
      <c r="B839" s="24"/>
      <c r="E839" s="24"/>
      <c r="G839" s="24"/>
      <c r="H839" s="24"/>
      <c r="J839" s="24"/>
      <c r="K839" s="24"/>
      <c r="M839" s="24"/>
      <c r="N839" s="24"/>
      <c r="P839" s="24"/>
    </row>
    <row r="840" spans="2:16" x14ac:dyDescent="0.25">
      <c r="B840" s="24"/>
      <c r="E840" s="24"/>
      <c r="G840" s="24"/>
      <c r="H840" s="24"/>
      <c r="J840" s="24"/>
      <c r="K840" s="24"/>
      <c r="M840" s="24"/>
      <c r="N840" s="24"/>
      <c r="P840" s="24"/>
    </row>
    <row r="841" spans="2:16" x14ac:dyDescent="0.25">
      <c r="B841" s="24"/>
      <c r="E841" s="24"/>
      <c r="G841" s="24"/>
      <c r="H841" s="24"/>
      <c r="J841" s="24"/>
      <c r="K841" s="24"/>
      <c r="M841" s="24"/>
      <c r="N841" s="24"/>
      <c r="P841" s="24"/>
    </row>
    <row r="842" spans="2:16" x14ac:dyDescent="0.25">
      <c r="B842" s="24"/>
      <c r="E842" s="24"/>
      <c r="G842" s="24"/>
      <c r="H842" s="24"/>
      <c r="J842" s="24"/>
      <c r="K842" s="24"/>
      <c r="M842" s="24"/>
      <c r="N842" s="24"/>
      <c r="P842" s="24"/>
    </row>
    <row r="843" spans="2:16" x14ac:dyDescent="0.25">
      <c r="B843" s="24"/>
      <c r="E843" s="24"/>
      <c r="G843" s="24"/>
      <c r="H843" s="24"/>
      <c r="J843" s="24"/>
      <c r="K843" s="24"/>
      <c r="M843" s="24"/>
      <c r="N843" s="24"/>
      <c r="P843" s="24"/>
    </row>
    <row r="844" spans="2:16" x14ac:dyDescent="0.25">
      <c r="B844" s="24"/>
      <c r="E844" s="24"/>
      <c r="G844" s="24"/>
      <c r="H844" s="24"/>
      <c r="J844" s="24"/>
      <c r="K844" s="24"/>
      <c r="M844" s="24"/>
      <c r="N844" s="24"/>
      <c r="P844" s="24"/>
    </row>
    <row r="845" spans="2:16" x14ac:dyDescent="0.25">
      <c r="B845" s="24"/>
      <c r="E845" s="24"/>
      <c r="G845" s="24"/>
      <c r="H845" s="24"/>
      <c r="J845" s="24"/>
      <c r="K845" s="24"/>
      <c r="M845" s="24"/>
      <c r="N845" s="24"/>
      <c r="P845" s="24"/>
    </row>
    <row r="846" spans="2:16" x14ac:dyDescent="0.25">
      <c r="B846" s="24"/>
      <c r="E846" s="24"/>
      <c r="G846" s="24"/>
      <c r="H846" s="24"/>
      <c r="J846" s="24"/>
      <c r="K846" s="24"/>
      <c r="M846" s="24"/>
      <c r="N846" s="24"/>
      <c r="P846" s="24"/>
    </row>
    <row r="847" spans="2:16" x14ac:dyDescent="0.25">
      <c r="B847" s="24"/>
      <c r="E847" s="24"/>
      <c r="G847" s="24"/>
      <c r="H847" s="24"/>
      <c r="J847" s="24"/>
      <c r="K847" s="24"/>
      <c r="M847" s="24"/>
      <c r="N847" s="24"/>
      <c r="P847" s="24"/>
    </row>
    <row r="848" spans="2:16" x14ac:dyDescent="0.25">
      <c r="B848" s="24"/>
      <c r="E848" s="24"/>
      <c r="G848" s="24"/>
      <c r="H848" s="24"/>
      <c r="J848" s="24"/>
      <c r="K848" s="24"/>
      <c r="M848" s="24"/>
      <c r="N848" s="24"/>
      <c r="P848" s="24"/>
    </row>
    <row r="849" spans="2:16" x14ac:dyDescent="0.25">
      <c r="B849" s="24"/>
      <c r="E849" s="24"/>
      <c r="G849" s="24"/>
      <c r="H849" s="24"/>
      <c r="J849" s="24"/>
      <c r="K849" s="24"/>
      <c r="M849" s="24"/>
      <c r="N849" s="24"/>
      <c r="P849" s="24"/>
    </row>
    <row r="850" spans="2:16" x14ac:dyDescent="0.25">
      <c r="B850" s="24"/>
      <c r="E850" s="24"/>
      <c r="G850" s="24"/>
      <c r="H850" s="24"/>
      <c r="J850" s="24"/>
      <c r="K850" s="24"/>
      <c r="M850" s="24"/>
      <c r="N850" s="24"/>
      <c r="P850" s="24"/>
    </row>
    <row r="851" spans="2:16" x14ac:dyDescent="0.25">
      <c r="B851" s="24"/>
      <c r="E851" s="24"/>
      <c r="G851" s="24"/>
      <c r="H851" s="24"/>
      <c r="J851" s="24"/>
      <c r="K851" s="24"/>
      <c r="M851" s="24"/>
      <c r="N851" s="24"/>
      <c r="P851" s="24"/>
    </row>
    <row r="852" spans="2:16" x14ac:dyDescent="0.25">
      <c r="B852" s="24"/>
      <c r="E852" s="24"/>
      <c r="G852" s="24"/>
      <c r="H852" s="24"/>
      <c r="J852" s="24"/>
      <c r="K852" s="24"/>
      <c r="M852" s="24"/>
      <c r="N852" s="24"/>
      <c r="P852" s="24"/>
    </row>
    <row r="853" spans="2:16" x14ac:dyDescent="0.25">
      <c r="B853" s="24"/>
      <c r="E853" s="24"/>
      <c r="G853" s="24"/>
      <c r="H853" s="24"/>
      <c r="J853" s="24"/>
      <c r="K853" s="24"/>
      <c r="M853" s="24"/>
      <c r="N853" s="24"/>
      <c r="P853" s="24"/>
    </row>
    <row r="854" spans="2:16" x14ac:dyDescent="0.25">
      <c r="B854" s="24"/>
      <c r="E854" s="24"/>
      <c r="G854" s="24"/>
      <c r="H854" s="24"/>
      <c r="J854" s="24"/>
      <c r="K854" s="24"/>
      <c r="M854" s="24"/>
      <c r="N854" s="24"/>
      <c r="P854" s="24"/>
    </row>
    <row r="855" spans="2:16" x14ac:dyDescent="0.25">
      <c r="B855" s="24"/>
      <c r="E855" s="24"/>
      <c r="G855" s="24"/>
      <c r="H855" s="24"/>
      <c r="J855" s="24"/>
      <c r="K855" s="24"/>
      <c r="M855" s="24"/>
      <c r="N855" s="24"/>
      <c r="P855" s="24"/>
    </row>
    <row r="856" spans="2:16" x14ac:dyDescent="0.25">
      <c r="B856" s="24"/>
      <c r="E856" s="24"/>
      <c r="G856" s="24"/>
      <c r="H856" s="24"/>
      <c r="J856" s="24"/>
      <c r="K856" s="24"/>
      <c r="M856" s="24"/>
      <c r="N856" s="24"/>
      <c r="P856" s="24"/>
    </row>
    <row r="857" spans="2:16" x14ac:dyDescent="0.25">
      <c r="B857" s="24"/>
      <c r="E857" s="24"/>
      <c r="G857" s="24"/>
      <c r="H857" s="24"/>
      <c r="J857" s="24"/>
      <c r="K857" s="24"/>
      <c r="M857" s="24"/>
      <c r="N857" s="24"/>
      <c r="P857" s="24"/>
    </row>
    <row r="858" spans="2:16" x14ac:dyDescent="0.25">
      <c r="B858" s="24"/>
      <c r="E858" s="24"/>
      <c r="G858" s="24"/>
      <c r="H858" s="24"/>
      <c r="J858" s="24"/>
      <c r="K858" s="24"/>
      <c r="M858" s="24"/>
      <c r="N858" s="24"/>
      <c r="P858" s="24"/>
    </row>
    <row r="859" spans="2:16" x14ac:dyDescent="0.25">
      <c r="B859" s="24"/>
      <c r="E859" s="24"/>
      <c r="G859" s="24"/>
      <c r="H859" s="24"/>
      <c r="J859" s="24"/>
      <c r="K859" s="24"/>
      <c r="M859" s="24"/>
      <c r="N859" s="24"/>
      <c r="P859" s="24"/>
    </row>
    <row r="860" spans="2:16" x14ac:dyDescent="0.25">
      <c r="B860" s="24"/>
      <c r="E860" s="24"/>
      <c r="G860" s="24"/>
      <c r="H860" s="24"/>
      <c r="J860" s="24"/>
      <c r="K860" s="24"/>
      <c r="M860" s="24"/>
      <c r="N860" s="24"/>
      <c r="P860" s="24"/>
    </row>
    <row r="861" spans="2:16" x14ac:dyDescent="0.25">
      <c r="B861" s="24"/>
      <c r="E861" s="24"/>
      <c r="G861" s="24"/>
      <c r="H861" s="24"/>
      <c r="J861" s="24"/>
      <c r="K861" s="24"/>
      <c r="M861" s="24"/>
      <c r="N861" s="24"/>
      <c r="P861" s="24"/>
    </row>
    <row r="862" spans="2:16" x14ac:dyDescent="0.25">
      <c r="B862" s="24"/>
      <c r="E862" s="24"/>
      <c r="G862" s="24"/>
      <c r="H862" s="24"/>
      <c r="J862" s="24"/>
      <c r="K862" s="24"/>
      <c r="M862" s="24"/>
      <c r="N862" s="24"/>
      <c r="P862" s="24"/>
    </row>
    <row r="863" spans="2:16" x14ac:dyDescent="0.25">
      <c r="B863" s="24"/>
      <c r="E863" s="24"/>
      <c r="G863" s="24"/>
      <c r="H863" s="24"/>
      <c r="J863" s="24"/>
      <c r="K863" s="24"/>
      <c r="M863" s="24"/>
      <c r="N863" s="24"/>
      <c r="P863" s="24"/>
    </row>
    <row r="864" spans="2:16" x14ac:dyDescent="0.25">
      <c r="B864" s="24"/>
      <c r="E864" s="24"/>
      <c r="G864" s="24"/>
      <c r="H864" s="24"/>
      <c r="J864" s="24"/>
      <c r="K864" s="24"/>
      <c r="M864" s="24"/>
      <c r="N864" s="24"/>
      <c r="P864" s="24"/>
    </row>
    <row r="865" spans="2:16" x14ac:dyDescent="0.25">
      <c r="B865" s="24"/>
      <c r="E865" s="24"/>
      <c r="G865" s="24"/>
      <c r="H865" s="24"/>
      <c r="J865" s="24"/>
      <c r="K865" s="24"/>
      <c r="M865" s="24"/>
      <c r="N865" s="24"/>
      <c r="P865" s="24"/>
    </row>
    <row r="866" spans="2:16" x14ac:dyDescent="0.25">
      <c r="B866" s="24"/>
      <c r="E866" s="24"/>
      <c r="G866" s="24"/>
      <c r="H866" s="24"/>
      <c r="J866" s="24"/>
      <c r="K866" s="24"/>
      <c r="M866" s="24"/>
      <c r="N866" s="24"/>
      <c r="P866" s="24"/>
    </row>
    <row r="867" spans="2:16" x14ac:dyDescent="0.25">
      <c r="B867" s="24"/>
      <c r="E867" s="24"/>
      <c r="G867" s="24"/>
      <c r="H867" s="24"/>
      <c r="J867" s="24"/>
      <c r="K867" s="24"/>
      <c r="M867" s="24"/>
      <c r="N867" s="24"/>
      <c r="P867" s="24"/>
    </row>
    <row r="868" spans="2:16" x14ac:dyDescent="0.25">
      <c r="B868" s="24"/>
      <c r="E868" s="24"/>
      <c r="G868" s="24"/>
      <c r="H868" s="24"/>
      <c r="J868" s="24"/>
      <c r="K868" s="24"/>
      <c r="M868" s="24"/>
      <c r="N868" s="24"/>
      <c r="P868" s="24"/>
    </row>
    <row r="869" spans="2:16" x14ac:dyDescent="0.25">
      <c r="B869" s="24"/>
      <c r="E869" s="24"/>
      <c r="G869" s="24"/>
      <c r="H869" s="24"/>
      <c r="J869" s="24"/>
      <c r="K869" s="24"/>
      <c r="M869" s="24"/>
      <c r="N869" s="24"/>
      <c r="P869" s="24"/>
    </row>
    <row r="870" spans="2:16" x14ac:dyDescent="0.25">
      <c r="B870" s="24"/>
      <c r="E870" s="24"/>
      <c r="G870" s="24"/>
      <c r="H870" s="24"/>
      <c r="J870" s="24"/>
      <c r="K870" s="24"/>
      <c r="M870" s="24"/>
      <c r="N870" s="24"/>
      <c r="P870" s="24"/>
    </row>
    <row r="871" spans="2:16" x14ac:dyDescent="0.25">
      <c r="B871" s="24"/>
      <c r="E871" s="24"/>
      <c r="G871" s="24"/>
      <c r="H871" s="24"/>
      <c r="J871" s="24"/>
      <c r="K871" s="24"/>
      <c r="M871" s="24"/>
      <c r="N871" s="24"/>
      <c r="P871" s="24"/>
    </row>
    <row r="872" spans="2:16" x14ac:dyDescent="0.25">
      <c r="B872" s="24"/>
      <c r="E872" s="24"/>
      <c r="G872" s="24"/>
      <c r="H872" s="24"/>
      <c r="J872" s="24"/>
      <c r="K872" s="24"/>
      <c r="M872" s="24"/>
      <c r="N872" s="24"/>
      <c r="P872" s="24"/>
    </row>
    <row r="873" spans="2:16" x14ac:dyDescent="0.25">
      <c r="B873" s="24"/>
      <c r="E873" s="24"/>
      <c r="G873" s="24"/>
      <c r="H873" s="24"/>
      <c r="J873" s="24"/>
      <c r="K873" s="24"/>
      <c r="M873" s="24"/>
      <c r="N873" s="24"/>
      <c r="P873" s="24"/>
    </row>
    <row r="874" spans="2:16" x14ac:dyDescent="0.25">
      <c r="B874" s="24"/>
      <c r="E874" s="24"/>
      <c r="G874" s="24"/>
      <c r="H874" s="24"/>
      <c r="J874" s="24"/>
      <c r="K874" s="24"/>
      <c r="M874" s="24"/>
      <c r="N874" s="24"/>
      <c r="P874" s="24"/>
    </row>
    <row r="875" spans="2:16" x14ac:dyDescent="0.25">
      <c r="B875" s="24"/>
      <c r="E875" s="24"/>
      <c r="G875" s="24"/>
      <c r="H875" s="24"/>
      <c r="J875" s="24"/>
      <c r="K875" s="24"/>
      <c r="M875" s="24"/>
      <c r="N875" s="24"/>
      <c r="P875" s="24"/>
    </row>
    <row r="876" spans="2:16" x14ac:dyDescent="0.25">
      <c r="B876" s="24"/>
      <c r="E876" s="24"/>
      <c r="G876" s="24"/>
      <c r="H876" s="24"/>
      <c r="J876" s="24"/>
      <c r="K876" s="24"/>
      <c r="M876" s="24"/>
      <c r="N876" s="24"/>
      <c r="P876" s="24"/>
    </row>
    <row r="877" spans="2:16" x14ac:dyDescent="0.25">
      <c r="B877" s="24"/>
      <c r="E877" s="24"/>
      <c r="G877" s="24"/>
      <c r="H877" s="24"/>
      <c r="J877" s="24"/>
      <c r="K877" s="24"/>
      <c r="M877" s="24"/>
      <c r="N877" s="24"/>
      <c r="P877" s="24"/>
    </row>
    <row r="878" spans="2:16" x14ac:dyDescent="0.25">
      <c r="B878" s="24"/>
      <c r="E878" s="24"/>
      <c r="G878" s="24"/>
      <c r="H878" s="24"/>
      <c r="J878" s="24"/>
      <c r="K878" s="24"/>
      <c r="M878" s="24"/>
      <c r="N878" s="24"/>
      <c r="P878" s="24"/>
    </row>
    <row r="879" spans="2:16" x14ac:dyDescent="0.25">
      <c r="B879" s="24"/>
      <c r="E879" s="24"/>
      <c r="G879" s="24"/>
      <c r="H879" s="24"/>
      <c r="J879" s="24"/>
      <c r="K879" s="24"/>
      <c r="M879" s="24"/>
      <c r="N879" s="24"/>
      <c r="P879" s="24"/>
    </row>
    <row r="880" spans="2:16" x14ac:dyDescent="0.25">
      <c r="B880" s="24"/>
      <c r="E880" s="24"/>
      <c r="G880" s="24"/>
      <c r="H880" s="24"/>
      <c r="J880" s="24"/>
      <c r="K880" s="24"/>
      <c r="M880" s="24"/>
      <c r="N880" s="24"/>
      <c r="P880" s="24"/>
    </row>
    <row r="881" spans="2:16" x14ac:dyDescent="0.25">
      <c r="B881" s="24"/>
      <c r="E881" s="24"/>
      <c r="G881" s="24"/>
      <c r="H881" s="24"/>
      <c r="J881" s="24"/>
      <c r="K881" s="24"/>
      <c r="M881" s="24"/>
      <c r="N881" s="24"/>
      <c r="P881" s="24"/>
    </row>
    <row r="882" spans="2:16" x14ac:dyDescent="0.25">
      <c r="B882" s="24"/>
      <c r="E882" s="24"/>
      <c r="G882" s="24"/>
      <c r="H882" s="24"/>
      <c r="J882" s="24"/>
      <c r="K882" s="24"/>
      <c r="M882" s="24"/>
      <c r="N882" s="24"/>
      <c r="P882" s="24"/>
    </row>
    <row r="883" spans="2:16" x14ac:dyDescent="0.25">
      <c r="B883" s="24"/>
      <c r="E883" s="24"/>
      <c r="G883" s="24"/>
      <c r="H883" s="24"/>
      <c r="J883" s="24"/>
      <c r="K883" s="24"/>
      <c r="M883" s="24"/>
      <c r="N883" s="24"/>
      <c r="P883" s="24"/>
    </row>
    <row r="884" spans="2:16" x14ac:dyDescent="0.25">
      <c r="B884" s="24"/>
      <c r="E884" s="24"/>
      <c r="G884" s="24"/>
      <c r="H884" s="24"/>
      <c r="J884" s="24"/>
      <c r="K884" s="24"/>
      <c r="M884" s="24"/>
      <c r="N884" s="24"/>
      <c r="P884" s="24"/>
    </row>
    <row r="885" spans="2:16" x14ac:dyDescent="0.25">
      <c r="B885" s="24"/>
      <c r="E885" s="24"/>
      <c r="G885" s="24"/>
      <c r="H885" s="24"/>
      <c r="J885" s="24"/>
      <c r="K885" s="24"/>
      <c r="M885" s="24"/>
      <c r="N885" s="24"/>
      <c r="P885" s="24"/>
    </row>
    <row r="886" spans="2:16" x14ac:dyDescent="0.25">
      <c r="B886" s="24"/>
      <c r="E886" s="24"/>
      <c r="G886" s="24"/>
      <c r="H886" s="24"/>
      <c r="J886" s="24"/>
      <c r="K886" s="24"/>
      <c r="M886" s="24"/>
      <c r="N886" s="24"/>
      <c r="P886" s="24"/>
    </row>
    <row r="887" spans="2:16" x14ac:dyDescent="0.25">
      <c r="B887" s="24"/>
      <c r="E887" s="24"/>
      <c r="G887" s="24"/>
      <c r="H887" s="24"/>
      <c r="J887" s="24"/>
      <c r="K887" s="24"/>
      <c r="M887" s="24"/>
      <c r="N887" s="24"/>
      <c r="P887" s="24"/>
    </row>
    <row r="888" spans="2:16" x14ac:dyDescent="0.25">
      <c r="B888" s="24"/>
      <c r="E888" s="24"/>
      <c r="G888" s="24"/>
      <c r="H888" s="24"/>
      <c r="J888" s="24"/>
      <c r="K888" s="24"/>
      <c r="M888" s="24"/>
      <c r="N888" s="24"/>
      <c r="P888" s="24"/>
    </row>
    <row r="889" spans="2:16" x14ac:dyDescent="0.25">
      <c r="B889" s="24"/>
      <c r="E889" s="24"/>
      <c r="G889" s="24"/>
      <c r="H889" s="24"/>
      <c r="J889" s="24"/>
      <c r="K889" s="24"/>
      <c r="M889" s="24"/>
      <c r="N889" s="24"/>
      <c r="P889" s="24"/>
    </row>
    <row r="890" spans="2:16" x14ac:dyDescent="0.25">
      <c r="B890" s="24"/>
      <c r="E890" s="24"/>
      <c r="G890" s="24"/>
      <c r="H890" s="24"/>
      <c r="J890" s="24"/>
      <c r="K890" s="24"/>
      <c r="M890" s="24"/>
      <c r="N890" s="24"/>
      <c r="P890" s="24"/>
    </row>
    <row r="891" spans="2:16" x14ac:dyDescent="0.25">
      <c r="B891" s="24"/>
      <c r="E891" s="24"/>
      <c r="G891" s="24"/>
      <c r="H891" s="24"/>
      <c r="J891" s="24"/>
      <c r="K891" s="24"/>
      <c r="M891" s="24"/>
      <c r="N891" s="24"/>
      <c r="P891" s="24"/>
    </row>
    <row r="892" spans="2:16" x14ac:dyDescent="0.25">
      <c r="B892" s="24"/>
      <c r="E892" s="24"/>
      <c r="G892" s="24"/>
      <c r="H892" s="24"/>
      <c r="J892" s="24"/>
      <c r="K892" s="24"/>
      <c r="M892" s="24"/>
      <c r="N892" s="24"/>
      <c r="P892" s="24"/>
    </row>
    <row r="893" spans="2:16" x14ac:dyDescent="0.25">
      <c r="B893" s="24"/>
      <c r="E893" s="24"/>
      <c r="G893" s="24"/>
      <c r="H893" s="24"/>
      <c r="J893" s="24"/>
      <c r="K893" s="24"/>
      <c r="M893" s="24"/>
      <c r="N893" s="24"/>
      <c r="P893" s="24"/>
    </row>
    <row r="894" spans="2:16" x14ac:dyDescent="0.25">
      <c r="B894" s="24"/>
      <c r="E894" s="24"/>
      <c r="G894" s="24"/>
      <c r="H894" s="24"/>
      <c r="J894" s="24"/>
      <c r="K894" s="24"/>
      <c r="M894" s="24"/>
      <c r="N894" s="24"/>
      <c r="P894" s="24"/>
    </row>
    <row r="895" spans="2:16" x14ac:dyDescent="0.25">
      <c r="B895" s="24"/>
      <c r="E895" s="24"/>
      <c r="G895" s="24"/>
      <c r="H895" s="24"/>
      <c r="J895" s="24"/>
      <c r="K895" s="24"/>
      <c r="M895" s="24"/>
      <c r="N895" s="24"/>
      <c r="P895" s="24"/>
    </row>
    <row r="896" spans="2:16" x14ac:dyDescent="0.25">
      <c r="B896" s="24"/>
      <c r="E896" s="24"/>
      <c r="G896" s="24"/>
      <c r="H896" s="24"/>
      <c r="J896" s="24"/>
      <c r="K896" s="24"/>
      <c r="M896" s="24"/>
      <c r="N896" s="24"/>
      <c r="P896" s="24"/>
    </row>
    <row r="897" spans="2:16" x14ac:dyDescent="0.25">
      <c r="B897" s="24"/>
      <c r="E897" s="24"/>
      <c r="G897" s="24"/>
      <c r="H897" s="24"/>
      <c r="J897" s="24"/>
      <c r="K897" s="24"/>
      <c r="M897" s="24"/>
      <c r="N897" s="24"/>
      <c r="P897" s="24"/>
    </row>
    <row r="898" spans="2:16" x14ac:dyDescent="0.25">
      <c r="B898" s="24"/>
      <c r="E898" s="24"/>
      <c r="G898" s="24"/>
      <c r="H898" s="24"/>
      <c r="J898" s="24"/>
      <c r="K898" s="24"/>
      <c r="M898" s="24"/>
      <c r="N898" s="24"/>
      <c r="P898" s="24"/>
    </row>
    <row r="899" spans="2:16" x14ac:dyDescent="0.25">
      <c r="B899" s="24"/>
      <c r="E899" s="24"/>
      <c r="G899" s="24"/>
      <c r="H899" s="24"/>
      <c r="J899" s="24"/>
      <c r="K899" s="24"/>
      <c r="M899" s="24"/>
      <c r="N899" s="24"/>
      <c r="P899" s="24"/>
    </row>
    <row r="900" spans="2:16" x14ac:dyDescent="0.25">
      <c r="B900" s="24"/>
      <c r="E900" s="24"/>
      <c r="G900" s="24"/>
      <c r="H900" s="24"/>
      <c r="J900" s="24"/>
      <c r="K900" s="24"/>
      <c r="M900" s="24"/>
      <c r="N900" s="24"/>
      <c r="P900" s="24"/>
    </row>
    <row r="901" spans="2:16" x14ac:dyDescent="0.25">
      <c r="B901" s="24"/>
      <c r="E901" s="24"/>
      <c r="G901" s="24"/>
      <c r="H901" s="24"/>
      <c r="J901" s="24"/>
      <c r="K901" s="24"/>
      <c r="M901" s="24"/>
      <c r="N901" s="24"/>
      <c r="P901" s="24"/>
    </row>
    <row r="902" spans="2:16" x14ac:dyDescent="0.25">
      <c r="B902" s="24"/>
      <c r="E902" s="24"/>
      <c r="G902" s="24"/>
      <c r="H902" s="24"/>
      <c r="J902" s="24"/>
      <c r="K902" s="24"/>
      <c r="M902" s="24"/>
      <c r="N902" s="24"/>
      <c r="P902" s="24"/>
    </row>
    <row r="903" spans="2:16" x14ac:dyDescent="0.25">
      <c r="B903" s="24"/>
      <c r="E903" s="24"/>
      <c r="G903" s="24"/>
      <c r="H903" s="24"/>
      <c r="J903" s="24"/>
      <c r="K903" s="24"/>
      <c r="M903" s="24"/>
      <c r="N903" s="24"/>
      <c r="P903" s="24"/>
    </row>
    <row r="904" spans="2:16" x14ac:dyDescent="0.25">
      <c r="B904" s="24"/>
      <c r="E904" s="24"/>
      <c r="G904" s="24"/>
      <c r="H904" s="24"/>
      <c r="J904" s="24"/>
      <c r="K904" s="24"/>
      <c r="M904" s="24"/>
      <c r="N904" s="24"/>
      <c r="P904" s="24"/>
    </row>
    <row r="905" spans="2:16" x14ac:dyDescent="0.25">
      <c r="B905" s="24"/>
      <c r="E905" s="24"/>
      <c r="G905" s="24"/>
      <c r="H905" s="24"/>
      <c r="J905" s="24"/>
      <c r="K905" s="24"/>
      <c r="M905" s="24"/>
      <c r="N905" s="24"/>
      <c r="P905" s="24"/>
    </row>
    <row r="906" spans="2:16" x14ac:dyDescent="0.25">
      <c r="B906" s="24"/>
      <c r="E906" s="24"/>
      <c r="G906" s="24"/>
      <c r="H906" s="24"/>
      <c r="J906" s="24"/>
      <c r="K906" s="24"/>
      <c r="M906" s="24"/>
      <c r="N906" s="24"/>
      <c r="P906" s="24"/>
    </row>
    <row r="907" spans="2:16" x14ac:dyDescent="0.25">
      <c r="B907" s="24"/>
      <c r="E907" s="24"/>
      <c r="G907" s="24"/>
      <c r="H907" s="24"/>
      <c r="J907" s="24"/>
      <c r="K907" s="24"/>
      <c r="M907" s="24"/>
      <c r="N907" s="24"/>
      <c r="P907" s="24"/>
    </row>
    <row r="908" spans="2:16" x14ac:dyDescent="0.25">
      <c r="B908" s="24"/>
      <c r="E908" s="24"/>
      <c r="G908" s="24"/>
      <c r="H908" s="24"/>
      <c r="J908" s="24"/>
      <c r="K908" s="24"/>
      <c r="M908" s="24"/>
      <c r="N908" s="24"/>
      <c r="P908" s="24"/>
    </row>
    <row r="909" spans="2:16" x14ac:dyDescent="0.25">
      <c r="B909" s="24"/>
      <c r="E909" s="24"/>
      <c r="G909" s="24"/>
      <c r="H909" s="24"/>
      <c r="J909" s="24"/>
      <c r="K909" s="24"/>
      <c r="M909" s="24"/>
      <c r="N909" s="24"/>
      <c r="P909" s="24"/>
    </row>
    <row r="910" spans="2:16" x14ac:dyDescent="0.25">
      <c r="B910" s="24"/>
      <c r="E910" s="24"/>
      <c r="G910" s="24"/>
      <c r="H910" s="24"/>
      <c r="J910" s="24"/>
      <c r="K910" s="24"/>
      <c r="M910" s="24"/>
      <c r="N910" s="24"/>
      <c r="P910" s="24"/>
    </row>
    <row r="911" spans="2:16" x14ac:dyDescent="0.25">
      <c r="B911" s="24"/>
      <c r="E911" s="24"/>
      <c r="G911" s="24"/>
      <c r="H911" s="24"/>
      <c r="J911" s="24"/>
      <c r="K911" s="24"/>
      <c r="M911" s="24"/>
      <c r="N911" s="24"/>
      <c r="P911" s="24"/>
    </row>
    <row r="912" spans="2:16" x14ac:dyDescent="0.25">
      <c r="B912" s="24"/>
      <c r="E912" s="24"/>
      <c r="G912" s="24"/>
      <c r="H912" s="24"/>
      <c r="J912" s="24"/>
      <c r="K912" s="24"/>
      <c r="M912" s="24"/>
      <c r="N912" s="24"/>
      <c r="P912" s="24"/>
    </row>
    <row r="913" spans="2:16" x14ac:dyDescent="0.25">
      <c r="B913" s="24"/>
      <c r="E913" s="24"/>
      <c r="G913" s="24"/>
      <c r="H913" s="24"/>
      <c r="J913" s="24"/>
      <c r="K913" s="24"/>
      <c r="M913" s="24"/>
      <c r="N913" s="24"/>
      <c r="P913" s="24"/>
    </row>
    <row r="914" spans="2:16" x14ac:dyDescent="0.25">
      <c r="B914" s="24"/>
      <c r="E914" s="24"/>
      <c r="G914" s="24"/>
      <c r="H914" s="24"/>
      <c r="J914" s="24"/>
      <c r="K914" s="24"/>
      <c r="M914" s="24"/>
      <c r="N914" s="24"/>
      <c r="P914" s="24"/>
    </row>
    <row r="915" spans="2:16" x14ac:dyDescent="0.25">
      <c r="B915" s="24"/>
      <c r="E915" s="24"/>
      <c r="G915" s="24"/>
      <c r="H915" s="24"/>
      <c r="J915" s="24"/>
      <c r="K915" s="24"/>
      <c r="M915" s="24"/>
      <c r="N915" s="24"/>
      <c r="P915" s="24"/>
    </row>
    <row r="916" spans="2:16" x14ac:dyDescent="0.25">
      <c r="B916" s="24"/>
      <c r="E916" s="24"/>
      <c r="G916" s="24"/>
      <c r="H916" s="24"/>
      <c r="J916" s="24"/>
      <c r="K916" s="24"/>
      <c r="M916" s="24"/>
      <c r="N916" s="24"/>
      <c r="P916" s="24"/>
    </row>
    <row r="917" spans="2:16" x14ac:dyDescent="0.25">
      <c r="B917" s="24"/>
      <c r="E917" s="24"/>
      <c r="G917" s="24"/>
      <c r="H917" s="24"/>
      <c r="J917" s="24"/>
      <c r="K917" s="24"/>
      <c r="M917" s="24"/>
      <c r="N917" s="24"/>
      <c r="P917" s="24"/>
    </row>
    <row r="918" spans="2:16" x14ac:dyDescent="0.25">
      <c r="B918" s="24"/>
      <c r="E918" s="24"/>
      <c r="G918" s="24"/>
      <c r="H918" s="24"/>
      <c r="J918" s="24"/>
      <c r="K918" s="24"/>
      <c r="M918" s="24"/>
      <c r="N918" s="24"/>
      <c r="P918" s="24"/>
    </row>
    <row r="919" spans="2:16" x14ac:dyDescent="0.25">
      <c r="B919" s="24"/>
      <c r="E919" s="24"/>
      <c r="G919" s="24"/>
      <c r="H919" s="24"/>
      <c r="J919" s="24"/>
      <c r="K919" s="24"/>
      <c r="M919" s="24"/>
      <c r="N919" s="24"/>
      <c r="P919" s="24"/>
    </row>
    <row r="920" spans="2:16" x14ac:dyDescent="0.25">
      <c r="B920" s="24"/>
      <c r="E920" s="24"/>
      <c r="G920" s="24"/>
      <c r="H920" s="24"/>
      <c r="J920" s="24"/>
      <c r="K920" s="24"/>
      <c r="M920" s="24"/>
      <c r="N920" s="24"/>
      <c r="P920" s="24"/>
    </row>
    <row r="921" spans="2:16" x14ac:dyDescent="0.25">
      <c r="B921" s="24"/>
      <c r="E921" s="24"/>
      <c r="G921" s="24"/>
      <c r="H921" s="24"/>
      <c r="J921" s="24"/>
      <c r="K921" s="24"/>
      <c r="M921" s="24"/>
      <c r="N921" s="24"/>
      <c r="P921" s="24"/>
    </row>
    <row r="922" spans="2:16" x14ac:dyDescent="0.25">
      <c r="B922" s="24"/>
      <c r="E922" s="24"/>
      <c r="G922" s="24"/>
      <c r="H922" s="24"/>
      <c r="J922" s="24"/>
      <c r="K922" s="24"/>
      <c r="M922" s="24"/>
      <c r="N922" s="24"/>
      <c r="P922" s="24"/>
    </row>
    <row r="923" spans="2:16" x14ac:dyDescent="0.25">
      <c r="B923" s="24"/>
      <c r="E923" s="24"/>
      <c r="G923" s="24"/>
      <c r="H923" s="24"/>
      <c r="J923" s="24"/>
      <c r="K923" s="24"/>
      <c r="M923" s="24"/>
      <c r="N923" s="24"/>
      <c r="P923" s="24"/>
    </row>
    <row r="924" spans="2:16" x14ac:dyDescent="0.25">
      <c r="B924" s="24"/>
      <c r="E924" s="24"/>
      <c r="G924" s="24"/>
      <c r="H924" s="24"/>
      <c r="J924" s="24"/>
      <c r="K924" s="24"/>
      <c r="M924" s="24"/>
      <c r="N924" s="24"/>
      <c r="P924" s="24"/>
    </row>
    <row r="925" spans="2:16" x14ac:dyDescent="0.25">
      <c r="B925" s="24"/>
      <c r="E925" s="24"/>
      <c r="G925" s="24"/>
      <c r="H925" s="24"/>
      <c r="J925" s="24"/>
      <c r="K925" s="24"/>
      <c r="M925" s="24"/>
      <c r="N925" s="24"/>
      <c r="P925" s="24"/>
    </row>
    <row r="926" spans="2:16" x14ac:dyDescent="0.25">
      <c r="B926" s="24"/>
      <c r="E926" s="24"/>
      <c r="G926" s="24"/>
      <c r="H926" s="24"/>
      <c r="J926" s="24"/>
      <c r="K926" s="24"/>
      <c r="M926" s="24"/>
      <c r="N926" s="24"/>
      <c r="P926" s="24"/>
    </row>
    <row r="927" spans="2:16" x14ac:dyDescent="0.25">
      <c r="B927" s="24"/>
      <c r="E927" s="24"/>
      <c r="G927" s="24"/>
      <c r="H927" s="24"/>
      <c r="J927" s="24"/>
      <c r="K927" s="24"/>
      <c r="M927" s="24"/>
      <c r="N927" s="24"/>
      <c r="P927" s="24"/>
    </row>
    <row r="928" spans="2:16" x14ac:dyDescent="0.25">
      <c r="B928" s="24"/>
      <c r="E928" s="24"/>
      <c r="G928" s="24"/>
      <c r="H928" s="24"/>
      <c r="J928" s="24"/>
      <c r="K928" s="24"/>
      <c r="M928" s="24"/>
      <c r="N928" s="24"/>
      <c r="P928" s="24"/>
    </row>
    <row r="929" spans="2:16" x14ac:dyDescent="0.25">
      <c r="B929" s="24"/>
      <c r="E929" s="24"/>
      <c r="G929" s="24"/>
      <c r="H929" s="24"/>
      <c r="J929" s="24"/>
      <c r="K929" s="24"/>
      <c r="M929" s="24"/>
      <c r="N929" s="24"/>
      <c r="P929" s="24"/>
    </row>
    <row r="930" spans="2:16" x14ac:dyDescent="0.25">
      <c r="B930" s="24"/>
      <c r="E930" s="24"/>
      <c r="G930" s="24"/>
      <c r="H930" s="24"/>
      <c r="J930" s="24"/>
      <c r="K930" s="24"/>
      <c r="M930" s="24"/>
      <c r="N930" s="24"/>
      <c r="P930" s="24"/>
    </row>
    <row r="931" spans="2:16" x14ac:dyDescent="0.25">
      <c r="B931" s="24"/>
      <c r="E931" s="24"/>
      <c r="G931" s="24"/>
      <c r="H931" s="24"/>
      <c r="J931" s="24"/>
      <c r="K931" s="24"/>
      <c r="M931" s="24"/>
      <c r="N931" s="24"/>
      <c r="P931" s="24"/>
    </row>
    <row r="932" spans="2:16" x14ac:dyDescent="0.25">
      <c r="B932" s="24"/>
      <c r="E932" s="24"/>
      <c r="G932" s="24"/>
      <c r="H932" s="24"/>
      <c r="J932" s="24"/>
      <c r="K932" s="24"/>
      <c r="M932" s="24"/>
      <c r="N932" s="24"/>
      <c r="P932" s="24"/>
    </row>
    <row r="933" spans="2:16" x14ac:dyDescent="0.25">
      <c r="B933" s="24"/>
      <c r="E933" s="24"/>
      <c r="G933" s="24"/>
      <c r="H933" s="24"/>
      <c r="J933" s="24"/>
      <c r="K933" s="24"/>
      <c r="M933" s="24"/>
      <c r="N933" s="24"/>
      <c r="P933" s="24"/>
    </row>
    <row r="934" spans="2:16" x14ac:dyDescent="0.25">
      <c r="B934" s="24"/>
      <c r="E934" s="24"/>
      <c r="G934" s="24"/>
      <c r="H934" s="24"/>
      <c r="J934" s="24"/>
      <c r="K934" s="24"/>
      <c r="M934" s="24"/>
      <c r="N934" s="24"/>
      <c r="P934" s="24"/>
    </row>
    <row r="935" spans="2:16" x14ac:dyDescent="0.25">
      <c r="B935" s="24"/>
      <c r="E935" s="24"/>
      <c r="G935" s="24"/>
      <c r="H935" s="24"/>
      <c r="J935" s="24"/>
      <c r="K935" s="24"/>
      <c r="M935" s="24"/>
      <c r="N935" s="24"/>
      <c r="P935" s="24"/>
    </row>
    <row r="936" spans="2:16" x14ac:dyDescent="0.25">
      <c r="B936" s="24"/>
      <c r="E936" s="24"/>
      <c r="G936" s="24"/>
      <c r="H936" s="24"/>
      <c r="J936" s="24"/>
      <c r="K936" s="24"/>
      <c r="M936" s="24"/>
      <c r="N936" s="24"/>
      <c r="P936" s="24"/>
    </row>
    <row r="937" spans="2:16" x14ac:dyDescent="0.25">
      <c r="B937" s="24"/>
      <c r="E937" s="24"/>
      <c r="G937" s="24"/>
      <c r="H937" s="24"/>
      <c r="J937" s="24"/>
      <c r="K937" s="24"/>
      <c r="M937" s="24"/>
      <c r="N937" s="24"/>
      <c r="P937" s="24"/>
    </row>
    <row r="938" spans="2:16" x14ac:dyDescent="0.25">
      <c r="B938" s="24"/>
      <c r="E938" s="24"/>
      <c r="G938" s="24"/>
      <c r="H938" s="24"/>
      <c r="J938" s="24"/>
      <c r="K938" s="24"/>
      <c r="M938" s="24"/>
      <c r="N938" s="24"/>
      <c r="P938" s="24"/>
    </row>
    <row r="939" spans="2:16" x14ac:dyDescent="0.25">
      <c r="B939" s="24"/>
      <c r="E939" s="24"/>
      <c r="G939" s="24"/>
      <c r="H939" s="24"/>
      <c r="J939" s="24"/>
      <c r="K939" s="24"/>
      <c r="M939" s="24"/>
      <c r="N939" s="24"/>
      <c r="P939" s="24"/>
    </row>
    <row r="940" spans="2:16" x14ac:dyDescent="0.25">
      <c r="B940" s="24"/>
      <c r="E940" s="24"/>
      <c r="G940" s="24"/>
      <c r="H940" s="24"/>
      <c r="J940" s="24"/>
      <c r="K940" s="24"/>
      <c r="M940" s="24"/>
      <c r="N940" s="24"/>
      <c r="P940" s="24"/>
    </row>
    <row r="941" spans="2:16" x14ac:dyDescent="0.25">
      <c r="B941" s="24"/>
      <c r="E941" s="24"/>
      <c r="G941" s="24"/>
      <c r="H941" s="24"/>
      <c r="J941" s="24"/>
      <c r="K941" s="24"/>
      <c r="M941" s="24"/>
      <c r="N941" s="24"/>
      <c r="P941" s="24"/>
    </row>
    <row r="942" spans="2:16" x14ac:dyDescent="0.25">
      <c r="B942" s="24"/>
      <c r="E942" s="24"/>
      <c r="G942" s="24"/>
      <c r="H942" s="24"/>
      <c r="J942" s="24"/>
      <c r="K942" s="24"/>
      <c r="M942" s="24"/>
      <c r="N942" s="24"/>
      <c r="P942" s="24"/>
    </row>
    <row r="943" spans="2:16" x14ac:dyDescent="0.25">
      <c r="B943" s="24"/>
      <c r="E943" s="24"/>
      <c r="G943" s="24"/>
      <c r="H943" s="24"/>
      <c r="J943" s="24"/>
      <c r="K943" s="24"/>
      <c r="M943" s="24"/>
      <c r="N943" s="24"/>
      <c r="P943" s="24"/>
    </row>
    <row r="944" spans="2:16" x14ac:dyDescent="0.25">
      <c r="B944" s="24"/>
      <c r="E944" s="24"/>
      <c r="G944" s="24"/>
      <c r="H944" s="24"/>
      <c r="J944" s="24"/>
      <c r="K944" s="24"/>
      <c r="M944" s="24"/>
      <c r="N944" s="24"/>
      <c r="P944" s="24"/>
    </row>
    <row r="945" spans="2:16" x14ac:dyDescent="0.25">
      <c r="B945" s="24"/>
      <c r="E945" s="24"/>
      <c r="G945" s="24"/>
      <c r="H945" s="24"/>
      <c r="J945" s="24"/>
      <c r="K945" s="24"/>
      <c r="M945" s="24"/>
      <c r="N945" s="24"/>
      <c r="P945" s="24"/>
    </row>
    <row r="946" spans="2:16" x14ac:dyDescent="0.25">
      <c r="B946" s="24"/>
      <c r="E946" s="24"/>
      <c r="G946" s="24"/>
      <c r="H946" s="24"/>
      <c r="J946" s="24"/>
      <c r="K946" s="24"/>
      <c r="M946" s="24"/>
      <c r="N946" s="24"/>
      <c r="P946" s="24"/>
    </row>
    <row r="947" spans="2:16" x14ac:dyDescent="0.25">
      <c r="B947" s="24"/>
      <c r="E947" s="24"/>
      <c r="G947" s="24"/>
      <c r="H947" s="24"/>
      <c r="J947" s="24"/>
      <c r="K947" s="24"/>
      <c r="M947" s="24"/>
      <c r="N947" s="24"/>
      <c r="P947" s="24"/>
    </row>
    <row r="948" spans="2:16" x14ac:dyDescent="0.25">
      <c r="B948" s="24"/>
      <c r="E948" s="24"/>
      <c r="G948" s="24"/>
      <c r="H948" s="24"/>
      <c r="J948" s="24"/>
      <c r="K948" s="24"/>
      <c r="M948" s="24"/>
      <c r="N948" s="24"/>
      <c r="P948" s="24"/>
    </row>
    <row r="949" spans="2:16" x14ac:dyDescent="0.25">
      <c r="B949" s="24"/>
      <c r="E949" s="24"/>
      <c r="G949" s="24"/>
      <c r="H949" s="24"/>
      <c r="J949" s="24"/>
      <c r="K949" s="24"/>
      <c r="M949" s="24"/>
      <c r="N949" s="24"/>
      <c r="P949" s="24"/>
    </row>
    <row r="950" spans="2:16" x14ac:dyDescent="0.25">
      <c r="B950" s="24"/>
      <c r="E950" s="24"/>
      <c r="G950" s="24"/>
      <c r="H950" s="24"/>
      <c r="J950" s="24"/>
      <c r="K950" s="24"/>
      <c r="M950" s="24"/>
      <c r="N950" s="24"/>
      <c r="P950" s="24"/>
    </row>
    <row r="951" spans="2:16" x14ac:dyDescent="0.25">
      <c r="B951" s="24"/>
      <c r="E951" s="24"/>
      <c r="G951" s="24"/>
      <c r="H951" s="24"/>
      <c r="J951" s="24"/>
      <c r="K951" s="24"/>
      <c r="M951" s="24"/>
      <c r="N951" s="24"/>
      <c r="P951" s="24"/>
    </row>
    <row r="952" spans="2:16" x14ac:dyDescent="0.25">
      <c r="B952" s="24"/>
      <c r="E952" s="24"/>
      <c r="G952" s="24"/>
      <c r="H952" s="24"/>
      <c r="J952" s="24"/>
      <c r="K952" s="24"/>
      <c r="M952" s="24"/>
      <c r="N952" s="24"/>
      <c r="P952" s="24"/>
    </row>
    <row r="953" spans="2:16" x14ac:dyDescent="0.25">
      <c r="B953" s="24"/>
      <c r="E953" s="24"/>
      <c r="G953" s="24"/>
      <c r="H953" s="24"/>
      <c r="J953" s="24"/>
      <c r="K953" s="24"/>
      <c r="M953" s="24"/>
      <c r="N953" s="24"/>
      <c r="P953" s="24"/>
    </row>
    <row r="954" spans="2:16" x14ac:dyDescent="0.25">
      <c r="B954" s="24"/>
      <c r="E954" s="24"/>
      <c r="G954" s="24"/>
      <c r="H954" s="24"/>
      <c r="J954" s="24"/>
      <c r="K954" s="24"/>
      <c r="M954" s="24"/>
      <c r="N954" s="24"/>
      <c r="P954" s="24"/>
    </row>
    <row r="955" spans="2:16" x14ac:dyDescent="0.25">
      <c r="B955" s="24"/>
      <c r="E955" s="24"/>
      <c r="G955" s="24"/>
      <c r="H955" s="24"/>
      <c r="J955" s="24"/>
      <c r="K955" s="24"/>
      <c r="M955" s="24"/>
      <c r="N955" s="24"/>
      <c r="P955" s="24"/>
    </row>
    <row r="956" spans="2:16" x14ac:dyDescent="0.25">
      <c r="B956" s="24"/>
      <c r="E956" s="24"/>
      <c r="G956" s="24"/>
      <c r="H956" s="24"/>
      <c r="J956" s="24"/>
      <c r="K956" s="24"/>
      <c r="M956" s="24"/>
      <c r="N956" s="24"/>
      <c r="P956" s="24"/>
    </row>
    <row r="957" spans="2:16" x14ac:dyDescent="0.25">
      <c r="B957" s="24"/>
      <c r="E957" s="24"/>
      <c r="G957" s="24"/>
      <c r="H957" s="24"/>
      <c r="J957" s="24"/>
      <c r="K957" s="24"/>
      <c r="M957" s="24"/>
      <c r="N957" s="24"/>
      <c r="P957" s="24"/>
    </row>
    <row r="958" spans="2:16" x14ac:dyDescent="0.25">
      <c r="B958" s="24"/>
      <c r="E958" s="24"/>
      <c r="G958" s="24"/>
      <c r="H958" s="24"/>
      <c r="J958" s="24"/>
      <c r="K958" s="24"/>
      <c r="M958" s="24"/>
      <c r="N958" s="24"/>
      <c r="P958" s="24"/>
    </row>
    <row r="959" spans="2:16" x14ac:dyDescent="0.25">
      <c r="B959" s="24"/>
      <c r="E959" s="24"/>
      <c r="G959" s="24"/>
      <c r="H959" s="24"/>
      <c r="J959" s="24"/>
      <c r="K959" s="24"/>
      <c r="M959" s="24"/>
      <c r="N959" s="24"/>
      <c r="P959" s="24"/>
    </row>
    <row r="960" spans="2:16" x14ac:dyDescent="0.25">
      <c r="B960" s="24"/>
      <c r="E960" s="24"/>
      <c r="G960" s="24"/>
      <c r="H960" s="24"/>
      <c r="J960" s="24"/>
      <c r="K960" s="24"/>
      <c r="M960" s="24"/>
      <c r="N960" s="24"/>
      <c r="P960" s="24"/>
    </row>
    <row r="961" spans="2:16" x14ac:dyDescent="0.25">
      <c r="B961" s="24"/>
      <c r="E961" s="24"/>
      <c r="G961" s="24"/>
      <c r="H961" s="24"/>
      <c r="J961" s="24"/>
      <c r="K961" s="24"/>
      <c r="M961" s="24"/>
      <c r="N961" s="24"/>
      <c r="P961" s="24"/>
    </row>
    <row r="962" spans="2:16" x14ac:dyDescent="0.25">
      <c r="B962" s="24"/>
      <c r="E962" s="24"/>
      <c r="G962" s="24"/>
      <c r="H962" s="24"/>
      <c r="J962" s="24"/>
      <c r="K962" s="24"/>
      <c r="M962" s="24"/>
      <c r="N962" s="24"/>
      <c r="P962" s="24"/>
    </row>
    <row r="963" spans="2:16" x14ac:dyDescent="0.25">
      <c r="B963" s="24"/>
      <c r="E963" s="24"/>
      <c r="G963" s="24"/>
      <c r="H963" s="24"/>
      <c r="J963" s="24"/>
      <c r="K963" s="24"/>
      <c r="M963" s="24"/>
      <c r="N963" s="24"/>
      <c r="P963" s="24"/>
    </row>
    <row r="964" spans="2:16" x14ac:dyDescent="0.25">
      <c r="B964" s="24"/>
      <c r="E964" s="24"/>
      <c r="G964" s="24"/>
      <c r="H964" s="24"/>
      <c r="J964" s="24"/>
      <c r="K964" s="24"/>
      <c r="M964" s="24"/>
      <c r="N964" s="24"/>
      <c r="P964" s="24"/>
    </row>
    <row r="965" spans="2:16" x14ac:dyDescent="0.25">
      <c r="B965" s="24"/>
      <c r="E965" s="24"/>
      <c r="G965" s="24"/>
      <c r="H965" s="24"/>
      <c r="J965" s="24"/>
      <c r="K965" s="24"/>
      <c r="M965" s="24"/>
      <c r="N965" s="24"/>
      <c r="P965" s="24"/>
    </row>
    <row r="966" spans="2:16" x14ac:dyDescent="0.25">
      <c r="B966" s="24"/>
      <c r="E966" s="24"/>
      <c r="G966" s="24"/>
      <c r="H966" s="24"/>
      <c r="J966" s="24"/>
      <c r="K966" s="24"/>
      <c r="M966" s="24"/>
      <c r="N966" s="24"/>
      <c r="P966" s="24"/>
    </row>
    <row r="967" spans="2:16" x14ac:dyDescent="0.25">
      <c r="B967" s="24"/>
      <c r="E967" s="24"/>
      <c r="G967" s="24"/>
      <c r="H967" s="24"/>
      <c r="J967" s="24"/>
      <c r="K967" s="24"/>
      <c r="M967" s="24"/>
      <c r="N967" s="24"/>
      <c r="P967" s="24"/>
    </row>
    <row r="968" spans="2:16" x14ac:dyDescent="0.25">
      <c r="B968" s="24"/>
      <c r="E968" s="24"/>
      <c r="G968" s="24"/>
      <c r="H968" s="24"/>
      <c r="J968" s="24"/>
      <c r="K968" s="24"/>
      <c r="M968" s="24"/>
      <c r="N968" s="24"/>
      <c r="P968" s="24"/>
    </row>
    <row r="969" spans="2:16" x14ac:dyDescent="0.25">
      <c r="B969" s="24"/>
      <c r="E969" s="24"/>
      <c r="G969" s="24"/>
      <c r="H969" s="24"/>
      <c r="J969" s="24"/>
      <c r="K969" s="24"/>
      <c r="M969" s="24"/>
      <c r="N969" s="24"/>
      <c r="P969" s="24"/>
    </row>
    <row r="970" spans="2:16" x14ac:dyDescent="0.25">
      <c r="B970" s="24"/>
      <c r="E970" s="24"/>
      <c r="G970" s="24"/>
      <c r="H970" s="24"/>
      <c r="J970" s="24"/>
      <c r="K970" s="24"/>
      <c r="M970" s="24"/>
      <c r="N970" s="24"/>
      <c r="P970" s="24"/>
    </row>
    <row r="971" spans="2:16" x14ac:dyDescent="0.25">
      <c r="B971" s="24"/>
      <c r="E971" s="24"/>
      <c r="G971" s="24"/>
      <c r="H971" s="24"/>
      <c r="J971" s="24"/>
      <c r="K971" s="24"/>
      <c r="M971" s="24"/>
      <c r="N971" s="24"/>
      <c r="P971" s="24"/>
    </row>
    <row r="972" spans="2:16" x14ac:dyDescent="0.25">
      <c r="B972" s="24"/>
      <c r="E972" s="24"/>
      <c r="G972" s="24"/>
      <c r="H972" s="24"/>
      <c r="J972" s="24"/>
      <c r="K972" s="24"/>
      <c r="M972" s="24"/>
      <c r="N972" s="24"/>
      <c r="P972" s="24"/>
    </row>
    <row r="973" spans="2:16" x14ac:dyDescent="0.25">
      <c r="B973" s="24"/>
      <c r="E973" s="24"/>
      <c r="G973" s="24"/>
      <c r="H973" s="24"/>
      <c r="J973" s="24"/>
      <c r="K973" s="24"/>
      <c r="M973" s="24"/>
      <c r="N973" s="24"/>
      <c r="P973" s="24"/>
    </row>
    <row r="974" spans="2:16" x14ac:dyDescent="0.25">
      <c r="B974" s="24"/>
      <c r="E974" s="24"/>
      <c r="G974" s="24"/>
      <c r="H974" s="24"/>
      <c r="J974" s="24"/>
      <c r="K974" s="24"/>
      <c r="M974" s="24"/>
      <c r="N974" s="24"/>
      <c r="P974" s="24"/>
    </row>
    <row r="975" spans="2:16" x14ac:dyDescent="0.25">
      <c r="B975" s="24"/>
      <c r="E975" s="24"/>
      <c r="G975" s="24"/>
      <c r="H975" s="24"/>
      <c r="J975" s="24"/>
      <c r="K975" s="24"/>
      <c r="M975" s="24"/>
      <c r="N975" s="24"/>
      <c r="P975" s="24"/>
    </row>
    <row r="976" spans="2:16" x14ac:dyDescent="0.25">
      <c r="B976" s="24"/>
      <c r="E976" s="24"/>
      <c r="G976" s="24"/>
      <c r="H976" s="24"/>
      <c r="J976" s="24"/>
      <c r="K976" s="24"/>
      <c r="M976" s="24"/>
      <c r="N976" s="24"/>
      <c r="P976" s="24"/>
    </row>
    <row r="977" spans="2:16" x14ac:dyDescent="0.25">
      <c r="B977" s="24"/>
      <c r="E977" s="24"/>
      <c r="G977" s="24"/>
      <c r="H977" s="24"/>
      <c r="J977" s="24"/>
      <c r="K977" s="24"/>
      <c r="M977" s="24"/>
      <c r="N977" s="24"/>
      <c r="P977" s="24"/>
    </row>
    <row r="978" spans="2:16" x14ac:dyDescent="0.25">
      <c r="B978" s="24"/>
      <c r="E978" s="24"/>
      <c r="G978" s="24"/>
      <c r="H978" s="24"/>
      <c r="J978" s="24"/>
      <c r="K978" s="24"/>
      <c r="M978" s="24"/>
      <c r="N978" s="24"/>
      <c r="P978" s="24"/>
    </row>
    <row r="979" spans="2:16" x14ac:dyDescent="0.25">
      <c r="B979" s="24"/>
      <c r="E979" s="24"/>
      <c r="G979" s="24"/>
      <c r="H979" s="24"/>
      <c r="J979" s="24"/>
      <c r="K979" s="24"/>
      <c r="M979" s="24"/>
      <c r="N979" s="24"/>
      <c r="P979" s="24"/>
    </row>
    <row r="980" spans="2:16" x14ac:dyDescent="0.25">
      <c r="B980" s="24"/>
      <c r="E980" s="24"/>
      <c r="G980" s="24"/>
      <c r="H980" s="24"/>
      <c r="J980" s="24"/>
      <c r="K980" s="24"/>
      <c r="M980" s="24"/>
      <c r="N980" s="24"/>
      <c r="P980" s="24"/>
    </row>
    <row r="981" spans="2:16" x14ac:dyDescent="0.25">
      <c r="B981" s="24"/>
      <c r="E981" s="24"/>
      <c r="G981" s="24"/>
      <c r="H981" s="24"/>
      <c r="J981" s="24"/>
      <c r="K981" s="24"/>
      <c r="M981" s="24"/>
      <c r="N981" s="24"/>
      <c r="P981" s="24"/>
    </row>
    <row r="982" spans="2:16" x14ac:dyDescent="0.25">
      <c r="B982" s="24"/>
      <c r="E982" s="24"/>
      <c r="G982" s="24"/>
      <c r="H982" s="24"/>
      <c r="J982" s="24"/>
      <c r="K982" s="24"/>
      <c r="M982" s="24"/>
      <c r="N982" s="24"/>
      <c r="P982" s="24"/>
    </row>
    <row r="983" spans="2:16" x14ac:dyDescent="0.25">
      <c r="B983" s="24"/>
      <c r="E983" s="24"/>
      <c r="G983" s="24"/>
      <c r="H983" s="24"/>
      <c r="J983" s="24"/>
      <c r="K983" s="24"/>
      <c r="M983" s="24"/>
      <c r="N983" s="24"/>
      <c r="P983" s="24"/>
    </row>
    <row r="984" spans="2:16" x14ac:dyDescent="0.25">
      <c r="B984" s="24"/>
      <c r="E984" s="24"/>
      <c r="G984" s="24"/>
      <c r="H984" s="24"/>
      <c r="J984" s="24"/>
      <c r="K984" s="24"/>
      <c r="M984" s="24"/>
      <c r="N984" s="24"/>
      <c r="P984" s="24"/>
    </row>
    <row r="985" spans="2:16" x14ac:dyDescent="0.25">
      <c r="B985" s="24"/>
      <c r="E985" s="24"/>
      <c r="G985" s="24"/>
      <c r="H985" s="24"/>
      <c r="J985" s="24"/>
      <c r="K985" s="24"/>
      <c r="M985" s="24"/>
      <c r="N985" s="24"/>
      <c r="P985" s="24"/>
    </row>
    <row r="986" spans="2:16" x14ac:dyDescent="0.25">
      <c r="B986" s="24"/>
      <c r="E986" s="24"/>
      <c r="G986" s="24"/>
      <c r="H986" s="24"/>
      <c r="J986" s="24"/>
      <c r="K986" s="24"/>
      <c r="M986" s="24"/>
      <c r="N986" s="24"/>
      <c r="P986" s="24"/>
    </row>
    <row r="987" spans="2:16" x14ac:dyDescent="0.25">
      <c r="B987" s="24"/>
      <c r="E987" s="24"/>
      <c r="G987" s="24"/>
      <c r="H987" s="24"/>
      <c r="J987" s="24"/>
      <c r="K987" s="24"/>
      <c r="M987" s="24"/>
      <c r="N987" s="24"/>
      <c r="P987" s="24"/>
    </row>
    <row r="988" spans="2:16" x14ac:dyDescent="0.25">
      <c r="B988" s="24"/>
      <c r="E988" s="24"/>
      <c r="G988" s="24"/>
      <c r="H988" s="24"/>
      <c r="J988" s="24"/>
      <c r="K988" s="24"/>
      <c r="M988" s="24"/>
      <c r="N988" s="24"/>
      <c r="P988" s="24"/>
    </row>
    <row r="989" spans="2:16" x14ac:dyDescent="0.25">
      <c r="B989" s="24"/>
      <c r="E989" s="24"/>
      <c r="G989" s="24"/>
      <c r="H989" s="24"/>
      <c r="J989" s="24"/>
      <c r="K989" s="24"/>
      <c r="M989" s="24"/>
      <c r="N989" s="24"/>
      <c r="P989" s="24"/>
    </row>
    <row r="990" spans="2:16" x14ac:dyDescent="0.25">
      <c r="B990" s="24"/>
      <c r="E990" s="24"/>
      <c r="G990" s="24"/>
      <c r="H990" s="24"/>
      <c r="J990" s="24"/>
      <c r="K990" s="24"/>
      <c r="M990" s="24"/>
      <c r="N990" s="24"/>
      <c r="P990" s="24"/>
    </row>
    <row r="991" spans="2:16" x14ac:dyDescent="0.25">
      <c r="B991" s="24"/>
      <c r="E991" s="24"/>
      <c r="G991" s="24"/>
      <c r="H991" s="24"/>
      <c r="J991" s="24"/>
      <c r="K991" s="24"/>
      <c r="M991" s="24"/>
      <c r="N991" s="24"/>
      <c r="P991" s="24"/>
    </row>
    <row r="992" spans="2:16" x14ac:dyDescent="0.25">
      <c r="B992" s="24"/>
      <c r="E992" s="24"/>
      <c r="G992" s="24"/>
      <c r="H992" s="24"/>
      <c r="J992" s="24"/>
      <c r="K992" s="24"/>
      <c r="M992" s="24"/>
      <c r="N992" s="24"/>
      <c r="P992" s="24"/>
    </row>
    <row r="993" spans="2:16" x14ac:dyDescent="0.25">
      <c r="B993" s="24"/>
      <c r="E993" s="24"/>
      <c r="G993" s="24"/>
      <c r="H993" s="24"/>
      <c r="J993" s="24"/>
      <c r="K993" s="24"/>
      <c r="M993" s="24"/>
      <c r="N993" s="24"/>
      <c r="P993" s="24"/>
    </row>
    <row r="994" spans="2:16" x14ac:dyDescent="0.25">
      <c r="B994" s="24"/>
      <c r="E994" s="24"/>
      <c r="G994" s="24"/>
      <c r="H994" s="24"/>
      <c r="J994" s="24"/>
      <c r="K994" s="24"/>
      <c r="M994" s="24"/>
      <c r="N994" s="24"/>
      <c r="P994" s="24"/>
    </row>
    <row r="995" spans="2:16" x14ac:dyDescent="0.25">
      <c r="B995" s="24"/>
      <c r="E995" s="24"/>
      <c r="G995" s="24"/>
      <c r="H995" s="24"/>
      <c r="J995" s="24"/>
      <c r="K995" s="24"/>
      <c r="M995" s="24"/>
      <c r="N995" s="24"/>
      <c r="P995" s="24"/>
    </row>
    <row r="996" spans="2:16" x14ac:dyDescent="0.25">
      <c r="B996" s="24"/>
      <c r="E996" s="24"/>
      <c r="G996" s="24"/>
      <c r="H996" s="24"/>
      <c r="J996" s="24"/>
      <c r="K996" s="24"/>
      <c r="M996" s="24"/>
      <c r="N996" s="24"/>
      <c r="P996" s="24"/>
    </row>
    <row r="997" spans="2:16" x14ac:dyDescent="0.25">
      <c r="B997" s="24"/>
      <c r="E997" s="24"/>
      <c r="G997" s="24"/>
      <c r="H997" s="24"/>
      <c r="J997" s="24"/>
      <c r="K997" s="24"/>
      <c r="M997" s="24"/>
      <c r="N997" s="24"/>
      <c r="P997" s="24"/>
    </row>
    <row r="998" spans="2:16" x14ac:dyDescent="0.25">
      <c r="B998" s="24"/>
      <c r="E998" s="24"/>
      <c r="G998" s="24"/>
      <c r="H998" s="24"/>
      <c r="J998" s="24"/>
      <c r="K998" s="24"/>
      <c r="M998" s="24"/>
      <c r="N998" s="24"/>
      <c r="P998" s="24"/>
    </row>
    <row r="999" spans="2:16" x14ac:dyDescent="0.25">
      <c r="B999" s="24"/>
      <c r="E999" s="24"/>
      <c r="G999" s="24"/>
      <c r="H999" s="24"/>
      <c r="J999" s="24"/>
      <c r="K999" s="24"/>
      <c r="M999" s="24"/>
      <c r="N999" s="24"/>
      <c r="P999" s="24"/>
    </row>
    <row r="1000" spans="2:16" x14ac:dyDescent="0.25">
      <c r="B1000" s="24"/>
      <c r="E1000" s="24"/>
      <c r="G1000" s="24"/>
      <c r="H1000" s="24"/>
      <c r="J1000" s="24"/>
      <c r="K1000" s="24"/>
      <c r="M1000" s="24"/>
      <c r="N1000" s="24"/>
      <c r="P1000" s="24"/>
    </row>
    <row r="1001" spans="2:16" x14ac:dyDescent="0.25">
      <c r="B1001" s="24"/>
      <c r="E1001" s="24"/>
      <c r="G1001" s="24"/>
      <c r="H1001" s="24"/>
      <c r="J1001" s="24"/>
      <c r="K1001" s="24"/>
      <c r="M1001" s="24"/>
      <c r="N1001" s="24"/>
      <c r="P1001" s="24"/>
    </row>
    <row r="1002" spans="2:16" x14ac:dyDescent="0.25">
      <c r="B1002" s="24"/>
      <c r="E1002" s="24"/>
      <c r="G1002" s="24"/>
      <c r="H1002" s="24"/>
      <c r="J1002" s="24"/>
      <c r="K1002" s="24"/>
      <c r="M1002" s="24"/>
      <c r="N1002" s="24"/>
      <c r="P1002" s="24"/>
    </row>
    <row r="1003" spans="2:16" x14ac:dyDescent="0.25">
      <c r="B1003" s="24"/>
      <c r="E1003" s="24"/>
      <c r="G1003" s="24"/>
      <c r="H1003" s="24"/>
      <c r="J1003" s="24"/>
      <c r="K1003" s="24"/>
      <c r="M1003" s="24"/>
      <c r="N1003" s="24"/>
      <c r="P1003" s="24"/>
    </row>
    <row r="1004" spans="2:16" x14ac:dyDescent="0.25">
      <c r="B1004" s="24"/>
      <c r="E1004" s="24"/>
      <c r="G1004" s="24"/>
      <c r="H1004" s="24"/>
      <c r="J1004" s="24"/>
      <c r="K1004" s="24"/>
      <c r="M1004" s="24"/>
      <c r="N1004" s="24"/>
      <c r="P1004" s="24"/>
    </row>
    <row r="1005" spans="2:16" x14ac:dyDescent="0.25">
      <c r="B1005" s="24"/>
      <c r="E1005" s="24"/>
      <c r="G1005" s="24"/>
      <c r="H1005" s="24"/>
      <c r="J1005" s="24"/>
      <c r="K1005" s="24"/>
      <c r="M1005" s="24"/>
      <c r="N1005" s="24"/>
      <c r="P1005" s="24"/>
    </row>
    <row r="1006" spans="2:16" x14ac:dyDescent="0.25">
      <c r="B1006" s="24"/>
      <c r="E1006" s="24"/>
      <c r="G1006" s="24"/>
      <c r="H1006" s="24"/>
      <c r="J1006" s="24"/>
      <c r="K1006" s="24"/>
      <c r="M1006" s="24"/>
      <c r="N1006" s="24"/>
      <c r="P1006" s="24"/>
    </row>
    <row r="1007" spans="2:16" x14ac:dyDescent="0.25">
      <c r="B1007" s="24"/>
      <c r="E1007" s="24"/>
      <c r="G1007" s="24"/>
      <c r="H1007" s="24"/>
      <c r="J1007" s="24"/>
      <c r="K1007" s="24"/>
      <c r="M1007" s="24"/>
      <c r="N1007" s="24"/>
      <c r="P1007" s="24"/>
    </row>
    <row r="1008" spans="2:16" x14ac:dyDescent="0.25">
      <c r="B1008" s="24"/>
      <c r="E1008" s="24"/>
      <c r="G1008" s="24"/>
      <c r="H1008" s="24"/>
      <c r="J1008" s="24"/>
      <c r="K1008" s="24"/>
      <c r="M1008" s="24"/>
      <c r="N1008" s="24"/>
      <c r="P1008" s="24"/>
    </row>
    <row r="1009" spans="2:16" x14ac:dyDescent="0.25">
      <c r="B1009" s="24"/>
      <c r="E1009" s="24"/>
      <c r="G1009" s="24"/>
      <c r="H1009" s="24"/>
      <c r="J1009" s="24"/>
      <c r="K1009" s="24"/>
      <c r="M1009" s="24"/>
      <c r="N1009" s="24"/>
      <c r="P1009" s="24"/>
    </row>
    <row r="1010" spans="2:16" x14ac:dyDescent="0.25">
      <c r="B1010" s="24"/>
      <c r="E1010" s="24"/>
      <c r="G1010" s="24"/>
      <c r="H1010" s="24"/>
      <c r="J1010" s="24"/>
      <c r="K1010" s="24"/>
      <c r="M1010" s="24"/>
      <c r="N1010" s="24"/>
      <c r="P1010" s="24"/>
    </row>
    <row r="1011" spans="2:16" x14ac:dyDescent="0.25">
      <c r="B1011" s="24"/>
      <c r="E1011" s="24"/>
      <c r="G1011" s="24"/>
      <c r="H1011" s="24"/>
      <c r="J1011" s="24"/>
      <c r="K1011" s="24"/>
      <c r="M1011" s="24"/>
      <c r="N1011" s="24"/>
      <c r="P1011" s="24"/>
    </row>
    <row r="1012" spans="2:16" x14ac:dyDescent="0.25">
      <c r="B1012" s="24"/>
      <c r="E1012" s="24"/>
      <c r="G1012" s="24"/>
      <c r="H1012" s="24"/>
      <c r="J1012" s="24"/>
      <c r="K1012" s="24"/>
      <c r="M1012" s="24"/>
      <c r="N1012" s="24"/>
      <c r="P1012" s="24"/>
    </row>
    <row r="1013" spans="2:16" x14ac:dyDescent="0.25">
      <c r="B1013" s="24"/>
      <c r="E1013" s="24"/>
      <c r="G1013" s="24"/>
      <c r="H1013" s="24"/>
      <c r="J1013" s="24"/>
      <c r="K1013" s="24"/>
      <c r="M1013" s="24"/>
      <c r="N1013" s="24"/>
      <c r="P1013" s="24"/>
    </row>
    <row r="1014" spans="2:16" x14ac:dyDescent="0.25">
      <c r="B1014" s="24"/>
      <c r="E1014" s="24"/>
      <c r="G1014" s="24"/>
      <c r="H1014" s="24"/>
      <c r="J1014" s="24"/>
      <c r="K1014" s="24"/>
      <c r="M1014" s="24"/>
      <c r="N1014" s="24"/>
      <c r="P1014" s="24"/>
    </row>
    <row r="1015" spans="2:16" x14ac:dyDescent="0.25">
      <c r="B1015" s="24"/>
      <c r="E1015" s="24"/>
      <c r="G1015" s="24"/>
      <c r="H1015" s="24"/>
      <c r="J1015" s="24"/>
      <c r="K1015" s="24"/>
      <c r="M1015" s="24"/>
      <c r="N1015" s="24"/>
      <c r="P1015" s="24"/>
    </row>
    <row r="1016" spans="2:16" x14ac:dyDescent="0.25">
      <c r="B1016" s="24"/>
      <c r="E1016" s="24"/>
      <c r="G1016" s="24"/>
      <c r="H1016" s="24"/>
      <c r="J1016" s="24"/>
      <c r="K1016" s="24"/>
      <c r="M1016" s="24"/>
      <c r="N1016" s="24"/>
      <c r="P1016" s="24"/>
    </row>
    <row r="1017" spans="2:16" x14ac:dyDescent="0.25">
      <c r="B1017" s="24"/>
      <c r="E1017" s="24"/>
      <c r="G1017" s="24"/>
      <c r="H1017" s="24"/>
      <c r="J1017" s="24"/>
      <c r="K1017" s="24"/>
      <c r="M1017" s="24"/>
      <c r="N1017" s="24"/>
      <c r="P1017" s="24"/>
    </row>
    <row r="1018" spans="2:16" x14ac:dyDescent="0.25">
      <c r="B1018" s="24"/>
      <c r="E1018" s="24"/>
      <c r="G1018" s="24"/>
      <c r="H1018" s="24"/>
      <c r="J1018" s="24"/>
      <c r="K1018" s="24"/>
      <c r="M1018" s="24"/>
      <c r="N1018" s="24"/>
      <c r="P1018" s="24"/>
    </row>
    <row r="1019" spans="2:16" x14ac:dyDescent="0.25">
      <c r="B1019" s="24"/>
      <c r="E1019" s="24"/>
      <c r="G1019" s="24"/>
      <c r="H1019" s="24"/>
      <c r="J1019" s="24"/>
      <c r="K1019" s="24"/>
      <c r="M1019" s="24"/>
      <c r="N1019" s="24"/>
      <c r="P1019" s="24"/>
    </row>
    <row r="1020" spans="2:16" x14ac:dyDescent="0.25">
      <c r="B1020" s="24"/>
      <c r="E1020" s="24"/>
      <c r="G1020" s="24"/>
      <c r="H1020" s="24"/>
      <c r="J1020" s="24"/>
      <c r="K1020" s="24"/>
      <c r="M1020" s="24"/>
      <c r="N1020" s="24"/>
      <c r="P1020" s="24"/>
    </row>
    <row r="1021" spans="2:16" x14ac:dyDescent="0.25">
      <c r="B1021" s="24"/>
      <c r="E1021" s="24"/>
      <c r="G1021" s="24"/>
      <c r="H1021" s="24"/>
      <c r="J1021" s="24"/>
      <c r="K1021" s="24"/>
      <c r="M1021" s="24"/>
      <c r="N1021" s="24"/>
      <c r="P1021" s="24"/>
    </row>
    <row r="1022" spans="2:16" x14ac:dyDescent="0.25">
      <c r="B1022" s="24"/>
      <c r="E1022" s="24"/>
      <c r="G1022" s="24"/>
      <c r="H1022" s="24"/>
      <c r="J1022" s="24"/>
      <c r="K1022" s="24"/>
      <c r="M1022" s="24"/>
      <c r="N1022" s="24"/>
      <c r="P1022" s="24"/>
    </row>
    <row r="1023" spans="2:16" x14ac:dyDescent="0.25">
      <c r="B1023" s="24"/>
      <c r="E1023" s="24"/>
      <c r="G1023" s="24"/>
      <c r="H1023" s="24"/>
      <c r="J1023" s="24"/>
      <c r="K1023" s="24"/>
      <c r="M1023" s="24"/>
      <c r="N1023" s="24"/>
      <c r="P1023" s="24"/>
    </row>
    <row r="1024" spans="2:16" x14ac:dyDescent="0.25">
      <c r="B1024" s="24"/>
      <c r="E1024" s="24"/>
      <c r="G1024" s="24"/>
      <c r="H1024" s="24"/>
      <c r="J1024" s="24"/>
      <c r="K1024" s="24"/>
      <c r="M1024" s="24"/>
      <c r="N1024" s="24"/>
      <c r="P1024" s="24"/>
    </row>
    <row r="1025" spans="2:16" x14ac:dyDescent="0.25">
      <c r="B1025" s="24"/>
      <c r="E1025" s="24"/>
      <c r="G1025" s="24"/>
      <c r="H1025" s="24"/>
      <c r="J1025" s="24"/>
      <c r="K1025" s="24"/>
      <c r="M1025" s="24"/>
      <c r="N1025" s="24"/>
      <c r="P1025" s="24"/>
    </row>
    <row r="1026" spans="2:16" x14ac:dyDescent="0.25">
      <c r="B1026" s="24"/>
      <c r="E1026" s="24"/>
      <c r="G1026" s="24"/>
      <c r="H1026" s="24"/>
      <c r="J1026" s="24"/>
      <c r="K1026" s="24"/>
      <c r="M1026" s="24"/>
      <c r="N1026" s="24"/>
      <c r="P1026" s="24"/>
    </row>
    <row r="1027" spans="2:16" x14ac:dyDescent="0.25">
      <c r="B1027" s="24"/>
      <c r="E1027" s="24"/>
      <c r="G1027" s="24"/>
      <c r="H1027" s="24"/>
      <c r="J1027" s="24"/>
      <c r="K1027" s="24"/>
      <c r="M1027" s="24"/>
      <c r="N1027" s="24"/>
      <c r="P1027" s="24"/>
    </row>
    <row r="1028" spans="2:16" x14ac:dyDescent="0.25">
      <c r="B1028" s="24"/>
      <c r="E1028" s="24"/>
      <c r="G1028" s="24"/>
      <c r="H1028" s="24"/>
      <c r="J1028" s="24"/>
      <c r="K1028" s="24"/>
      <c r="M1028" s="24"/>
      <c r="N1028" s="24"/>
      <c r="P1028" s="24"/>
    </row>
    <row r="1029" spans="2:16" x14ac:dyDescent="0.25">
      <c r="B1029" s="24"/>
      <c r="E1029" s="24"/>
      <c r="G1029" s="24"/>
      <c r="H1029" s="24"/>
      <c r="J1029" s="24"/>
      <c r="K1029" s="24"/>
      <c r="M1029" s="24"/>
      <c r="N1029" s="24"/>
      <c r="P1029" s="24"/>
    </row>
    <row r="1030" spans="2:16" x14ac:dyDescent="0.25">
      <c r="B1030" s="24"/>
      <c r="E1030" s="24"/>
      <c r="G1030" s="24"/>
      <c r="H1030" s="24"/>
      <c r="J1030" s="24"/>
      <c r="K1030" s="24"/>
      <c r="M1030" s="24"/>
      <c r="N1030" s="24"/>
      <c r="P1030" s="24"/>
    </row>
    <row r="1031" spans="2:16" x14ac:dyDescent="0.25">
      <c r="B1031" s="24"/>
      <c r="E1031" s="24"/>
      <c r="G1031" s="24"/>
      <c r="H1031" s="24"/>
      <c r="J1031" s="24"/>
      <c r="K1031" s="24"/>
      <c r="M1031" s="24"/>
      <c r="N1031" s="24"/>
      <c r="P1031" s="24"/>
    </row>
    <row r="1032" spans="2:16" x14ac:dyDescent="0.25">
      <c r="B1032" s="24"/>
      <c r="E1032" s="24"/>
      <c r="G1032" s="24"/>
      <c r="H1032" s="24"/>
      <c r="J1032" s="24"/>
      <c r="K1032" s="24"/>
      <c r="M1032" s="24"/>
      <c r="N1032" s="24"/>
      <c r="P1032" s="24"/>
    </row>
    <row r="1033" spans="2:16" x14ac:dyDescent="0.25">
      <c r="B1033" s="24"/>
      <c r="E1033" s="24"/>
      <c r="G1033" s="24"/>
      <c r="H1033" s="24"/>
      <c r="J1033" s="24"/>
      <c r="K1033" s="24"/>
      <c r="M1033" s="24"/>
      <c r="N1033" s="24"/>
      <c r="P1033" s="24"/>
    </row>
    <row r="1034" spans="2:16" x14ac:dyDescent="0.25">
      <c r="B1034" s="24"/>
      <c r="E1034" s="24"/>
      <c r="G1034" s="24"/>
      <c r="H1034" s="24"/>
      <c r="J1034" s="24"/>
      <c r="K1034" s="24"/>
      <c r="M1034" s="24"/>
      <c r="N1034" s="24"/>
      <c r="P1034" s="24"/>
    </row>
    <row r="1035" spans="2:16" x14ac:dyDescent="0.25">
      <c r="B1035" s="24"/>
      <c r="E1035" s="24"/>
      <c r="G1035" s="24"/>
      <c r="H1035" s="24"/>
      <c r="J1035" s="24"/>
      <c r="K1035" s="24"/>
      <c r="M1035" s="24"/>
      <c r="N1035" s="24"/>
      <c r="P1035" s="24"/>
    </row>
    <row r="1036" spans="2:16" x14ac:dyDescent="0.25">
      <c r="B1036" s="24"/>
      <c r="E1036" s="24"/>
      <c r="G1036" s="24"/>
      <c r="H1036" s="24"/>
      <c r="J1036" s="24"/>
      <c r="K1036" s="24"/>
      <c r="M1036" s="24"/>
      <c r="N1036" s="24"/>
      <c r="P1036" s="24"/>
    </row>
    <row r="1037" spans="2:16" x14ac:dyDescent="0.25">
      <c r="B1037" s="24"/>
      <c r="E1037" s="24"/>
      <c r="G1037" s="24"/>
      <c r="H1037" s="24"/>
      <c r="J1037" s="24"/>
      <c r="K1037" s="24"/>
      <c r="M1037" s="24"/>
      <c r="N1037" s="24"/>
      <c r="P1037" s="24"/>
    </row>
    <row r="1038" spans="2:16" x14ac:dyDescent="0.25">
      <c r="B1038" s="24"/>
      <c r="E1038" s="24"/>
      <c r="G1038" s="24"/>
      <c r="H1038" s="24"/>
      <c r="J1038" s="24"/>
      <c r="K1038" s="24"/>
      <c r="M1038" s="24"/>
      <c r="N1038" s="24"/>
      <c r="P1038" s="24"/>
    </row>
    <row r="1039" spans="2:16" x14ac:dyDescent="0.25">
      <c r="B1039" s="24"/>
      <c r="E1039" s="24"/>
      <c r="G1039" s="24"/>
      <c r="H1039" s="24"/>
      <c r="J1039" s="24"/>
      <c r="K1039" s="24"/>
      <c r="M1039" s="24"/>
      <c r="N1039" s="24"/>
      <c r="P1039" s="24"/>
    </row>
    <row r="1040" spans="2:16" x14ac:dyDescent="0.25">
      <c r="B1040" s="24"/>
      <c r="E1040" s="24"/>
      <c r="G1040" s="24"/>
      <c r="H1040" s="24"/>
      <c r="J1040" s="24"/>
      <c r="K1040" s="24"/>
      <c r="M1040" s="24"/>
      <c r="N1040" s="24"/>
      <c r="P1040" s="24"/>
    </row>
    <row r="1041" spans="2:16" x14ac:dyDescent="0.25">
      <c r="B1041" s="24"/>
      <c r="E1041" s="24"/>
      <c r="G1041" s="24"/>
      <c r="H1041" s="24"/>
      <c r="J1041" s="24"/>
      <c r="K1041" s="24"/>
      <c r="M1041" s="24"/>
      <c r="N1041" s="24"/>
      <c r="P1041" s="24"/>
    </row>
    <row r="1042" spans="2:16" x14ac:dyDescent="0.25">
      <c r="B1042" s="24"/>
      <c r="E1042" s="24"/>
      <c r="G1042" s="24"/>
      <c r="H1042" s="24"/>
      <c r="J1042" s="24"/>
      <c r="K1042" s="24"/>
      <c r="M1042" s="24"/>
      <c r="N1042" s="24"/>
      <c r="P1042" s="24"/>
    </row>
    <row r="1043" spans="2:16" x14ac:dyDescent="0.25">
      <c r="B1043" s="24"/>
      <c r="E1043" s="24"/>
      <c r="G1043" s="24"/>
      <c r="H1043" s="24"/>
      <c r="J1043" s="24"/>
      <c r="K1043" s="24"/>
      <c r="M1043" s="24"/>
      <c r="N1043" s="24"/>
      <c r="P1043" s="24"/>
    </row>
    <row r="1044" spans="2:16" x14ac:dyDescent="0.25">
      <c r="B1044" s="24"/>
      <c r="E1044" s="24"/>
      <c r="G1044" s="24"/>
      <c r="H1044" s="24"/>
      <c r="J1044" s="24"/>
      <c r="K1044" s="24"/>
      <c r="M1044" s="24"/>
      <c r="N1044" s="24"/>
      <c r="P1044" s="24"/>
    </row>
    <row r="1045" spans="2:16" x14ac:dyDescent="0.25">
      <c r="B1045" s="24"/>
      <c r="E1045" s="24"/>
      <c r="G1045" s="24"/>
      <c r="H1045" s="24"/>
      <c r="J1045" s="24"/>
      <c r="K1045" s="24"/>
      <c r="M1045" s="24"/>
      <c r="N1045" s="24"/>
      <c r="P1045" s="24"/>
    </row>
    <row r="1046" spans="2:16" x14ac:dyDescent="0.25">
      <c r="B1046" s="24"/>
      <c r="E1046" s="24"/>
      <c r="G1046" s="24"/>
      <c r="H1046" s="24"/>
      <c r="J1046" s="24"/>
      <c r="K1046" s="24"/>
      <c r="M1046" s="24"/>
      <c r="N1046" s="24"/>
      <c r="P1046" s="24"/>
    </row>
    <row r="1047" spans="2:16" x14ac:dyDescent="0.25">
      <c r="B1047" s="24"/>
      <c r="E1047" s="24"/>
      <c r="G1047" s="24"/>
      <c r="H1047" s="24"/>
      <c r="J1047" s="24"/>
      <c r="K1047" s="24"/>
      <c r="M1047" s="24"/>
      <c r="N1047" s="24"/>
      <c r="P1047" s="24"/>
    </row>
    <row r="1048" spans="2:16" x14ac:dyDescent="0.25">
      <c r="B1048" s="24"/>
      <c r="E1048" s="24"/>
      <c r="G1048" s="24"/>
      <c r="H1048" s="24"/>
      <c r="J1048" s="24"/>
      <c r="K1048" s="24"/>
      <c r="M1048" s="24"/>
      <c r="N1048" s="24"/>
      <c r="P1048" s="24"/>
    </row>
    <row r="1049" spans="2:16" x14ac:dyDescent="0.25">
      <c r="B1049" s="24"/>
      <c r="E1049" s="24"/>
      <c r="G1049" s="24"/>
      <c r="H1049" s="24"/>
      <c r="J1049" s="24"/>
      <c r="K1049" s="24"/>
      <c r="M1049" s="24"/>
      <c r="N1049" s="24"/>
      <c r="P1049" s="24"/>
    </row>
    <row r="1050" spans="2:16" x14ac:dyDescent="0.25">
      <c r="B1050" s="24"/>
      <c r="E1050" s="24"/>
      <c r="G1050" s="24"/>
      <c r="H1050" s="24"/>
      <c r="J1050" s="24"/>
      <c r="K1050" s="24"/>
      <c r="M1050" s="24"/>
      <c r="N1050" s="24"/>
      <c r="P1050" s="24"/>
    </row>
    <row r="1051" spans="2:16" x14ac:dyDescent="0.25">
      <c r="B1051" s="24"/>
      <c r="E1051" s="24"/>
      <c r="G1051" s="24"/>
      <c r="H1051" s="24"/>
      <c r="J1051" s="24"/>
      <c r="K1051" s="24"/>
      <c r="M1051" s="24"/>
      <c r="N1051" s="24"/>
      <c r="P1051" s="24"/>
    </row>
    <row r="1052" spans="2:16" x14ac:dyDescent="0.25">
      <c r="B1052" s="24"/>
      <c r="E1052" s="24"/>
      <c r="G1052" s="24"/>
      <c r="H1052" s="24"/>
      <c r="J1052" s="24"/>
      <c r="K1052" s="24"/>
      <c r="M1052" s="24"/>
      <c r="N1052" s="24"/>
      <c r="P1052" s="24"/>
    </row>
    <row r="1053" spans="2:16" x14ac:dyDescent="0.25">
      <c r="B1053" s="24"/>
      <c r="E1053" s="24"/>
      <c r="G1053" s="24"/>
      <c r="H1053" s="24"/>
      <c r="J1053" s="24"/>
      <c r="K1053" s="24"/>
      <c r="M1053" s="24"/>
      <c r="N1053" s="24"/>
      <c r="P1053" s="24"/>
    </row>
    <row r="1054" spans="2:16" x14ac:dyDescent="0.25">
      <c r="B1054" s="24"/>
      <c r="E1054" s="24"/>
      <c r="G1054" s="24"/>
      <c r="H1054" s="24"/>
      <c r="J1054" s="24"/>
      <c r="K1054" s="24"/>
      <c r="M1054" s="24"/>
      <c r="N1054" s="24"/>
      <c r="P1054" s="24"/>
    </row>
    <row r="1055" spans="2:16" x14ac:dyDescent="0.25">
      <c r="B1055" s="24"/>
      <c r="E1055" s="24"/>
      <c r="G1055" s="24"/>
      <c r="H1055" s="24"/>
      <c r="J1055" s="24"/>
      <c r="K1055" s="24"/>
      <c r="M1055" s="24"/>
      <c r="N1055" s="24"/>
      <c r="P1055" s="24"/>
    </row>
    <row r="1056" spans="2:16" x14ac:dyDescent="0.25">
      <c r="B1056" s="24"/>
      <c r="E1056" s="24"/>
      <c r="G1056" s="24"/>
      <c r="H1056" s="24"/>
      <c r="J1056" s="24"/>
      <c r="K1056" s="24"/>
      <c r="M1056" s="24"/>
      <c r="N1056" s="24"/>
      <c r="P1056" s="24"/>
    </row>
    <row r="1057" spans="2:16" x14ac:dyDescent="0.25">
      <c r="B1057" s="24"/>
      <c r="E1057" s="24"/>
      <c r="G1057" s="24"/>
      <c r="H1057" s="24"/>
      <c r="J1057" s="24"/>
      <c r="K1057" s="24"/>
      <c r="M1057" s="24"/>
      <c r="N1057" s="24"/>
      <c r="P1057" s="24"/>
    </row>
    <row r="1058" spans="2:16" x14ac:dyDescent="0.25">
      <c r="B1058" s="24"/>
      <c r="E1058" s="24"/>
      <c r="G1058" s="24"/>
      <c r="H1058" s="24"/>
      <c r="J1058" s="24"/>
      <c r="K1058" s="24"/>
      <c r="M1058" s="24"/>
      <c r="N1058" s="24"/>
      <c r="P1058" s="24"/>
    </row>
    <row r="1059" spans="2:16" x14ac:dyDescent="0.25">
      <c r="B1059" s="24"/>
      <c r="E1059" s="24"/>
      <c r="G1059" s="24"/>
      <c r="H1059" s="24"/>
      <c r="J1059" s="24"/>
      <c r="K1059" s="24"/>
      <c r="M1059" s="24"/>
      <c r="N1059" s="24"/>
      <c r="P1059" s="24"/>
    </row>
    <row r="1060" spans="2:16" x14ac:dyDescent="0.25">
      <c r="B1060" s="24"/>
      <c r="E1060" s="24"/>
      <c r="G1060" s="24"/>
      <c r="H1060" s="24"/>
      <c r="J1060" s="24"/>
      <c r="K1060" s="24"/>
      <c r="M1060" s="24"/>
      <c r="N1060" s="24"/>
      <c r="P1060" s="24"/>
    </row>
    <row r="1061" spans="2:16" x14ac:dyDescent="0.25">
      <c r="B1061" s="24"/>
      <c r="E1061" s="24"/>
      <c r="G1061" s="24"/>
      <c r="H1061" s="24"/>
      <c r="J1061" s="24"/>
      <c r="K1061" s="24"/>
      <c r="M1061" s="24"/>
      <c r="N1061" s="24"/>
      <c r="P1061" s="24"/>
    </row>
    <row r="1062" spans="2:16" x14ac:dyDescent="0.25">
      <c r="B1062" s="24"/>
      <c r="E1062" s="24"/>
      <c r="G1062" s="24"/>
      <c r="H1062" s="24"/>
      <c r="J1062" s="24"/>
      <c r="K1062" s="24"/>
      <c r="M1062" s="24"/>
      <c r="N1062" s="24"/>
      <c r="P1062" s="24"/>
    </row>
    <row r="1063" spans="2:16" x14ac:dyDescent="0.25">
      <c r="B1063" s="24"/>
      <c r="E1063" s="24"/>
      <c r="G1063" s="24"/>
      <c r="H1063" s="24"/>
      <c r="J1063" s="24"/>
      <c r="K1063" s="24"/>
      <c r="M1063" s="24"/>
      <c r="N1063" s="24"/>
      <c r="P1063" s="24"/>
    </row>
    <row r="1064" spans="2:16" x14ac:dyDescent="0.25">
      <c r="B1064" s="24"/>
      <c r="E1064" s="24"/>
      <c r="G1064" s="24"/>
      <c r="H1064" s="24"/>
      <c r="J1064" s="24"/>
      <c r="K1064" s="24"/>
      <c r="M1064" s="24"/>
      <c r="N1064" s="24"/>
      <c r="P1064" s="24"/>
    </row>
    <row r="1065" spans="2:16" x14ac:dyDescent="0.25">
      <c r="B1065" s="24"/>
      <c r="E1065" s="24"/>
      <c r="G1065" s="24"/>
      <c r="H1065" s="24"/>
      <c r="J1065" s="24"/>
      <c r="K1065" s="24"/>
      <c r="M1065" s="24"/>
      <c r="N1065" s="24"/>
      <c r="P1065" s="24"/>
    </row>
    <row r="1066" spans="2:16" x14ac:dyDescent="0.25">
      <c r="B1066" s="24"/>
      <c r="E1066" s="24"/>
      <c r="G1066" s="24"/>
      <c r="H1066" s="24"/>
      <c r="J1066" s="24"/>
      <c r="K1066" s="24"/>
      <c r="M1066" s="24"/>
      <c r="N1066" s="24"/>
      <c r="P1066" s="24"/>
    </row>
    <row r="1067" spans="2:16" x14ac:dyDescent="0.25">
      <c r="B1067" s="24"/>
      <c r="E1067" s="24"/>
      <c r="G1067" s="24"/>
      <c r="H1067" s="24"/>
      <c r="J1067" s="24"/>
      <c r="K1067" s="24"/>
      <c r="M1067" s="24"/>
      <c r="N1067" s="24"/>
      <c r="P1067" s="24"/>
    </row>
    <row r="1068" spans="2:16" x14ac:dyDescent="0.25">
      <c r="B1068" s="24"/>
      <c r="E1068" s="24"/>
      <c r="G1068" s="24"/>
      <c r="H1068" s="24"/>
      <c r="J1068" s="24"/>
      <c r="K1068" s="24"/>
      <c r="M1068" s="24"/>
      <c r="N1068" s="24"/>
      <c r="P1068" s="24"/>
    </row>
    <row r="1069" spans="2:16" x14ac:dyDescent="0.25">
      <c r="B1069" s="24"/>
      <c r="E1069" s="24"/>
      <c r="G1069" s="24"/>
      <c r="H1069" s="24"/>
      <c r="J1069" s="24"/>
      <c r="K1069" s="24"/>
      <c r="M1069" s="24"/>
      <c r="N1069" s="24"/>
      <c r="P1069" s="24"/>
    </row>
    <row r="1070" spans="2:16" x14ac:dyDescent="0.25">
      <c r="B1070" s="24"/>
      <c r="E1070" s="24"/>
      <c r="G1070" s="24"/>
      <c r="H1070" s="24"/>
      <c r="J1070" s="24"/>
      <c r="K1070" s="24"/>
      <c r="M1070" s="24"/>
      <c r="N1070" s="24"/>
      <c r="P1070" s="24"/>
    </row>
    <row r="1071" spans="2:16" x14ac:dyDescent="0.25">
      <c r="B1071" s="24"/>
      <c r="E1071" s="24"/>
      <c r="G1071" s="24"/>
      <c r="H1071" s="24"/>
      <c r="J1071" s="24"/>
      <c r="K1071" s="24"/>
      <c r="M1071" s="24"/>
      <c r="N1071" s="24"/>
      <c r="P1071" s="24"/>
    </row>
    <row r="1072" spans="2:16" x14ac:dyDescent="0.25">
      <c r="B1072" s="24"/>
      <c r="E1072" s="24"/>
      <c r="G1072" s="24"/>
      <c r="H1072" s="24"/>
      <c r="J1072" s="24"/>
      <c r="K1072" s="24"/>
      <c r="M1072" s="24"/>
      <c r="N1072" s="24"/>
      <c r="P1072" s="24"/>
    </row>
    <row r="1073" spans="2:16" x14ac:dyDescent="0.25">
      <c r="B1073" s="24"/>
      <c r="E1073" s="24"/>
      <c r="G1073" s="24"/>
      <c r="H1073" s="24"/>
      <c r="J1073" s="24"/>
      <c r="K1073" s="24"/>
      <c r="M1073" s="24"/>
      <c r="N1073" s="24"/>
      <c r="P1073" s="24"/>
    </row>
    <row r="1074" spans="2:16" x14ac:dyDescent="0.25">
      <c r="B1074" s="24"/>
      <c r="E1074" s="24"/>
      <c r="G1074" s="24"/>
      <c r="H1074" s="24"/>
      <c r="J1074" s="24"/>
      <c r="K1074" s="24"/>
      <c r="M1074" s="24"/>
      <c r="N1074" s="24"/>
      <c r="P1074" s="24"/>
    </row>
    <row r="1075" spans="2:16" x14ac:dyDescent="0.25">
      <c r="B1075" s="24"/>
      <c r="E1075" s="24"/>
      <c r="G1075" s="24"/>
      <c r="H1075" s="24"/>
      <c r="J1075" s="24"/>
      <c r="K1075" s="24"/>
      <c r="M1075" s="24"/>
      <c r="N1075" s="24"/>
      <c r="P1075" s="24"/>
    </row>
    <row r="1076" spans="2:16" x14ac:dyDescent="0.25">
      <c r="B1076" s="24"/>
      <c r="E1076" s="24"/>
      <c r="G1076" s="24"/>
      <c r="H1076" s="24"/>
      <c r="J1076" s="24"/>
      <c r="K1076" s="24"/>
      <c r="M1076" s="24"/>
      <c r="N1076" s="24"/>
      <c r="P1076" s="24"/>
    </row>
    <row r="1077" spans="2:16" x14ac:dyDescent="0.25">
      <c r="B1077" s="24"/>
      <c r="E1077" s="24"/>
      <c r="G1077" s="24"/>
      <c r="H1077" s="24"/>
      <c r="J1077" s="24"/>
      <c r="K1077" s="24"/>
      <c r="M1077" s="24"/>
      <c r="N1077" s="24"/>
      <c r="P1077" s="24"/>
    </row>
    <row r="1078" spans="2:16" x14ac:dyDescent="0.25">
      <c r="B1078" s="24"/>
      <c r="E1078" s="24"/>
      <c r="G1078" s="24"/>
      <c r="H1078" s="24"/>
      <c r="J1078" s="24"/>
      <c r="K1078" s="24"/>
      <c r="M1078" s="24"/>
      <c r="N1078" s="24"/>
      <c r="P1078" s="24"/>
    </row>
    <row r="1079" spans="2:16" x14ac:dyDescent="0.25">
      <c r="B1079" s="24"/>
      <c r="E1079" s="24"/>
      <c r="G1079" s="24"/>
      <c r="H1079" s="24"/>
      <c r="J1079" s="24"/>
      <c r="K1079" s="24"/>
      <c r="M1079" s="24"/>
      <c r="N1079" s="24"/>
      <c r="P1079" s="24"/>
    </row>
    <row r="1080" spans="2:16" x14ac:dyDescent="0.25">
      <c r="B1080" s="24"/>
      <c r="E1080" s="24"/>
      <c r="G1080" s="24"/>
      <c r="H1080" s="24"/>
      <c r="J1080" s="24"/>
      <c r="K1080" s="24"/>
      <c r="M1080" s="24"/>
      <c r="N1080" s="24"/>
      <c r="P1080" s="24"/>
    </row>
    <row r="1081" spans="2:16" x14ac:dyDescent="0.25">
      <c r="B1081" s="24"/>
      <c r="E1081" s="24"/>
      <c r="G1081" s="24"/>
      <c r="H1081" s="24"/>
      <c r="J1081" s="24"/>
      <c r="K1081" s="24"/>
      <c r="M1081" s="24"/>
      <c r="N1081" s="24"/>
      <c r="P1081" s="24"/>
    </row>
    <row r="1082" spans="2:16" x14ac:dyDescent="0.25">
      <c r="B1082" s="24"/>
      <c r="E1082" s="24"/>
      <c r="G1082" s="24"/>
      <c r="H1082" s="24"/>
      <c r="J1082" s="24"/>
      <c r="K1082" s="24"/>
      <c r="M1082" s="24"/>
      <c r="N1082" s="24"/>
      <c r="P1082" s="24"/>
    </row>
    <row r="1083" spans="2:16" x14ac:dyDescent="0.25">
      <c r="B1083" s="24"/>
      <c r="E1083" s="24"/>
      <c r="G1083" s="24"/>
      <c r="H1083" s="24"/>
      <c r="J1083" s="24"/>
      <c r="K1083" s="24"/>
      <c r="M1083" s="24"/>
      <c r="N1083" s="24"/>
      <c r="P1083" s="24"/>
    </row>
    <row r="1084" spans="2:16" x14ac:dyDescent="0.25">
      <c r="B1084" s="24"/>
      <c r="E1084" s="24"/>
      <c r="G1084" s="24"/>
      <c r="H1084" s="24"/>
      <c r="J1084" s="24"/>
      <c r="K1084" s="24"/>
      <c r="M1084" s="24"/>
      <c r="N1084" s="24"/>
      <c r="P1084" s="24"/>
    </row>
    <row r="1085" spans="2:16" x14ac:dyDescent="0.25">
      <c r="B1085" s="24"/>
      <c r="E1085" s="24"/>
      <c r="G1085" s="24"/>
      <c r="H1085" s="24"/>
      <c r="J1085" s="24"/>
      <c r="K1085" s="24"/>
      <c r="M1085" s="24"/>
      <c r="N1085" s="24"/>
      <c r="P1085" s="24"/>
    </row>
    <row r="1086" spans="2:16" x14ac:dyDescent="0.25">
      <c r="B1086" s="24"/>
      <c r="E1086" s="24"/>
      <c r="G1086" s="24"/>
      <c r="H1086" s="24"/>
      <c r="J1086" s="24"/>
      <c r="K1086" s="24"/>
      <c r="M1086" s="24"/>
      <c r="N1086" s="24"/>
      <c r="P1086" s="24"/>
    </row>
    <row r="1087" spans="2:16" x14ac:dyDescent="0.25">
      <c r="B1087" s="24"/>
      <c r="E1087" s="24"/>
      <c r="G1087" s="24"/>
      <c r="H1087" s="24"/>
      <c r="J1087" s="24"/>
      <c r="K1087" s="24"/>
      <c r="M1087" s="24"/>
      <c r="N1087" s="24"/>
      <c r="P1087" s="24"/>
    </row>
    <row r="1088" spans="2:16" x14ac:dyDescent="0.25">
      <c r="B1088" s="24"/>
      <c r="E1088" s="24"/>
      <c r="G1088" s="24"/>
      <c r="H1088" s="24"/>
      <c r="J1088" s="24"/>
      <c r="K1088" s="24"/>
      <c r="M1088" s="24"/>
      <c r="N1088" s="24"/>
      <c r="P1088" s="24"/>
    </row>
    <row r="1089" spans="2:16" x14ac:dyDescent="0.25">
      <c r="B1089" s="24"/>
      <c r="E1089" s="24"/>
      <c r="G1089" s="24"/>
      <c r="H1089" s="24"/>
      <c r="J1089" s="24"/>
      <c r="K1089" s="24"/>
      <c r="M1089" s="24"/>
      <c r="N1089" s="24"/>
      <c r="P1089" s="24"/>
    </row>
    <row r="1090" spans="2:16" x14ac:dyDescent="0.25">
      <c r="B1090" s="24"/>
      <c r="E1090" s="24"/>
      <c r="G1090" s="24"/>
      <c r="H1090" s="24"/>
      <c r="J1090" s="24"/>
      <c r="K1090" s="24"/>
      <c r="M1090" s="24"/>
      <c r="N1090" s="24"/>
      <c r="P1090" s="24"/>
    </row>
    <row r="1091" spans="2:16" x14ac:dyDescent="0.25">
      <c r="B1091" s="24"/>
      <c r="E1091" s="24"/>
      <c r="G1091" s="24"/>
      <c r="H1091" s="24"/>
      <c r="J1091" s="24"/>
      <c r="K1091" s="24"/>
      <c r="M1091" s="24"/>
      <c r="N1091" s="24"/>
      <c r="P1091" s="24"/>
    </row>
    <row r="1092" spans="2:16" x14ac:dyDescent="0.25">
      <c r="B1092" s="24"/>
      <c r="E1092" s="24"/>
      <c r="G1092" s="24"/>
      <c r="H1092" s="24"/>
      <c r="J1092" s="24"/>
      <c r="K1092" s="24"/>
      <c r="M1092" s="24"/>
      <c r="N1092" s="24"/>
      <c r="P1092" s="24"/>
    </row>
    <row r="1093" spans="2:16" x14ac:dyDescent="0.25">
      <c r="B1093" s="24"/>
      <c r="E1093" s="24"/>
      <c r="G1093" s="24"/>
      <c r="H1093" s="24"/>
      <c r="J1093" s="24"/>
      <c r="K1093" s="24"/>
      <c r="M1093" s="24"/>
      <c r="N1093" s="24"/>
      <c r="P1093" s="24"/>
    </row>
    <row r="1094" spans="2:16" x14ac:dyDescent="0.25">
      <c r="B1094" s="24"/>
      <c r="E1094" s="24"/>
      <c r="G1094" s="24"/>
      <c r="H1094" s="24"/>
      <c r="J1094" s="24"/>
      <c r="K1094" s="24"/>
      <c r="M1094" s="24"/>
      <c r="N1094" s="24"/>
      <c r="P1094" s="24"/>
    </row>
    <row r="1095" spans="2:16" x14ac:dyDescent="0.25">
      <c r="B1095" s="24"/>
      <c r="E1095" s="24"/>
      <c r="G1095" s="24"/>
      <c r="H1095" s="24"/>
      <c r="J1095" s="24"/>
      <c r="K1095" s="24"/>
      <c r="M1095" s="24"/>
      <c r="N1095" s="24"/>
      <c r="P1095" s="24"/>
    </row>
    <row r="1096" spans="2:16" x14ac:dyDescent="0.25">
      <c r="B1096" s="24"/>
      <c r="E1096" s="24"/>
      <c r="G1096" s="24"/>
      <c r="H1096" s="24"/>
      <c r="J1096" s="24"/>
      <c r="K1096" s="24"/>
      <c r="M1096" s="24"/>
      <c r="N1096" s="24"/>
      <c r="P1096" s="24"/>
    </row>
    <row r="1097" spans="2:16" x14ac:dyDescent="0.25">
      <c r="B1097" s="24"/>
      <c r="E1097" s="24"/>
      <c r="G1097" s="24"/>
      <c r="H1097" s="24"/>
      <c r="J1097" s="24"/>
      <c r="K1097" s="24"/>
      <c r="M1097" s="24"/>
      <c r="N1097" s="24"/>
      <c r="P1097" s="24"/>
    </row>
    <row r="1098" spans="2:16" x14ac:dyDescent="0.25">
      <c r="B1098" s="24"/>
      <c r="E1098" s="24"/>
      <c r="G1098" s="24"/>
      <c r="H1098" s="24"/>
      <c r="J1098" s="24"/>
      <c r="K1098" s="24"/>
      <c r="M1098" s="24"/>
      <c r="N1098" s="24"/>
      <c r="P1098" s="24"/>
    </row>
    <row r="1099" spans="2:16" x14ac:dyDescent="0.25">
      <c r="B1099" s="24"/>
      <c r="E1099" s="24"/>
      <c r="G1099" s="24"/>
      <c r="H1099" s="24"/>
      <c r="J1099" s="24"/>
      <c r="K1099" s="24"/>
      <c r="M1099" s="24"/>
      <c r="N1099" s="24"/>
      <c r="P1099" s="24"/>
    </row>
    <row r="1100" spans="2:16" x14ac:dyDescent="0.25">
      <c r="B1100" s="24"/>
      <c r="E1100" s="24"/>
      <c r="G1100" s="24"/>
      <c r="H1100" s="24"/>
      <c r="J1100" s="24"/>
      <c r="K1100" s="24"/>
      <c r="M1100" s="24"/>
      <c r="N1100" s="24"/>
      <c r="P1100" s="24"/>
    </row>
    <row r="1101" spans="2:16" x14ac:dyDescent="0.25">
      <c r="B1101" s="24"/>
      <c r="E1101" s="24"/>
      <c r="G1101" s="24"/>
      <c r="H1101" s="24"/>
      <c r="J1101" s="24"/>
      <c r="K1101" s="24"/>
      <c r="M1101" s="24"/>
      <c r="N1101" s="24"/>
      <c r="P1101" s="24"/>
    </row>
    <row r="1102" spans="2:16" x14ac:dyDescent="0.25">
      <c r="B1102" s="24"/>
      <c r="E1102" s="24"/>
      <c r="G1102" s="24"/>
      <c r="H1102" s="24"/>
      <c r="J1102" s="24"/>
      <c r="K1102" s="24"/>
      <c r="M1102" s="24"/>
      <c r="N1102" s="24"/>
      <c r="P1102" s="24"/>
    </row>
    <row r="1103" spans="2:16" x14ac:dyDescent="0.25">
      <c r="B1103" s="24"/>
      <c r="E1103" s="24"/>
      <c r="G1103" s="24"/>
      <c r="H1103" s="24"/>
      <c r="J1103" s="24"/>
      <c r="K1103" s="24"/>
      <c r="M1103" s="24"/>
      <c r="N1103" s="24"/>
      <c r="P1103" s="24"/>
    </row>
    <row r="1104" spans="2:16" x14ac:dyDescent="0.25">
      <c r="B1104" s="24"/>
      <c r="E1104" s="24"/>
      <c r="G1104" s="24"/>
      <c r="H1104" s="24"/>
      <c r="J1104" s="24"/>
      <c r="K1104" s="24"/>
      <c r="M1104" s="24"/>
      <c r="N1104" s="24"/>
      <c r="P1104" s="24"/>
    </row>
    <row r="1105" spans="2:16" x14ac:dyDescent="0.25">
      <c r="B1105" s="24"/>
      <c r="E1105" s="24"/>
      <c r="G1105" s="24"/>
      <c r="H1105" s="24"/>
      <c r="J1105" s="24"/>
      <c r="K1105" s="24"/>
      <c r="M1105" s="24"/>
      <c r="N1105" s="24"/>
      <c r="P1105" s="24"/>
    </row>
    <row r="1106" spans="2:16" x14ac:dyDescent="0.25">
      <c r="B1106" s="24"/>
      <c r="E1106" s="24"/>
      <c r="G1106" s="24"/>
      <c r="H1106" s="24"/>
      <c r="J1106" s="24"/>
      <c r="K1106" s="24"/>
      <c r="M1106" s="24"/>
      <c r="N1106" s="24"/>
      <c r="P1106" s="24"/>
    </row>
    <row r="1107" spans="2:16" x14ac:dyDescent="0.25">
      <c r="B1107" s="24"/>
      <c r="E1107" s="24"/>
      <c r="G1107" s="24"/>
      <c r="H1107" s="24"/>
      <c r="J1107" s="24"/>
      <c r="K1107" s="24"/>
      <c r="M1107" s="24"/>
      <c r="N1107" s="24"/>
      <c r="P1107" s="24"/>
    </row>
    <row r="1108" spans="2:16" x14ac:dyDescent="0.25">
      <c r="B1108" s="24"/>
      <c r="E1108" s="24"/>
      <c r="G1108" s="24"/>
      <c r="H1108" s="24"/>
      <c r="J1108" s="24"/>
      <c r="K1108" s="24"/>
      <c r="M1108" s="24"/>
      <c r="N1108" s="24"/>
      <c r="P1108" s="24"/>
    </row>
    <row r="1109" spans="2:16" x14ac:dyDescent="0.25">
      <c r="B1109" s="24"/>
      <c r="E1109" s="24"/>
      <c r="G1109" s="24"/>
      <c r="H1109" s="24"/>
      <c r="J1109" s="24"/>
      <c r="K1109" s="24"/>
      <c r="M1109" s="24"/>
      <c r="N1109" s="24"/>
      <c r="P1109" s="24"/>
    </row>
    <row r="1110" spans="2:16" x14ac:dyDescent="0.25">
      <c r="B1110" s="24"/>
      <c r="E1110" s="24"/>
      <c r="G1110" s="24"/>
      <c r="H1110" s="24"/>
      <c r="J1110" s="24"/>
      <c r="K1110" s="24"/>
      <c r="M1110" s="24"/>
      <c r="N1110" s="24"/>
      <c r="P1110" s="24"/>
    </row>
    <row r="1111" spans="2:16" x14ac:dyDescent="0.25">
      <c r="B1111" s="24"/>
      <c r="E1111" s="24"/>
      <c r="G1111" s="24"/>
      <c r="H1111" s="24"/>
      <c r="J1111" s="24"/>
      <c r="K1111" s="24"/>
      <c r="M1111" s="24"/>
      <c r="N1111" s="24"/>
      <c r="P1111" s="24"/>
    </row>
    <row r="1112" spans="2:16" x14ac:dyDescent="0.25">
      <c r="B1112" s="24"/>
      <c r="E1112" s="24"/>
      <c r="G1112" s="24"/>
      <c r="H1112" s="24"/>
      <c r="J1112" s="24"/>
      <c r="K1112" s="24"/>
      <c r="M1112" s="24"/>
      <c r="N1112" s="24"/>
      <c r="P1112" s="24"/>
    </row>
    <row r="1113" spans="2:16" x14ac:dyDescent="0.25">
      <c r="B1113" s="24"/>
      <c r="E1113" s="24"/>
      <c r="G1113" s="24"/>
      <c r="H1113" s="24"/>
      <c r="J1113" s="24"/>
      <c r="K1113" s="24"/>
      <c r="M1113" s="24"/>
      <c r="N1113" s="24"/>
      <c r="P1113" s="24"/>
    </row>
    <row r="1114" spans="2:16" x14ac:dyDescent="0.25">
      <c r="B1114" s="24"/>
      <c r="E1114" s="24"/>
      <c r="G1114" s="24"/>
      <c r="H1114" s="24"/>
      <c r="J1114" s="24"/>
      <c r="K1114" s="24"/>
      <c r="M1114" s="24"/>
      <c r="N1114" s="24"/>
      <c r="P1114" s="24"/>
    </row>
    <row r="1115" spans="2:16" x14ac:dyDescent="0.25">
      <c r="B1115" s="24"/>
      <c r="E1115" s="24"/>
      <c r="G1115" s="24"/>
      <c r="H1115" s="24"/>
      <c r="J1115" s="24"/>
      <c r="K1115" s="24"/>
      <c r="M1115" s="24"/>
      <c r="N1115" s="24"/>
      <c r="P1115" s="24"/>
    </row>
    <row r="1116" spans="2:16" x14ac:dyDescent="0.25">
      <c r="B1116" s="24"/>
      <c r="E1116" s="24"/>
      <c r="G1116" s="24"/>
      <c r="H1116" s="24"/>
      <c r="J1116" s="24"/>
      <c r="K1116" s="24"/>
      <c r="M1116" s="24"/>
      <c r="N1116" s="24"/>
      <c r="P1116" s="24"/>
    </row>
    <row r="1117" spans="2:16" x14ac:dyDescent="0.25">
      <c r="B1117" s="24"/>
      <c r="E1117" s="24"/>
      <c r="G1117" s="24"/>
      <c r="H1117" s="24"/>
      <c r="J1117" s="24"/>
      <c r="K1117" s="24"/>
      <c r="M1117" s="24"/>
      <c r="N1117" s="24"/>
      <c r="P1117" s="24"/>
    </row>
    <row r="1118" spans="2:16" x14ac:dyDescent="0.25">
      <c r="B1118" s="24"/>
      <c r="E1118" s="24"/>
      <c r="G1118" s="24"/>
      <c r="H1118" s="24"/>
      <c r="J1118" s="24"/>
      <c r="K1118" s="24"/>
      <c r="M1118" s="24"/>
      <c r="N1118" s="24"/>
      <c r="P1118" s="24"/>
    </row>
    <row r="1119" spans="2:16" x14ac:dyDescent="0.25">
      <c r="B1119" s="24"/>
      <c r="E1119" s="24"/>
      <c r="G1119" s="24"/>
      <c r="H1119" s="24"/>
      <c r="J1119" s="24"/>
      <c r="K1119" s="24"/>
      <c r="M1119" s="24"/>
      <c r="N1119" s="24"/>
      <c r="P1119" s="24"/>
    </row>
    <row r="1120" spans="2:16" x14ac:dyDescent="0.25">
      <c r="B1120" s="24"/>
      <c r="E1120" s="24"/>
      <c r="G1120" s="24"/>
      <c r="H1120" s="24"/>
      <c r="J1120" s="24"/>
      <c r="K1120" s="24"/>
      <c r="M1120" s="24"/>
      <c r="N1120" s="24"/>
      <c r="P1120" s="24"/>
    </row>
    <row r="1121" spans="2:16" x14ac:dyDescent="0.25">
      <c r="B1121" s="24"/>
      <c r="E1121" s="24"/>
      <c r="G1121" s="24"/>
      <c r="H1121" s="24"/>
      <c r="J1121" s="24"/>
      <c r="K1121" s="24"/>
      <c r="M1121" s="24"/>
      <c r="N1121" s="24"/>
      <c r="P1121" s="24"/>
    </row>
    <row r="1122" spans="2:16" x14ac:dyDescent="0.25">
      <c r="B1122" s="24"/>
      <c r="E1122" s="24"/>
      <c r="G1122" s="24"/>
      <c r="H1122" s="24"/>
      <c r="J1122" s="24"/>
      <c r="K1122" s="24"/>
      <c r="M1122" s="24"/>
      <c r="N1122" s="24"/>
      <c r="P1122" s="24"/>
    </row>
    <row r="1123" spans="2:16" x14ac:dyDescent="0.25">
      <c r="B1123" s="24"/>
      <c r="E1123" s="24"/>
      <c r="G1123" s="24"/>
      <c r="H1123" s="24"/>
      <c r="J1123" s="24"/>
      <c r="K1123" s="24"/>
      <c r="M1123" s="24"/>
      <c r="N1123" s="24"/>
      <c r="P1123" s="24"/>
    </row>
    <row r="1124" spans="2:16" x14ac:dyDescent="0.25">
      <c r="B1124" s="24"/>
      <c r="E1124" s="24"/>
      <c r="G1124" s="24"/>
      <c r="H1124" s="24"/>
      <c r="J1124" s="24"/>
      <c r="K1124" s="24"/>
      <c r="M1124" s="24"/>
      <c r="N1124" s="24"/>
      <c r="P1124" s="24"/>
    </row>
    <row r="1125" spans="2:16" x14ac:dyDescent="0.25">
      <c r="B1125" s="24"/>
      <c r="E1125" s="24"/>
      <c r="G1125" s="24"/>
      <c r="H1125" s="24"/>
      <c r="J1125" s="24"/>
      <c r="K1125" s="24"/>
      <c r="M1125" s="24"/>
      <c r="N1125" s="24"/>
      <c r="P1125" s="24"/>
    </row>
    <row r="1126" spans="2:16" x14ac:dyDescent="0.25">
      <c r="B1126" s="24"/>
      <c r="E1126" s="24"/>
      <c r="G1126" s="24"/>
      <c r="H1126" s="24"/>
      <c r="J1126" s="24"/>
      <c r="K1126" s="24"/>
      <c r="M1126" s="24"/>
      <c r="N1126" s="24"/>
      <c r="P1126" s="24"/>
    </row>
    <row r="1127" spans="2:16" x14ac:dyDescent="0.25">
      <c r="B1127" s="24"/>
      <c r="E1127" s="24"/>
      <c r="G1127" s="24"/>
      <c r="H1127" s="24"/>
      <c r="J1127" s="24"/>
      <c r="K1127" s="24"/>
      <c r="M1127" s="24"/>
      <c r="N1127" s="24"/>
      <c r="P1127" s="24"/>
    </row>
    <row r="1128" spans="2:16" x14ac:dyDescent="0.25">
      <c r="B1128" s="24"/>
      <c r="E1128" s="24"/>
      <c r="G1128" s="24"/>
      <c r="H1128" s="24"/>
      <c r="J1128" s="24"/>
      <c r="K1128" s="24"/>
      <c r="M1128" s="24"/>
      <c r="N1128" s="24"/>
      <c r="P1128" s="24"/>
    </row>
    <row r="1129" spans="2:16" x14ac:dyDescent="0.25">
      <c r="B1129" s="24"/>
      <c r="E1129" s="24"/>
      <c r="G1129" s="24"/>
      <c r="H1129" s="24"/>
      <c r="J1129" s="24"/>
      <c r="K1129" s="24"/>
      <c r="M1129" s="24"/>
      <c r="N1129" s="24"/>
      <c r="P1129" s="24"/>
    </row>
    <row r="1130" spans="2:16" x14ac:dyDescent="0.25">
      <c r="B1130" s="24"/>
      <c r="E1130" s="24"/>
      <c r="G1130" s="24"/>
      <c r="H1130" s="24"/>
      <c r="J1130" s="24"/>
      <c r="K1130" s="24"/>
      <c r="M1130" s="24"/>
      <c r="N1130" s="24"/>
      <c r="P1130" s="24"/>
    </row>
    <row r="1131" spans="2:16" x14ac:dyDescent="0.25">
      <c r="B1131" s="24"/>
      <c r="E1131" s="24"/>
      <c r="G1131" s="24"/>
      <c r="H1131" s="24"/>
      <c r="J1131" s="24"/>
      <c r="K1131" s="24"/>
      <c r="M1131" s="24"/>
      <c r="N1131" s="24"/>
      <c r="P1131" s="24"/>
    </row>
    <row r="1132" spans="2:16" x14ac:dyDescent="0.25">
      <c r="B1132" s="24"/>
      <c r="E1132" s="24"/>
      <c r="G1132" s="24"/>
      <c r="H1132" s="24"/>
      <c r="J1132" s="24"/>
      <c r="K1132" s="24"/>
      <c r="M1132" s="24"/>
      <c r="N1132" s="24"/>
      <c r="P1132" s="24"/>
    </row>
    <row r="1133" spans="2:16" x14ac:dyDescent="0.25">
      <c r="B1133" s="24"/>
      <c r="E1133" s="24"/>
      <c r="G1133" s="24"/>
      <c r="H1133" s="24"/>
      <c r="J1133" s="24"/>
      <c r="K1133" s="24"/>
      <c r="M1133" s="24"/>
      <c r="N1133" s="24"/>
      <c r="P1133" s="24"/>
    </row>
    <row r="1134" spans="2:16" x14ac:dyDescent="0.25">
      <c r="B1134" s="24"/>
      <c r="E1134" s="24"/>
      <c r="G1134" s="24"/>
      <c r="H1134" s="24"/>
      <c r="J1134" s="24"/>
      <c r="K1134" s="24"/>
      <c r="M1134" s="24"/>
      <c r="N1134" s="24"/>
      <c r="P1134" s="24"/>
    </row>
    <row r="1135" spans="2:16" x14ac:dyDescent="0.25">
      <c r="B1135" s="24"/>
      <c r="E1135" s="24"/>
      <c r="G1135" s="24"/>
      <c r="H1135" s="24"/>
      <c r="J1135" s="24"/>
      <c r="K1135" s="24"/>
      <c r="M1135" s="24"/>
      <c r="N1135" s="24"/>
      <c r="P1135" s="24"/>
    </row>
    <row r="1136" spans="2:16" x14ac:dyDescent="0.25">
      <c r="B1136" s="24"/>
      <c r="E1136" s="24"/>
      <c r="G1136" s="24"/>
      <c r="H1136" s="24"/>
      <c r="J1136" s="24"/>
      <c r="K1136" s="24"/>
      <c r="M1136" s="24"/>
      <c r="N1136" s="24"/>
      <c r="P1136" s="24"/>
    </row>
    <row r="1137" spans="2:16" x14ac:dyDescent="0.25">
      <c r="B1137" s="24"/>
      <c r="E1137" s="24"/>
      <c r="G1137" s="24"/>
      <c r="H1137" s="24"/>
      <c r="J1137" s="24"/>
      <c r="K1137" s="24"/>
      <c r="M1137" s="24"/>
      <c r="N1137" s="24"/>
      <c r="P1137" s="24"/>
    </row>
    <row r="1138" spans="2:16" x14ac:dyDescent="0.25">
      <c r="B1138" s="24"/>
      <c r="E1138" s="24"/>
      <c r="G1138" s="24"/>
      <c r="H1138" s="24"/>
      <c r="J1138" s="24"/>
      <c r="K1138" s="24"/>
      <c r="M1138" s="24"/>
      <c r="N1138" s="24"/>
      <c r="P1138" s="24"/>
    </row>
    <row r="1139" spans="2:16" x14ac:dyDescent="0.25">
      <c r="B1139" s="24"/>
      <c r="E1139" s="24"/>
      <c r="G1139" s="24"/>
      <c r="H1139" s="24"/>
      <c r="J1139" s="24"/>
      <c r="K1139" s="24"/>
      <c r="M1139" s="24"/>
      <c r="N1139" s="24"/>
      <c r="P1139" s="24"/>
    </row>
    <row r="1140" spans="2:16" x14ac:dyDescent="0.25">
      <c r="B1140" s="24"/>
      <c r="E1140" s="24"/>
      <c r="G1140" s="24"/>
      <c r="H1140" s="24"/>
      <c r="J1140" s="24"/>
      <c r="K1140" s="24"/>
      <c r="M1140" s="24"/>
      <c r="N1140" s="24"/>
      <c r="P1140" s="24"/>
    </row>
    <row r="1141" spans="2:16" x14ac:dyDescent="0.25">
      <c r="B1141" s="24"/>
      <c r="E1141" s="24"/>
      <c r="G1141" s="24"/>
      <c r="H1141" s="24"/>
      <c r="J1141" s="24"/>
      <c r="K1141" s="24"/>
      <c r="M1141" s="24"/>
      <c r="N1141" s="24"/>
      <c r="P1141" s="24"/>
    </row>
    <row r="1142" spans="2:16" x14ac:dyDescent="0.25">
      <c r="B1142" s="24"/>
      <c r="E1142" s="24"/>
      <c r="G1142" s="24"/>
      <c r="H1142" s="24"/>
      <c r="J1142" s="24"/>
      <c r="K1142" s="24"/>
      <c r="M1142" s="24"/>
      <c r="N1142" s="24"/>
      <c r="P1142" s="24"/>
    </row>
    <row r="1143" spans="2:16" x14ac:dyDescent="0.25">
      <c r="B1143" s="24"/>
      <c r="E1143" s="24"/>
      <c r="G1143" s="24"/>
      <c r="H1143" s="24"/>
      <c r="J1143" s="24"/>
      <c r="K1143" s="24"/>
      <c r="M1143" s="24"/>
      <c r="N1143" s="24"/>
      <c r="P1143" s="24"/>
    </row>
    <row r="1144" spans="2:16" x14ac:dyDescent="0.25">
      <c r="B1144" s="24"/>
      <c r="E1144" s="24"/>
      <c r="G1144" s="24"/>
      <c r="H1144" s="24"/>
      <c r="J1144" s="24"/>
      <c r="K1144" s="24"/>
      <c r="M1144" s="24"/>
      <c r="N1144" s="24"/>
      <c r="P1144" s="24"/>
    </row>
    <row r="1145" spans="2:16" x14ac:dyDescent="0.25">
      <c r="B1145" s="24"/>
      <c r="E1145" s="24"/>
      <c r="G1145" s="24"/>
      <c r="H1145" s="24"/>
      <c r="J1145" s="24"/>
      <c r="K1145" s="24"/>
      <c r="M1145" s="24"/>
      <c r="N1145" s="24"/>
      <c r="P1145" s="24"/>
    </row>
    <row r="1146" spans="2:16" x14ac:dyDescent="0.25">
      <c r="B1146" s="24"/>
      <c r="E1146" s="24"/>
      <c r="G1146" s="24"/>
      <c r="H1146" s="24"/>
      <c r="J1146" s="24"/>
      <c r="K1146" s="24"/>
      <c r="M1146" s="24"/>
      <c r="N1146" s="24"/>
      <c r="P1146" s="24"/>
    </row>
    <row r="1147" spans="2:16" x14ac:dyDescent="0.25">
      <c r="B1147" s="24"/>
      <c r="E1147" s="24"/>
      <c r="G1147" s="24"/>
      <c r="H1147" s="24"/>
      <c r="J1147" s="24"/>
      <c r="K1147" s="24"/>
      <c r="M1147" s="24"/>
      <c r="N1147" s="24"/>
      <c r="P1147" s="24"/>
    </row>
    <row r="1148" spans="2:16" x14ac:dyDescent="0.25">
      <c r="B1148" s="24"/>
      <c r="E1148" s="24"/>
      <c r="G1148" s="24"/>
      <c r="H1148" s="24"/>
      <c r="J1148" s="24"/>
      <c r="K1148" s="24"/>
      <c r="M1148" s="24"/>
      <c r="N1148" s="24"/>
      <c r="P1148" s="24"/>
    </row>
    <row r="1149" spans="2:16" x14ac:dyDescent="0.25">
      <c r="B1149" s="24"/>
      <c r="E1149" s="24"/>
      <c r="G1149" s="24"/>
      <c r="H1149" s="24"/>
      <c r="J1149" s="24"/>
      <c r="K1149" s="24"/>
      <c r="M1149" s="24"/>
      <c r="N1149" s="24"/>
      <c r="P1149" s="24"/>
    </row>
    <row r="1150" spans="2:16" x14ac:dyDescent="0.25">
      <c r="B1150" s="24"/>
      <c r="E1150" s="24"/>
      <c r="G1150" s="24"/>
      <c r="H1150" s="24"/>
      <c r="J1150" s="24"/>
      <c r="K1150" s="24"/>
      <c r="M1150" s="24"/>
      <c r="N1150" s="24"/>
      <c r="P1150" s="24"/>
    </row>
    <row r="1151" spans="2:16" x14ac:dyDescent="0.25">
      <c r="B1151" s="24"/>
      <c r="E1151" s="24"/>
      <c r="G1151" s="24"/>
      <c r="H1151" s="24"/>
      <c r="J1151" s="24"/>
      <c r="K1151" s="24"/>
      <c r="M1151" s="24"/>
      <c r="N1151" s="24"/>
      <c r="P1151" s="24"/>
    </row>
    <row r="1152" spans="2:16" x14ac:dyDescent="0.25">
      <c r="B1152" s="24"/>
      <c r="E1152" s="24"/>
      <c r="G1152" s="24"/>
      <c r="H1152" s="24"/>
      <c r="J1152" s="24"/>
      <c r="K1152" s="24"/>
      <c r="M1152" s="24"/>
      <c r="N1152" s="24"/>
      <c r="P1152" s="24"/>
    </row>
    <row r="1153" spans="2:16" x14ac:dyDescent="0.25">
      <c r="B1153" s="24"/>
      <c r="E1153" s="24"/>
      <c r="G1153" s="24"/>
      <c r="H1153" s="24"/>
      <c r="J1153" s="24"/>
      <c r="K1153" s="24"/>
      <c r="M1153" s="24"/>
      <c r="N1153" s="24"/>
      <c r="P1153" s="24"/>
    </row>
    <row r="1154" spans="2:16" x14ac:dyDescent="0.25">
      <c r="B1154" s="24"/>
      <c r="E1154" s="24"/>
      <c r="G1154" s="24"/>
      <c r="H1154" s="24"/>
      <c r="J1154" s="24"/>
      <c r="K1154" s="24"/>
      <c r="M1154" s="24"/>
      <c r="N1154" s="24"/>
      <c r="P1154" s="24"/>
    </row>
    <row r="1155" spans="2:16" x14ac:dyDescent="0.25">
      <c r="B1155" s="24"/>
      <c r="E1155" s="24"/>
      <c r="G1155" s="24"/>
      <c r="H1155" s="24"/>
      <c r="J1155" s="24"/>
      <c r="K1155" s="24"/>
      <c r="M1155" s="24"/>
      <c r="N1155" s="24"/>
      <c r="P1155" s="24"/>
    </row>
    <row r="1156" spans="2:16" x14ac:dyDescent="0.25">
      <c r="B1156" s="24"/>
      <c r="E1156" s="24"/>
      <c r="G1156" s="24"/>
      <c r="H1156" s="24"/>
      <c r="J1156" s="24"/>
      <c r="K1156" s="24"/>
      <c r="M1156" s="24"/>
      <c r="N1156" s="24"/>
      <c r="P1156" s="24"/>
    </row>
    <row r="1157" spans="2:16" x14ac:dyDescent="0.25">
      <c r="B1157" s="24"/>
      <c r="E1157" s="24"/>
      <c r="G1157" s="24"/>
      <c r="H1157" s="24"/>
      <c r="J1157" s="24"/>
      <c r="K1157" s="24"/>
      <c r="M1157" s="24"/>
      <c r="N1157" s="24"/>
      <c r="P1157" s="24"/>
    </row>
    <row r="1158" spans="2:16" x14ac:dyDescent="0.25">
      <c r="B1158" s="24"/>
      <c r="E1158" s="24"/>
      <c r="G1158" s="24"/>
      <c r="H1158" s="24"/>
      <c r="J1158" s="24"/>
      <c r="K1158" s="24"/>
      <c r="M1158" s="24"/>
      <c r="N1158" s="24"/>
      <c r="P1158" s="24"/>
    </row>
    <row r="1159" spans="2:16" x14ac:dyDescent="0.25">
      <c r="B1159" s="24"/>
      <c r="E1159" s="24"/>
      <c r="G1159" s="24"/>
      <c r="H1159" s="24"/>
      <c r="J1159" s="24"/>
      <c r="K1159" s="24"/>
      <c r="M1159" s="24"/>
      <c r="N1159" s="24"/>
      <c r="P1159" s="24"/>
    </row>
    <row r="1160" spans="2:16" x14ac:dyDescent="0.25">
      <c r="B1160" s="24"/>
      <c r="E1160" s="24"/>
      <c r="G1160" s="24"/>
      <c r="H1160" s="24"/>
      <c r="J1160" s="24"/>
      <c r="K1160" s="24"/>
      <c r="M1160" s="24"/>
      <c r="N1160" s="24"/>
      <c r="P1160" s="24"/>
    </row>
    <row r="1161" spans="2:16" x14ac:dyDescent="0.25">
      <c r="B1161" s="24"/>
      <c r="E1161" s="24"/>
      <c r="G1161" s="24"/>
      <c r="H1161" s="24"/>
      <c r="J1161" s="24"/>
      <c r="K1161" s="24"/>
      <c r="M1161" s="24"/>
      <c r="N1161" s="24"/>
      <c r="P1161" s="24"/>
    </row>
    <row r="1162" spans="2:16" x14ac:dyDescent="0.25">
      <c r="B1162" s="24"/>
      <c r="E1162" s="24"/>
      <c r="G1162" s="24"/>
      <c r="H1162" s="24"/>
      <c r="J1162" s="24"/>
      <c r="K1162" s="24"/>
      <c r="M1162" s="24"/>
      <c r="N1162" s="24"/>
      <c r="P1162" s="24"/>
    </row>
    <row r="1163" spans="2:16" x14ac:dyDescent="0.25">
      <c r="B1163" s="24"/>
      <c r="E1163" s="24"/>
      <c r="G1163" s="24"/>
      <c r="H1163" s="24"/>
      <c r="J1163" s="24"/>
      <c r="K1163" s="24"/>
      <c r="M1163" s="24"/>
      <c r="N1163" s="24"/>
      <c r="P1163" s="24"/>
    </row>
    <row r="1164" spans="2:16" x14ac:dyDescent="0.25">
      <c r="B1164" s="24"/>
      <c r="E1164" s="24"/>
      <c r="G1164" s="24"/>
      <c r="H1164" s="24"/>
      <c r="J1164" s="24"/>
      <c r="K1164" s="24"/>
      <c r="M1164" s="24"/>
      <c r="N1164" s="24"/>
      <c r="P1164" s="24"/>
    </row>
    <row r="1165" spans="2:16" x14ac:dyDescent="0.25">
      <c r="B1165" s="24"/>
      <c r="E1165" s="24"/>
      <c r="G1165" s="24"/>
      <c r="H1165" s="24"/>
      <c r="J1165" s="24"/>
      <c r="K1165" s="24"/>
      <c r="M1165" s="24"/>
      <c r="N1165" s="24"/>
      <c r="P1165" s="24"/>
    </row>
    <row r="1166" spans="2:16" x14ac:dyDescent="0.25">
      <c r="B1166" s="24"/>
      <c r="E1166" s="24"/>
      <c r="G1166" s="24"/>
      <c r="H1166" s="24"/>
      <c r="J1166" s="24"/>
      <c r="K1166" s="24"/>
      <c r="M1166" s="24"/>
      <c r="N1166" s="24"/>
      <c r="P1166" s="24"/>
    </row>
    <row r="1167" spans="2:16" x14ac:dyDescent="0.25">
      <c r="B1167" s="24"/>
      <c r="E1167" s="24"/>
      <c r="G1167" s="24"/>
      <c r="H1167" s="24"/>
      <c r="J1167" s="24"/>
      <c r="K1167" s="24"/>
      <c r="M1167" s="24"/>
      <c r="N1167" s="24"/>
      <c r="P1167" s="24"/>
    </row>
    <row r="1168" spans="2:16" x14ac:dyDescent="0.25">
      <c r="B1168" s="24"/>
      <c r="E1168" s="24"/>
      <c r="G1168" s="24"/>
      <c r="H1168" s="24"/>
      <c r="J1168" s="24"/>
      <c r="K1168" s="24"/>
      <c r="M1168" s="24"/>
      <c r="N1168" s="24"/>
      <c r="P1168" s="24"/>
    </row>
    <row r="1169" spans="2:16" x14ac:dyDescent="0.25">
      <c r="B1169" s="24"/>
      <c r="E1169" s="24"/>
      <c r="G1169" s="24"/>
      <c r="H1169" s="24"/>
      <c r="J1169" s="24"/>
      <c r="K1169" s="24"/>
      <c r="M1169" s="24"/>
      <c r="N1169" s="24"/>
      <c r="P1169" s="24"/>
    </row>
    <row r="1170" spans="2:16" x14ac:dyDescent="0.25">
      <c r="B1170" s="24"/>
      <c r="E1170" s="24"/>
      <c r="G1170" s="24"/>
      <c r="H1170" s="24"/>
      <c r="J1170" s="24"/>
      <c r="K1170" s="24"/>
      <c r="M1170" s="24"/>
      <c r="N1170" s="24"/>
      <c r="P1170" s="24"/>
    </row>
    <row r="1171" spans="2:16" x14ac:dyDescent="0.25">
      <c r="B1171" s="24"/>
      <c r="E1171" s="24"/>
      <c r="G1171" s="24"/>
      <c r="H1171" s="24"/>
      <c r="J1171" s="24"/>
      <c r="K1171" s="24"/>
      <c r="M1171" s="24"/>
      <c r="N1171" s="24"/>
      <c r="P1171" s="24"/>
    </row>
    <row r="1172" spans="2:16" x14ac:dyDescent="0.25">
      <c r="B1172" s="24"/>
      <c r="E1172" s="24"/>
      <c r="G1172" s="24"/>
      <c r="H1172" s="24"/>
      <c r="J1172" s="24"/>
      <c r="K1172" s="24"/>
      <c r="M1172" s="24"/>
      <c r="N1172" s="24"/>
      <c r="P1172" s="24"/>
    </row>
    <row r="1173" spans="2:16" x14ac:dyDescent="0.25">
      <c r="B1173" s="24"/>
      <c r="E1173" s="24"/>
      <c r="G1173" s="24"/>
      <c r="H1173" s="24"/>
      <c r="J1173" s="24"/>
      <c r="K1173" s="24"/>
      <c r="M1173" s="24"/>
      <c r="N1173" s="24"/>
      <c r="P1173" s="24"/>
    </row>
    <row r="1174" spans="2:16" x14ac:dyDescent="0.25">
      <c r="B1174" s="24"/>
      <c r="E1174" s="24"/>
      <c r="G1174" s="24"/>
      <c r="H1174" s="24"/>
      <c r="J1174" s="24"/>
      <c r="K1174" s="24"/>
      <c r="M1174" s="24"/>
      <c r="N1174" s="24"/>
      <c r="P1174" s="24"/>
    </row>
    <row r="1175" spans="2:16" x14ac:dyDescent="0.25">
      <c r="B1175" s="24"/>
      <c r="E1175" s="24"/>
      <c r="G1175" s="24"/>
      <c r="H1175" s="24"/>
      <c r="J1175" s="24"/>
      <c r="K1175" s="24"/>
      <c r="M1175" s="24"/>
      <c r="N1175" s="24"/>
      <c r="P1175" s="24"/>
    </row>
    <row r="1176" spans="2:16" x14ac:dyDescent="0.25">
      <c r="B1176" s="24"/>
      <c r="E1176" s="24"/>
      <c r="G1176" s="24"/>
      <c r="H1176" s="24"/>
      <c r="J1176" s="24"/>
      <c r="K1176" s="24"/>
      <c r="M1176" s="24"/>
      <c r="N1176" s="24"/>
      <c r="P1176" s="24"/>
    </row>
    <row r="1177" spans="2:16" x14ac:dyDescent="0.25">
      <c r="B1177" s="24"/>
      <c r="E1177" s="24"/>
      <c r="G1177" s="24"/>
      <c r="H1177" s="24"/>
      <c r="J1177" s="24"/>
      <c r="K1177" s="24"/>
      <c r="M1177" s="24"/>
      <c r="N1177" s="24"/>
      <c r="P1177" s="24"/>
    </row>
    <row r="1178" spans="2:16" x14ac:dyDescent="0.25">
      <c r="B1178" s="24"/>
      <c r="E1178" s="24"/>
      <c r="G1178" s="24"/>
      <c r="H1178" s="24"/>
      <c r="J1178" s="24"/>
      <c r="K1178" s="24"/>
      <c r="M1178" s="24"/>
      <c r="N1178" s="24"/>
      <c r="P1178" s="24"/>
    </row>
    <row r="1179" spans="2:16" x14ac:dyDescent="0.25">
      <c r="B1179" s="24"/>
      <c r="E1179" s="24"/>
      <c r="G1179" s="24"/>
      <c r="H1179" s="24"/>
      <c r="J1179" s="24"/>
      <c r="K1179" s="24"/>
      <c r="M1179" s="24"/>
      <c r="N1179" s="24"/>
      <c r="P1179" s="24"/>
    </row>
    <row r="1180" spans="2:16" x14ac:dyDescent="0.25">
      <c r="B1180" s="24"/>
      <c r="E1180" s="24"/>
      <c r="G1180" s="24"/>
      <c r="H1180" s="24"/>
      <c r="J1180" s="24"/>
      <c r="K1180" s="24"/>
      <c r="M1180" s="24"/>
      <c r="N1180" s="24"/>
      <c r="P1180" s="24"/>
    </row>
    <row r="1181" spans="2:16" x14ac:dyDescent="0.25">
      <c r="B1181" s="24"/>
      <c r="E1181" s="24"/>
      <c r="G1181" s="24"/>
      <c r="H1181" s="24"/>
      <c r="J1181" s="24"/>
      <c r="K1181" s="24"/>
      <c r="M1181" s="24"/>
      <c r="N1181" s="24"/>
      <c r="P1181" s="24"/>
    </row>
    <row r="1182" spans="2:16" x14ac:dyDescent="0.25">
      <c r="B1182" s="24"/>
      <c r="E1182" s="24"/>
      <c r="G1182" s="24"/>
      <c r="H1182" s="24"/>
      <c r="J1182" s="24"/>
      <c r="K1182" s="24"/>
      <c r="M1182" s="24"/>
      <c r="N1182" s="24"/>
      <c r="P1182" s="24"/>
    </row>
    <row r="1183" spans="2:16" x14ac:dyDescent="0.25">
      <c r="B1183" s="24"/>
      <c r="E1183" s="24"/>
      <c r="G1183" s="24"/>
      <c r="H1183" s="24"/>
      <c r="J1183" s="24"/>
      <c r="K1183" s="24"/>
      <c r="M1183" s="24"/>
      <c r="N1183" s="24"/>
      <c r="P1183" s="24"/>
    </row>
    <row r="1184" spans="2:16" x14ac:dyDescent="0.25">
      <c r="B1184" s="24"/>
      <c r="E1184" s="24"/>
      <c r="G1184" s="24"/>
      <c r="H1184" s="24"/>
      <c r="J1184" s="24"/>
      <c r="K1184" s="24"/>
      <c r="M1184" s="24"/>
      <c r="N1184" s="24"/>
      <c r="P1184" s="24"/>
    </row>
    <row r="1185" spans="2:16" x14ac:dyDescent="0.25">
      <c r="B1185" s="24"/>
      <c r="E1185" s="24"/>
      <c r="G1185" s="24"/>
      <c r="H1185" s="24"/>
      <c r="J1185" s="24"/>
      <c r="K1185" s="24"/>
      <c r="M1185" s="24"/>
      <c r="N1185" s="24"/>
      <c r="P1185" s="24"/>
    </row>
    <row r="1186" spans="2:16" x14ac:dyDescent="0.25">
      <c r="B1186" s="24"/>
      <c r="E1186" s="24"/>
      <c r="G1186" s="24"/>
      <c r="H1186" s="24"/>
      <c r="J1186" s="24"/>
      <c r="K1186" s="24"/>
      <c r="M1186" s="24"/>
      <c r="N1186" s="24"/>
      <c r="P1186" s="24"/>
    </row>
    <row r="1187" spans="2:16" x14ac:dyDescent="0.25">
      <c r="B1187" s="24"/>
      <c r="E1187" s="24"/>
      <c r="G1187" s="24"/>
      <c r="H1187" s="24"/>
      <c r="J1187" s="24"/>
      <c r="K1187" s="24"/>
      <c r="M1187" s="24"/>
      <c r="N1187" s="24"/>
      <c r="P1187" s="24"/>
    </row>
    <row r="1188" spans="2:16" x14ac:dyDescent="0.25">
      <c r="B1188" s="24"/>
      <c r="E1188" s="24"/>
      <c r="G1188" s="24"/>
      <c r="H1188" s="24"/>
      <c r="J1188" s="24"/>
      <c r="K1188" s="24"/>
      <c r="M1188" s="24"/>
      <c r="N1188" s="24"/>
      <c r="P1188" s="24"/>
    </row>
    <row r="1189" spans="2:16" x14ac:dyDescent="0.25">
      <c r="B1189" s="24"/>
      <c r="E1189" s="24"/>
      <c r="G1189" s="24"/>
      <c r="H1189" s="24"/>
      <c r="J1189" s="24"/>
      <c r="K1189" s="24"/>
      <c r="M1189" s="24"/>
      <c r="N1189" s="24"/>
      <c r="P1189" s="24"/>
    </row>
    <row r="1190" spans="2:16" x14ac:dyDescent="0.25">
      <c r="B1190" s="24"/>
      <c r="E1190" s="24"/>
      <c r="G1190" s="24"/>
      <c r="H1190" s="24"/>
      <c r="J1190" s="24"/>
      <c r="K1190" s="24"/>
      <c r="M1190" s="24"/>
      <c r="N1190" s="24"/>
      <c r="P1190" s="24"/>
    </row>
    <row r="1191" spans="2:16" x14ac:dyDescent="0.25">
      <c r="B1191" s="24"/>
      <c r="E1191" s="24"/>
      <c r="G1191" s="24"/>
      <c r="H1191" s="24"/>
      <c r="J1191" s="24"/>
      <c r="K1191" s="24"/>
      <c r="M1191" s="24"/>
      <c r="N1191" s="24"/>
      <c r="P1191" s="24"/>
    </row>
    <row r="1192" spans="2:16" x14ac:dyDescent="0.25">
      <c r="B1192" s="24"/>
      <c r="E1192" s="24"/>
      <c r="G1192" s="24"/>
      <c r="H1192" s="24"/>
      <c r="J1192" s="24"/>
      <c r="K1192" s="24"/>
      <c r="M1192" s="24"/>
      <c r="N1192" s="24"/>
      <c r="P1192" s="24"/>
    </row>
    <row r="1193" spans="2:16" x14ac:dyDescent="0.25">
      <c r="B1193" s="24"/>
      <c r="E1193" s="24"/>
      <c r="G1193" s="24"/>
      <c r="H1193" s="24"/>
      <c r="J1193" s="24"/>
      <c r="K1193" s="24"/>
      <c r="M1193" s="24"/>
      <c r="N1193" s="24"/>
      <c r="P1193" s="24"/>
    </row>
    <row r="1194" spans="2:16" x14ac:dyDescent="0.25">
      <c r="B1194" s="24"/>
      <c r="E1194" s="24"/>
      <c r="G1194" s="24"/>
      <c r="H1194" s="24"/>
      <c r="J1194" s="24"/>
      <c r="K1194" s="24"/>
      <c r="M1194" s="24"/>
      <c r="N1194" s="24"/>
      <c r="P1194" s="24"/>
    </row>
    <row r="1195" spans="2:16" x14ac:dyDescent="0.25">
      <c r="B1195" s="24"/>
      <c r="E1195" s="24"/>
      <c r="G1195" s="24"/>
      <c r="H1195" s="24"/>
      <c r="J1195" s="24"/>
      <c r="K1195" s="24"/>
      <c r="M1195" s="24"/>
      <c r="N1195" s="24"/>
      <c r="P1195" s="24"/>
    </row>
    <row r="1196" spans="2:16" x14ac:dyDescent="0.25">
      <c r="B1196" s="24"/>
      <c r="E1196" s="24"/>
      <c r="G1196" s="24"/>
      <c r="H1196" s="24"/>
      <c r="J1196" s="24"/>
      <c r="K1196" s="24"/>
      <c r="M1196" s="24"/>
      <c r="N1196" s="24"/>
      <c r="P1196" s="24"/>
    </row>
    <row r="1197" spans="2:16" x14ac:dyDescent="0.25">
      <c r="B1197" s="24"/>
      <c r="E1197" s="24"/>
      <c r="G1197" s="24"/>
      <c r="H1197" s="24"/>
      <c r="J1197" s="24"/>
      <c r="K1197" s="24"/>
      <c r="M1197" s="24"/>
      <c r="N1197" s="24"/>
      <c r="P1197" s="24"/>
    </row>
    <row r="1198" spans="2:16" x14ac:dyDescent="0.25">
      <c r="B1198" s="24"/>
      <c r="E1198" s="24"/>
      <c r="G1198" s="24"/>
      <c r="H1198" s="24"/>
      <c r="J1198" s="24"/>
      <c r="K1198" s="24"/>
      <c r="M1198" s="24"/>
      <c r="N1198" s="24"/>
      <c r="P1198" s="24"/>
    </row>
    <row r="1199" spans="2:16" x14ac:dyDescent="0.25">
      <c r="B1199" s="24"/>
      <c r="E1199" s="24"/>
      <c r="G1199" s="24"/>
      <c r="H1199" s="24"/>
      <c r="J1199" s="24"/>
      <c r="K1199" s="24"/>
      <c r="M1199" s="24"/>
      <c r="N1199" s="24"/>
      <c r="P1199" s="24"/>
    </row>
    <row r="1200" spans="2:16" x14ac:dyDescent="0.25">
      <c r="B1200" s="24"/>
      <c r="E1200" s="24"/>
      <c r="G1200" s="24"/>
      <c r="H1200" s="24"/>
      <c r="J1200" s="24"/>
      <c r="K1200" s="24"/>
      <c r="M1200" s="24"/>
      <c r="N1200" s="24"/>
      <c r="P1200" s="24"/>
    </row>
    <row r="1201" spans="2:16" x14ac:dyDescent="0.25">
      <c r="B1201" s="24"/>
      <c r="E1201" s="24"/>
      <c r="G1201" s="24"/>
      <c r="H1201" s="24"/>
      <c r="J1201" s="24"/>
      <c r="K1201" s="24"/>
      <c r="M1201" s="24"/>
      <c r="N1201" s="24"/>
      <c r="P1201" s="24"/>
    </row>
    <row r="1202" spans="2:16" x14ac:dyDescent="0.25">
      <c r="B1202" s="24"/>
      <c r="E1202" s="24"/>
      <c r="G1202" s="24"/>
      <c r="H1202" s="24"/>
      <c r="J1202" s="24"/>
      <c r="K1202" s="24"/>
      <c r="M1202" s="24"/>
      <c r="N1202" s="24"/>
      <c r="P1202" s="24"/>
    </row>
    <row r="1203" spans="2:16" x14ac:dyDescent="0.25">
      <c r="B1203" s="24"/>
      <c r="E1203" s="24"/>
      <c r="G1203" s="24"/>
      <c r="H1203" s="24"/>
      <c r="J1203" s="24"/>
      <c r="K1203" s="24"/>
      <c r="M1203" s="24"/>
      <c r="N1203" s="24"/>
      <c r="P1203" s="24"/>
    </row>
    <row r="1204" spans="2:16" x14ac:dyDescent="0.25">
      <c r="B1204" s="24"/>
      <c r="E1204" s="24"/>
      <c r="G1204" s="24"/>
      <c r="H1204" s="24"/>
      <c r="J1204" s="24"/>
      <c r="K1204" s="24"/>
      <c r="M1204" s="24"/>
      <c r="N1204" s="24"/>
      <c r="P1204" s="24"/>
    </row>
    <row r="1205" spans="2:16" x14ac:dyDescent="0.25">
      <c r="B1205" s="24"/>
      <c r="E1205" s="24"/>
      <c r="G1205" s="24"/>
      <c r="H1205" s="24"/>
      <c r="J1205" s="24"/>
      <c r="K1205" s="24"/>
      <c r="M1205" s="24"/>
      <c r="N1205" s="24"/>
      <c r="P1205" s="24"/>
    </row>
    <row r="1206" spans="2:16" x14ac:dyDescent="0.25">
      <c r="B1206" s="24"/>
      <c r="E1206" s="24"/>
      <c r="G1206" s="24"/>
      <c r="H1206" s="24"/>
      <c r="J1206" s="24"/>
      <c r="K1206" s="24"/>
      <c r="M1206" s="24"/>
      <c r="N1206" s="24"/>
      <c r="P1206" s="24"/>
    </row>
    <row r="1207" spans="2:16" x14ac:dyDescent="0.25">
      <c r="B1207" s="24"/>
      <c r="E1207" s="24"/>
      <c r="G1207" s="24"/>
      <c r="H1207" s="24"/>
      <c r="J1207" s="24"/>
      <c r="K1207" s="24"/>
      <c r="M1207" s="24"/>
      <c r="N1207" s="24"/>
      <c r="P1207" s="24"/>
    </row>
    <row r="1208" spans="2:16" x14ac:dyDescent="0.25">
      <c r="B1208" s="24"/>
      <c r="E1208" s="24"/>
      <c r="G1208" s="24"/>
      <c r="H1208" s="24"/>
      <c r="J1208" s="24"/>
      <c r="K1208" s="24"/>
      <c r="M1208" s="24"/>
      <c r="N1208" s="24"/>
      <c r="P1208" s="24"/>
    </row>
    <row r="1209" spans="2:16" x14ac:dyDescent="0.25">
      <c r="B1209" s="24"/>
      <c r="E1209" s="24"/>
      <c r="G1209" s="24"/>
      <c r="H1209" s="24"/>
      <c r="J1209" s="24"/>
      <c r="K1209" s="24"/>
      <c r="M1209" s="24"/>
      <c r="N1209" s="24"/>
      <c r="P1209" s="24"/>
    </row>
    <row r="1210" spans="2:16" x14ac:dyDescent="0.25">
      <c r="B1210" s="24"/>
      <c r="E1210" s="24"/>
      <c r="G1210" s="24"/>
      <c r="H1210" s="24"/>
      <c r="J1210" s="24"/>
      <c r="K1210" s="24"/>
      <c r="M1210" s="24"/>
      <c r="N1210" s="24"/>
      <c r="P1210" s="24"/>
    </row>
    <row r="1211" spans="2:16" x14ac:dyDescent="0.25">
      <c r="B1211" s="24"/>
      <c r="E1211" s="24"/>
      <c r="G1211" s="24"/>
      <c r="H1211" s="24"/>
      <c r="J1211" s="24"/>
      <c r="K1211" s="24"/>
      <c r="M1211" s="24"/>
      <c r="N1211" s="24"/>
      <c r="P1211" s="24"/>
    </row>
    <row r="1212" spans="2:16" x14ac:dyDescent="0.25">
      <c r="B1212" s="24"/>
      <c r="E1212" s="24"/>
      <c r="G1212" s="24"/>
      <c r="H1212" s="24"/>
      <c r="J1212" s="24"/>
      <c r="K1212" s="24"/>
      <c r="M1212" s="24"/>
      <c r="N1212" s="24"/>
      <c r="P1212" s="24"/>
    </row>
    <row r="1213" spans="2:16" x14ac:dyDescent="0.25">
      <c r="B1213" s="24"/>
      <c r="E1213" s="24"/>
      <c r="G1213" s="24"/>
      <c r="H1213" s="24"/>
      <c r="J1213" s="24"/>
      <c r="K1213" s="24"/>
      <c r="M1213" s="24"/>
      <c r="N1213" s="24"/>
      <c r="P1213" s="24"/>
    </row>
    <row r="1214" spans="2:16" x14ac:dyDescent="0.25">
      <c r="B1214" s="24"/>
      <c r="E1214" s="24"/>
      <c r="G1214" s="24"/>
      <c r="H1214" s="24"/>
      <c r="J1214" s="24"/>
      <c r="K1214" s="24"/>
      <c r="M1214" s="24"/>
      <c r="N1214" s="24"/>
      <c r="P1214" s="24"/>
    </row>
    <row r="1215" spans="2:16" x14ac:dyDescent="0.25">
      <c r="B1215" s="24"/>
      <c r="E1215" s="24"/>
      <c r="G1215" s="24"/>
      <c r="H1215" s="24"/>
      <c r="J1215" s="24"/>
      <c r="K1215" s="24"/>
      <c r="M1215" s="24"/>
      <c r="N1215" s="24"/>
      <c r="P1215" s="24"/>
    </row>
    <row r="1216" spans="2:16" x14ac:dyDescent="0.25">
      <c r="B1216" s="24"/>
      <c r="E1216" s="24"/>
      <c r="G1216" s="24"/>
      <c r="H1216" s="24"/>
      <c r="J1216" s="24"/>
      <c r="K1216" s="24"/>
      <c r="M1216" s="24"/>
      <c r="N1216" s="24"/>
      <c r="P1216" s="24"/>
    </row>
    <row r="1217" spans="2:16" x14ac:dyDescent="0.25">
      <c r="B1217" s="24"/>
      <c r="E1217" s="24"/>
      <c r="G1217" s="24"/>
      <c r="H1217" s="24"/>
      <c r="J1217" s="24"/>
      <c r="K1217" s="24"/>
      <c r="M1217" s="24"/>
      <c r="N1217" s="24"/>
      <c r="P1217" s="24"/>
    </row>
    <row r="1218" spans="2:16" x14ac:dyDescent="0.25">
      <c r="B1218" s="24"/>
      <c r="E1218" s="24"/>
      <c r="G1218" s="24"/>
      <c r="H1218" s="24"/>
      <c r="J1218" s="24"/>
      <c r="K1218" s="24"/>
      <c r="M1218" s="24"/>
      <c r="N1218" s="24"/>
      <c r="P1218" s="24"/>
    </row>
    <row r="1219" spans="2:16" x14ac:dyDescent="0.25">
      <c r="B1219" s="24"/>
      <c r="E1219" s="24"/>
      <c r="G1219" s="24"/>
      <c r="H1219" s="24"/>
      <c r="J1219" s="24"/>
      <c r="K1219" s="24"/>
      <c r="M1219" s="24"/>
      <c r="N1219" s="24"/>
      <c r="P1219" s="24"/>
    </row>
    <row r="1220" spans="2:16" x14ac:dyDescent="0.25">
      <c r="B1220" s="24"/>
      <c r="E1220" s="24"/>
      <c r="G1220" s="24"/>
      <c r="H1220" s="24"/>
      <c r="J1220" s="24"/>
      <c r="K1220" s="24"/>
      <c r="M1220" s="24"/>
      <c r="N1220" s="24"/>
      <c r="P1220" s="24"/>
    </row>
    <row r="1221" spans="2:16" x14ac:dyDescent="0.25">
      <c r="B1221" s="24"/>
      <c r="E1221" s="24"/>
      <c r="G1221" s="24"/>
      <c r="H1221" s="24"/>
      <c r="J1221" s="24"/>
      <c r="K1221" s="24"/>
      <c r="M1221" s="24"/>
      <c r="N1221" s="24"/>
      <c r="P1221" s="24"/>
    </row>
    <row r="1222" spans="2:16" x14ac:dyDescent="0.25">
      <c r="B1222" s="24"/>
      <c r="E1222" s="24"/>
      <c r="G1222" s="24"/>
      <c r="H1222" s="24"/>
      <c r="J1222" s="24"/>
      <c r="K1222" s="24"/>
      <c r="M1222" s="24"/>
      <c r="N1222" s="24"/>
      <c r="P1222" s="24"/>
    </row>
    <row r="1223" spans="2:16" x14ac:dyDescent="0.25">
      <c r="B1223" s="24"/>
      <c r="E1223" s="24"/>
      <c r="G1223" s="24"/>
      <c r="H1223" s="24"/>
      <c r="J1223" s="24"/>
      <c r="K1223" s="24"/>
      <c r="M1223" s="24"/>
      <c r="N1223" s="24"/>
      <c r="P1223" s="24"/>
    </row>
    <row r="1224" spans="2:16" x14ac:dyDescent="0.25">
      <c r="B1224" s="24"/>
      <c r="E1224" s="24"/>
      <c r="G1224" s="24"/>
      <c r="H1224" s="24"/>
      <c r="J1224" s="24"/>
      <c r="K1224" s="24"/>
      <c r="M1224" s="24"/>
      <c r="N1224" s="24"/>
      <c r="P1224" s="24"/>
    </row>
    <row r="1225" spans="2:16" x14ac:dyDescent="0.25">
      <c r="B1225" s="24"/>
      <c r="E1225" s="24"/>
      <c r="G1225" s="24"/>
      <c r="H1225" s="24"/>
      <c r="J1225" s="24"/>
      <c r="K1225" s="24"/>
      <c r="M1225" s="24"/>
      <c r="N1225" s="24"/>
      <c r="P1225" s="24"/>
    </row>
    <row r="1226" spans="2:16" x14ac:dyDescent="0.25">
      <c r="B1226" s="24"/>
      <c r="E1226" s="24"/>
      <c r="G1226" s="24"/>
      <c r="H1226" s="24"/>
      <c r="J1226" s="24"/>
      <c r="K1226" s="24"/>
      <c r="M1226" s="24"/>
      <c r="N1226" s="24"/>
      <c r="P1226" s="24"/>
    </row>
    <row r="1227" spans="2:16" x14ac:dyDescent="0.25">
      <c r="B1227" s="24"/>
      <c r="E1227" s="24"/>
      <c r="G1227" s="24"/>
      <c r="H1227" s="24"/>
      <c r="J1227" s="24"/>
      <c r="K1227" s="24"/>
      <c r="M1227" s="24"/>
      <c r="N1227" s="24"/>
      <c r="P1227" s="24"/>
    </row>
    <row r="1228" spans="2:16" x14ac:dyDescent="0.25">
      <c r="B1228" s="24"/>
      <c r="E1228" s="24"/>
      <c r="G1228" s="24"/>
      <c r="H1228" s="24"/>
      <c r="J1228" s="24"/>
      <c r="K1228" s="24"/>
      <c r="M1228" s="24"/>
      <c r="N1228" s="24"/>
      <c r="P1228" s="24"/>
    </row>
    <row r="1229" spans="2:16" x14ac:dyDescent="0.25">
      <c r="B1229" s="24"/>
      <c r="E1229" s="24"/>
      <c r="G1229" s="24"/>
      <c r="H1229" s="24"/>
      <c r="J1229" s="24"/>
      <c r="K1229" s="24"/>
      <c r="M1229" s="24"/>
      <c r="N1229" s="24"/>
      <c r="P1229" s="24"/>
    </row>
    <row r="1230" spans="2:16" x14ac:dyDescent="0.25">
      <c r="B1230" s="24"/>
      <c r="E1230" s="24"/>
      <c r="G1230" s="24"/>
      <c r="H1230" s="24"/>
      <c r="J1230" s="24"/>
      <c r="K1230" s="24"/>
      <c r="M1230" s="24"/>
      <c r="N1230" s="24"/>
      <c r="P1230" s="24"/>
    </row>
    <row r="1231" spans="2:16" x14ac:dyDescent="0.25">
      <c r="B1231" s="24"/>
      <c r="E1231" s="24"/>
      <c r="G1231" s="24"/>
      <c r="H1231" s="24"/>
      <c r="J1231" s="24"/>
      <c r="K1231" s="24"/>
      <c r="M1231" s="24"/>
      <c r="N1231" s="24"/>
      <c r="P1231" s="24"/>
    </row>
    <row r="1232" spans="2:16" x14ac:dyDescent="0.25">
      <c r="B1232" s="24"/>
      <c r="E1232" s="24"/>
      <c r="G1232" s="24"/>
      <c r="H1232" s="24"/>
      <c r="J1232" s="24"/>
      <c r="K1232" s="24"/>
      <c r="M1232" s="24"/>
      <c r="N1232" s="24"/>
      <c r="P1232" s="24"/>
    </row>
    <row r="1233" spans="2:16" x14ac:dyDescent="0.25">
      <c r="B1233" s="24"/>
      <c r="E1233" s="24"/>
      <c r="G1233" s="24"/>
      <c r="H1233" s="24"/>
      <c r="J1233" s="24"/>
      <c r="K1233" s="24"/>
      <c r="M1233" s="24"/>
      <c r="N1233" s="24"/>
      <c r="P1233" s="24"/>
    </row>
    <row r="1234" spans="2:16" x14ac:dyDescent="0.25">
      <c r="B1234" s="24"/>
      <c r="E1234" s="24"/>
      <c r="G1234" s="24"/>
      <c r="H1234" s="24"/>
      <c r="J1234" s="24"/>
      <c r="K1234" s="24"/>
      <c r="M1234" s="24"/>
      <c r="N1234" s="24"/>
      <c r="P1234" s="24"/>
    </row>
    <row r="1235" spans="2:16" x14ac:dyDescent="0.25">
      <c r="B1235" s="24"/>
      <c r="E1235" s="24"/>
      <c r="G1235" s="24"/>
      <c r="H1235" s="24"/>
      <c r="J1235" s="24"/>
      <c r="K1235" s="24"/>
      <c r="M1235" s="24"/>
      <c r="N1235" s="24"/>
      <c r="P1235" s="24"/>
    </row>
    <row r="1236" spans="2:16" x14ac:dyDescent="0.25">
      <c r="B1236" s="24"/>
      <c r="E1236" s="24"/>
      <c r="G1236" s="24"/>
      <c r="H1236" s="24"/>
      <c r="J1236" s="24"/>
      <c r="K1236" s="24"/>
      <c r="M1236" s="24"/>
      <c r="N1236" s="24"/>
      <c r="P1236" s="24"/>
    </row>
    <row r="1237" spans="2:16" x14ac:dyDescent="0.25">
      <c r="B1237" s="24"/>
      <c r="E1237" s="24"/>
      <c r="G1237" s="24"/>
      <c r="H1237" s="24"/>
      <c r="J1237" s="24"/>
      <c r="K1237" s="24"/>
      <c r="M1237" s="24"/>
      <c r="N1237" s="24"/>
      <c r="P1237" s="24"/>
    </row>
    <row r="1238" spans="2:16" x14ac:dyDescent="0.25">
      <c r="B1238" s="24"/>
      <c r="E1238" s="24"/>
      <c r="G1238" s="24"/>
      <c r="H1238" s="24"/>
      <c r="J1238" s="24"/>
      <c r="K1238" s="24"/>
      <c r="M1238" s="24"/>
      <c r="N1238" s="24"/>
      <c r="P1238" s="24"/>
    </row>
    <row r="1239" spans="2:16" x14ac:dyDescent="0.25">
      <c r="B1239" s="24"/>
      <c r="E1239" s="24"/>
      <c r="G1239" s="24"/>
      <c r="H1239" s="24"/>
      <c r="J1239" s="24"/>
      <c r="K1239" s="24"/>
      <c r="M1239" s="24"/>
      <c r="N1239" s="24"/>
      <c r="P1239" s="24"/>
    </row>
    <row r="1240" spans="2:16" x14ac:dyDescent="0.25">
      <c r="B1240" s="24"/>
      <c r="E1240" s="24"/>
      <c r="G1240" s="24"/>
      <c r="H1240" s="24"/>
      <c r="J1240" s="24"/>
      <c r="K1240" s="24"/>
      <c r="M1240" s="24"/>
      <c r="N1240" s="24"/>
      <c r="P1240" s="24"/>
    </row>
    <row r="1241" spans="2:16" x14ac:dyDescent="0.25">
      <c r="B1241" s="24"/>
      <c r="E1241" s="24"/>
      <c r="G1241" s="24"/>
      <c r="H1241" s="24"/>
      <c r="J1241" s="24"/>
      <c r="K1241" s="24"/>
      <c r="M1241" s="24"/>
      <c r="N1241" s="24"/>
      <c r="P1241" s="24"/>
    </row>
    <row r="1242" spans="2:16" x14ac:dyDescent="0.25">
      <c r="B1242" s="24"/>
      <c r="E1242" s="24"/>
      <c r="G1242" s="24"/>
      <c r="H1242" s="24"/>
      <c r="J1242" s="24"/>
      <c r="K1242" s="24"/>
      <c r="M1242" s="24"/>
      <c r="N1242" s="24"/>
      <c r="P1242" s="24"/>
    </row>
    <row r="1243" spans="2:16" x14ac:dyDescent="0.25">
      <c r="B1243" s="24"/>
      <c r="E1243" s="24"/>
      <c r="G1243" s="24"/>
      <c r="H1243" s="24"/>
      <c r="J1243" s="24"/>
      <c r="K1243" s="24"/>
      <c r="M1243" s="24"/>
      <c r="N1243" s="24"/>
      <c r="P1243" s="24"/>
    </row>
    <row r="1244" spans="2:16" x14ac:dyDescent="0.25">
      <c r="B1244" s="24"/>
      <c r="E1244" s="24"/>
      <c r="G1244" s="24"/>
      <c r="H1244" s="24"/>
      <c r="J1244" s="24"/>
      <c r="K1244" s="24"/>
      <c r="M1244" s="24"/>
      <c r="N1244" s="24"/>
      <c r="P1244" s="24"/>
    </row>
    <row r="1245" spans="2:16" x14ac:dyDescent="0.25">
      <c r="B1245" s="24"/>
      <c r="E1245" s="24"/>
      <c r="G1245" s="24"/>
      <c r="H1245" s="24"/>
      <c r="J1245" s="24"/>
      <c r="K1245" s="24"/>
      <c r="M1245" s="24"/>
      <c r="N1245" s="24"/>
      <c r="P1245" s="24"/>
    </row>
    <row r="1246" spans="2:16" x14ac:dyDescent="0.25">
      <c r="B1246" s="24"/>
      <c r="E1246" s="24"/>
      <c r="G1246" s="24"/>
      <c r="H1246" s="24"/>
      <c r="J1246" s="24"/>
      <c r="K1246" s="24"/>
      <c r="M1246" s="24"/>
      <c r="N1246" s="24"/>
      <c r="P1246" s="24"/>
    </row>
    <row r="1247" spans="2:16" x14ac:dyDescent="0.25">
      <c r="B1247" s="24"/>
      <c r="E1247" s="24"/>
      <c r="G1247" s="24"/>
      <c r="H1247" s="24"/>
      <c r="J1247" s="24"/>
      <c r="K1247" s="24"/>
      <c r="M1247" s="24"/>
      <c r="N1247" s="24"/>
      <c r="P1247" s="24"/>
    </row>
    <row r="1248" spans="2:16" x14ac:dyDescent="0.25">
      <c r="B1248" s="24"/>
      <c r="E1248" s="24"/>
      <c r="G1248" s="24"/>
      <c r="H1248" s="24"/>
      <c r="J1248" s="24"/>
      <c r="K1248" s="24"/>
      <c r="M1248" s="24"/>
      <c r="N1248" s="24"/>
      <c r="P1248" s="24"/>
    </row>
    <row r="1249" spans="2:16" x14ac:dyDescent="0.25">
      <c r="B1249" s="24"/>
      <c r="E1249" s="24"/>
      <c r="G1249" s="24"/>
      <c r="H1249" s="24"/>
      <c r="J1249" s="24"/>
      <c r="K1249" s="24"/>
      <c r="M1249" s="24"/>
      <c r="N1249" s="24"/>
      <c r="P1249" s="24"/>
    </row>
    <row r="1250" spans="2:16" x14ac:dyDescent="0.25">
      <c r="B1250" s="24"/>
      <c r="E1250" s="24"/>
      <c r="G1250" s="24"/>
      <c r="H1250" s="24"/>
      <c r="J1250" s="24"/>
      <c r="K1250" s="24"/>
      <c r="M1250" s="24"/>
      <c r="N1250" s="24"/>
      <c r="P1250" s="24"/>
    </row>
    <row r="1251" spans="2:16" x14ac:dyDescent="0.25">
      <c r="B1251" s="24"/>
      <c r="E1251" s="24"/>
      <c r="G1251" s="24"/>
      <c r="H1251" s="24"/>
      <c r="J1251" s="24"/>
      <c r="K1251" s="24"/>
      <c r="M1251" s="24"/>
      <c r="N1251" s="24"/>
      <c r="P1251" s="24"/>
    </row>
    <row r="1252" spans="2:16" x14ac:dyDescent="0.25">
      <c r="B1252" s="24"/>
      <c r="E1252" s="24"/>
      <c r="G1252" s="24"/>
      <c r="H1252" s="24"/>
      <c r="J1252" s="24"/>
      <c r="K1252" s="24"/>
      <c r="M1252" s="24"/>
      <c r="N1252" s="24"/>
      <c r="P1252" s="24"/>
    </row>
    <row r="1253" spans="2:16" x14ac:dyDescent="0.25">
      <c r="B1253" s="24"/>
      <c r="E1253" s="24"/>
      <c r="G1253" s="24"/>
      <c r="H1253" s="24"/>
      <c r="J1253" s="24"/>
      <c r="K1253" s="24"/>
      <c r="M1253" s="24"/>
      <c r="N1253" s="24"/>
      <c r="P1253" s="24"/>
    </row>
    <row r="1254" spans="2:16" x14ac:dyDescent="0.25">
      <c r="B1254" s="24"/>
      <c r="E1254" s="24"/>
      <c r="G1254" s="24"/>
      <c r="H1254" s="24"/>
      <c r="J1254" s="24"/>
      <c r="K1254" s="24"/>
      <c r="M1254" s="24"/>
      <c r="N1254" s="24"/>
      <c r="P1254" s="24"/>
    </row>
    <row r="1255" spans="2:16" x14ac:dyDescent="0.25">
      <c r="B1255" s="24"/>
      <c r="E1255" s="24"/>
      <c r="G1255" s="24"/>
      <c r="H1255" s="24"/>
      <c r="J1255" s="24"/>
      <c r="K1255" s="24"/>
      <c r="M1255" s="24"/>
      <c r="N1255" s="24"/>
      <c r="P1255" s="24"/>
    </row>
    <row r="1256" spans="2:16" x14ac:dyDescent="0.25">
      <c r="B1256" s="24"/>
      <c r="E1256" s="24"/>
      <c r="G1256" s="24"/>
      <c r="H1256" s="24"/>
      <c r="J1256" s="24"/>
      <c r="K1256" s="24"/>
      <c r="M1256" s="24"/>
      <c r="N1256" s="24"/>
      <c r="P1256" s="24"/>
    </row>
    <row r="1257" spans="2:16" x14ac:dyDescent="0.25">
      <c r="B1257" s="24"/>
      <c r="E1257" s="24"/>
      <c r="G1257" s="24"/>
      <c r="H1257" s="24"/>
      <c r="J1257" s="24"/>
      <c r="K1257" s="24"/>
      <c r="M1257" s="24"/>
      <c r="N1257" s="24"/>
      <c r="P1257" s="24"/>
    </row>
    <row r="1258" spans="2:16" x14ac:dyDescent="0.25">
      <c r="B1258" s="24"/>
      <c r="E1258" s="24"/>
      <c r="G1258" s="24"/>
      <c r="H1258" s="24"/>
      <c r="J1258" s="24"/>
      <c r="K1258" s="24"/>
      <c r="M1258" s="24"/>
      <c r="N1258" s="24"/>
      <c r="P1258" s="24"/>
    </row>
    <row r="1259" spans="2:16" x14ac:dyDescent="0.25">
      <c r="B1259" s="24"/>
      <c r="E1259" s="24"/>
      <c r="G1259" s="24"/>
      <c r="H1259" s="24"/>
      <c r="J1259" s="24"/>
      <c r="K1259" s="24"/>
      <c r="M1259" s="24"/>
      <c r="N1259" s="24"/>
      <c r="P1259" s="24"/>
    </row>
    <row r="1260" spans="2:16" x14ac:dyDescent="0.25">
      <c r="B1260" s="24"/>
      <c r="E1260" s="24"/>
      <c r="G1260" s="24"/>
      <c r="H1260" s="24"/>
      <c r="J1260" s="24"/>
      <c r="K1260" s="24"/>
      <c r="M1260" s="24"/>
      <c r="N1260" s="24"/>
      <c r="P1260" s="24"/>
    </row>
    <row r="1261" spans="2:16" x14ac:dyDescent="0.25">
      <c r="B1261" s="24"/>
      <c r="E1261" s="24"/>
      <c r="G1261" s="24"/>
      <c r="H1261" s="24"/>
      <c r="J1261" s="24"/>
      <c r="K1261" s="24"/>
      <c r="M1261" s="24"/>
      <c r="N1261" s="24"/>
      <c r="P1261" s="24"/>
    </row>
    <row r="1262" spans="2:16" x14ac:dyDescent="0.25">
      <c r="B1262" s="24"/>
      <c r="E1262" s="24"/>
      <c r="G1262" s="24"/>
      <c r="H1262" s="24"/>
      <c r="J1262" s="24"/>
      <c r="K1262" s="24"/>
      <c r="M1262" s="24"/>
      <c r="N1262" s="24"/>
      <c r="P1262" s="24"/>
    </row>
    <row r="1263" spans="2:16" x14ac:dyDescent="0.25">
      <c r="B1263" s="24"/>
      <c r="E1263" s="24"/>
      <c r="G1263" s="24"/>
      <c r="H1263" s="24"/>
      <c r="J1263" s="24"/>
      <c r="K1263" s="24"/>
      <c r="M1263" s="24"/>
      <c r="N1263" s="24"/>
      <c r="P1263" s="24"/>
    </row>
    <row r="1264" spans="2:16" x14ac:dyDescent="0.25">
      <c r="B1264" s="24"/>
      <c r="E1264" s="24"/>
      <c r="G1264" s="24"/>
      <c r="H1264" s="24"/>
      <c r="J1264" s="24"/>
      <c r="K1264" s="24"/>
      <c r="M1264" s="24"/>
      <c r="N1264" s="24"/>
      <c r="P1264" s="24"/>
    </row>
    <row r="1265" spans="2:16" x14ac:dyDescent="0.25">
      <c r="B1265" s="24"/>
      <c r="E1265" s="24"/>
      <c r="G1265" s="24"/>
      <c r="H1265" s="24"/>
      <c r="J1265" s="24"/>
      <c r="K1265" s="24"/>
      <c r="M1265" s="24"/>
      <c r="N1265" s="24"/>
      <c r="P1265" s="24"/>
    </row>
    <row r="1266" spans="2:16" x14ac:dyDescent="0.25">
      <c r="B1266" s="24"/>
      <c r="E1266" s="24"/>
      <c r="G1266" s="24"/>
      <c r="H1266" s="24"/>
      <c r="J1266" s="24"/>
      <c r="K1266" s="24"/>
      <c r="M1266" s="24"/>
      <c r="N1266" s="24"/>
      <c r="P1266" s="24"/>
    </row>
    <row r="1267" spans="2:16" x14ac:dyDescent="0.25">
      <c r="B1267" s="24"/>
      <c r="E1267" s="24"/>
      <c r="G1267" s="24"/>
      <c r="H1267" s="24"/>
      <c r="J1267" s="24"/>
      <c r="K1267" s="24"/>
      <c r="M1267" s="24"/>
      <c r="N1267" s="24"/>
      <c r="P1267" s="24"/>
    </row>
    <row r="1268" spans="2:16" x14ac:dyDescent="0.25">
      <c r="B1268" s="24"/>
      <c r="E1268" s="24"/>
      <c r="G1268" s="24"/>
      <c r="H1268" s="24"/>
      <c r="J1268" s="24"/>
      <c r="K1268" s="24"/>
      <c r="M1268" s="24"/>
      <c r="N1268" s="24"/>
      <c r="P1268" s="24"/>
    </row>
    <row r="1269" spans="2:16" x14ac:dyDescent="0.25">
      <c r="B1269" s="24"/>
      <c r="E1269" s="24"/>
      <c r="G1269" s="24"/>
      <c r="H1269" s="24"/>
      <c r="J1269" s="24"/>
      <c r="K1269" s="24"/>
      <c r="M1269" s="24"/>
      <c r="N1269" s="24"/>
      <c r="P1269" s="24"/>
    </row>
    <row r="1270" spans="2:16" x14ac:dyDescent="0.25">
      <c r="B1270" s="24"/>
      <c r="E1270" s="24"/>
      <c r="G1270" s="24"/>
      <c r="H1270" s="24"/>
      <c r="J1270" s="24"/>
      <c r="K1270" s="24"/>
      <c r="M1270" s="24"/>
      <c r="N1270" s="24"/>
      <c r="P1270" s="24"/>
    </row>
    <row r="1271" spans="2:16" x14ac:dyDescent="0.25">
      <c r="B1271" s="24"/>
      <c r="E1271" s="24"/>
      <c r="G1271" s="24"/>
      <c r="H1271" s="24"/>
      <c r="J1271" s="24"/>
      <c r="K1271" s="24"/>
      <c r="M1271" s="24"/>
      <c r="N1271" s="24"/>
      <c r="P1271" s="24"/>
    </row>
    <row r="1272" spans="2:16" x14ac:dyDescent="0.25">
      <c r="B1272" s="24"/>
      <c r="E1272" s="24"/>
      <c r="G1272" s="24"/>
      <c r="H1272" s="24"/>
      <c r="J1272" s="24"/>
      <c r="K1272" s="24"/>
      <c r="M1272" s="24"/>
      <c r="N1272" s="24"/>
      <c r="P1272" s="24"/>
    </row>
    <row r="1273" spans="2:16" x14ac:dyDescent="0.25">
      <c r="B1273" s="24"/>
      <c r="E1273" s="24"/>
      <c r="G1273" s="24"/>
      <c r="H1273" s="24"/>
      <c r="J1273" s="24"/>
      <c r="K1273" s="24"/>
      <c r="M1273" s="24"/>
      <c r="N1273" s="24"/>
      <c r="P1273" s="24"/>
    </row>
    <row r="1274" spans="2:16" x14ac:dyDescent="0.25">
      <c r="B1274" s="24"/>
      <c r="E1274" s="24"/>
      <c r="G1274" s="24"/>
      <c r="H1274" s="24"/>
      <c r="J1274" s="24"/>
      <c r="K1274" s="24"/>
      <c r="M1274" s="24"/>
      <c r="N1274" s="24"/>
      <c r="P1274" s="24"/>
    </row>
    <row r="1275" spans="2:16" x14ac:dyDescent="0.25">
      <c r="B1275" s="24"/>
      <c r="E1275" s="24"/>
      <c r="G1275" s="24"/>
      <c r="H1275" s="24"/>
      <c r="J1275" s="24"/>
      <c r="K1275" s="24"/>
      <c r="M1275" s="24"/>
      <c r="N1275" s="24"/>
      <c r="P1275" s="24"/>
    </row>
    <row r="1276" spans="2:16" x14ac:dyDescent="0.25">
      <c r="B1276" s="24"/>
      <c r="E1276" s="24"/>
      <c r="G1276" s="24"/>
      <c r="H1276" s="24"/>
      <c r="J1276" s="24"/>
      <c r="K1276" s="24"/>
      <c r="M1276" s="24"/>
      <c r="N1276" s="24"/>
      <c r="P1276" s="24"/>
    </row>
    <row r="1277" spans="2:16" x14ac:dyDescent="0.25">
      <c r="B1277" s="24"/>
      <c r="E1277" s="24"/>
      <c r="G1277" s="24"/>
      <c r="H1277" s="24"/>
      <c r="J1277" s="24"/>
      <c r="K1277" s="24"/>
      <c r="M1277" s="24"/>
      <c r="N1277" s="24"/>
      <c r="P1277" s="24"/>
    </row>
    <row r="1278" spans="2:16" x14ac:dyDescent="0.25">
      <c r="B1278" s="24"/>
      <c r="E1278" s="24"/>
      <c r="G1278" s="24"/>
      <c r="H1278" s="24"/>
      <c r="J1278" s="24"/>
      <c r="K1278" s="24"/>
      <c r="M1278" s="24"/>
      <c r="N1278" s="24"/>
      <c r="P1278" s="24"/>
    </row>
    <row r="1279" spans="2:16" x14ac:dyDescent="0.25">
      <c r="B1279" s="24"/>
      <c r="E1279" s="24"/>
      <c r="G1279" s="24"/>
      <c r="H1279" s="24"/>
      <c r="J1279" s="24"/>
      <c r="K1279" s="24"/>
      <c r="M1279" s="24"/>
      <c r="N1279" s="24"/>
      <c r="P1279" s="24"/>
    </row>
    <row r="1280" spans="2:16" x14ac:dyDescent="0.25">
      <c r="B1280" s="24"/>
      <c r="E1280" s="24"/>
      <c r="G1280" s="24"/>
      <c r="H1280" s="24"/>
      <c r="J1280" s="24"/>
      <c r="K1280" s="24"/>
      <c r="M1280" s="24"/>
      <c r="N1280" s="24"/>
      <c r="P1280" s="24"/>
    </row>
    <row r="1281" spans="2:16" x14ac:dyDescent="0.25">
      <c r="B1281" s="24"/>
      <c r="E1281" s="24"/>
      <c r="G1281" s="24"/>
      <c r="H1281" s="24"/>
      <c r="J1281" s="24"/>
      <c r="K1281" s="24"/>
      <c r="M1281" s="24"/>
      <c r="N1281" s="24"/>
      <c r="P1281" s="24"/>
    </row>
    <row r="1282" spans="2:16" x14ac:dyDescent="0.25">
      <c r="B1282" s="24"/>
      <c r="E1282" s="24"/>
      <c r="G1282" s="24"/>
      <c r="H1282" s="24"/>
      <c r="J1282" s="24"/>
      <c r="K1282" s="24"/>
      <c r="M1282" s="24"/>
      <c r="N1282" s="24"/>
      <c r="P1282" s="24"/>
    </row>
    <row r="1283" spans="2:16" x14ac:dyDescent="0.25">
      <c r="B1283" s="24"/>
      <c r="E1283" s="24"/>
      <c r="G1283" s="24"/>
      <c r="H1283" s="24"/>
      <c r="J1283" s="24"/>
      <c r="K1283" s="24"/>
      <c r="M1283" s="24"/>
      <c r="N1283" s="24"/>
      <c r="P1283" s="24"/>
    </row>
    <row r="1284" spans="2:16" x14ac:dyDescent="0.25">
      <c r="B1284" s="24"/>
      <c r="E1284" s="24"/>
      <c r="G1284" s="24"/>
      <c r="H1284" s="24"/>
      <c r="J1284" s="24"/>
      <c r="K1284" s="24"/>
      <c r="M1284" s="24"/>
      <c r="N1284" s="24"/>
      <c r="P1284" s="24"/>
    </row>
    <row r="1285" spans="2:16" x14ac:dyDescent="0.25">
      <c r="B1285" s="24"/>
      <c r="E1285" s="24"/>
      <c r="G1285" s="24"/>
      <c r="H1285" s="24"/>
      <c r="J1285" s="24"/>
      <c r="K1285" s="24"/>
      <c r="M1285" s="24"/>
      <c r="N1285" s="24"/>
      <c r="P1285" s="24"/>
    </row>
    <row r="1286" spans="2:16" x14ac:dyDescent="0.25">
      <c r="B1286" s="24"/>
      <c r="E1286" s="24"/>
      <c r="G1286" s="24"/>
      <c r="H1286" s="24"/>
      <c r="J1286" s="24"/>
      <c r="K1286" s="24"/>
      <c r="M1286" s="24"/>
      <c r="N1286" s="24"/>
      <c r="P1286" s="24"/>
    </row>
    <row r="1287" spans="2:16" x14ac:dyDescent="0.25">
      <c r="B1287" s="24"/>
      <c r="E1287" s="24"/>
      <c r="G1287" s="24"/>
      <c r="H1287" s="24"/>
      <c r="J1287" s="24"/>
      <c r="K1287" s="24"/>
      <c r="M1287" s="24"/>
      <c r="N1287" s="24"/>
      <c r="P1287" s="24"/>
    </row>
    <row r="1288" spans="2:16" x14ac:dyDescent="0.25">
      <c r="B1288" s="24"/>
      <c r="E1288" s="24"/>
      <c r="G1288" s="24"/>
      <c r="H1288" s="24"/>
      <c r="J1288" s="24"/>
      <c r="K1288" s="24"/>
      <c r="M1288" s="24"/>
      <c r="N1288" s="24"/>
      <c r="P1288" s="24"/>
    </row>
    <row r="1289" spans="2:16" x14ac:dyDescent="0.25">
      <c r="B1289" s="24"/>
      <c r="E1289" s="24"/>
      <c r="G1289" s="24"/>
      <c r="H1289" s="24"/>
      <c r="J1289" s="24"/>
      <c r="K1289" s="24"/>
      <c r="M1289" s="24"/>
      <c r="N1289" s="24"/>
      <c r="P1289" s="24"/>
    </row>
    <row r="1290" spans="2:16" x14ac:dyDescent="0.25">
      <c r="B1290" s="24"/>
      <c r="E1290" s="24"/>
      <c r="G1290" s="24"/>
      <c r="H1290" s="24"/>
      <c r="J1290" s="24"/>
      <c r="K1290" s="24"/>
      <c r="M1290" s="24"/>
      <c r="N1290" s="24"/>
      <c r="P1290" s="24"/>
    </row>
    <row r="1291" spans="2:16" x14ac:dyDescent="0.25">
      <c r="B1291" s="24"/>
      <c r="E1291" s="24"/>
      <c r="G1291" s="24"/>
      <c r="H1291" s="24"/>
      <c r="J1291" s="24"/>
      <c r="K1291" s="24"/>
      <c r="M1291" s="24"/>
      <c r="N1291" s="24"/>
      <c r="P1291" s="24"/>
    </row>
    <row r="1292" spans="2:16" x14ac:dyDescent="0.25">
      <c r="B1292" s="24"/>
      <c r="E1292" s="24"/>
      <c r="G1292" s="24"/>
      <c r="H1292" s="24"/>
      <c r="J1292" s="24"/>
      <c r="K1292" s="24"/>
      <c r="M1292" s="24"/>
      <c r="N1292" s="24"/>
      <c r="P1292" s="24"/>
    </row>
    <row r="1293" spans="2:16" x14ac:dyDescent="0.25">
      <c r="B1293" s="24"/>
      <c r="E1293" s="24"/>
      <c r="G1293" s="24"/>
      <c r="H1293" s="24"/>
      <c r="J1293" s="24"/>
      <c r="K1293" s="24"/>
      <c r="M1293" s="24"/>
      <c r="N1293" s="24"/>
      <c r="P1293" s="24"/>
    </row>
    <row r="1294" spans="2:16" x14ac:dyDescent="0.25">
      <c r="B1294" s="24"/>
      <c r="E1294" s="24"/>
      <c r="G1294" s="24"/>
      <c r="H1294" s="24"/>
      <c r="J1294" s="24"/>
      <c r="K1294" s="24"/>
      <c r="M1294" s="24"/>
      <c r="N1294" s="24"/>
      <c r="P1294" s="24"/>
    </row>
    <row r="1295" spans="2:16" x14ac:dyDescent="0.25">
      <c r="B1295" s="24"/>
      <c r="E1295" s="24"/>
      <c r="G1295" s="24"/>
      <c r="H1295" s="24"/>
      <c r="J1295" s="24"/>
      <c r="K1295" s="24"/>
      <c r="M1295" s="24"/>
      <c r="N1295" s="24"/>
      <c r="P1295" s="24"/>
    </row>
    <row r="1296" spans="2:16" x14ac:dyDescent="0.25">
      <c r="B1296" s="24"/>
      <c r="E1296" s="24"/>
      <c r="G1296" s="24"/>
      <c r="H1296" s="24"/>
      <c r="J1296" s="24"/>
      <c r="K1296" s="24"/>
      <c r="M1296" s="24"/>
      <c r="N1296" s="24"/>
      <c r="P1296" s="24"/>
    </row>
    <row r="1297" spans="2:16" x14ac:dyDescent="0.25">
      <c r="B1297" s="24"/>
      <c r="E1297" s="24"/>
      <c r="G1297" s="24"/>
      <c r="H1297" s="24"/>
      <c r="J1297" s="24"/>
      <c r="K1297" s="24"/>
      <c r="M1297" s="24"/>
      <c r="N1297" s="24"/>
      <c r="P1297" s="24"/>
    </row>
    <row r="1298" spans="2:16" x14ac:dyDescent="0.25">
      <c r="B1298" s="24"/>
      <c r="E1298" s="24"/>
      <c r="G1298" s="24"/>
      <c r="H1298" s="24"/>
      <c r="J1298" s="24"/>
      <c r="K1298" s="24"/>
      <c r="M1298" s="24"/>
      <c r="N1298" s="24"/>
      <c r="P1298" s="24"/>
    </row>
    <row r="1299" spans="2:16" x14ac:dyDescent="0.25">
      <c r="B1299" s="24"/>
      <c r="E1299" s="24"/>
      <c r="G1299" s="24"/>
      <c r="H1299" s="24"/>
      <c r="J1299" s="24"/>
      <c r="K1299" s="24"/>
      <c r="M1299" s="24"/>
      <c r="N1299" s="24"/>
      <c r="P1299" s="24"/>
    </row>
    <row r="1300" spans="2:16" x14ac:dyDescent="0.25">
      <c r="B1300" s="24"/>
      <c r="E1300" s="24"/>
      <c r="G1300" s="24"/>
      <c r="H1300" s="24"/>
      <c r="J1300" s="24"/>
      <c r="K1300" s="24"/>
      <c r="M1300" s="24"/>
      <c r="N1300" s="24"/>
      <c r="P1300" s="24"/>
    </row>
    <row r="1301" spans="2:16" x14ac:dyDescent="0.25">
      <c r="B1301" s="24"/>
      <c r="E1301" s="24"/>
      <c r="G1301" s="24"/>
      <c r="H1301" s="24"/>
      <c r="J1301" s="24"/>
      <c r="K1301" s="24"/>
      <c r="M1301" s="24"/>
      <c r="N1301" s="24"/>
      <c r="P1301" s="24"/>
    </row>
    <row r="1302" spans="2:16" x14ac:dyDescent="0.25">
      <c r="B1302" s="24"/>
      <c r="E1302" s="24"/>
      <c r="G1302" s="24"/>
      <c r="H1302" s="24"/>
      <c r="J1302" s="24"/>
      <c r="K1302" s="24"/>
      <c r="M1302" s="24"/>
      <c r="N1302" s="24"/>
      <c r="P1302" s="24"/>
    </row>
    <row r="1303" spans="2:16" x14ac:dyDescent="0.25">
      <c r="B1303" s="24"/>
      <c r="E1303" s="24"/>
      <c r="G1303" s="24"/>
      <c r="H1303" s="24"/>
      <c r="J1303" s="24"/>
      <c r="K1303" s="24"/>
      <c r="M1303" s="24"/>
      <c r="N1303" s="24"/>
      <c r="P1303" s="24"/>
    </row>
    <row r="1304" spans="2:16" x14ac:dyDescent="0.25">
      <c r="B1304" s="24"/>
      <c r="E1304" s="24"/>
      <c r="G1304" s="24"/>
      <c r="H1304" s="24"/>
      <c r="J1304" s="24"/>
      <c r="K1304" s="24"/>
      <c r="M1304" s="24"/>
      <c r="N1304" s="24"/>
      <c r="P1304" s="24"/>
    </row>
    <row r="1305" spans="2:16" x14ac:dyDescent="0.25">
      <c r="B1305" s="24"/>
      <c r="E1305" s="24"/>
      <c r="G1305" s="24"/>
      <c r="H1305" s="24"/>
      <c r="J1305" s="24"/>
      <c r="K1305" s="24"/>
      <c r="M1305" s="24"/>
      <c r="N1305" s="24"/>
      <c r="P1305" s="24"/>
    </row>
    <row r="1306" spans="2:16" x14ac:dyDescent="0.25">
      <c r="B1306" s="24"/>
      <c r="E1306" s="24"/>
      <c r="G1306" s="24"/>
      <c r="H1306" s="24"/>
      <c r="J1306" s="24"/>
      <c r="K1306" s="24"/>
      <c r="M1306" s="24"/>
      <c r="N1306" s="24"/>
      <c r="P1306" s="24"/>
    </row>
    <row r="1307" spans="2:16" x14ac:dyDescent="0.25">
      <c r="B1307" s="24"/>
      <c r="E1307" s="24"/>
      <c r="G1307" s="24"/>
      <c r="H1307" s="24"/>
      <c r="J1307" s="24"/>
      <c r="K1307" s="24"/>
      <c r="M1307" s="24"/>
      <c r="N1307" s="24"/>
      <c r="P1307" s="24"/>
    </row>
    <row r="1308" spans="2:16" x14ac:dyDescent="0.25">
      <c r="B1308" s="24"/>
      <c r="E1308" s="24"/>
      <c r="G1308" s="24"/>
      <c r="H1308" s="24"/>
      <c r="J1308" s="24"/>
      <c r="K1308" s="24"/>
      <c r="M1308" s="24"/>
      <c r="N1308" s="24"/>
      <c r="P1308" s="24"/>
    </row>
    <row r="1309" spans="2:16" x14ac:dyDescent="0.25">
      <c r="B1309" s="24"/>
      <c r="E1309" s="24"/>
      <c r="G1309" s="24"/>
      <c r="H1309" s="24"/>
      <c r="J1309" s="24"/>
      <c r="K1309" s="24"/>
      <c r="M1309" s="24"/>
      <c r="N1309" s="24"/>
      <c r="P1309" s="24"/>
    </row>
    <row r="1310" spans="2:16" x14ac:dyDescent="0.25">
      <c r="B1310" s="24"/>
      <c r="E1310" s="24"/>
      <c r="G1310" s="24"/>
      <c r="H1310" s="24"/>
      <c r="J1310" s="24"/>
      <c r="K1310" s="24"/>
      <c r="M1310" s="24"/>
      <c r="N1310" s="24"/>
      <c r="P1310" s="24"/>
    </row>
    <row r="1311" spans="2:16" x14ac:dyDescent="0.25">
      <c r="B1311" s="24"/>
      <c r="E1311" s="24"/>
      <c r="G1311" s="24"/>
      <c r="H1311" s="24"/>
      <c r="J1311" s="24"/>
      <c r="K1311" s="24"/>
      <c r="M1311" s="24"/>
      <c r="N1311" s="24"/>
      <c r="P1311" s="24"/>
    </row>
    <row r="1312" spans="2:16" x14ac:dyDescent="0.25">
      <c r="B1312" s="24"/>
      <c r="E1312" s="24"/>
      <c r="G1312" s="24"/>
      <c r="H1312" s="24"/>
      <c r="J1312" s="24"/>
      <c r="K1312" s="24"/>
      <c r="M1312" s="24"/>
      <c r="N1312" s="24"/>
      <c r="P1312" s="24"/>
    </row>
    <row r="1313" spans="2:16" x14ac:dyDescent="0.25">
      <c r="B1313" s="24"/>
      <c r="E1313" s="24"/>
      <c r="G1313" s="24"/>
      <c r="H1313" s="24"/>
      <c r="J1313" s="24"/>
      <c r="K1313" s="24"/>
      <c r="M1313" s="24"/>
      <c r="N1313" s="24"/>
      <c r="P1313" s="24"/>
    </row>
    <row r="1314" spans="2:16" x14ac:dyDescent="0.25">
      <c r="B1314" s="24"/>
      <c r="E1314" s="24"/>
      <c r="G1314" s="24"/>
      <c r="H1314" s="24"/>
      <c r="J1314" s="24"/>
      <c r="K1314" s="24"/>
      <c r="M1314" s="24"/>
      <c r="N1314" s="24"/>
      <c r="P1314" s="24"/>
    </row>
    <row r="1315" spans="2:16" x14ac:dyDescent="0.25">
      <c r="B1315" s="24"/>
      <c r="E1315" s="24"/>
      <c r="G1315" s="24"/>
      <c r="H1315" s="24"/>
      <c r="J1315" s="24"/>
      <c r="K1315" s="24"/>
      <c r="M1315" s="24"/>
      <c r="N1315" s="24"/>
      <c r="P1315" s="24"/>
    </row>
    <row r="1316" spans="2:16" x14ac:dyDescent="0.25">
      <c r="B1316" s="24"/>
      <c r="E1316" s="24"/>
      <c r="G1316" s="24"/>
      <c r="H1316" s="24"/>
      <c r="J1316" s="24"/>
      <c r="K1316" s="24"/>
      <c r="M1316" s="24"/>
      <c r="N1316" s="24"/>
      <c r="P1316" s="24"/>
    </row>
    <row r="1317" spans="2:16" x14ac:dyDescent="0.25">
      <c r="B1317" s="24"/>
      <c r="E1317" s="24"/>
      <c r="G1317" s="24"/>
      <c r="H1317" s="24"/>
      <c r="J1317" s="24"/>
      <c r="K1317" s="24"/>
      <c r="M1317" s="24"/>
      <c r="N1317" s="24"/>
      <c r="P1317" s="24"/>
    </row>
    <row r="1318" spans="2:16" x14ac:dyDescent="0.25">
      <c r="B1318" s="24"/>
      <c r="E1318" s="24"/>
      <c r="G1318" s="24"/>
      <c r="H1318" s="24"/>
      <c r="J1318" s="24"/>
      <c r="K1318" s="24"/>
      <c r="M1318" s="24"/>
      <c r="N1318" s="24"/>
      <c r="P1318" s="24"/>
    </row>
    <row r="1319" spans="2:16" x14ac:dyDescent="0.25">
      <c r="B1319" s="24"/>
      <c r="E1319" s="24"/>
      <c r="G1319" s="24"/>
      <c r="H1319" s="24"/>
      <c r="J1319" s="24"/>
      <c r="K1319" s="24"/>
      <c r="M1319" s="24"/>
      <c r="N1319" s="24"/>
      <c r="P1319" s="24"/>
    </row>
    <row r="1320" spans="2:16" x14ac:dyDescent="0.25">
      <c r="B1320" s="24"/>
      <c r="E1320" s="24"/>
      <c r="G1320" s="24"/>
      <c r="H1320" s="24"/>
      <c r="J1320" s="24"/>
      <c r="K1320" s="24"/>
      <c r="M1320" s="24"/>
      <c r="N1320" s="24"/>
      <c r="P1320" s="24"/>
    </row>
    <row r="1321" spans="2:16" x14ac:dyDescent="0.25">
      <c r="B1321" s="24"/>
      <c r="E1321" s="24"/>
      <c r="G1321" s="24"/>
      <c r="H1321" s="24"/>
      <c r="J1321" s="24"/>
      <c r="K1321" s="24"/>
      <c r="M1321" s="24"/>
      <c r="N1321" s="24"/>
      <c r="P1321" s="24"/>
    </row>
    <row r="1322" spans="2:16" x14ac:dyDescent="0.25">
      <c r="B1322" s="24"/>
      <c r="E1322" s="24"/>
      <c r="G1322" s="24"/>
      <c r="H1322" s="24"/>
      <c r="J1322" s="24"/>
      <c r="K1322" s="24"/>
      <c r="M1322" s="24"/>
      <c r="N1322" s="24"/>
      <c r="P1322" s="24"/>
    </row>
    <row r="1323" spans="2:16" x14ac:dyDescent="0.25">
      <c r="B1323" s="24"/>
      <c r="E1323" s="24"/>
      <c r="G1323" s="24"/>
      <c r="H1323" s="24"/>
      <c r="J1323" s="24"/>
      <c r="K1323" s="24"/>
      <c r="M1323" s="24"/>
      <c r="N1323" s="24"/>
      <c r="P1323" s="24"/>
    </row>
    <row r="1324" spans="2:16" x14ac:dyDescent="0.25">
      <c r="B1324" s="24"/>
      <c r="E1324" s="24"/>
      <c r="G1324" s="24"/>
      <c r="H1324" s="24"/>
      <c r="J1324" s="24"/>
      <c r="K1324" s="24"/>
      <c r="M1324" s="24"/>
      <c r="N1324" s="24"/>
      <c r="P1324" s="24"/>
    </row>
    <row r="1325" spans="2:16" x14ac:dyDescent="0.25">
      <c r="B1325" s="24"/>
      <c r="E1325" s="24"/>
      <c r="G1325" s="24"/>
      <c r="H1325" s="24"/>
      <c r="J1325" s="24"/>
      <c r="K1325" s="24"/>
      <c r="M1325" s="24"/>
      <c r="N1325" s="24"/>
      <c r="P1325" s="24"/>
    </row>
    <row r="1326" spans="2:16" x14ac:dyDescent="0.25">
      <c r="B1326" s="24"/>
      <c r="E1326" s="24"/>
      <c r="G1326" s="24"/>
      <c r="H1326" s="24"/>
      <c r="J1326" s="24"/>
      <c r="K1326" s="24"/>
      <c r="M1326" s="24"/>
      <c r="N1326" s="24"/>
      <c r="P1326" s="24"/>
    </row>
    <row r="1327" spans="2:16" x14ac:dyDescent="0.25">
      <c r="B1327" s="24"/>
      <c r="E1327" s="24"/>
      <c r="G1327" s="24"/>
      <c r="H1327" s="24"/>
      <c r="J1327" s="24"/>
      <c r="K1327" s="24"/>
      <c r="M1327" s="24"/>
      <c r="N1327" s="24"/>
      <c r="P1327" s="24"/>
    </row>
    <row r="1328" spans="2:16" x14ac:dyDescent="0.25">
      <c r="B1328" s="24"/>
      <c r="E1328" s="24"/>
      <c r="G1328" s="24"/>
      <c r="H1328" s="24"/>
      <c r="J1328" s="24"/>
      <c r="K1328" s="24"/>
      <c r="M1328" s="24"/>
      <c r="N1328" s="24"/>
      <c r="P1328" s="24"/>
    </row>
    <row r="1329" spans="2:16" x14ac:dyDescent="0.25">
      <c r="B1329" s="24"/>
      <c r="E1329" s="24"/>
      <c r="G1329" s="24"/>
      <c r="H1329" s="24"/>
      <c r="J1329" s="24"/>
      <c r="K1329" s="24"/>
      <c r="M1329" s="24"/>
      <c r="N1329" s="24"/>
      <c r="P1329" s="24"/>
    </row>
    <row r="1330" spans="2:16" x14ac:dyDescent="0.25">
      <c r="B1330" s="24"/>
      <c r="E1330" s="24"/>
      <c r="G1330" s="24"/>
      <c r="H1330" s="24"/>
      <c r="J1330" s="24"/>
      <c r="K1330" s="24"/>
      <c r="M1330" s="24"/>
      <c r="N1330" s="24"/>
      <c r="P1330" s="24"/>
    </row>
    <row r="1331" spans="2:16" x14ac:dyDescent="0.25">
      <c r="B1331" s="24"/>
      <c r="E1331" s="24"/>
      <c r="G1331" s="24"/>
      <c r="H1331" s="24"/>
      <c r="J1331" s="24"/>
      <c r="K1331" s="24"/>
      <c r="M1331" s="24"/>
      <c r="N1331" s="24"/>
      <c r="P1331" s="24"/>
    </row>
    <row r="1332" spans="2:16" x14ac:dyDescent="0.25">
      <c r="B1332" s="24"/>
      <c r="E1332" s="24"/>
      <c r="G1332" s="24"/>
      <c r="H1332" s="24"/>
      <c r="J1332" s="24"/>
      <c r="K1332" s="24"/>
      <c r="M1332" s="24"/>
      <c r="N1332" s="24"/>
      <c r="P1332" s="24"/>
    </row>
    <row r="1333" spans="2:16" x14ac:dyDescent="0.25">
      <c r="B1333" s="24"/>
      <c r="E1333" s="24"/>
      <c r="G1333" s="24"/>
      <c r="H1333" s="24"/>
      <c r="J1333" s="24"/>
      <c r="K1333" s="24"/>
      <c r="M1333" s="24"/>
      <c r="N1333" s="24"/>
      <c r="P1333" s="24"/>
    </row>
    <row r="1334" spans="2:16" x14ac:dyDescent="0.25">
      <c r="B1334" s="24"/>
      <c r="E1334" s="24"/>
      <c r="G1334" s="24"/>
      <c r="H1334" s="24"/>
      <c r="J1334" s="24"/>
      <c r="K1334" s="24"/>
      <c r="M1334" s="24"/>
      <c r="N1334" s="24"/>
      <c r="P1334" s="24"/>
    </row>
    <row r="1335" spans="2:16" x14ac:dyDescent="0.25">
      <c r="B1335" s="24"/>
      <c r="E1335" s="24"/>
      <c r="G1335" s="24"/>
      <c r="H1335" s="24"/>
      <c r="J1335" s="24"/>
      <c r="K1335" s="24"/>
      <c r="M1335" s="24"/>
      <c r="N1335" s="24"/>
      <c r="P1335" s="24"/>
    </row>
    <row r="1336" spans="2:16" x14ac:dyDescent="0.25">
      <c r="B1336" s="24"/>
      <c r="E1336" s="24"/>
      <c r="G1336" s="24"/>
      <c r="H1336" s="24"/>
      <c r="J1336" s="24"/>
      <c r="K1336" s="24"/>
      <c r="M1336" s="24"/>
      <c r="N1336" s="24"/>
      <c r="P1336" s="24"/>
    </row>
    <row r="1337" spans="2:16" x14ac:dyDescent="0.25">
      <c r="B1337" s="24"/>
      <c r="E1337" s="24"/>
      <c r="G1337" s="24"/>
      <c r="H1337" s="24"/>
      <c r="J1337" s="24"/>
      <c r="K1337" s="24"/>
      <c r="M1337" s="24"/>
      <c r="N1337" s="24"/>
      <c r="P1337" s="24"/>
    </row>
    <row r="1338" spans="2:16" x14ac:dyDescent="0.25">
      <c r="B1338" s="24"/>
      <c r="E1338" s="24"/>
      <c r="G1338" s="24"/>
      <c r="H1338" s="24"/>
      <c r="J1338" s="24"/>
      <c r="K1338" s="24"/>
      <c r="M1338" s="24"/>
      <c r="N1338" s="24"/>
      <c r="P1338" s="24"/>
    </row>
    <row r="1339" spans="2:16" x14ac:dyDescent="0.25">
      <c r="B1339" s="24"/>
      <c r="E1339" s="24"/>
      <c r="G1339" s="24"/>
      <c r="H1339" s="24"/>
      <c r="J1339" s="24"/>
      <c r="K1339" s="24"/>
      <c r="M1339" s="24"/>
      <c r="N1339" s="24"/>
      <c r="P1339" s="24"/>
    </row>
    <row r="1340" spans="2:16" x14ac:dyDescent="0.25">
      <c r="B1340" s="24"/>
      <c r="E1340" s="24"/>
      <c r="G1340" s="24"/>
      <c r="H1340" s="24"/>
      <c r="J1340" s="24"/>
      <c r="K1340" s="24"/>
      <c r="M1340" s="24"/>
      <c r="N1340" s="24"/>
      <c r="P1340" s="24"/>
    </row>
    <row r="1341" spans="2:16" x14ac:dyDescent="0.25">
      <c r="B1341" s="24"/>
      <c r="E1341" s="24"/>
      <c r="G1341" s="24"/>
      <c r="H1341" s="24"/>
      <c r="J1341" s="24"/>
      <c r="K1341" s="24"/>
      <c r="M1341" s="24"/>
      <c r="N1341" s="24"/>
      <c r="P1341" s="24"/>
    </row>
    <row r="1342" spans="2:16" x14ac:dyDescent="0.25">
      <c r="B1342" s="24"/>
      <c r="E1342" s="24"/>
      <c r="G1342" s="24"/>
      <c r="H1342" s="24"/>
      <c r="J1342" s="24"/>
      <c r="K1342" s="24"/>
      <c r="M1342" s="24"/>
      <c r="N1342" s="24"/>
      <c r="P1342" s="24"/>
    </row>
    <row r="1343" spans="2:16" x14ac:dyDescent="0.25">
      <c r="B1343" s="24"/>
      <c r="E1343" s="24"/>
      <c r="G1343" s="24"/>
      <c r="H1343" s="24"/>
      <c r="J1343" s="24"/>
      <c r="K1343" s="24"/>
      <c r="M1343" s="24"/>
      <c r="N1343" s="24"/>
      <c r="P1343" s="24"/>
    </row>
    <row r="1344" spans="2:16" x14ac:dyDescent="0.25">
      <c r="B1344" s="24"/>
      <c r="E1344" s="24"/>
      <c r="G1344" s="24"/>
      <c r="H1344" s="24"/>
      <c r="J1344" s="24"/>
      <c r="K1344" s="24"/>
      <c r="M1344" s="24"/>
      <c r="N1344" s="24"/>
      <c r="P1344" s="24"/>
    </row>
    <row r="1345" spans="2:16" x14ac:dyDescent="0.25">
      <c r="B1345" s="24"/>
      <c r="E1345" s="24"/>
      <c r="G1345" s="24"/>
      <c r="H1345" s="24"/>
      <c r="J1345" s="24"/>
      <c r="K1345" s="24"/>
      <c r="M1345" s="24"/>
      <c r="N1345" s="24"/>
      <c r="P1345" s="24"/>
    </row>
    <row r="1346" spans="2:16" x14ac:dyDescent="0.25">
      <c r="B1346" s="24"/>
      <c r="E1346" s="24"/>
      <c r="G1346" s="24"/>
      <c r="H1346" s="24"/>
      <c r="J1346" s="24"/>
      <c r="K1346" s="24"/>
      <c r="M1346" s="24"/>
      <c r="N1346" s="24"/>
      <c r="P1346" s="24"/>
    </row>
    <row r="1347" spans="2:16" x14ac:dyDescent="0.25">
      <c r="B1347" s="24"/>
      <c r="E1347" s="24"/>
      <c r="G1347" s="24"/>
      <c r="H1347" s="24"/>
      <c r="J1347" s="24"/>
      <c r="K1347" s="24"/>
      <c r="M1347" s="24"/>
      <c r="N1347" s="24"/>
      <c r="P1347" s="24"/>
    </row>
    <row r="1348" spans="2:16" x14ac:dyDescent="0.25">
      <c r="B1348" s="24"/>
      <c r="E1348" s="24"/>
      <c r="G1348" s="24"/>
      <c r="H1348" s="24"/>
      <c r="J1348" s="24"/>
      <c r="K1348" s="24"/>
      <c r="M1348" s="24"/>
      <c r="N1348" s="24"/>
      <c r="P1348" s="24"/>
    </row>
    <row r="1349" spans="2:16" x14ac:dyDescent="0.25">
      <c r="B1349" s="24"/>
      <c r="E1349" s="24"/>
      <c r="G1349" s="24"/>
      <c r="H1349" s="24"/>
      <c r="J1349" s="24"/>
      <c r="K1349" s="24"/>
      <c r="M1349" s="24"/>
      <c r="N1349" s="24"/>
      <c r="P1349" s="24"/>
    </row>
    <row r="1350" spans="2:16" x14ac:dyDescent="0.25">
      <c r="B1350" s="24"/>
      <c r="E1350" s="24"/>
      <c r="G1350" s="24"/>
      <c r="H1350" s="24"/>
      <c r="J1350" s="24"/>
      <c r="K1350" s="24"/>
      <c r="M1350" s="24"/>
      <c r="N1350" s="24"/>
      <c r="P1350" s="24"/>
    </row>
    <row r="1351" spans="2:16" x14ac:dyDescent="0.25">
      <c r="B1351" s="24"/>
      <c r="E1351" s="24"/>
      <c r="G1351" s="24"/>
      <c r="H1351" s="24"/>
      <c r="J1351" s="24"/>
      <c r="K1351" s="24"/>
      <c r="M1351" s="24"/>
      <c r="N1351" s="24"/>
      <c r="P1351" s="24"/>
    </row>
    <row r="1352" spans="2:16" x14ac:dyDescent="0.25">
      <c r="B1352" s="24"/>
      <c r="E1352" s="24"/>
      <c r="G1352" s="24"/>
      <c r="H1352" s="24"/>
      <c r="J1352" s="24"/>
      <c r="K1352" s="24"/>
      <c r="M1352" s="24"/>
      <c r="N1352" s="24"/>
      <c r="P1352" s="24"/>
    </row>
    <row r="1353" spans="2:16" x14ac:dyDescent="0.25">
      <c r="B1353" s="24"/>
      <c r="E1353" s="24"/>
      <c r="G1353" s="24"/>
      <c r="H1353" s="24"/>
      <c r="J1353" s="24"/>
      <c r="K1353" s="24"/>
      <c r="M1353" s="24"/>
      <c r="N1353" s="24"/>
      <c r="P1353" s="24"/>
    </row>
    <row r="1354" spans="2:16" x14ac:dyDescent="0.25">
      <c r="B1354" s="24"/>
      <c r="E1354" s="24"/>
      <c r="G1354" s="24"/>
      <c r="H1354" s="24"/>
      <c r="J1354" s="24"/>
      <c r="K1354" s="24"/>
      <c r="M1354" s="24"/>
      <c r="N1354" s="24"/>
      <c r="P1354" s="24"/>
    </row>
    <row r="1355" spans="2:16" x14ac:dyDescent="0.25">
      <c r="B1355" s="24"/>
      <c r="E1355" s="24"/>
      <c r="G1355" s="24"/>
      <c r="H1355" s="24"/>
      <c r="J1355" s="24"/>
      <c r="K1355" s="24"/>
      <c r="M1355" s="24"/>
      <c r="N1355" s="24"/>
      <c r="P1355" s="24"/>
    </row>
    <row r="1356" spans="2:16" x14ac:dyDescent="0.25">
      <c r="B1356" s="24"/>
      <c r="E1356" s="24"/>
      <c r="G1356" s="24"/>
      <c r="H1356" s="24"/>
      <c r="J1356" s="24"/>
      <c r="K1356" s="24"/>
      <c r="M1356" s="24"/>
      <c r="N1356" s="24"/>
      <c r="P1356" s="24"/>
    </row>
    <row r="1357" spans="2:16" x14ac:dyDescent="0.25">
      <c r="B1357" s="24"/>
      <c r="E1357" s="24"/>
      <c r="G1357" s="24"/>
      <c r="H1357" s="24"/>
      <c r="J1357" s="24"/>
      <c r="K1357" s="24"/>
      <c r="M1357" s="24"/>
      <c r="N1357" s="24"/>
      <c r="P1357" s="24"/>
    </row>
    <row r="1358" spans="2:16" x14ac:dyDescent="0.25">
      <c r="B1358" s="24"/>
      <c r="E1358" s="24"/>
      <c r="G1358" s="24"/>
      <c r="H1358" s="24"/>
      <c r="J1358" s="24"/>
      <c r="K1358" s="24"/>
      <c r="M1358" s="24"/>
      <c r="N1358" s="24"/>
      <c r="P1358" s="24"/>
    </row>
    <row r="1359" spans="2:16" x14ac:dyDescent="0.25">
      <c r="B1359" s="24"/>
      <c r="E1359" s="24"/>
      <c r="G1359" s="24"/>
      <c r="H1359" s="24"/>
      <c r="J1359" s="24"/>
      <c r="K1359" s="24"/>
      <c r="M1359" s="24"/>
      <c r="N1359" s="24"/>
      <c r="P1359" s="24"/>
    </row>
    <row r="1360" spans="2:16" x14ac:dyDescent="0.25">
      <c r="B1360" s="24"/>
      <c r="E1360" s="24"/>
      <c r="G1360" s="24"/>
      <c r="H1360" s="24"/>
      <c r="J1360" s="24"/>
      <c r="K1360" s="24"/>
      <c r="M1360" s="24"/>
      <c r="N1360" s="24"/>
      <c r="P1360" s="24"/>
    </row>
    <row r="1361" spans="2:16" x14ac:dyDescent="0.25">
      <c r="B1361" s="24"/>
      <c r="E1361" s="24"/>
      <c r="G1361" s="24"/>
      <c r="H1361" s="24"/>
      <c r="J1361" s="24"/>
      <c r="K1361" s="24"/>
      <c r="M1361" s="24"/>
      <c r="N1361" s="24"/>
      <c r="P1361" s="24"/>
    </row>
    <row r="1362" spans="2:16" x14ac:dyDescent="0.25">
      <c r="B1362" s="24"/>
      <c r="E1362" s="24"/>
      <c r="G1362" s="24"/>
      <c r="H1362" s="24"/>
      <c r="J1362" s="24"/>
      <c r="K1362" s="24"/>
      <c r="M1362" s="24"/>
      <c r="N1362" s="24"/>
      <c r="P1362" s="24"/>
    </row>
    <row r="1363" spans="2:16" x14ac:dyDescent="0.25">
      <c r="B1363" s="24"/>
      <c r="E1363" s="24"/>
      <c r="G1363" s="24"/>
      <c r="H1363" s="24"/>
      <c r="J1363" s="24"/>
      <c r="K1363" s="24"/>
      <c r="M1363" s="24"/>
      <c r="N1363" s="24"/>
      <c r="P1363" s="24"/>
    </row>
    <row r="1364" spans="2:16" x14ac:dyDescent="0.25">
      <c r="B1364" s="24"/>
      <c r="E1364" s="24"/>
      <c r="G1364" s="24"/>
      <c r="H1364" s="24"/>
      <c r="J1364" s="24"/>
      <c r="K1364" s="24"/>
      <c r="M1364" s="24"/>
      <c r="N1364" s="24"/>
      <c r="P1364" s="24"/>
    </row>
    <row r="1365" spans="2:16" x14ac:dyDescent="0.25">
      <c r="B1365" s="24"/>
      <c r="E1365" s="24"/>
      <c r="G1365" s="24"/>
      <c r="H1365" s="24"/>
      <c r="J1365" s="24"/>
      <c r="K1365" s="24"/>
      <c r="M1365" s="24"/>
      <c r="N1365" s="24"/>
      <c r="P1365" s="24"/>
    </row>
    <row r="1366" spans="2:16" x14ac:dyDescent="0.25">
      <c r="B1366" s="24"/>
      <c r="E1366" s="24"/>
      <c r="G1366" s="24"/>
      <c r="H1366" s="24"/>
      <c r="J1366" s="24"/>
      <c r="K1366" s="24"/>
      <c r="M1366" s="24"/>
      <c r="N1366" s="24"/>
      <c r="P1366" s="24"/>
    </row>
    <row r="1367" spans="2:16" x14ac:dyDescent="0.25">
      <c r="B1367" s="24"/>
      <c r="E1367" s="24"/>
      <c r="G1367" s="24"/>
      <c r="H1367" s="24"/>
      <c r="J1367" s="24"/>
      <c r="K1367" s="24"/>
      <c r="M1367" s="24"/>
      <c r="N1367" s="24"/>
      <c r="P1367" s="24"/>
    </row>
    <row r="1368" spans="2:16" x14ac:dyDescent="0.25">
      <c r="B1368" s="24"/>
      <c r="E1368" s="24"/>
      <c r="G1368" s="24"/>
      <c r="H1368" s="24"/>
      <c r="J1368" s="24"/>
      <c r="K1368" s="24"/>
      <c r="M1368" s="24"/>
      <c r="N1368" s="24"/>
      <c r="P1368" s="24"/>
    </row>
    <row r="1369" spans="2:16" x14ac:dyDescent="0.25">
      <c r="B1369" s="24"/>
      <c r="E1369" s="24"/>
      <c r="G1369" s="24"/>
      <c r="H1369" s="24"/>
      <c r="J1369" s="24"/>
      <c r="K1369" s="24"/>
      <c r="M1369" s="24"/>
      <c r="N1369" s="24"/>
      <c r="P1369" s="24"/>
    </row>
    <row r="1370" spans="2:16" x14ac:dyDescent="0.25">
      <c r="B1370" s="24"/>
      <c r="E1370" s="24"/>
      <c r="G1370" s="24"/>
      <c r="H1370" s="24"/>
      <c r="J1370" s="24"/>
      <c r="K1370" s="24"/>
      <c r="M1370" s="24"/>
      <c r="N1370" s="24"/>
      <c r="P1370" s="24"/>
    </row>
    <row r="1371" spans="2:16" x14ac:dyDescent="0.25">
      <c r="B1371" s="24"/>
      <c r="E1371" s="24"/>
      <c r="G1371" s="24"/>
      <c r="H1371" s="24"/>
      <c r="J1371" s="24"/>
      <c r="K1371" s="24"/>
      <c r="M1371" s="24"/>
      <c r="N1371" s="24"/>
      <c r="P1371" s="24"/>
    </row>
    <row r="1372" spans="2:16" x14ac:dyDescent="0.25">
      <c r="B1372" s="24"/>
      <c r="E1372" s="24"/>
      <c r="G1372" s="24"/>
      <c r="H1372" s="24"/>
      <c r="J1372" s="24"/>
      <c r="K1372" s="24"/>
      <c r="M1372" s="24"/>
      <c r="N1372" s="24"/>
      <c r="P1372" s="24"/>
    </row>
    <row r="1373" spans="2:16" x14ac:dyDescent="0.25">
      <c r="B1373" s="24"/>
      <c r="E1373" s="24"/>
      <c r="G1373" s="24"/>
      <c r="H1373" s="24"/>
      <c r="J1373" s="24"/>
      <c r="K1373" s="24"/>
      <c r="M1373" s="24"/>
      <c r="N1373" s="24"/>
      <c r="P1373" s="24"/>
    </row>
    <row r="1374" spans="2:16" x14ac:dyDescent="0.25">
      <c r="B1374" s="24"/>
      <c r="E1374" s="24"/>
      <c r="G1374" s="24"/>
      <c r="H1374" s="24"/>
      <c r="J1374" s="24"/>
      <c r="K1374" s="24"/>
      <c r="M1374" s="24"/>
      <c r="N1374" s="24"/>
      <c r="P1374" s="24"/>
    </row>
    <row r="1375" spans="2:16" x14ac:dyDescent="0.25">
      <c r="B1375" s="24"/>
      <c r="E1375" s="24"/>
      <c r="G1375" s="24"/>
      <c r="H1375" s="24"/>
      <c r="J1375" s="24"/>
      <c r="K1375" s="24"/>
      <c r="M1375" s="24"/>
      <c r="N1375" s="24"/>
      <c r="P1375" s="24"/>
    </row>
    <row r="1376" spans="2:16" x14ac:dyDescent="0.25">
      <c r="B1376" s="24"/>
      <c r="E1376" s="24"/>
      <c r="G1376" s="24"/>
      <c r="H1376" s="24"/>
      <c r="J1376" s="24"/>
      <c r="K1376" s="24"/>
      <c r="M1376" s="24"/>
      <c r="N1376" s="24"/>
      <c r="P1376" s="24"/>
    </row>
    <row r="1377" spans="2:16" x14ac:dyDescent="0.25">
      <c r="B1377" s="24"/>
      <c r="E1377" s="24"/>
      <c r="G1377" s="24"/>
      <c r="H1377" s="24"/>
      <c r="J1377" s="24"/>
      <c r="K1377" s="24"/>
      <c r="M1377" s="24"/>
      <c r="N1377" s="24"/>
      <c r="P1377" s="24"/>
    </row>
    <row r="1378" spans="2:16" x14ac:dyDescent="0.25">
      <c r="B1378" s="24"/>
      <c r="E1378" s="24"/>
      <c r="G1378" s="24"/>
      <c r="H1378" s="24"/>
      <c r="J1378" s="24"/>
      <c r="K1378" s="24"/>
      <c r="M1378" s="24"/>
      <c r="N1378" s="24"/>
      <c r="P1378" s="24"/>
    </row>
    <row r="1379" spans="2:16" x14ac:dyDescent="0.25">
      <c r="B1379" s="24"/>
      <c r="E1379" s="24"/>
      <c r="G1379" s="24"/>
      <c r="H1379" s="24"/>
      <c r="J1379" s="24"/>
      <c r="K1379" s="24"/>
      <c r="M1379" s="24"/>
      <c r="N1379" s="24"/>
      <c r="P1379" s="24"/>
    </row>
    <row r="1380" spans="2:16" x14ac:dyDescent="0.25">
      <c r="B1380" s="24"/>
      <c r="E1380" s="24"/>
      <c r="G1380" s="24"/>
      <c r="H1380" s="24"/>
      <c r="J1380" s="24"/>
      <c r="K1380" s="24"/>
      <c r="M1380" s="24"/>
      <c r="N1380" s="24"/>
      <c r="P1380" s="24"/>
    </row>
    <row r="1381" spans="2:16" x14ac:dyDescent="0.25">
      <c r="B1381" s="24"/>
      <c r="E1381" s="24"/>
      <c r="G1381" s="24"/>
      <c r="H1381" s="24"/>
      <c r="J1381" s="24"/>
      <c r="K1381" s="24"/>
      <c r="M1381" s="24"/>
      <c r="N1381" s="24"/>
      <c r="P1381" s="24"/>
    </row>
    <row r="1382" spans="2:16" x14ac:dyDescent="0.25">
      <c r="B1382" s="24"/>
      <c r="E1382" s="24"/>
      <c r="G1382" s="24"/>
      <c r="H1382" s="24"/>
      <c r="J1382" s="24"/>
      <c r="K1382" s="24"/>
      <c r="M1382" s="24"/>
      <c r="N1382" s="24"/>
      <c r="P1382" s="24"/>
    </row>
    <row r="1383" spans="2:16" x14ac:dyDescent="0.25">
      <c r="B1383" s="24"/>
      <c r="E1383" s="24"/>
      <c r="G1383" s="24"/>
      <c r="H1383" s="24"/>
      <c r="J1383" s="24"/>
      <c r="K1383" s="24"/>
      <c r="M1383" s="24"/>
      <c r="N1383" s="24"/>
      <c r="P1383" s="24"/>
    </row>
    <row r="1384" spans="2:16" x14ac:dyDescent="0.25">
      <c r="B1384" s="24"/>
      <c r="E1384" s="24"/>
      <c r="G1384" s="24"/>
      <c r="H1384" s="24"/>
      <c r="J1384" s="24"/>
      <c r="K1384" s="24"/>
      <c r="M1384" s="24"/>
      <c r="N1384" s="24"/>
      <c r="P1384" s="24"/>
    </row>
    <row r="1385" spans="2:16" x14ac:dyDescent="0.25">
      <c r="B1385" s="24"/>
      <c r="E1385" s="24"/>
      <c r="G1385" s="24"/>
      <c r="H1385" s="24"/>
      <c r="J1385" s="24"/>
      <c r="K1385" s="24"/>
      <c r="M1385" s="24"/>
      <c r="N1385" s="24"/>
      <c r="P1385" s="24"/>
    </row>
    <row r="1386" spans="2:16" x14ac:dyDescent="0.25">
      <c r="B1386" s="24"/>
      <c r="E1386" s="24"/>
      <c r="G1386" s="24"/>
      <c r="H1386" s="24"/>
      <c r="J1386" s="24"/>
      <c r="K1386" s="24"/>
      <c r="M1386" s="24"/>
      <c r="N1386" s="24"/>
      <c r="P1386" s="24"/>
    </row>
    <row r="1387" spans="2:16" x14ac:dyDescent="0.25">
      <c r="B1387" s="24"/>
      <c r="E1387" s="24"/>
      <c r="G1387" s="24"/>
      <c r="H1387" s="24"/>
      <c r="J1387" s="24"/>
      <c r="K1387" s="24"/>
      <c r="M1387" s="24"/>
      <c r="N1387" s="24"/>
      <c r="P1387" s="24"/>
    </row>
    <row r="1388" spans="2:16" x14ac:dyDescent="0.25">
      <c r="B1388" s="24"/>
      <c r="E1388" s="24"/>
      <c r="G1388" s="24"/>
      <c r="H1388" s="24"/>
      <c r="J1388" s="24"/>
      <c r="K1388" s="24"/>
      <c r="M1388" s="24"/>
      <c r="N1388" s="24"/>
      <c r="P1388" s="24"/>
    </row>
    <row r="1389" spans="2:16" x14ac:dyDescent="0.25">
      <c r="B1389" s="24"/>
      <c r="E1389" s="24"/>
      <c r="G1389" s="24"/>
      <c r="H1389" s="24"/>
      <c r="J1389" s="24"/>
      <c r="K1389" s="24"/>
      <c r="M1389" s="24"/>
      <c r="N1389" s="24"/>
      <c r="P1389" s="24"/>
    </row>
    <row r="1390" spans="2:16" x14ac:dyDescent="0.25">
      <c r="B1390" s="24"/>
      <c r="E1390" s="24"/>
      <c r="G1390" s="24"/>
      <c r="H1390" s="24"/>
      <c r="J1390" s="24"/>
      <c r="K1390" s="24"/>
      <c r="M1390" s="24"/>
      <c r="N1390" s="24"/>
      <c r="P1390" s="24"/>
    </row>
    <row r="1391" spans="2:16" x14ac:dyDescent="0.25">
      <c r="B1391" s="24"/>
      <c r="E1391" s="24"/>
      <c r="G1391" s="24"/>
      <c r="H1391" s="24"/>
      <c r="J1391" s="24"/>
      <c r="K1391" s="24"/>
      <c r="M1391" s="24"/>
      <c r="N1391" s="24"/>
      <c r="P1391" s="24"/>
    </row>
    <row r="1392" spans="2:16" x14ac:dyDescent="0.25">
      <c r="B1392" s="24"/>
      <c r="E1392" s="24"/>
      <c r="G1392" s="24"/>
      <c r="H1392" s="24"/>
      <c r="J1392" s="24"/>
      <c r="K1392" s="24"/>
      <c r="M1392" s="24"/>
      <c r="N1392" s="24"/>
      <c r="P1392" s="24"/>
    </row>
    <row r="1393" spans="2:16" x14ac:dyDescent="0.25">
      <c r="B1393" s="24"/>
      <c r="E1393" s="24"/>
      <c r="G1393" s="24"/>
      <c r="H1393" s="24"/>
      <c r="J1393" s="24"/>
      <c r="K1393" s="24"/>
      <c r="M1393" s="24"/>
      <c r="N1393" s="24"/>
      <c r="P1393" s="24"/>
    </row>
    <row r="1394" spans="2:16" x14ac:dyDescent="0.25">
      <c r="B1394" s="24"/>
      <c r="E1394" s="24"/>
      <c r="G1394" s="24"/>
      <c r="H1394" s="24"/>
      <c r="J1394" s="24"/>
      <c r="K1394" s="24"/>
      <c r="M1394" s="24"/>
      <c r="N1394" s="24"/>
      <c r="P1394" s="24"/>
    </row>
    <row r="1395" spans="2:16" x14ac:dyDescent="0.25">
      <c r="B1395" s="24"/>
      <c r="E1395" s="24"/>
      <c r="G1395" s="24"/>
      <c r="H1395" s="24"/>
      <c r="J1395" s="24"/>
      <c r="K1395" s="24"/>
      <c r="M1395" s="24"/>
      <c r="N1395" s="24"/>
      <c r="P1395" s="24"/>
    </row>
    <row r="1396" spans="2:16" x14ac:dyDescent="0.25">
      <c r="B1396" s="24"/>
      <c r="E1396" s="24"/>
      <c r="G1396" s="24"/>
      <c r="H1396" s="24"/>
      <c r="J1396" s="24"/>
      <c r="K1396" s="24"/>
      <c r="M1396" s="24"/>
      <c r="N1396" s="24"/>
      <c r="P1396" s="24"/>
    </row>
    <row r="1397" spans="2:16" x14ac:dyDescent="0.25">
      <c r="B1397" s="24"/>
      <c r="E1397" s="24"/>
      <c r="G1397" s="24"/>
      <c r="H1397" s="24"/>
      <c r="J1397" s="24"/>
      <c r="K1397" s="24"/>
      <c r="M1397" s="24"/>
      <c r="N1397" s="24"/>
      <c r="P1397" s="24"/>
    </row>
    <row r="1398" spans="2:16" x14ac:dyDescent="0.25">
      <c r="B1398" s="24"/>
      <c r="E1398" s="24"/>
      <c r="G1398" s="24"/>
      <c r="H1398" s="24"/>
      <c r="J1398" s="24"/>
      <c r="K1398" s="24"/>
      <c r="M1398" s="24"/>
      <c r="N1398" s="24"/>
      <c r="P1398" s="24"/>
    </row>
    <row r="1399" spans="2:16" x14ac:dyDescent="0.25">
      <c r="B1399" s="24"/>
      <c r="E1399" s="24"/>
      <c r="G1399" s="24"/>
      <c r="H1399" s="24"/>
      <c r="J1399" s="24"/>
      <c r="K1399" s="24"/>
      <c r="M1399" s="24"/>
      <c r="N1399" s="24"/>
      <c r="P1399" s="24"/>
    </row>
    <row r="1400" spans="2:16" x14ac:dyDescent="0.25">
      <c r="B1400" s="24"/>
      <c r="E1400" s="24"/>
      <c r="G1400" s="24"/>
      <c r="H1400" s="24"/>
      <c r="J1400" s="24"/>
      <c r="K1400" s="24"/>
      <c r="M1400" s="24"/>
      <c r="N1400" s="24"/>
      <c r="P1400" s="24"/>
    </row>
    <row r="1401" spans="2:16" x14ac:dyDescent="0.25">
      <c r="B1401" s="24"/>
      <c r="E1401" s="24"/>
      <c r="G1401" s="24"/>
      <c r="H1401" s="24"/>
      <c r="J1401" s="24"/>
      <c r="K1401" s="24"/>
      <c r="M1401" s="24"/>
      <c r="N1401" s="24"/>
      <c r="P1401" s="24"/>
    </row>
    <row r="1402" spans="2:16" x14ac:dyDescent="0.25">
      <c r="B1402" s="24"/>
      <c r="E1402" s="24"/>
      <c r="G1402" s="24"/>
      <c r="H1402" s="24"/>
      <c r="J1402" s="24"/>
      <c r="K1402" s="24"/>
      <c r="M1402" s="24"/>
      <c r="N1402" s="24"/>
      <c r="P1402" s="24"/>
    </row>
    <row r="1403" spans="2:16" x14ac:dyDescent="0.25">
      <c r="B1403" s="24"/>
      <c r="E1403" s="24"/>
      <c r="G1403" s="24"/>
      <c r="H1403" s="24"/>
      <c r="J1403" s="24"/>
      <c r="K1403" s="24"/>
      <c r="M1403" s="24"/>
      <c r="N1403" s="24"/>
      <c r="P1403" s="24"/>
    </row>
    <row r="1404" spans="2:16" x14ac:dyDescent="0.25">
      <c r="B1404" s="24"/>
      <c r="E1404" s="24"/>
      <c r="G1404" s="24"/>
      <c r="H1404" s="24"/>
      <c r="J1404" s="24"/>
      <c r="K1404" s="24"/>
      <c r="M1404" s="24"/>
      <c r="N1404" s="24"/>
      <c r="P1404" s="24"/>
    </row>
    <row r="1405" spans="2:16" x14ac:dyDescent="0.25">
      <c r="B1405" s="24"/>
      <c r="E1405" s="24"/>
      <c r="G1405" s="24"/>
      <c r="H1405" s="24"/>
      <c r="J1405" s="24"/>
      <c r="K1405" s="24"/>
      <c r="M1405" s="24"/>
      <c r="N1405" s="24"/>
      <c r="P1405" s="24"/>
    </row>
    <row r="1406" spans="2:16" x14ac:dyDescent="0.25">
      <c r="B1406" s="24"/>
      <c r="E1406" s="24"/>
      <c r="G1406" s="24"/>
      <c r="H1406" s="24"/>
      <c r="J1406" s="24"/>
      <c r="K1406" s="24"/>
      <c r="M1406" s="24"/>
      <c r="N1406" s="24"/>
      <c r="P1406" s="24"/>
    </row>
    <row r="1407" spans="2:16" x14ac:dyDescent="0.25">
      <c r="B1407" s="24"/>
      <c r="E1407" s="24"/>
      <c r="G1407" s="24"/>
      <c r="H1407" s="24"/>
      <c r="J1407" s="24"/>
      <c r="K1407" s="24"/>
      <c r="M1407" s="24"/>
      <c r="N1407" s="24"/>
      <c r="P1407" s="24"/>
    </row>
    <row r="1408" spans="2:16" x14ac:dyDescent="0.25">
      <c r="B1408" s="24"/>
      <c r="E1408" s="24"/>
      <c r="G1408" s="24"/>
      <c r="H1408" s="24"/>
      <c r="J1408" s="24"/>
      <c r="K1408" s="24"/>
      <c r="M1408" s="24"/>
      <c r="N1408" s="24"/>
      <c r="P1408" s="24"/>
    </row>
    <row r="1409" spans="2:16" x14ac:dyDescent="0.25">
      <c r="B1409" s="24"/>
      <c r="E1409" s="24"/>
      <c r="G1409" s="24"/>
      <c r="H1409" s="24"/>
      <c r="J1409" s="24"/>
      <c r="K1409" s="24"/>
      <c r="M1409" s="24"/>
      <c r="N1409" s="24"/>
      <c r="P1409" s="24"/>
    </row>
    <row r="1410" spans="2:16" x14ac:dyDescent="0.25">
      <c r="B1410" s="24"/>
      <c r="E1410" s="24"/>
      <c r="G1410" s="24"/>
      <c r="H1410" s="24"/>
      <c r="J1410" s="24"/>
      <c r="K1410" s="24"/>
      <c r="M1410" s="24"/>
      <c r="N1410" s="24"/>
      <c r="P1410" s="24"/>
    </row>
    <row r="1411" spans="2:16" x14ac:dyDescent="0.25">
      <c r="B1411" s="24"/>
      <c r="E1411" s="24"/>
      <c r="G1411" s="24"/>
      <c r="H1411" s="24"/>
      <c r="J1411" s="24"/>
      <c r="K1411" s="24"/>
      <c r="M1411" s="24"/>
      <c r="N1411" s="24"/>
      <c r="P1411" s="24"/>
    </row>
    <row r="1412" spans="2:16" x14ac:dyDescent="0.25">
      <c r="B1412" s="24"/>
      <c r="E1412" s="24"/>
      <c r="G1412" s="24"/>
      <c r="H1412" s="24"/>
      <c r="J1412" s="24"/>
      <c r="K1412" s="24"/>
      <c r="M1412" s="24"/>
      <c r="N1412" s="24"/>
      <c r="P1412" s="24"/>
    </row>
    <row r="1413" spans="2:16" x14ac:dyDescent="0.25">
      <c r="B1413" s="24"/>
      <c r="E1413" s="24"/>
      <c r="G1413" s="24"/>
      <c r="H1413" s="24"/>
      <c r="J1413" s="24"/>
      <c r="K1413" s="24"/>
      <c r="M1413" s="24"/>
      <c r="N1413" s="24"/>
      <c r="P1413" s="24"/>
    </row>
    <row r="1414" spans="2:16" x14ac:dyDescent="0.25">
      <c r="B1414" s="24"/>
      <c r="E1414" s="24"/>
      <c r="G1414" s="24"/>
      <c r="H1414" s="24"/>
      <c r="J1414" s="24"/>
      <c r="K1414" s="24"/>
      <c r="M1414" s="24"/>
      <c r="N1414" s="24"/>
      <c r="P1414" s="24"/>
    </row>
    <row r="1415" spans="2:16" x14ac:dyDescent="0.25">
      <c r="B1415" s="24"/>
      <c r="E1415" s="24"/>
      <c r="G1415" s="24"/>
      <c r="H1415" s="24"/>
      <c r="J1415" s="24"/>
      <c r="K1415" s="24"/>
      <c r="M1415" s="24"/>
      <c r="N1415" s="24"/>
      <c r="P1415" s="24"/>
    </row>
    <row r="1416" spans="2:16" x14ac:dyDescent="0.25">
      <c r="B1416" s="24"/>
      <c r="E1416" s="24"/>
      <c r="G1416" s="24"/>
      <c r="H1416" s="24"/>
      <c r="J1416" s="24"/>
      <c r="K1416" s="24"/>
      <c r="M1416" s="24"/>
      <c r="N1416" s="24"/>
      <c r="P1416" s="24"/>
    </row>
    <row r="1417" spans="2:16" x14ac:dyDescent="0.25">
      <c r="B1417" s="24"/>
      <c r="E1417" s="24"/>
      <c r="G1417" s="24"/>
      <c r="H1417" s="24"/>
      <c r="J1417" s="24"/>
      <c r="K1417" s="24"/>
      <c r="M1417" s="24"/>
      <c r="N1417" s="24"/>
      <c r="P1417" s="24"/>
    </row>
    <row r="1418" spans="2:16" x14ac:dyDescent="0.25">
      <c r="B1418" s="24"/>
      <c r="E1418" s="24"/>
      <c r="G1418" s="24"/>
      <c r="H1418" s="24"/>
      <c r="J1418" s="24"/>
      <c r="K1418" s="24"/>
      <c r="M1418" s="24"/>
      <c r="N1418" s="24"/>
      <c r="P1418" s="24"/>
    </row>
    <row r="1419" spans="2:16" x14ac:dyDescent="0.25">
      <c r="B1419" s="24"/>
      <c r="E1419" s="24"/>
      <c r="G1419" s="24"/>
      <c r="H1419" s="24"/>
      <c r="J1419" s="24"/>
      <c r="K1419" s="24"/>
      <c r="M1419" s="24"/>
      <c r="N1419" s="24"/>
      <c r="P1419" s="24"/>
    </row>
    <row r="1420" spans="2:16" x14ac:dyDescent="0.25">
      <c r="B1420" s="24"/>
      <c r="E1420" s="24"/>
      <c r="G1420" s="24"/>
      <c r="H1420" s="24"/>
      <c r="J1420" s="24"/>
      <c r="K1420" s="24"/>
      <c r="M1420" s="24"/>
      <c r="N1420" s="24"/>
      <c r="P1420" s="24"/>
    </row>
    <row r="1421" spans="2:16" x14ac:dyDescent="0.25">
      <c r="B1421" s="24"/>
      <c r="E1421" s="24"/>
      <c r="G1421" s="24"/>
      <c r="H1421" s="24"/>
      <c r="J1421" s="24"/>
      <c r="K1421" s="24"/>
      <c r="M1421" s="24"/>
      <c r="N1421" s="24"/>
      <c r="P1421" s="24"/>
    </row>
    <row r="1422" spans="2:16" x14ac:dyDescent="0.25">
      <c r="B1422" s="24"/>
      <c r="E1422" s="24"/>
      <c r="G1422" s="24"/>
      <c r="H1422" s="24"/>
      <c r="J1422" s="24"/>
      <c r="K1422" s="24"/>
      <c r="M1422" s="24"/>
      <c r="N1422" s="24"/>
      <c r="P1422" s="24"/>
    </row>
    <row r="1423" spans="2:16" x14ac:dyDescent="0.25">
      <c r="B1423" s="24"/>
      <c r="E1423" s="24"/>
      <c r="G1423" s="24"/>
      <c r="H1423" s="24"/>
      <c r="J1423" s="24"/>
      <c r="K1423" s="24"/>
      <c r="M1423" s="24"/>
      <c r="N1423" s="24"/>
      <c r="P1423" s="24"/>
    </row>
    <row r="1424" spans="2:16" x14ac:dyDescent="0.25">
      <c r="B1424" s="24"/>
      <c r="E1424" s="24"/>
      <c r="G1424" s="24"/>
      <c r="H1424" s="24"/>
      <c r="J1424" s="24"/>
      <c r="K1424" s="24"/>
      <c r="M1424" s="24"/>
      <c r="N1424" s="24"/>
      <c r="P1424" s="24"/>
    </row>
    <row r="1425" spans="2:16" x14ac:dyDescent="0.25">
      <c r="B1425" s="24"/>
      <c r="E1425" s="24"/>
      <c r="G1425" s="24"/>
      <c r="H1425" s="24"/>
      <c r="J1425" s="24"/>
      <c r="K1425" s="24"/>
      <c r="M1425" s="24"/>
      <c r="N1425" s="24"/>
      <c r="P1425" s="24"/>
    </row>
    <row r="1426" spans="2:16" x14ac:dyDescent="0.25">
      <c r="B1426" s="24"/>
      <c r="E1426" s="24"/>
      <c r="G1426" s="24"/>
      <c r="H1426" s="24"/>
      <c r="J1426" s="24"/>
      <c r="K1426" s="24"/>
      <c r="M1426" s="24"/>
      <c r="N1426" s="24"/>
      <c r="P1426" s="24"/>
    </row>
    <row r="1427" spans="2:16" x14ac:dyDescent="0.25">
      <c r="B1427" s="24"/>
      <c r="E1427" s="24"/>
      <c r="G1427" s="24"/>
      <c r="H1427" s="24"/>
      <c r="J1427" s="24"/>
      <c r="K1427" s="24"/>
      <c r="M1427" s="24"/>
      <c r="N1427" s="24"/>
      <c r="P1427" s="24"/>
    </row>
    <row r="1428" spans="2:16" x14ac:dyDescent="0.25">
      <c r="B1428" s="24"/>
      <c r="E1428" s="24"/>
      <c r="G1428" s="24"/>
      <c r="H1428" s="24"/>
      <c r="J1428" s="24"/>
      <c r="K1428" s="24"/>
      <c r="M1428" s="24"/>
      <c r="N1428" s="24"/>
      <c r="P1428" s="24"/>
    </row>
    <row r="1429" spans="2:16" x14ac:dyDescent="0.25">
      <c r="B1429" s="24"/>
      <c r="E1429" s="24"/>
      <c r="G1429" s="24"/>
      <c r="H1429" s="24"/>
      <c r="J1429" s="24"/>
      <c r="K1429" s="24"/>
      <c r="M1429" s="24"/>
      <c r="N1429" s="24"/>
      <c r="P1429" s="24"/>
    </row>
    <row r="1430" spans="2:16" x14ac:dyDescent="0.25">
      <c r="B1430" s="24"/>
      <c r="E1430" s="24"/>
      <c r="G1430" s="24"/>
      <c r="H1430" s="24"/>
      <c r="J1430" s="24"/>
      <c r="K1430" s="24"/>
      <c r="M1430" s="24"/>
      <c r="N1430" s="24"/>
      <c r="P1430" s="24"/>
    </row>
    <row r="1431" spans="2:16" x14ac:dyDescent="0.25">
      <c r="B1431" s="24"/>
      <c r="E1431" s="24"/>
      <c r="G1431" s="24"/>
      <c r="H1431" s="24"/>
      <c r="J1431" s="24"/>
      <c r="K1431" s="24"/>
      <c r="M1431" s="24"/>
      <c r="N1431" s="24"/>
      <c r="P1431" s="24"/>
    </row>
    <row r="1432" spans="2:16" x14ac:dyDescent="0.25">
      <c r="B1432" s="24"/>
      <c r="E1432" s="24"/>
      <c r="G1432" s="24"/>
      <c r="H1432" s="24"/>
      <c r="J1432" s="24"/>
      <c r="K1432" s="24"/>
      <c r="M1432" s="24"/>
      <c r="N1432" s="24"/>
      <c r="P1432" s="24"/>
    </row>
    <row r="1433" spans="2:16" x14ac:dyDescent="0.25">
      <c r="B1433" s="24"/>
      <c r="E1433" s="24"/>
      <c r="G1433" s="24"/>
      <c r="H1433" s="24"/>
      <c r="J1433" s="24"/>
      <c r="K1433" s="24"/>
      <c r="M1433" s="24"/>
      <c r="N1433" s="24"/>
      <c r="P1433" s="24"/>
    </row>
    <row r="1434" spans="2:16" x14ac:dyDescent="0.25">
      <c r="B1434" s="24"/>
      <c r="E1434" s="24"/>
      <c r="G1434" s="24"/>
      <c r="H1434" s="24"/>
      <c r="J1434" s="24"/>
      <c r="K1434" s="24"/>
      <c r="M1434" s="24"/>
      <c r="N1434" s="24"/>
      <c r="P1434" s="24"/>
    </row>
    <row r="1435" spans="2:16" x14ac:dyDescent="0.25">
      <c r="B1435" s="24"/>
      <c r="E1435" s="24"/>
      <c r="G1435" s="24"/>
      <c r="H1435" s="24"/>
      <c r="J1435" s="24"/>
      <c r="K1435" s="24"/>
      <c r="M1435" s="24"/>
      <c r="N1435" s="24"/>
      <c r="P1435" s="24"/>
    </row>
    <row r="1436" spans="2:16" x14ac:dyDescent="0.25">
      <c r="B1436" s="24"/>
      <c r="E1436" s="24"/>
      <c r="G1436" s="24"/>
      <c r="H1436" s="24"/>
      <c r="J1436" s="24"/>
      <c r="K1436" s="24"/>
      <c r="M1436" s="24"/>
      <c r="N1436" s="24"/>
      <c r="P1436" s="24"/>
    </row>
    <row r="1437" spans="2:16" x14ac:dyDescent="0.25">
      <c r="B1437" s="24"/>
      <c r="E1437" s="24"/>
      <c r="G1437" s="24"/>
      <c r="H1437" s="24"/>
      <c r="J1437" s="24"/>
      <c r="K1437" s="24"/>
      <c r="M1437" s="24"/>
      <c r="N1437" s="24"/>
      <c r="P1437" s="24"/>
    </row>
    <row r="1438" spans="2:16" x14ac:dyDescent="0.25">
      <c r="B1438" s="24"/>
      <c r="E1438" s="24"/>
      <c r="G1438" s="24"/>
      <c r="H1438" s="24"/>
      <c r="J1438" s="24"/>
      <c r="K1438" s="24"/>
      <c r="M1438" s="24"/>
      <c r="N1438" s="24"/>
      <c r="P1438" s="24"/>
    </row>
    <row r="1439" spans="2:16" x14ac:dyDescent="0.25">
      <c r="B1439" s="24"/>
      <c r="E1439" s="24"/>
      <c r="G1439" s="24"/>
      <c r="H1439" s="24"/>
      <c r="J1439" s="24"/>
      <c r="K1439" s="24"/>
      <c r="M1439" s="24"/>
      <c r="N1439" s="24"/>
      <c r="P1439" s="24"/>
    </row>
    <row r="1440" spans="2:16" x14ac:dyDescent="0.25">
      <c r="B1440" s="24"/>
      <c r="E1440" s="24"/>
      <c r="G1440" s="24"/>
      <c r="H1440" s="24"/>
      <c r="J1440" s="24"/>
      <c r="K1440" s="24"/>
      <c r="M1440" s="24"/>
      <c r="N1440" s="24"/>
      <c r="P1440" s="24"/>
    </row>
    <row r="1441" spans="2:16" x14ac:dyDescent="0.25">
      <c r="B1441" s="24"/>
      <c r="E1441" s="24"/>
      <c r="G1441" s="24"/>
      <c r="H1441" s="24"/>
      <c r="J1441" s="24"/>
      <c r="K1441" s="24"/>
      <c r="M1441" s="24"/>
      <c r="N1441" s="24"/>
      <c r="P1441" s="24"/>
    </row>
    <row r="1442" spans="2:16" x14ac:dyDescent="0.25">
      <c r="B1442" s="24"/>
      <c r="E1442" s="24"/>
      <c r="G1442" s="24"/>
      <c r="H1442" s="24"/>
      <c r="J1442" s="24"/>
      <c r="K1442" s="24"/>
      <c r="M1442" s="24"/>
      <c r="N1442" s="24"/>
      <c r="P1442" s="24"/>
    </row>
    <row r="1443" spans="2:16" x14ac:dyDescent="0.25">
      <c r="B1443" s="24"/>
      <c r="E1443" s="24"/>
      <c r="G1443" s="24"/>
      <c r="H1443" s="24"/>
      <c r="J1443" s="24"/>
      <c r="K1443" s="24"/>
      <c r="M1443" s="24"/>
      <c r="N1443" s="24"/>
      <c r="P1443" s="24"/>
    </row>
    <row r="1444" spans="2:16" x14ac:dyDescent="0.25">
      <c r="B1444" s="24"/>
      <c r="E1444" s="24"/>
      <c r="G1444" s="24"/>
      <c r="H1444" s="24"/>
      <c r="J1444" s="24"/>
      <c r="K1444" s="24"/>
      <c r="M1444" s="24"/>
      <c r="N1444" s="24"/>
      <c r="P1444" s="24"/>
    </row>
    <row r="1445" spans="2:16" x14ac:dyDescent="0.25">
      <c r="B1445" s="24"/>
      <c r="E1445" s="24"/>
      <c r="G1445" s="24"/>
      <c r="H1445" s="24"/>
      <c r="J1445" s="24"/>
      <c r="K1445" s="24"/>
      <c r="M1445" s="24"/>
      <c r="N1445" s="24"/>
      <c r="P1445" s="24"/>
    </row>
    <row r="1446" spans="2:16" x14ac:dyDescent="0.25">
      <c r="B1446" s="24"/>
      <c r="E1446" s="24"/>
      <c r="G1446" s="24"/>
      <c r="H1446" s="24"/>
      <c r="J1446" s="24"/>
      <c r="K1446" s="24"/>
      <c r="M1446" s="24"/>
      <c r="N1446" s="24"/>
      <c r="P1446" s="24"/>
    </row>
    <row r="1447" spans="2:16" x14ac:dyDescent="0.25">
      <c r="B1447" s="24"/>
      <c r="E1447" s="24"/>
      <c r="G1447" s="24"/>
      <c r="H1447" s="24"/>
      <c r="J1447" s="24"/>
      <c r="K1447" s="24"/>
      <c r="M1447" s="24"/>
      <c r="N1447" s="24"/>
      <c r="P1447" s="24"/>
    </row>
    <row r="1448" spans="2:16" x14ac:dyDescent="0.25">
      <c r="B1448" s="24"/>
      <c r="E1448" s="24"/>
      <c r="G1448" s="24"/>
      <c r="H1448" s="24"/>
      <c r="J1448" s="24"/>
      <c r="K1448" s="24"/>
      <c r="M1448" s="24"/>
      <c r="N1448" s="24"/>
      <c r="P1448" s="24"/>
    </row>
    <row r="1449" spans="2:16" x14ac:dyDescent="0.25">
      <c r="B1449" s="24"/>
      <c r="E1449" s="24"/>
      <c r="G1449" s="24"/>
      <c r="H1449" s="24"/>
      <c r="J1449" s="24"/>
      <c r="K1449" s="24"/>
      <c r="M1449" s="24"/>
      <c r="N1449" s="24"/>
      <c r="P1449" s="24"/>
    </row>
    <row r="1450" spans="2:16" x14ac:dyDescent="0.25">
      <c r="B1450" s="24"/>
      <c r="E1450" s="24"/>
      <c r="G1450" s="24"/>
      <c r="H1450" s="24"/>
      <c r="J1450" s="24"/>
      <c r="K1450" s="24"/>
      <c r="M1450" s="24"/>
      <c r="N1450" s="24"/>
      <c r="P1450" s="24"/>
    </row>
    <row r="1451" spans="2:16" x14ac:dyDescent="0.25">
      <c r="B1451" s="24"/>
      <c r="E1451" s="24"/>
      <c r="G1451" s="24"/>
      <c r="H1451" s="24"/>
      <c r="J1451" s="24"/>
      <c r="K1451" s="24"/>
      <c r="M1451" s="24"/>
      <c r="N1451" s="24"/>
      <c r="P1451" s="24"/>
    </row>
    <row r="1452" spans="2:16" x14ac:dyDescent="0.25">
      <c r="B1452" s="24"/>
      <c r="E1452" s="24"/>
      <c r="G1452" s="24"/>
      <c r="H1452" s="24"/>
      <c r="J1452" s="24"/>
      <c r="K1452" s="24"/>
      <c r="M1452" s="24"/>
      <c r="N1452" s="24"/>
      <c r="P1452" s="24"/>
    </row>
    <row r="1453" spans="2:16" x14ac:dyDescent="0.25">
      <c r="B1453" s="24"/>
      <c r="E1453" s="24"/>
      <c r="G1453" s="24"/>
      <c r="H1453" s="24"/>
      <c r="J1453" s="24"/>
      <c r="K1453" s="24"/>
      <c r="M1453" s="24"/>
      <c r="N1453" s="24"/>
      <c r="P1453" s="24"/>
    </row>
    <row r="1454" spans="2:16" x14ac:dyDescent="0.25">
      <c r="B1454" s="24"/>
      <c r="E1454" s="24"/>
      <c r="G1454" s="24"/>
      <c r="H1454" s="24"/>
      <c r="J1454" s="24"/>
      <c r="K1454" s="24"/>
      <c r="M1454" s="24"/>
      <c r="N1454" s="24"/>
      <c r="P1454" s="24"/>
    </row>
    <row r="1455" spans="2:16" x14ac:dyDescent="0.25">
      <c r="B1455" s="24"/>
      <c r="E1455" s="24"/>
      <c r="G1455" s="24"/>
      <c r="H1455" s="24"/>
      <c r="J1455" s="24"/>
      <c r="K1455" s="24"/>
      <c r="M1455" s="24"/>
      <c r="N1455" s="24"/>
      <c r="P1455" s="24"/>
    </row>
    <row r="1456" spans="2:16" x14ac:dyDescent="0.25">
      <c r="B1456" s="24"/>
      <c r="E1456" s="24"/>
      <c r="G1456" s="24"/>
      <c r="H1456" s="24"/>
      <c r="J1456" s="24"/>
      <c r="K1456" s="24"/>
      <c r="M1456" s="24"/>
      <c r="N1456" s="24"/>
      <c r="P1456" s="24"/>
    </row>
    <row r="1457" spans="2:16" x14ac:dyDescent="0.25">
      <c r="B1457" s="24"/>
      <c r="E1457" s="24"/>
      <c r="G1457" s="24"/>
      <c r="H1457" s="24"/>
      <c r="J1457" s="24"/>
      <c r="K1457" s="24"/>
      <c r="M1457" s="24"/>
      <c r="N1457" s="24"/>
      <c r="P1457" s="24"/>
    </row>
    <row r="1458" spans="2:16" x14ac:dyDescent="0.25">
      <c r="B1458" s="24"/>
      <c r="E1458" s="24"/>
      <c r="G1458" s="24"/>
      <c r="H1458" s="24"/>
      <c r="J1458" s="24"/>
      <c r="K1458" s="24"/>
      <c r="M1458" s="24"/>
      <c r="N1458" s="24"/>
      <c r="P1458" s="24"/>
    </row>
    <row r="1459" spans="2:16" x14ac:dyDescent="0.25">
      <c r="B1459" s="24"/>
      <c r="E1459" s="24"/>
      <c r="G1459" s="24"/>
      <c r="H1459" s="24"/>
      <c r="J1459" s="24"/>
      <c r="K1459" s="24"/>
      <c r="M1459" s="24"/>
      <c r="N1459" s="24"/>
      <c r="P1459" s="24"/>
    </row>
    <row r="1460" spans="2:16" x14ac:dyDescent="0.25">
      <c r="B1460" s="24"/>
      <c r="E1460" s="24"/>
      <c r="G1460" s="24"/>
      <c r="H1460" s="24"/>
      <c r="J1460" s="24"/>
      <c r="K1460" s="24"/>
      <c r="M1460" s="24"/>
      <c r="N1460" s="24"/>
      <c r="P1460" s="24"/>
    </row>
    <row r="1461" spans="2:16" x14ac:dyDescent="0.25">
      <c r="B1461" s="24"/>
      <c r="E1461" s="24"/>
      <c r="G1461" s="24"/>
      <c r="H1461" s="24"/>
      <c r="J1461" s="24"/>
      <c r="K1461" s="24"/>
      <c r="M1461" s="24"/>
      <c r="N1461" s="24"/>
      <c r="P1461" s="24"/>
    </row>
    <row r="1462" spans="2:16" x14ac:dyDescent="0.25">
      <c r="B1462" s="24"/>
      <c r="E1462" s="24"/>
      <c r="G1462" s="24"/>
      <c r="H1462" s="24"/>
      <c r="J1462" s="24"/>
      <c r="K1462" s="24"/>
      <c r="M1462" s="24"/>
      <c r="N1462" s="24"/>
      <c r="P1462" s="24"/>
    </row>
    <row r="1463" spans="2:16" x14ac:dyDescent="0.25">
      <c r="B1463" s="24"/>
      <c r="E1463" s="24"/>
      <c r="G1463" s="24"/>
      <c r="H1463" s="24"/>
      <c r="J1463" s="24"/>
      <c r="K1463" s="24"/>
      <c r="M1463" s="24"/>
      <c r="N1463" s="24"/>
      <c r="P1463" s="24"/>
    </row>
    <row r="1464" spans="2:16" x14ac:dyDescent="0.25">
      <c r="B1464" s="24"/>
      <c r="E1464" s="24"/>
      <c r="G1464" s="24"/>
      <c r="H1464" s="24"/>
      <c r="J1464" s="24"/>
      <c r="K1464" s="24"/>
      <c r="M1464" s="24"/>
      <c r="N1464" s="24"/>
      <c r="P1464" s="24"/>
    </row>
    <row r="1465" spans="2:16" x14ac:dyDescent="0.25">
      <c r="B1465" s="24"/>
      <c r="E1465" s="24"/>
      <c r="G1465" s="24"/>
      <c r="H1465" s="24"/>
      <c r="J1465" s="24"/>
      <c r="K1465" s="24"/>
      <c r="M1465" s="24"/>
      <c r="N1465" s="24"/>
      <c r="P1465" s="24"/>
    </row>
    <row r="1466" spans="2:16" x14ac:dyDescent="0.25">
      <c r="B1466" s="24"/>
      <c r="E1466" s="24"/>
      <c r="G1466" s="24"/>
      <c r="H1466" s="24"/>
      <c r="J1466" s="24"/>
      <c r="K1466" s="24"/>
      <c r="M1466" s="24"/>
      <c r="N1466" s="24"/>
      <c r="P1466" s="24"/>
    </row>
    <row r="1467" spans="2:16" x14ac:dyDescent="0.25">
      <c r="B1467" s="24"/>
      <c r="E1467" s="24"/>
      <c r="G1467" s="24"/>
      <c r="H1467" s="24"/>
      <c r="J1467" s="24"/>
      <c r="K1467" s="24"/>
      <c r="M1467" s="24"/>
      <c r="N1467" s="24"/>
      <c r="P1467" s="24"/>
    </row>
    <row r="1468" spans="2:16" x14ac:dyDescent="0.25">
      <c r="B1468" s="24"/>
      <c r="E1468" s="24"/>
      <c r="G1468" s="24"/>
      <c r="H1468" s="24"/>
      <c r="J1468" s="24"/>
      <c r="K1468" s="24"/>
      <c r="M1468" s="24"/>
      <c r="N1468" s="24"/>
      <c r="P1468" s="24"/>
    </row>
    <row r="1469" spans="2:16" x14ac:dyDescent="0.25">
      <c r="B1469" s="24"/>
      <c r="E1469" s="24"/>
      <c r="G1469" s="24"/>
      <c r="H1469" s="24"/>
      <c r="J1469" s="24"/>
      <c r="K1469" s="24"/>
      <c r="M1469" s="24"/>
      <c r="N1469" s="24"/>
      <c r="P1469" s="24"/>
    </row>
    <row r="1470" spans="2:16" x14ac:dyDescent="0.25">
      <c r="B1470" s="24"/>
      <c r="E1470" s="24"/>
      <c r="G1470" s="24"/>
      <c r="H1470" s="24"/>
      <c r="J1470" s="24"/>
      <c r="K1470" s="24"/>
      <c r="M1470" s="24"/>
      <c r="N1470" s="24"/>
      <c r="P1470" s="24"/>
    </row>
    <row r="1471" spans="2:16" x14ac:dyDescent="0.25">
      <c r="B1471" s="24"/>
      <c r="E1471" s="24"/>
      <c r="G1471" s="24"/>
      <c r="H1471" s="24"/>
      <c r="J1471" s="24"/>
      <c r="K1471" s="24"/>
      <c r="M1471" s="24"/>
      <c r="N1471" s="24"/>
      <c r="P1471" s="24"/>
    </row>
    <row r="1472" spans="2:16" x14ac:dyDescent="0.25">
      <c r="B1472" s="24"/>
      <c r="E1472" s="24"/>
      <c r="G1472" s="24"/>
      <c r="H1472" s="24"/>
      <c r="J1472" s="24"/>
      <c r="K1472" s="24"/>
      <c r="M1472" s="24"/>
      <c r="N1472" s="24"/>
      <c r="P1472" s="24"/>
    </row>
    <row r="1473" spans="2:16" x14ac:dyDescent="0.25">
      <c r="B1473" s="24"/>
      <c r="E1473" s="24"/>
      <c r="G1473" s="24"/>
      <c r="H1473" s="24"/>
      <c r="J1473" s="24"/>
      <c r="K1473" s="24"/>
      <c r="M1473" s="24"/>
      <c r="N1473" s="24"/>
      <c r="P1473" s="24"/>
    </row>
    <row r="1474" spans="2:16" x14ac:dyDescent="0.25">
      <c r="B1474" s="24"/>
      <c r="E1474" s="24"/>
      <c r="G1474" s="24"/>
      <c r="H1474" s="24"/>
      <c r="J1474" s="24"/>
      <c r="K1474" s="24"/>
      <c r="M1474" s="24"/>
      <c r="N1474" s="24"/>
      <c r="P1474" s="24"/>
    </row>
    <row r="1475" spans="2:16" x14ac:dyDescent="0.25">
      <c r="B1475" s="24"/>
      <c r="E1475" s="24"/>
      <c r="G1475" s="24"/>
      <c r="H1475" s="24"/>
      <c r="J1475" s="24"/>
      <c r="K1475" s="24"/>
      <c r="M1475" s="24"/>
      <c r="N1475" s="24"/>
      <c r="P1475" s="24"/>
    </row>
    <row r="1476" spans="2:16" x14ac:dyDescent="0.25">
      <c r="B1476" s="24"/>
      <c r="E1476" s="24"/>
      <c r="G1476" s="24"/>
      <c r="H1476" s="24"/>
      <c r="J1476" s="24"/>
      <c r="K1476" s="24"/>
      <c r="M1476" s="24"/>
      <c r="N1476" s="24"/>
      <c r="P1476" s="24"/>
    </row>
    <row r="1477" spans="2:16" x14ac:dyDescent="0.25">
      <c r="B1477" s="24"/>
      <c r="E1477" s="24"/>
      <c r="G1477" s="24"/>
      <c r="H1477" s="24"/>
      <c r="J1477" s="24"/>
      <c r="K1477" s="24"/>
      <c r="M1477" s="24"/>
      <c r="N1477" s="24"/>
      <c r="P1477" s="24"/>
    </row>
    <row r="1478" spans="2:16" x14ac:dyDescent="0.25">
      <c r="B1478" s="24"/>
      <c r="E1478" s="24"/>
      <c r="G1478" s="24"/>
      <c r="H1478" s="24"/>
      <c r="J1478" s="24"/>
      <c r="K1478" s="24"/>
      <c r="M1478" s="24"/>
      <c r="N1478" s="24"/>
      <c r="P1478" s="24"/>
    </row>
    <row r="1479" spans="2:16" x14ac:dyDescent="0.25">
      <c r="B1479" s="24"/>
      <c r="E1479" s="24"/>
      <c r="G1479" s="24"/>
      <c r="H1479" s="24"/>
      <c r="J1479" s="24"/>
      <c r="K1479" s="24"/>
      <c r="M1479" s="24"/>
      <c r="N1479" s="24"/>
      <c r="P1479" s="24"/>
    </row>
    <row r="1480" spans="2:16" x14ac:dyDescent="0.25">
      <c r="B1480" s="24"/>
      <c r="E1480" s="24"/>
      <c r="G1480" s="24"/>
      <c r="H1480" s="24"/>
      <c r="J1480" s="24"/>
      <c r="K1480" s="24"/>
      <c r="M1480" s="24"/>
      <c r="N1480" s="24"/>
      <c r="P1480" s="24"/>
    </row>
    <row r="1481" spans="2:16" x14ac:dyDescent="0.25">
      <c r="B1481" s="24"/>
      <c r="E1481" s="24"/>
      <c r="G1481" s="24"/>
      <c r="H1481" s="24"/>
      <c r="J1481" s="24"/>
      <c r="K1481" s="24"/>
      <c r="M1481" s="24"/>
      <c r="N1481" s="24"/>
      <c r="P1481" s="24"/>
    </row>
    <row r="1482" spans="2:16" x14ac:dyDescent="0.25">
      <c r="B1482" s="24"/>
      <c r="E1482" s="24"/>
      <c r="G1482" s="24"/>
      <c r="H1482" s="24"/>
      <c r="J1482" s="24"/>
      <c r="K1482" s="24"/>
      <c r="M1482" s="24"/>
      <c r="N1482" s="24"/>
      <c r="P1482" s="24"/>
    </row>
    <row r="1483" spans="2:16" x14ac:dyDescent="0.25">
      <c r="B1483" s="24"/>
      <c r="E1483" s="24"/>
      <c r="G1483" s="24"/>
      <c r="H1483" s="24"/>
      <c r="J1483" s="24"/>
      <c r="K1483" s="24"/>
      <c r="M1483" s="24"/>
      <c r="N1483" s="24"/>
      <c r="P1483" s="24"/>
    </row>
    <row r="1484" spans="2:16" x14ac:dyDescent="0.25">
      <c r="B1484" s="24"/>
      <c r="E1484" s="24"/>
      <c r="G1484" s="24"/>
      <c r="H1484" s="24"/>
      <c r="J1484" s="24"/>
      <c r="K1484" s="24"/>
      <c r="M1484" s="24"/>
      <c r="N1484" s="24"/>
      <c r="P1484" s="24"/>
    </row>
    <row r="1485" spans="2:16" x14ac:dyDescent="0.25">
      <c r="B1485" s="24"/>
      <c r="E1485" s="24"/>
      <c r="G1485" s="24"/>
      <c r="H1485" s="24"/>
      <c r="J1485" s="24"/>
      <c r="K1485" s="24"/>
      <c r="M1485" s="24"/>
      <c r="N1485" s="24"/>
      <c r="P1485" s="24"/>
    </row>
    <row r="1486" spans="2:16" x14ac:dyDescent="0.25">
      <c r="B1486" s="24"/>
      <c r="E1486" s="24"/>
      <c r="G1486" s="24"/>
      <c r="H1486" s="24"/>
      <c r="J1486" s="24"/>
      <c r="K1486" s="24"/>
      <c r="M1486" s="24"/>
      <c r="N1486" s="24"/>
      <c r="P1486" s="24"/>
    </row>
    <row r="1487" spans="2:16" x14ac:dyDescent="0.25">
      <c r="B1487" s="24"/>
      <c r="E1487" s="24"/>
      <c r="G1487" s="24"/>
      <c r="H1487" s="24"/>
      <c r="J1487" s="24"/>
      <c r="K1487" s="24"/>
      <c r="M1487" s="24"/>
      <c r="N1487" s="24"/>
      <c r="P1487" s="24"/>
    </row>
    <row r="1488" spans="2:16" x14ac:dyDescent="0.25">
      <c r="B1488" s="24"/>
      <c r="E1488" s="24"/>
      <c r="G1488" s="24"/>
      <c r="H1488" s="24"/>
      <c r="J1488" s="24"/>
      <c r="K1488" s="24"/>
      <c r="M1488" s="24"/>
      <c r="N1488" s="24"/>
      <c r="P1488" s="24"/>
    </row>
    <row r="1489" spans="2:16" x14ac:dyDescent="0.25">
      <c r="B1489" s="24"/>
      <c r="E1489" s="24"/>
      <c r="G1489" s="24"/>
      <c r="H1489" s="24"/>
      <c r="J1489" s="24"/>
      <c r="K1489" s="24"/>
      <c r="M1489" s="24"/>
      <c r="N1489" s="24"/>
      <c r="P1489" s="24"/>
    </row>
    <row r="1490" spans="2:16" x14ac:dyDescent="0.25">
      <c r="B1490" s="24"/>
      <c r="E1490" s="24"/>
      <c r="G1490" s="24"/>
      <c r="H1490" s="24"/>
      <c r="J1490" s="24"/>
      <c r="K1490" s="24"/>
      <c r="M1490" s="24"/>
      <c r="N1490" s="24"/>
      <c r="P1490" s="24"/>
    </row>
    <row r="1491" spans="2:16" x14ac:dyDescent="0.25">
      <c r="B1491" s="24"/>
      <c r="E1491" s="24"/>
      <c r="G1491" s="24"/>
      <c r="H1491" s="24"/>
      <c r="J1491" s="24"/>
      <c r="K1491" s="24"/>
      <c r="M1491" s="24"/>
      <c r="N1491" s="24"/>
      <c r="P1491" s="24"/>
    </row>
    <row r="1492" spans="2:16" x14ac:dyDescent="0.25">
      <c r="B1492" s="24"/>
      <c r="E1492" s="24"/>
      <c r="G1492" s="24"/>
      <c r="H1492" s="24"/>
      <c r="J1492" s="24"/>
      <c r="K1492" s="24"/>
      <c r="M1492" s="24"/>
      <c r="N1492" s="24"/>
      <c r="P1492" s="24"/>
    </row>
    <row r="1493" spans="2:16" x14ac:dyDescent="0.25">
      <c r="B1493" s="24"/>
      <c r="E1493" s="24"/>
      <c r="G1493" s="24"/>
      <c r="H1493" s="24"/>
      <c r="J1493" s="24"/>
      <c r="K1493" s="24"/>
      <c r="M1493" s="24"/>
      <c r="N1493" s="24"/>
      <c r="P1493" s="24"/>
    </row>
    <row r="1494" spans="2:16" x14ac:dyDescent="0.25">
      <c r="B1494" s="24"/>
      <c r="E1494" s="24"/>
      <c r="G1494" s="24"/>
      <c r="H1494" s="24"/>
      <c r="J1494" s="24"/>
      <c r="K1494" s="24"/>
      <c r="M1494" s="24"/>
      <c r="N1494" s="24"/>
      <c r="P1494" s="24"/>
    </row>
    <row r="1495" spans="2:16" x14ac:dyDescent="0.25">
      <c r="B1495" s="24"/>
      <c r="E1495" s="24"/>
      <c r="G1495" s="24"/>
      <c r="H1495" s="24"/>
      <c r="J1495" s="24"/>
      <c r="K1495" s="24"/>
      <c r="M1495" s="24"/>
      <c r="N1495" s="24"/>
      <c r="P1495" s="24"/>
    </row>
    <row r="1496" spans="2:16" x14ac:dyDescent="0.25">
      <c r="B1496" s="24"/>
      <c r="E1496" s="24"/>
      <c r="G1496" s="24"/>
      <c r="H1496" s="24"/>
      <c r="J1496" s="24"/>
      <c r="K1496" s="24"/>
      <c r="M1496" s="24"/>
      <c r="N1496" s="24"/>
      <c r="P1496" s="24"/>
    </row>
    <row r="1497" spans="2:16" x14ac:dyDescent="0.25">
      <c r="B1497" s="24"/>
      <c r="E1497" s="24"/>
      <c r="G1497" s="24"/>
      <c r="H1497" s="24"/>
      <c r="J1497" s="24"/>
      <c r="K1497" s="24"/>
      <c r="M1497" s="24"/>
      <c r="N1497" s="24"/>
      <c r="P1497" s="24"/>
    </row>
    <row r="1498" spans="2:16" x14ac:dyDescent="0.25">
      <c r="B1498" s="24"/>
      <c r="E1498" s="24"/>
      <c r="G1498" s="24"/>
      <c r="H1498" s="24"/>
      <c r="J1498" s="24"/>
      <c r="K1498" s="24"/>
      <c r="M1498" s="24"/>
      <c r="N1498" s="24"/>
      <c r="P1498" s="24"/>
    </row>
    <row r="1499" spans="2:16" x14ac:dyDescent="0.25">
      <c r="B1499" s="24"/>
      <c r="E1499" s="24"/>
      <c r="G1499" s="24"/>
      <c r="H1499" s="24"/>
      <c r="J1499" s="24"/>
      <c r="K1499" s="24"/>
      <c r="M1499" s="24"/>
      <c r="N1499" s="24"/>
      <c r="P1499" s="24"/>
    </row>
    <row r="1500" spans="2:16" x14ac:dyDescent="0.25">
      <c r="B1500" s="24"/>
      <c r="E1500" s="24"/>
      <c r="G1500" s="24"/>
      <c r="H1500" s="24"/>
      <c r="J1500" s="24"/>
      <c r="K1500" s="24"/>
      <c r="M1500" s="24"/>
      <c r="N1500" s="24"/>
      <c r="P1500" s="24"/>
    </row>
    <row r="1501" spans="2:16" x14ac:dyDescent="0.25">
      <c r="B1501" s="24"/>
      <c r="E1501" s="24"/>
      <c r="G1501" s="24"/>
      <c r="H1501" s="24"/>
      <c r="J1501" s="24"/>
      <c r="K1501" s="24"/>
      <c r="M1501" s="24"/>
      <c r="N1501" s="24"/>
      <c r="P1501" s="24"/>
    </row>
    <row r="1502" spans="2:16" x14ac:dyDescent="0.25">
      <c r="B1502" s="24"/>
      <c r="E1502" s="24"/>
      <c r="G1502" s="24"/>
      <c r="H1502" s="24"/>
      <c r="J1502" s="24"/>
      <c r="K1502" s="24"/>
      <c r="M1502" s="24"/>
      <c r="N1502" s="24"/>
      <c r="P1502" s="24"/>
    </row>
    <row r="1503" spans="2:16" x14ac:dyDescent="0.25">
      <c r="B1503" s="24"/>
      <c r="E1503" s="24"/>
      <c r="G1503" s="24"/>
      <c r="H1503" s="24"/>
      <c r="J1503" s="24"/>
      <c r="K1503" s="24"/>
      <c r="M1503" s="24"/>
      <c r="N1503" s="24"/>
      <c r="P1503" s="24"/>
    </row>
    <row r="1504" spans="2:16" x14ac:dyDescent="0.25">
      <c r="B1504" s="24"/>
      <c r="E1504" s="24"/>
      <c r="G1504" s="24"/>
      <c r="H1504" s="24"/>
      <c r="J1504" s="24"/>
      <c r="K1504" s="24"/>
      <c r="M1504" s="24"/>
      <c r="N1504" s="24"/>
      <c r="P1504" s="24"/>
    </row>
    <row r="1505" spans="2:16" x14ac:dyDescent="0.25">
      <c r="B1505" s="24"/>
      <c r="E1505" s="24"/>
      <c r="G1505" s="24"/>
      <c r="H1505" s="24"/>
      <c r="J1505" s="24"/>
      <c r="K1505" s="24"/>
      <c r="M1505" s="24"/>
      <c r="N1505" s="24"/>
      <c r="P1505" s="24"/>
    </row>
    <row r="1506" spans="2:16" x14ac:dyDescent="0.25">
      <c r="B1506" s="24"/>
      <c r="E1506" s="24"/>
      <c r="G1506" s="24"/>
      <c r="H1506" s="24"/>
      <c r="J1506" s="24"/>
      <c r="K1506" s="24"/>
      <c r="M1506" s="24"/>
      <c r="N1506" s="24"/>
      <c r="P1506" s="24"/>
    </row>
    <row r="1507" spans="2:16" x14ac:dyDescent="0.25">
      <c r="B1507" s="24"/>
      <c r="E1507" s="24"/>
      <c r="G1507" s="24"/>
      <c r="H1507" s="24"/>
      <c r="J1507" s="24"/>
      <c r="K1507" s="24"/>
      <c r="M1507" s="24"/>
      <c r="N1507" s="24"/>
      <c r="P1507" s="24"/>
    </row>
    <row r="1508" spans="2:16" x14ac:dyDescent="0.25">
      <c r="B1508" s="24"/>
      <c r="E1508" s="24"/>
      <c r="G1508" s="24"/>
      <c r="H1508" s="24"/>
      <c r="J1508" s="24"/>
      <c r="K1508" s="24"/>
      <c r="M1508" s="24"/>
      <c r="N1508" s="24"/>
      <c r="P1508" s="24"/>
    </row>
    <row r="1509" spans="2:16" x14ac:dyDescent="0.25">
      <c r="B1509" s="24"/>
      <c r="E1509" s="24"/>
      <c r="G1509" s="24"/>
      <c r="H1509" s="24"/>
      <c r="J1509" s="24"/>
      <c r="K1509" s="24"/>
      <c r="M1509" s="24"/>
      <c r="N1509" s="24"/>
      <c r="P1509" s="24"/>
    </row>
    <row r="1510" spans="2:16" x14ac:dyDescent="0.25">
      <c r="B1510" s="24"/>
      <c r="E1510" s="24"/>
      <c r="G1510" s="24"/>
      <c r="H1510" s="24"/>
      <c r="J1510" s="24"/>
      <c r="K1510" s="24"/>
      <c r="M1510" s="24"/>
      <c r="N1510" s="24"/>
      <c r="P1510" s="24"/>
    </row>
    <row r="1511" spans="2:16" x14ac:dyDescent="0.25">
      <c r="B1511" s="24"/>
      <c r="E1511" s="24"/>
      <c r="G1511" s="24"/>
      <c r="H1511" s="24"/>
      <c r="J1511" s="24"/>
      <c r="K1511" s="24"/>
      <c r="M1511" s="24"/>
      <c r="N1511" s="24"/>
      <c r="P1511" s="24"/>
    </row>
    <row r="1512" spans="2:16" x14ac:dyDescent="0.25">
      <c r="B1512" s="24"/>
      <c r="E1512" s="24"/>
      <c r="G1512" s="24"/>
      <c r="H1512" s="24"/>
      <c r="J1512" s="24"/>
      <c r="K1512" s="24"/>
      <c r="M1512" s="24"/>
      <c r="N1512" s="24"/>
      <c r="P1512" s="24"/>
    </row>
    <row r="1513" spans="2:16" x14ac:dyDescent="0.25">
      <c r="B1513" s="24"/>
      <c r="E1513" s="24"/>
      <c r="G1513" s="24"/>
      <c r="H1513" s="24"/>
      <c r="J1513" s="24"/>
      <c r="K1513" s="24"/>
      <c r="M1513" s="24"/>
      <c r="N1513" s="24"/>
      <c r="P1513" s="24"/>
    </row>
    <row r="1514" spans="2:16" x14ac:dyDescent="0.25">
      <c r="B1514" s="24"/>
      <c r="E1514" s="24"/>
      <c r="G1514" s="24"/>
      <c r="H1514" s="24"/>
      <c r="J1514" s="24"/>
      <c r="K1514" s="24"/>
      <c r="M1514" s="24"/>
      <c r="N1514" s="24"/>
      <c r="P1514" s="24"/>
    </row>
    <row r="1515" spans="2:16" x14ac:dyDescent="0.25">
      <c r="B1515" s="24"/>
      <c r="E1515" s="24"/>
      <c r="G1515" s="24"/>
      <c r="H1515" s="24"/>
      <c r="J1515" s="24"/>
      <c r="K1515" s="24"/>
      <c r="M1515" s="24"/>
      <c r="N1515" s="24"/>
      <c r="P1515" s="24"/>
    </row>
    <row r="1516" spans="2:16" x14ac:dyDescent="0.25">
      <c r="B1516" s="24"/>
      <c r="E1516" s="24"/>
      <c r="G1516" s="24"/>
      <c r="H1516" s="24"/>
      <c r="J1516" s="24"/>
      <c r="K1516" s="24"/>
      <c r="M1516" s="24"/>
      <c r="N1516" s="24"/>
      <c r="P1516" s="24"/>
    </row>
    <row r="1517" spans="2:16" x14ac:dyDescent="0.25">
      <c r="B1517" s="24"/>
      <c r="E1517" s="24"/>
      <c r="G1517" s="24"/>
      <c r="H1517" s="24"/>
      <c r="J1517" s="24"/>
      <c r="K1517" s="24"/>
      <c r="M1517" s="24"/>
      <c r="N1517" s="24"/>
      <c r="P1517" s="24"/>
    </row>
    <row r="1518" spans="2:16" x14ac:dyDescent="0.25">
      <c r="B1518" s="24"/>
      <c r="E1518" s="24"/>
      <c r="G1518" s="24"/>
      <c r="H1518" s="24"/>
      <c r="J1518" s="24"/>
      <c r="K1518" s="24"/>
      <c r="M1518" s="24"/>
      <c r="N1518" s="24"/>
      <c r="P1518" s="24"/>
    </row>
    <row r="1519" spans="2:16" x14ac:dyDescent="0.25">
      <c r="B1519" s="24"/>
      <c r="E1519" s="24"/>
      <c r="G1519" s="24"/>
      <c r="H1519" s="24"/>
      <c r="J1519" s="24"/>
      <c r="K1519" s="24"/>
      <c r="M1519" s="24"/>
      <c r="N1519" s="24"/>
      <c r="P1519" s="24"/>
    </row>
    <row r="1520" spans="2:16" x14ac:dyDescent="0.25">
      <c r="B1520" s="24"/>
      <c r="E1520" s="24"/>
      <c r="G1520" s="24"/>
      <c r="H1520" s="24"/>
      <c r="J1520" s="24"/>
      <c r="K1520" s="24"/>
      <c r="M1520" s="24"/>
      <c r="N1520" s="24"/>
      <c r="P1520" s="24"/>
    </row>
    <row r="1521" spans="2:16" x14ac:dyDescent="0.25">
      <c r="B1521" s="24"/>
      <c r="E1521" s="24"/>
      <c r="G1521" s="24"/>
      <c r="H1521" s="24"/>
      <c r="J1521" s="24"/>
      <c r="K1521" s="24"/>
      <c r="M1521" s="24"/>
      <c r="N1521" s="24"/>
      <c r="P1521" s="24"/>
    </row>
    <row r="1522" spans="2:16" x14ac:dyDescent="0.25">
      <c r="B1522" s="24"/>
      <c r="E1522" s="24"/>
      <c r="G1522" s="24"/>
      <c r="H1522" s="24"/>
      <c r="J1522" s="24"/>
      <c r="K1522" s="24"/>
      <c r="M1522" s="24"/>
      <c r="N1522" s="24"/>
      <c r="P1522" s="24"/>
    </row>
    <row r="1523" spans="2:16" x14ac:dyDescent="0.25">
      <c r="B1523" s="24"/>
      <c r="E1523" s="24"/>
      <c r="G1523" s="24"/>
      <c r="H1523" s="24"/>
      <c r="J1523" s="24"/>
      <c r="K1523" s="24"/>
      <c r="M1523" s="24"/>
      <c r="N1523" s="24"/>
      <c r="P1523" s="24"/>
    </row>
    <row r="1524" spans="2:16" x14ac:dyDescent="0.25">
      <c r="B1524" s="24"/>
      <c r="E1524" s="24"/>
      <c r="G1524" s="24"/>
      <c r="H1524" s="24"/>
      <c r="J1524" s="24"/>
      <c r="K1524" s="24"/>
      <c r="M1524" s="24"/>
      <c r="N1524" s="24"/>
      <c r="P1524" s="24"/>
    </row>
    <row r="1525" spans="2:16" x14ac:dyDescent="0.25">
      <c r="B1525" s="24"/>
      <c r="E1525" s="24"/>
      <c r="G1525" s="24"/>
      <c r="H1525" s="24"/>
      <c r="J1525" s="24"/>
      <c r="K1525" s="24"/>
      <c r="M1525" s="24"/>
      <c r="N1525" s="24"/>
      <c r="P1525" s="24"/>
    </row>
    <row r="1526" spans="2:16" x14ac:dyDescent="0.25">
      <c r="B1526" s="24"/>
      <c r="E1526" s="24"/>
      <c r="G1526" s="24"/>
      <c r="H1526" s="24"/>
      <c r="J1526" s="24"/>
      <c r="K1526" s="24"/>
      <c r="M1526" s="24"/>
      <c r="N1526" s="24"/>
      <c r="P1526" s="24"/>
    </row>
    <row r="1527" spans="2:16" x14ac:dyDescent="0.25">
      <c r="B1527" s="24"/>
      <c r="E1527" s="24"/>
      <c r="G1527" s="24"/>
      <c r="H1527" s="24"/>
      <c r="J1527" s="24"/>
      <c r="K1527" s="24"/>
      <c r="M1527" s="24"/>
      <c r="N1527" s="24"/>
      <c r="P1527" s="24"/>
    </row>
    <row r="1528" spans="2:16" x14ac:dyDescent="0.25">
      <c r="B1528" s="24"/>
      <c r="E1528" s="24"/>
      <c r="G1528" s="24"/>
      <c r="H1528" s="24"/>
      <c r="J1528" s="24"/>
      <c r="K1528" s="24"/>
      <c r="M1528" s="24"/>
      <c r="N1528" s="24"/>
      <c r="P1528" s="24"/>
    </row>
    <row r="1529" spans="2:16" x14ac:dyDescent="0.25">
      <c r="B1529" s="24"/>
      <c r="E1529" s="24"/>
      <c r="G1529" s="24"/>
      <c r="H1529" s="24"/>
      <c r="J1529" s="24"/>
      <c r="K1529" s="24"/>
      <c r="M1529" s="24"/>
      <c r="N1529" s="24"/>
      <c r="P1529" s="24"/>
    </row>
    <row r="1530" spans="2:16" x14ac:dyDescent="0.25">
      <c r="B1530" s="24"/>
      <c r="E1530" s="24"/>
      <c r="G1530" s="24"/>
      <c r="H1530" s="24"/>
      <c r="J1530" s="24"/>
      <c r="K1530" s="24"/>
      <c r="M1530" s="24"/>
      <c r="N1530" s="24"/>
      <c r="P1530" s="24"/>
    </row>
    <row r="1531" spans="2:16" x14ac:dyDescent="0.25">
      <c r="B1531" s="24"/>
      <c r="E1531" s="24"/>
      <c r="G1531" s="24"/>
      <c r="H1531" s="24"/>
      <c r="J1531" s="24"/>
      <c r="K1531" s="24"/>
      <c r="M1531" s="24"/>
      <c r="N1531" s="24"/>
      <c r="P1531" s="24"/>
    </row>
    <row r="1532" spans="2:16" x14ac:dyDescent="0.25">
      <c r="B1532" s="24"/>
      <c r="E1532" s="24"/>
      <c r="G1532" s="24"/>
      <c r="H1532" s="24"/>
      <c r="J1532" s="24"/>
      <c r="K1532" s="24"/>
      <c r="M1532" s="24"/>
      <c r="N1532" s="24"/>
      <c r="P1532" s="24"/>
    </row>
    <row r="1533" spans="2:16" x14ac:dyDescent="0.25">
      <c r="B1533" s="24"/>
      <c r="E1533" s="24"/>
      <c r="G1533" s="24"/>
      <c r="H1533" s="24"/>
      <c r="J1533" s="24"/>
      <c r="K1533" s="24"/>
      <c r="M1533" s="24"/>
      <c r="N1533" s="24"/>
      <c r="P1533" s="24"/>
    </row>
    <row r="1534" spans="2:16" x14ac:dyDescent="0.25">
      <c r="B1534" s="24"/>
      <c r="E1534" s="24"/>
      <c r="G1534" s="24"/>
      <c r="H1534" s="24"/>
      <c r="J1534" s="24"/>
      <c r="K1534" s="24"/>
      <c r="M1534" s="24"/>
      <c r="N1534" s="24"/>
      <c r="P1534" s="24"/>
    </row>
    <row r="1535" spans="2:16" x14ac:dyDescent="0.25">
      <c r="B1535" s="24"/>
      <c r="E1535" s="24"/>
      <c r="G1535" s="24"/>
      <c r="H1535" s="24"/>
      <c r="J1535" s="24"/>
      <c r="K1535" s="24"/>
      <c r="M1535" s="24"/>
      <c r="N1535" s="24"/>
      <c r="P1535" s="24"/>
    </row>
    <row r="1536" spans="2:16" x14ac:dyDescent="0.25">
      <c r="B1536" s="24"/>
      <c r="E1536" s="24"/>
      <c r="G1536" s="24"/>
      <c r="H1536" s="24"/>
      <c r="J1536" s="24"/>
      <c r="K1536" s="24"/>
      <c r="M1536" s="24"/>
      <c r="N1536" s="24"/>
      <c r="P1536" s="24"/>
    </row>
    <row r="1537" spans="2:16" x14ac:dyDescent="0.25">
      <c r="B1537" s="24"/>
      <c r="E1537" s="24"/>
      <c r="G1537" s="24"/>
      <c r="H1537" s="24"/>
      <c r="J1537" s="24"/>
      <c r="K1537" s="24"/>
      <c r="M1537" s="24"/>
      <c r="N1537" s="24"/>
      <c r="P1537" s="24"/>
    </row>
    <row r="1538" spans="2:16" x14ac:dyDescent="0.25">
      <c r="B1538" s="24"/>
      <c r="E1538" s="24"/>
      <c r="G1538" s="24"/>
      <c r="H1538" s="24"/>
      <c r="J1538" s="24"/>
      <c r="K1538" s="24"/>
      <c r="M1538" s="24"/>
      <c r="N1538" s="24"/>
      <c r="P1538" s="24"/>
    </row>
    <row r="1539" spans="2:16" x14ac:dyDescent="0.25">
      <c r="B1539" s="24"/>
      <c r="E1539" s="24"/>
      <c r="G1539" s="24"/>
      <c r="H1539" s="24"/>
      <c r="J1539" s="24"/>
      <c r="K1539" s="24"/>
      <c r="M1539" s="24"/>
      <c r="N1539" s="24"/>
      <c r="P1539" s="24"/>
    </row>
    <row r="1540" spans="2:16" x14ac:dyDescent="0.25">
      <c r="B1540" s="24"/>
      <c r="E1540" s="24"/>
      <c r="G1540" s="24"/>
      <c r="H1540" s="24"/>
      <c r="J1540" s="24"/>
      <c r="K1540" s="24"/>
      <c r="M1540" s="24"/>
      <c r="N1540" s="24"/>
      <c r="P1540" s="24"/>
    </row>
    <row r="1541" spans="2:16" x14ac:dyDescent="0.25">
      <c r="B1541" s="24"/>
      <c r="E1541" s="24"/>
      <c r="G1541" s="24"/>
      <c r="H1541" s="24"/>
      <c r="J1541" s="24"/>
      <c r="K1541" s="24"/>
      <c r="M1541" s="24"/>
      <c r="N1541" s="24"/>
      <c r="P1541" s="24"/>
    </row>
    <row r="1542" spans="2:16" x14ac:dyDescent="0.25">
      <c r="B1542" s="24"/>
      <c r="E1542" s="24"/>
      <c r="G1542" s="24"/>
      <c r="H1542" s="24"/>
      <c r="J1542" s="24"/>
      <c r="K1542" s="24"/>
      <c r="M1542" s="24"/>
      <c r="N1542" s="24"/>
      <c r="P1542" s="24"/>
    </row>
    <row r="1543" spans="2:16" x14ac:dyDescent="0.25">
      <c r="B1543" s="24"/>
      <c r="E1543" s="24"/>
      <c r="G1543" s="24"/>
      <c r="H1543" s="24"/>
      <c r="J1543" s="24"/>
      <c r="K1543" s="24"/>
      <c r="M1543" s="24"/>
      <c r="N1543" s="24"/>
      <c r="P1543" s="24"/>
    </row>
    <row r="1544" spans="2:16" x14ac:dyDescent="0.25">
      <c r="B1544" s="24"/>
      <c r="E1544" s="24"/>
      <c r="G1544" s="24"/>
      <c r="H1544" s="24"/>
      <c r="J1544" s="24"/>
      <c r="K1544" s="24"/>
      <c r="M1544" s="24"/>
      <c r="N1544" s="24"/>
      <c r="P1544" s="24"/>
    </row>
    <row r="1545" spans="2:16" x14ac:dyDescent="0.25">
      <c r="B1545" s="24"/>
      <c r="E1545" s="24"/>
      <c r="G1545" s="24"/>
      <c r="H1545" s="24"/>
      <c r="J1545" s="24"/>
      <c r="K1545" s="24"/>
      <c r="M1545" s="24"/>
      <c r="N1545" s="24"/>
      <c r="P1545" s="24"/>
    </row>
    <row r="1546" spans="2:16" x14ac:dyDescent="0.25">
      <c r="B1546" s="24"/>
      <c r="E1546" s="24"/>
      <c r="G1546" s="24"/>
      <c r="H1546" s="24"/>
      <c r="J1546" s="24"/>
      <c r="K1546" s="24"/>
      <c r="M1546" s="24"/>
      <c r="N1546" s="24"/>
      <c r="P1546" s="24"/>
    </row>
    <row r="1547" spans="2:16" x14ac:dyDescent="0.25">
      <c r="B1547" s="24"/>
      <c r="E1547" s="24"/>
      <c r="G1547" s="24"/>
      <c r="H1547" s="24"/>
      <c r="J1547" s="24"/>
      <c r="K1547" s="24"/>
      <c r="M1547" s="24"/>
      <c r="N1547" s="24"/>
      <c r="P1547" s="24"/>
    </row>
    <row r="1548" spans="2:16" x14ac:dyDescent="0.25">
      <c r="B1548" s="24"/>
      <c r="E1548" s="24"/>
      <c r="G1548" s="24"/>
      <c r="H1548" s="24"/>
      <c r="J1548" s="24"/>
      <c r="K1548" s="24"/>
      <c r="M1548" s="24"/>
      <c r="N1548" s="24"/>
      <c r="P1548" s="24"/>
    </row>
    <row r="1549" spans="2:16" x14ac:dyDescent="0.25">
      <c r="B1549" s="24"/>
      <c r="E1549" s="24"/>
      <c r="G1549" s="24"/>
      <c r="H1549" s="24"/>
      <c r="J1549" s="24"/>
      <c r="K1549" s="24"/>
      <c r="M1549" s="24"/>
      <c r="N1549" s="24"/>
      <c r="P1549" s="24"/>
    </row>
    <row r="1550" spans="2:16" x14ac:dyDescent="0.25">
      <c r="B1550" s="24"/>
      <c r="E1550" s="24"/>
      <c r="G1550" s="24"/>
      <c r="H1550" s="24"/>
      <c r="J1550" s="24"/>
      <c r="K1550" s="24"/>
      <c r="M1550" s="24"/>
      <c r="N1550" s="24"/>
      <c r="P1550" s="24"/>
    </row>
    <row r="1551" spans="2:16" x14ac:dyDescent="0.25">
      <c r="B1551" s="24"/>
      <c r="E1551" s="24"/>
      <c r="G1551" s="24"/>
      <c r="H1551" s="24"/>
      <c r="J1551" s="24"/>
      <c r="K1551" s="24"/>
      <c r="M1551" s="24"/>
      <c r="N1551" s="24"/>
      <c r="P1551" s="24"/>
    </row>
    <row r="1552" spans="2:16" x14ac:dyDescent="0.25">
      <c r="B1552" s="24"/>
      <c r="E1552" s="24"/>
      <c r="G1552" s="24"/>
      <c r="H1552" s="24"/>
      <c r="J1552" s="24"/>
      <c r="K1552" s="24"/>
      <c r="M1552" s="24"/>
      <c r="N1552" s="24"/>
      <c r="P1552" s="24"/>
    </row>
    <row r="1553" spans="2:16" x14ac:dyDescent="0.25">
      <c r="B1553" s="24"/>
      <c r="E1553" s="24"/>
      <c r="G1553" s="24"/>
      <c r="H1553" s="24"/>
      <c r="J1553" s="24"/>
      <c r="K1553" s="24"/>
      <c r="M1553" s="24"/>
      <c r="N1553" s="24"/>
      <c r="P1553" s="24"/>
    </row>
    <row r="1554" spans="2:16" x14ac:dyDescent="0.25">
      <c r="B1554" s="24"/>
      <c r="E1554" s="24"/>
      <c r="G1554" s="24"/>
      <c r="H1554" s="24"/>
      <c r="J1554" s="24"/>
      <c r="K1554" s="24"/>
      <c r="M1554" s="24"/>
      <c r="N1554" s="24"/>
      <c r="P1554" s="24"/>
    </row>
    <row r="1555" spans="2:16" x14ac:dyDescent="0.25">
      <c r="B1555" s="24"/>
      <c r="E1555" s="24"/>
      <c r="G1555" s="24"/>
      <c r="H1555" s="24"/>
      <c r="J1555" s="24"/>
      <c r="K1555" s="24"/>
      <c r="M1555" s="24"/>
      <c r="N1555" s="24"/>
      <c r="P1555" s="24"/>
    </row>
    <row r="1556" spans="2:16" x14ac:dyDescent="0.25">
      <c r="B1556" s="24"/>
      <c r="E1556" s="24"/>
      <c r="G1556" s="24"/>
      <c r="H1556" s="24"/>
      <c r="J1556" s="24"/>
      <c r="K1556" s="24"/>
      <c r="M1556" s="24"/>
      <c r="N1556" s="24"/>
      <c r="P1556" s="24"/>
    </row>
    <row r="1557" spans="2:16" x14ac:dyDescent="0.25">
      <c r="B1557" s="24"/>
      <c r="E1557" s="24"/>
      <c r="G1557" s="24"/>
      <c r="H1557" s="24"/>
      <c r="J1557" s="24"/>
      <c r="K1557" s="24"/>
      <c r="M1557" s="24"/>
      <c r="N1557" s="24"/>
      <c r="P1557" s="24"/>
    </row>
    <row r="1558" spans="2:16" x14ac:dyDescent="0.25">
      <c r="B1558" s="24"/>
      <c r="E1558" s="24"/>
      <c r="G1558" s="24"/>
      <c r="H1558" s="24"/>
      <c r="J1558" s="24"/>
      <c r="K1558" s="24"/>
      <c r="M1558" s="24"/>
      <c r="N1558" s="24"/>
      <c r="P1558" s="24"/>
    </row>
    <row r="1559" spans="2:16" x14ac:dyDescent="0.25">
      <c r="B1559" s="24"/>
      <c r="E1559" s="24"/>
      <c r="G1559" s="24"/>
      <c r="H1559" s="24"/>
      <c r="J1559" s="24"/>
      <c r="K1559" s="24"/>
      <c r="M1559" s="24"/>
      <c r="N1559" s="24"/>
      <c r="P1559" s="24"/>
    </row>
    <row r="1560" spans="2:16" x14ac:dyDescent="0.25">
      <c r="B1560" s="24"/>
      <c r="E1560" s="24"/>
      <c r="G1560" s="24"/>
      <c r="H1560" s="24"/>
      <c r="J1560" s="24"/>
      <c r="K1560" s="24"/>
      <c r="M1560" s="24"/>
      <c r="N1560" s="24"/>
      <c r="P1560" s="24"/>
    </row>
    <row r="1561" spans="2:16" x14ac:dyDescent="0.25">
      <c r="B1561" s="24"/>
      <c r="E1561" s="24"/>
      <c r="G1561" s="24"/>
      <c r="H1561" s="24"/>
      <c r="J1561" s="24"/>
      <c r="K1561" s="24"/>
      <c r="M1561" s="24"/>
      <c r="N1561" s="24"/>
      <c r="P1561" s="24"/>
    </row>
    <row r="1562" spans="2:16" x14ac:dyDescent="0.25">
      <c r="B1562" s="24"/>
      <c r="E1562" s="24"/>
      <c r="G1562" s="24"/>
      <c r="H1562" s="24"/>
      <c r="J1562" s="24"/>
      <c r="K1562" s="24"/>
      <c r="M1562" s="24"/>
      <c r="N1562" s="24"/>
      <c r="P1562" s="24"/>
    </row>
    <row r="1563" spans="2:16" x14ac:dyDescent="0.25">
      <c r="B1563" s="24"/>
      <c r="E1563" s="24"/>
      <c r="G1563" s="24"/>
      <c r="H1563" s="24"/>
      <c r="J1563" s="24"/>
      <c r="K1563" s="24"/>
      <c r="M1563" s="24"/>
      <c r="N1563" s="24"/>
      <c r="P1563" s="24"/>
    </row>
    <row r="1564" spans="2:16" x14ac:dyDescent="0.25">
      <c r="B1564" s="24"/>
      <c r="E1564" s="24"/>
      <c r="G1564" s="24"/>
      <c r="H1564" s="24"/>
      <c r="J1564" s="24"/>
      <c r="K1564" s="24"/>
      <c r="M1564" s="24"/>
      <c r="N1564" s="24"/>
      <c r="P1564" s="24"/>
    </row>
    <row r="1565" spans="2:16" x14ac:dyDescent="0.25">
      <c r="B1565" s="24"/>
      <c r="E1565" s="24"/>
      <c r="G1565" s="24"/>
      <c r="H1565" s="24"/>
      <c r="J1565" s="24"/>
      <c r="K1565" s="24"/>
      <c r="M1565" s="24"/>
      <c r="N1565" s="24"/>
      <c r="P1565" s="24"/>
    </row>
    <row r="1566" spans="2:16" x14ac:dyDescent="0.25">
      <c r="B1566" s="24"/>
      <c r="E1566" s="24"/>
      <c r="G1566" s="24"/>
      <c r="H1566" s="24"/>
      <c r="J1566" s="24"/>
      <c r="K1566" s="24"/>
      <c r="M1566" s="24"/>
      <c r="N1566" s="24"/>
      <c r="P1566" s="24"/>
    </row>
    <row r="1567" spans="2:16" x14ac:dyDescent="0.25">
      <c r="B1567" s="24"/>
      <c r="E1567" s="24"/>
      <c r="G1567" s="24"/>
      <c r="H1567" s="24"/>
      <c r="J1567" s="24"/>
      <c r="K1567" s="24"/>
      <c r="M1567" s="24"/>
      <c r="N1567" s="24"/>
      <c r="P1567" s="24"/>
    </row>
    <row r="1568" spans="2:16" x14ac:dyDescent="0.25">
      <c r="B1568" s="24"/>
      <c r="E1568" s="24"/>
      <c r="G1568" s="24"/>
      <c r="H1568" s="24"/>
      <c r="J1568" s="24"/>
      <c r="K1568" s="24"/>
      <c r="M1568" s="24"/>
      <c r="N1568" s="24"/>
      <c r="P1568" s="24"/>
    </row>
    <row r="1569" spans="2:16" x14ac:dyDescent="0.25">
      <c r="B1569" s="24"/>
      <c r="E1569" s="24"/>
      <c r="G1569" s="24"/>
      <c r="H1569" s="24"/>
      <c r="J1569" s="24"/>
      <c r="K1569" s="24"/>
      <c r="M1569" s="24"/>
      <c r="N1569" s="24"/>
      <c r="P1569" s="24"/>
    </row>
    <row r="1570" spans="2:16" x14ac:dyDescent="0.25">
      <c r="B1570" s="24"/>
      <c r="E1570" s="24"/>
      <c r="G1570" s="24"/>
      <c r="H1570" s="24"/>
      <c r="J1570" s="24"/>
      <c r="K1570" s="24"/>
      <c r="M1570" s="24"/>
      <c r="N1570" s="24"/>
      <c r="P1570" s="24"/>
    </row>
    <row r="1571" spans="2:16" x14ac:dyDescent="0.25">
      <c r="B1571" s="24"/>
      <c r="E1571" s="24"/>
      <c r="G1571" s="24"/>
      <c r="H1571" s="24"/>
      <c r="J1571" s="24"/>
      <c r="K1571" s="24"/>
      <c r="M1571" s="24"/>
      <c r="N1571" s="24"/>
      <c r="P1571" s="24"/>
    </row>
    <row r="1572" spans="2:16" x14ac:dyDescent="0.25">
      <c r="B1572" s="24"/>
      <c r="E1572" s="24"/>
      <c r="G1572" s="24"/>
      <c r="H1572" s="24"/>
      <c r="J1572" s="24"/>
      <c r="K1572" s="24"/>
      <c r="M1572" s="24"/>
      <c r="N1572" s="24"/>
      <c r="P1572" s="24"/>
    </row>
    <row r="1573" spans="2:16" x14ac:dyDescent="0.25">
      <c r="B1573" s="24"/>
      <c r="E1573" s="24"/>
      <c r="G1573" s="24"/>
      <c r="H1573" s="24"/>
      <c r="J1573" s="24"/>
      <c r="K1573" s="24"/>
      <c r="M1573" s="24"/>
      <c r="N1573" s="24"/>
      <c r="P1573" s="24"/>
    </row>
    <row r="1574" spans="2:16" x14ac:dyDescent="0.25">
      <c r="B1574" s="24"/>
      <c r="E1574" s="24"/>
      <c r="G1574" s="24"/>
      <c r="H1574" s="24"/>
      <c r="J1574" s="24"/>
      <c r="K1574" s="24"/>
      <c r="M1574" s="24"/>
      <c r="N1574" s="24"/>
      <c r="P1574" s="24"/>
    </row>
    <row r="1575" spans="2:16" x14ac:dyDescent="0.25">
      <c r="B1575" s="24"/>
      <c r="E1575" s="24"/>
      <c r="G1575" s="24"/>
      <c r="H1575" s="24"/>
      <c r="J1575" s="24"/>
      <c r="K1575" s="24"/>
      <c r="M1575" s="24"/>
      <c r="N1575" s="24"/>
      <c r="P1575" s="24"/>
    </row>
    <row r="1576" spans="2:16" x14ac:dyDescent="0.25">
      <c r="B1576" s="24"/>
      <c r="E1576" s="24"/>
      <c r="G1576" s="24"/>
      <c r="H1576" s="24"/>
      <c r="J1576" s="24"/>
      <c r="K1576" s="24"/>
      <c r="M1576" s="24"/>
      <c r="N1576" s="24"/>
      <c r="P1576" s="24"/>
    </row>
    <row r="1577" spans="2:16" x14ac:dyDescent="0.25">
      <c r="B1577" s="24"/>
      <c r="E1577" s="24"/>
      <c r="G1577" s="24"/>
      <c r="H1577" s="24"/>
      <c r="J1577" s="24"/>
      <c r="K1577" s="24"/>
      <c r="M1577" s="24"/>
      <c r="N1577" s="24"/>
      <c r="P1577" s="24"/>
    </row>
    <row r="1578" spans="2:16" x14ac:dyDescent="0.25">
      <c r="B1578" s="24"/>
      <c r="E1578" s="24"/>
      <c r="G1578" s="24"/>
      <c r="H1578" s="24"/>
      <c r="J1578" s="24"/>
      <c r="K1578" s="24"/>
      <c r="M1578" s="24"/>
      <c r="N1578" s="24"/>
      <c r="P1578" s="24"/>
    </row>
    <row r="1579" spans="2:16" x14ac:dyDescent="0.25">
      <c r="B1579" s="24"/>
      <c r="E1579" s="24"/>
      <c r="G1579" s="24"/>
      <c r="H1579" s="24"/>
      <c r="J1579" s="24"/>
      <c r="K1579" s="24"/>
      <c r="M1579" s="24"/>
      <c r="N1579" s="24"/>
      <c r="P1579" s="24"/>
    </row>
    <row r="1580" spans="2:16" x14ac:dyDescent="0.25">
      <c r="B1580" s="24"/>
      <c r="E1580" s="24"/>
      <c r="G1580" s="24"/>
      <c r="H1580" s="24"/>
      <c r="J1580" s="24"/>
      <c r="K1580" s="24"/>
      <c r="M1580" s="24"/>
      <c r="N1580" s="24"/>
      <c r="P1580" s="24"/>
    </row>
    <row r="1581" spans="2:16" x14ac:dyDescent="0.25">
      <c r="B1581" s="24"/>
      <c r="E1581" s="24"/>
      <c r="G1581" s="24"/>
      <c r="H1581" s="24"/>
      <c r="J1581" s="24"/>
      <c r="K1581" s="24"/>
      <c r="M1581" s="24"/>
      <c r="N1581" s="24"/>
      <c r="P1581" s="24"/>
    </row>
    <row r="1582" spans="2:16" x14ac:dyDescent="0.25">
      <c r="B1582" s="24"/>
      <c r="E1582" s="24"/>
      <c r="G1582" s="24"/>
      <c r="H1582" s="24"/>
      <c r="J1582" s="24"/>
      <c r="K1582" s="24"/>
      <c r="M1582" s="24"/>
      <c r="N1582" s="24"/>
      <c r="P1582" s="24"/>
    </row>
    <row r="1583" spans="2:16" x14ac:dyDescent="0.25">
      <c r="B1583" s="24"/>
      <c r="E1583" s="24"/>
      <c r="G1583" s="24"/>
      <c r="H1583" s="24"/>
      <c r="J1583" s="24"/>
      <c r="K1583" s="24"/>
      <c r="M1583" s="24"/>
      <c r="N1583" s="24"/>
      <c r="P1583" s="24"/>
    </row>
    <row r="1584" spans="2:16" x14ac:dyDescent="0.25">
      <c r="B1584" s="24"/>
      <c r="E1584" s="24"/>
      <c r="G1584" s="24"/>
      <c r="H1584" s="24"/>
      <c r="J1584" s="24"/>
      <c r="K1584" s="24"/>
      <c r="M1584" s="24"/>
      <c r="N1584" s="24"/>
      <c r="P1584" s="24"/>
    </row>
    <row r="1585" spans="2:16" x14ac:dyDescent="0.25">
      <c r="B1585" s="24"/>
      <c r="E1585" s="24"/>
      <c r="G1585" s="24"/>
      <c r="H1585" s="24"/>
      <c r="J1585" s="24"/>
      <c r="K1585" s="24"/>
      <c r="M1585" s="24"/>
      <c r="N1585" s="24"/>
      <c r="P1585" s="24"/>
    </row>
    <row r="1586" spans="2:16" x14ac:dyDescent="0.25">
      <c r="B1586" s="24"/>
      <c r="E1586" s="24"/>
      <c r="G1586" s="24"/>
      <c r="H1586" s="24"/>
      <c r="J1586" s="24"/>
      <c r="K1586" s="24"/>
      <c r="M1586" s="24"/>
      <c r="N1586" s="24"/>
      <c r="P1586" s="24"/>
    </row>
    <row r="1587" spans="2:16" x14ac:dyDescent="0.25">
      <c r="B1587" s="24"/>
      <c r="E1587" s="24"/>
      <c r="G1587" s="24"/>
      <c r="H1587" s="24"/>
      <c r="J1587" s="24"/>
      <c r="K1587" s="24"/>
      <c r="M1587" s="24"/>
      <c r="N1587" s="24"/>
      <c r="P1587" s="24"/>
    </row>
    <row r="1588" spans="2:16" x14ac:dyDescent="0.25">
      <c r="B1588" s="24"/>
      <c r="E1588" s="24"/>
      <c r="G1588" s="24"/>
      <c r="H1588" s="24"/>
      <c r="J1588" s="24"/>
      <c r="K1588" s="24"/>
      <c r="M1588" s="24"/>
      <c r="N1588" s="24"/>
      <c r="P1588" s="24"/>
    </row>
    <row r="1589" spans="2:16" x14ac:dyDescent="0.25">
      <c r="B1589" s="24"/>
      <c r="E1589" s="24"/>
      <c r="G1589" s="24"/>
      <c r="H1589" s="24"/>
      <c r="J1589" s="24"/>
      <c r="K1589" s="24"/>
      <c r="M1589" s="24"/>
      <c r="N1589" s="24"/>
      <c r="P1589" s="24"/>
    </row>
    <row r="1590" spans="2:16" x14ac:dyDescent="0.25">
      <c r="B1590" s="24"/>
      <c r="E1590" s="24"/>
      <c r="G1590" s="24"/>
      <c r="H1590" s="24"/>
      <c r="J1590" s="24"/>
      <c r="K1590" s="24"/>
      <c r="M1590" s="24"/>
      <c r="N1590" s="24"/>
      <c r="P1590" s="24"/>
    </row>
    <row r="1591" spans="2:16" x14ac:dyDescent="0.25">
      <c r="B1591" s="24"/>
      <c r="E1591" s="24"/>
      <c r="G1591" s="24"/>
      <c r="H1591" s="24"/>
      <c r="J1591" s="24"/>
      <c r="K1591" s="24"/>
      <c r="M1591" s="24"/>
      <c r="N1591" s="24"/>
      <c r="P1591" s="24"/>
    </row>
    <row r="1592" spans="2:16" x14ac:dyDescent="0.25">
      <c r="B1592" s="24"/>
      <c r="E1592" s="24"/>
      <c r="G1592" s="24"/>
      <c r="H1592" s="24"/>
      <c r="J1592" s="24"/>
      <c r="K1592" s="24"/>
      <c r="M1592" s="24"/>
      <c r="N1592" s="24"/>
      <c r="P1592" s="24"/>
    </row>
    <row r="1593" spans="2:16" x14ac:dyDescent="0.25">
      <c r="B1593" s="24"/>
      <c r="E1593" s="24"/>
      <c r="G1593" s="24"/>
      <c r="H1593" s="24"/>
      <c r="J1593" s="24"/>
      <c r="K1593" s="24"/>
      <c r="M1593" s="24"/>
      <c r="N1593" s="24"/>
      <c r="P1593" s="24"/>
    </row>
    <row r="1594" spans="2:16" x14ac:dyDescent="0.25">
      <c r="B1594" s="24"/>
      <c r="E1594" s="24"/>
      <c r="G1594" s="24"/>
      <c r="H1594" s="24"/>
      <c r="J1594" s="24"/>
      <c r="K1594" s="24"/>
      <c r="M1594" s="24"/>
      <c r="N1594" s="24"/>
      <c r="P1594" s="24"/>
    </row>
    <row r="1595" spans="2:16" x14ac:dyDescent="0.25">
      <c r="B1595" s="24"/>
      <c r="E1595" s="24"/>
      <c r="G1595" s="24"/>
      <c r="H1595" s="24"/>
      <c r="J1595" s="24"/>
      <c r="K1595" s="24"/>
      <c r="M1595" s="24"/>
      <c r="N1595" s="24"/>
      <c r="P1595" s="24"/>
    </row>
    <row r="1596" spans="2:16" x14ac:dyDescent="0.25">
      <c r="B1596" s="24"/>
      <c r="E1596" s="24"/>
      <c r="G1596" s="24"/>
      <c r="H1596" s="24"/>
      <c r="J1596" s="24"/>
      <c r="K1596" s="24"/>
      <c r="M1596" s="24"/>
      <c r="N1596" s="24"/>
      <c r="P1596" s="24"/>
    </row>
    <row r="1597" spans="2:16" x14ac:dyDescent="0.25">
      <c r="B1597" s="24"/>
      <c r="E1597" s="24"/>
      <c r="G1597" s="24"/>
      <c r="H1597" s="24"/>
      <c r="J1597" s="24"/>
      <c r="K1597" s="24"/>
      <c r="M1597" s="24"/>
      <c r="N1597" s="24"/>
      <c r="P1597" s="24"/>
    </row>
    <row r="1598" spans="2:16" x14ac:dyDescent="0.25">
      <c r="B1598" s="24"/>
      <c r="E1598" s="24"/>
      <c r="G1598" s="24"/>
      <c r="H1598" s="24"/>
      <c r="J1598" s="24"/>
      <c r="K1598" s="24"/>
      <c r="M1598" s="24"/>
      <c r="N1598" s="24"/>
      <c r="P1598" s="24"/>
    </row>
    <row r="1599" spans="2:16" x14ac:dyDescent="0.25">
      <c r="B1599" s="24"/>
      <c r="E1599" s="24"/>
      <c r="G1599" s="24"/>
      <c r="H1599" s="24"/>
      <c r="J1599" s="24"/>
      <c r="K1599" s="24"/>
      <c r="M1599" s="24"/>
      <c r="N1599" s="24"/>
      <c r="P1599" s="24"/>
    </row>
    <row r="1600" spans="2:16" x14ac:dyDescent="0.25">
      <c r="B1600" s="24"/>
      <c r="E1600" s="24"/>
      <c r="G1600" s="24"/>
      <c r="H1600" s="24"/>
      <c r="J1600" s="24"/>
      <c r="K1600" s="24"/>
      <c r="M1600" s="24"/>
      <c r="N1600" s="24"/>
      <c r="P1600" s="24"/>
    </row>
    <row r="1601" spans="2:16" x14ac:dyDescent="0.25">
      <c r="B1601" s="24"/>
      <c r="E1601" s="24"/>
      <c r="G1601" s="24"/>
      <c r="H1601" s="24"/>
      <c r="J1601" s="24"/>
      <c r="K1601" s="24"/>
      <c r="M1601" s="24"/>
      <c r="N1601" s="24"/>
      <c r="P1601" s="24"/>
    </row>
    <row r="1602" spans="2:16" x14ac:dyDescent="0.25">
      <c r="B1602" s="24"/>
      <c r="E1602" s="24"/>
      <c r="G1602" s="24"/>
      <c r="H1602" s="24"/>
      <c r="J1602" s="24"/>
      <c r="K1602" s="24"/>
      <c r="M1602" s="24"/>
      <c r="N1602" s="24"/>
      <c r="P1602" s="24"/>
    </row>
    <row r="1603" spans="2:16" x14ac:dyDescent="0.25">
      <c r="B1603" s="24"/>
      <c r="E1603" s="24"/>
      <c r="G1603" s="24"/>
      <c r="H1603" s="24"/>
      <c r="J1603" s="24"/>
      <c r="K1603" s="24"/>
      <c r="M1603" s="24"/>
      <c r="N1603" s="24"/>
      <c r="P1603" s="24"/>
    </row>
    <row r="1604" spans="2:16" x14ac:dyDescent="0.25">
      <c r="B1604" s="24"/>
      <c r="E1604" s="24"/>
      <c r="G1604" s="24"/>
      <c r="H1604" s="24"/>
      <c r="J1604" s="24"/>
      <c r="K1604" s="24"/>
      <c r="M1604" s="24"/>
      <c r="N1604" s="24"/>
      <c r="P1604" s="24"/>
    </row>
    <row r="1605" spans="2:16" x14ac:dyDescent="0.25">
      <c r="B1605" s="24"/>
      <c r="E1605" s="24"/>
      <c r="G1605" s="24"/>
      <c r="H1605" s="24"/>
      <c r="J1605" s="24"/>
      <c r="K1605" s="24"/>
      <c r="M1605" s="24"/>
      <c r="N1605" s="24"/>
      <c r="P1605" s="24"/>
    </row>
    <row r="1606" spans="2:16" x14ac:dyDescent="0.25">
      <c r="B1606" s="24"/>
      <c r="E1606" s="24"/>
      <c r="G1606" s="24"/>
      <c r="H1606" s="24"/>
      <c r="J1606" s="24"/>
      <c r="K1606" s="24"/>
      <c r="M1606" s="24"/>
      <c r="N1606" s="24"/>
      <c r="P1606" s="24"/>
    </row>
    <row r="1607" spans="2:16" x14ac:dyDescent="0.25">
      <c r="B1607" s="24"/>
      <c r="E1607" s="24"/>
      <c r="G1607" s="24"/>
      <c r="H1607" s="24"/>
      <c r="J1607" s="24"/>
      <c r="K1607" s="24"/>
      <c r="M1607" s="24"/>
      <c r="N1607" s="24"/>
      <c r="P1607" s="24"/>
    </row>
    <row r="1608" spans="2:16" x14ac:dyDescent="0.25">
      <c r="B1608" s="24"/>
      <c r="E1608" s="24"/>
      <c r="G1608" s="24"/>
      <c r="H1608" s="24"/>
      <c r="J1608" s="24"/>
      <c r="K1608" s="24"/>
      <c r="M1608" s="24"/>
      <c r="N1608" s="24"/>
      <c r="P1608" s="24"/>
    </row>
    <row r="1609" spans="2:16" x14ac:dyDescent="0.25">
      <c r="B1609" s="24"/>
      <c r="E1609" s="24"/>
      <c r="G1609" s="24"/>
      <c r="H1609" s="24"/>
      <c r="J1609" s="24"/>
      <c r="K1609" s="24"/>
      <c r="M1609" s="24"/>
      <c r="N1609" s="24"/>
      <c r="P1609" s="24"/>
    </row>
    <row r="1610" spans="2:16" x14ac:dyDescent="0.25">
      <c r="B1610" s="24"/>
      <c r="E1610" s="24"/>
      <c r="G1610" s="24"/>
      <c r="H1610" s="24"/>
      <c r="J1610" s="24"/>
      <c r="K1610" s="24"/>
      <c r="M1610" s="24"/>
      <c r="N1610" s="24"/>
      <c r="P1610" s="24"/>
    </row>
    <row r="1611" spans="2:16" x14ac:dyDescent="0.25">
      <c r="B1611" s="24"/>
      <c r="E1611" s="24"/>
      <c r="G1611" s="24"/>
      <c r="H1611" s="24"/>
      <c r="J1611" s="24"/>
      <c r="K1611" s="24"/>
      <c r="M1611" s="24"/>
      <c r="N1611" s="24"/>
      <c r="P1611" s="24"/>
    </row>
    <row r="1612" spans="2:16" x14ac:dyDescent="0.25">
      <c r="B1612" s="24"/>
      <c r="E1612" s="24"/>
      <c r="G1612" s="24"/>
      <c r="H1612" s="24"/>
      <c r="J1612" s="24"/>
      <c r="K1612" s="24"/>
      <c r="M1612" s="24"/>
      <c r="N1612" s="24"/>
      <c r="P1612" s="24"/>
    </row>
    <row r="1613" spans="2:16" x14ac:dyDescent="0.25">
      <c r="B1613" s="24"/>
      <c r="E1613" s="24"/>
      <c r="G1613" s="24"/>
      <c r="H1613" s="24"/>
      <c r="J1613" s="24"/>
      <c r="K1613" s="24"/>
      <c r="M1613" s="24"/>
      <c r="N1613" s="24"/>
      <c r="P1613" s="24"/>
    </row>
    <row r="1614" spans="2:16" x14ac:dyDescent="0.25">
      <c r="B1614" s="24"/>
      <c r="E1614" s="24"/>
      <c r="G1614" s="24"/>
      <c r="H1614" s="24"/>
      <c r="J1614" s="24"/>
      <c r="K1614" s="24"/>
      <c r="M1614" s="24"/>
      <c r="N1614" s="24"/>
      <c r="P1614" s="24"/>
    </row>
    <row r="1615" spans="2:16" x14ac:dyDescent="0.25">
      <c r="B1615" s="24"/>
      <c r="E1615" s="24"/>
      <c r="G1615" s="24"/>
      <c r="H1615" s="24"/>
      <c r="J1615" s="24"/>
      <c r="K1615" s="24"/>
      <c r="M1615" s="24"/>
      <c r="N1615" s="24"/>
      <c r="P1615" s="24"/>
    </row>
    <row r="1616" spans="2:16" x14ac:dyDescent="0.25">
      <c r="B1616" s="24"/>
      <c r="E1616" s="24"/>
      <c r="G1616" s="24"/>
      <c r="H1616" s="24"/>
      <c r="J1616" s="24"/>
      <c r="K1616" s="24"/>
      <c r="M1616" s="24"/>
      <c r="N1616" s="24"/>
      <c r="P1616" s="24"/>
    </row>
    <row r="1617" spans="2:16" x14ac:dyDescent="0.25">
      <c r="B1617" s="24"/>
      <c r="E1617" s="24"/>
      <c r="G1617" s="24"/>
      <c r="H1617" s="24"/>
      <c r="J1617" s="24"/>
      <c r="K1617" s="24"/>
      <c r="M1617" s="24"/>
      <c r="N1617" s="24"/>
      <c r="P1617" s="24"/>
    </row>
    <row r="1618" spans="2:16" x14ac:dyDescent="0.25">
      <c r="B1618" s="24"/>
      <c r="E1618" s="24"/>
      <c r="G1618" s="24"/>
      <c r="H1618" s="24"/>
      <c r="J1618" s="24"/>
      <c r="K1618" s="24"/>
      <c r="M1618" s="24"/>
      <c r="N1618" s="24"/>
      <c r="P1618" s="24"/>
    </row>
    <row r="1619" spans="2:16" x14ac:dyDescent="0.25">
      <c r="B1619" s="24"/>
      <c r="E1619" s="24"/>
      <c r="G1619" s="24"/>
      <c r="H1619" s="24"/>
      <c r="J1619" s="24"/>
      <c r="K1619" s="24"/>
      <c r="M1619" s="24"/>
      <c r="N1619" s="24"/>
      <c r="P1619" s="24"/>
    </row>
    <row r="1620" spans="2:16" x14ac:dyDescent="0.25">
      <c r="B1620" s="24"/>
      <c r="E1620" s="24"/>
      <c r="G1620" s="24"/>
      <c r="H1620" s="24"/>
      <c r="J1620" s="24"/>
      <c r="K1620" s="24"/>
      <c r="M1620" s="24"/>
      <c r="N1620" s="24"/>
      <c r="P1620" s="24"/>
    </row>
    <row r="1621" spans="2:16" x14ac:dyDescent="0.25">
      <c r="B1621" s="24"/>
      <c r="E1621" s="24"/>
      <c r="G1621" s="24"/>
      <c r="H1621" s="24"/>
      <c r="J1621" s="24"/>
      <c r="K1621" s="24"/>
      <c r="M1621" s="24"/>
      <c r="N1621" s="24"/>
      <c r="P1621" s="24"/>
    </row>
    <row r="1622" spans="2:16" x14ac:dyDescent="0.25">
      <c r="B1622" s="24"/>
      <c r="E1622" s="24"/>
      <c r="G1622" s="24"/>
      <c r="H1622" s="24"/>
      <c r="J1622" s="24"/>
      <c r="K1622" s="24"/>
      <c r="M1622" s="24"/>
      <c r="N1622" s="24"/>
      <c r="P1622" s="24"/>
    </row>
    <row r="1623" spans="2:16" x14ac:dyDescent="0.25">
      <c r="B1623" s="24"/>
      <c r="E1623" s="24"/>
      <c r="G1623" s="24"/>
      <c r="H1623" s="24"/>
      <c r="J1623" s="24"/>
      <c r="K1623" s="24"/>
      <c r="M1623" s="24"/>
      <c r="N1623" s="24"/>
      <c r="P1623" s="24"/>
    </row>
    <row r="1624" spans="2:16" x14ac:dyDescent="0.25">
      <c r="B1624" s="24"/>
      <c r="E1624" s="24"/>
      <c r="G1624" s="24"/>
      <c r="H1624" s="24"/>
      <c r="J1624" s="24"/>
      <c r="K1624" s="24"/>
      <c r="M1624" s="24"/>
      <c r="N1624" s="24"/>
      <c r="P1624" s="24"/>
    </row>
    <row r="1625" spans="2:16" x14ac:dyDescent="0.25">
      <c r="B1625" s="24"/>
      <c r="E1625" s="24"/>
      <c r="G1625" s="24"/>
      <c r="H1625" s="24"/>
      <c r="J1625" s="24"/>
      <c r="K1625" s="24"/>
      <c r="M1625" s="24"/>
      <c r="N1625" s="24"/>
      <c r="P1625" s="24"/>
    </row>
    <row r="1626" spans="2:16" x14ac:dyDescent="0.25">
      <c r="B1626" s="24"/>
      <c r="E1626" s="24"/>
      <c r="G1626" s="24"/>
      <c r="H1626" s="24"/>
      <c r="J1626" s="24"/>
      <c r="K1626" s="24"/>
      <c r="M1626" s="24"/>
      <c r="N1626" s="24"/>
      <c r="P1626" s="24"/>
    </row>
    <row r="1627" spans="2:16" x14ac:dyDescent="0.25">
      <c r="B1627" s="24"/>
      <c r="E1627" s="24"/>
      <c r="G1627" s="24"/>
      <c r="H1627" s="24"/>
      <c r="J1627" s="24"/>
      <c r="K1627" s="24"/>
      <c r="M1627" s="24"/>
      <c r="N1627" s="24"/>
      <c r="P1627" s="24"/>
    </row>
    <row r="1628" spans="2:16" x14ac:dyDescent="0.25">
      <c r="B1628" s="24"/>
      <c r="E1628" s="24"/>
      <c r="G1628" s="24"/>
      <c r="H1628" s="24"/>
      <c r="J1628" s="24"/>
      <c r="K1628" s="24"/>
      <c r="M1628" s="24"/>
      <c r="N1628" s="24"/>
      <c r="P1628" s="24"/>
    </row>
    <row r="1629" spans="2:16" x14ac:dyDescent="0.25">
      <c r="B1629" s="24"/>
      <c r="E1629" s="24"/>
      <c r="G1629" s="24"/>
      <c r="H1629" s="24"/>
      <c r="J1629" s="24"/>
      <c r="K1629" s="24"/>
      <c r="M1629" s="24"/>
      <c r="N1629" s="24"/>
      <c r="P1629" s="24"/>
    </row>
    <row r="1630" spans="2:16" x14ac:dyDescent="0.25">
      <c r="B1630" s="24"/>
      <c r="E1630" s="24"/>
      <c r="G1630" s="24"/>
      <c r="H1630" s="24"/>
      <c r="J1630" s="24"/>
      <c r="K1630" s="24"/>
      <c r="M1630" s="24"/>
      <c r="N1630" s="24"/>
      <c r="P1630" s="24"/>
    </row>
    <row r="1631" spans="2:16" x14ac:dyDescent="0.25">
      <c r="B1631" s="24"/>
      <c r="E1631" s="24"/>
      <c r="G1631" s="24"/>
      <c r="H1631" s="24"/>
      <c r="J1631" s="24"/>
      <c r="K1631" s="24"/>
      <c r="M1631" s="24"/>
      <c r="N1631" s="24"/>
      <c r="P1631" s="24"/>
    </row>
    <row r="1632" spans="2:16" x14ac:dyDescent="0.25">
      <c r="B1632" s="24"/>
      <c r="E1632" s="24"/>
      <c r="G1632" s="24"/>
      <c r="H1632" s="24"/>
      <c r="J1632" s="24"/>
      <c r="K1632" s="24"/>
      <c r="M1632" s="24"/>
      <c r="N1632" s="24"/>
      <c r="P1632" s="24"/>
    </row>
    <row r="1633" spans="2:16" x14ac:dyDescent="0.25">
      <c r="B1633" s="24"/>
      <c r="E1633" s="24"/>
      <c r="G1633" s="24"/>
      <c r="H1633" s="24"/>
      <c r="J1633" s="24"/>
      <c r="K1633" s="24"/>
      <c r="M1633" s="24"/>
      <c r="N1633" s="24"/>
      <c r="P1633" s="24"/>
    </row>
    <row r="1634" spans="2:16" x14ac:dyDescent="0.25">
      <c r="B1634" s="24"/>
      <c r="E1634" s="24"/>
      <c r="G1634" s="24"/>
      <c r="H1634" s="24"/>
      <c r="J1634" s="24"/>
      <c r="K1634" s="24"/>
      <c r="M1634" s="24"/>
      <c r="N1634" s="24"/>
      <c r="P1634" s="24"/>
    </row>
    <row r="1635" spans="2:16" x14ac:dyDescent="0.25">
      <c r="B1635" s="24"/>
      <c r="E1635" s="24"/>
      <c r="G1635" s="24"/>
      <c r="H1635" s="24"/>
      <c r="J1635" s="24"/>
      <c r="K1635" s="24"/>
      <c r="M1635" s="24"/>
      <c r="N1635" s="24"/>
      <c r="P1635" s="24"/>
    </row>
    <row r="1636" spans="2:16" x14ac:dyDescent="0.25">
      <c r="B1636" s="24"/>
      <c r="E1636" s="24"/>
      <c r="G1636" s="24"/>
      <c r="H1636" s="24"/>
      <c r="J1636" s="24"/>
      <c r="K1636" s="24"/>
      <c r="M1636" s="24"/>
      <c r="N1636" s="24"/>
      <c r="P1636" s="24"/>
    </row>
    <row r="1637" spans="2:16" x14ac:dyDescent="0.25">
      <c r="B1637" s="24"/>
      <c r="E1637" s="24"/>
      <c r="G1637" s="24"/>
      <c r="H1637" s="24"/>
      <c r="J1637" s="24"/>
      <c r="K1637" s="24"/>
      <c r="M1637" s="24"/>
      <c r="N1637" s="24"/>
      <c r="P1637" s="24"/>
    </row>
    <row r="1638" spans="2:16" x14ac:dyDescent="0.25">
      <c r="B1638" s="24"/>
      <c r="E1638" s="24"/>
      <c r="G1638" s="24"/>
      <c r="H1638" s="24"/>
      <c r="J1638" s="24"/>
      <c r="K1638" s="24"/>
      <c r="M1638" s="24"/>
      <c r="N1638" s="24"/>
      <c r="P1638" s="24"/>
    </row>
    <row r="1639" spans="2:16" x14ac:dyDescent="0.25">
      <c r="B1639" s="24"/>
      <c r="E1639" s="24"/>
      <c r="G1639" s="24"/>
      <c r="H1639" s="24"/>
      <c r="J1639" s="24"/>
      <c r="K1639" s="24"/>
      <c r="M1639" s="24"/>
      <c r="N1639" s="24"/>
      <c r="P1639" s="24"/>
    </row>
    <row r="1640" spans="2:16" x14ac:dyDescent="0.25">
      <c r="B1640" s="24"/>
      <c r="E1640" s="24"/>
      <c r="G1640" s="24"/>
      <c r="H1640" s="24"/>
      <c r="J1640" s="24"/>
      <c r="K1640" s="24"/>
      <c r="M1640" s="24"/>
      <c r="N1640" s="24"/>
      <c r="P1640" s="24"/>
    </row>
    <row r="1641" spans="2:16" x14ac:dyDescent="0.25">
      <c r="B1641" s="24"/>
      <c r="E1641" s="24"/>
      <c r="G1641" s="24"/>
      <c r="H1641" s="24"/>
      <c r="J1641" s="24"/>
      <c r="K1641" s="24"/>
      <c r="M1641" s="24"/>
      <c r="N1641" s="24"/>
      <c r="P1641" s="24"/>
    </row>
    <row r="1642" spans="2:16" x14ac:dyDescent="0.25">
      <c r="B1642" s="24"/>
      <c r="E1642" s="24"/>
      <c r="G1642" s="24"/>
      <c r="H1642" s="24"/>
      <c r="J1642" s="24"/>
      <c r="K1642" s="24"/>
      <c r="M1642" s="24"/>
      <c r="N1642" s="24"/>
      <c r="P1642" s="24"/>
    </row>
    <row r="1643" spans="2:16" x14ac:dyDescent="0.25">
      <c r="B1643" s="24"/>
      <c r="E1643" s="24"/>
      <c r="G1643" s="24"/>
      <c r="H1643" s="24"/>
      <c r="J1643" s="24"/>
      <c r="K1643" s="24"/>
      <c r="M1643" s="24"/>
      <c r="N1643" s="24"/>
      <c r="P1643" s="24"/>
    </row>
    <row r="1644" spans="2:16" x14ac:dyDescent="0.25">
      <c r="B1644" s="24"/>
      <c r="E1644" s="24"/>
      <c r="G1644" s="24"/>
      <c r="H1644" s="24"/>
      <c r="J1644" s="24"/>
      <c r="K1644" s="24"/>
      <c r="M1644" s="24"/>
      <c r="N1644" s="24"/>
      <c r="P1644" s="24"/>
    </row>
    <row r="1645" spans="2:16" x14ac:dyDescent="0.25">
      <c r="B1645" s="24"/>
      <c r="E1645" s="24"/>
      <c r="G1645" s="24"/>
      <c r="H1645" s="24"/>
      <c r="J1645" s="24"/>
      <c r="K1645" s="24"/>
      <c r="M1645" s="24"/>
      <c r="N1645" s="24"/>
      <c r="P1645" s="24"/>
    </row>
    <row r="1646" spans="2:16" x14ac:dyDescent="0.25">
      <c r="B1646" s="24"/>
      <c r="E1646" s="24"/>
      <c r="G1646" s="24"/>
      <c r="H1646" s="24"/>
      <c r="J1646" s="24"/>
      <c r="K1646" s="24"/>
      <c r="M1646" s="24"/>
      <c r="N1646" s="24"/>
      <c r="P1646" s="24"/>
    </row>
    <row r="1647" spans="2:16" x14ac:dyDescent="0.25">
      <c r="B1647" s="24"/>
      <c r="E1647" s="24"/>
      <c r="G1647" s="24"/>
      <c r="H1647" s="24"/>
      <c r="J1647" s="24"/>
      <c r="K1647" s="24"/>
      <c r="M1647" s="24"/>
      <c r="N1647" s="24"/>
      <c r="P1647" s="24"/>
    </row>
    <row r="1648" spans="2:16" x14ac:dyDescent="0.25">
      <c r="B1648" s="24"/>
      <c r="E1648" s="24"/>
      <c r="G1648" s="24"/>
      <c r="H1648" s="24"/>
      <c r="J1648" s="24"/>
      <c r="K1648" s="24"/>
      <c r="M1648" s="24"/>
      <c r="N1648" s="24"/>
      <c r="P1648" s="24"/>
    </row>
    <row r="1649" spans="2:16" x14ac:dyDescent="0.25">
      <c r="B1649" s="24"/>
      <c r="E1649" s="24"/>
      <c r="G1649" s="24"/>
      <c r="H1649" s="24"/>
      <c r="J1649" s="24"/>
      <c r="K1649" s="24"/>
      <c r="M1649" s="24"/>
      <c r="N1649" s="24"/>
      <c r="P1649" s="24"/>
    </row>
    <row r="1650" spans="2:16" x14ac:dyDescent="0.25">
      <c r="B1650" s="24"/>
      <c r="E1650" s="24"/>
      <c r="G1650" s="24"/>
      <c r="H1650" s="24"/>
      <c r="J1650" s="24"/>
      <c r="K1650" s="24"/>
      <c r="M1650" s="24"/>
      <c r="N1650" s="24"/>
      <c r="P1650" s="24"/>
    </row>
    <row r="1651" spans="2:16" x14ac:dyDescent="0.25">
      <c r="B1651" s="24"/>
      <c r="E1651" s="24"/>
      <c r="G1651" s="24"/>
      <c r="H1651" s="24"/>
      <c r="J1651" s="24"/>
      <c r="K1651" s="24"/>
      <c r="M1651" s="24"/>
      <c r="N1651" s="24"/>
      <c r="P1651" s="24"/>
    </row>
    <row r="1652" spans="2:16" x14ac:dyDescent="0.25">
      <c r="B1652" s="24"/>
      <c r="E1652" s="24"/>
      <c r="G1652" s="24"/>
      <c r="H1652" s="24"/>
      <c r="J1652" s="24"/>
      <c r="K1652" s="24"/>
      <c r="M1652" s="24"/>
      <c r="N1652" s="24"/>
      <c r="P1652" s="24"/>
    </row>
    <row r="1653" spans="2:16" x14ac:dyDescent="0.25">
      <c r="B1653" s="24"/>
      <c r="E1653" s="24"/>
      <c r="G1653" s="24"/>
      <c r="H1653" s="24"/>
      <c r="J1653" s="24"/>
      <c r="K1653" s="24"/>
      <c r="M1653" s="24"/>
      <c r="N1653" s="24"/>
      <c r="P1653" s="24"/>
    </row>
    <row r="1654" spans="2:16" x14ac:dyDescent="0.25">
      <c r="B1654" s="24"/>
      <c r="E1654" s="24"/>
      <c r="G1654" s="24"/>
      <c r="H1654" s="24"/>
      <c r="J1654" s="24"/>
      <c r="K1654" s="24"/>
      <c r="M1654" s="24"/>
      <c r="N1654" s="24"/>
      <c r="P1654" s="24"/>
    </row>
    <row r="1655" spans="2:16" x14ac:dyDescent="0.25">
      <c r="B1655" s="24"/>
      <c r="E1655" s="24"/>
      <c r="G1655" s="24"/>
      <c r="H1655" s="24"/>
      <c r="J1655" s="24"/>
      <c r="K1655" s="24"/>
      <c r="M1655" s="24"/>
      <c r="N1655" s="24"/>
      <c r="P1655" s="24"/>
    </row>
    <row r="1656" spans="2:16" x14ac:dyDescent="0.25">
      <c r="B1656" s="24"/>
      <c r="E1656" s="24"/>
      <c r="G1656" s="24"/>
      <c r="H1656" s="24"/>
      <c r="J1656" s="24"/>
      <c r="K1656" s="24"/>
      <c r="M1656" s="24"/>
      <c r="N1656" s="24"/>
      <c r="P1656" s="24"/>
    </row>
    <row r="1657" spans="2:16" x14ac:dyDescent="0.25">
      <c r="B1657" s="24"/>
      <c r="E1657" s="24"/>
      <c r="G1657" s="24"/>
      <c r="H1657" s="24"/>
      <c r="J1657" s="24"/>
      <c r="K1657" s="24"/>
      <c r="M1657" s="24"/>
      <c r="N1657" s="24"/>
      <c r="P1657" s="24"/>
    </row>
    <row r="1658" spans="2:16" x14ac:dyDescent="0.25">
      <c r="B1658" s="24"/>
      <c r="E1658" s="24"/>
      <c r="G1658" s="24"/>
      <c r="H1658" s="24"/>
      <c r="J1658" s="24"/>
      <c r="K1658" s="24"/>
      <c r="M1658" s="24"/>
      <c r="N1658" s="24"/>
      <c r="P1658" s="24"/>
    </row>
    <row r="1659" spans="2:16" x14ac:dyDescent="0.25">
      <c r="B1659" s="24"/>
      <c r="E1659" s="24"/>
      <c r="G1659" s="24"/>
      <c r="H1659" s="24"/>
      <c r="J1659" s="24"/>
      <c r="K1659" s="24"/>
      <c r="M1659" s="24"/>
      <c r="N1659" s="24"/>
      <c r="P1659" s="24"/>
    </row>
    <row r="1660" spans="2:16" x14ac:dyDescent="0.25">
      <c r="B1660" s="24"/>
      <c r="E1660" s="24"/>
      <c r="G1660" s="24"/>
      <c r="H1660" s="24"/>
      <c r="J1660" s="24"/>
      <c r="K1660" s="24"/>
      <c r="M1660" s="24"/>
      <c r="N1660" s="24"/>
      <c r="P1660" s="24"/>
    </row>
    <row r="1661" spans="2:16" x14ac:dyDescent="0.25">
      <c r="B1661" s="24"/>
      <c r="E1661" s="24"/>
      <c r="G1661" s="24"/>
      <c r="H1661" s="24"/>
      <c r="J1661" s="24"/>
      <c r="K1661" s="24"/>
      <c r="M1661" s="24"/>
      <c r="N1661" s="24"/>
      <c r="P1661" s="24"/>
    </row>
    <row r="1662" spans="2:16" x14ac:dyDescent="0.25">
      <c r="B1662" s="24"/>
      <c r="E1662" s="24"/>
      <c r="G1662" s="24"/>
      <c r="H1662" s="24"/>
      <c r="J1662" s="24"/>
      <c r="K1662" s="24"/>
      <c r="M1662" s="24"/>
      <c r="N1662" s="24"/>
      <c r="P1662" s="24"/>
    </row>
    <row r="1663" spans="2:16" x14ac:dyDescent="0.25">
      <c r="B1663" s="24"/>
      <c r="E1663" s="24"/>
      <c r="G1663" s="24"/>
      <c r="H1663" s="24"/>
      <c r="J1663" s="24"/>
      <c r="K1663" s="24"/>
      <c r="M1663" s="24"/>
      <c r="N1663" s="24"/>
      <c r="P1663" s="24"/>
    </row>
    <row r="1664" spans="2:16" x14ac:dyDescent="0.25">
      <c r="B1664" s="24"/>
      <c r="E1664" s="24"/>
      <c r="G1664" s="24"/>
      <c r="H1664" s="24"/>
      <c r="J1664" s="24"/>
      <c r="K1664" s="24"/>
      <c r="M1664" s="24"/>
      <c r="N1664" s="24"/>
      <c r="P1664" s="24"/>
    </row>
    <row r="1665" spans="2:16" x14ac:dyDescent="0.25">
      <c r="B1665" s="24"/>
      <c r="E1665" s="24"/>
      <c r="G1665" s="24"/>
      <c r="H1665" s="24"/>
      <c r="J1665" s="24"/>
      <c r="K1665" s="24"/>
      <c r="M1665" s="24"/>
      <c r="N1665" s="24"/>
      <c r="P1665" s="24"/>
    </row>
    <row r="1666" spans="2:16" x14ac:dyDescent="0.25">
      <c r="B1666" s="24"/>
      <c r="E1666" s="24"/>
      <c r="G1666" s="24"/>
      <c r="H1666" s="24"/>
      <c r="J1666" s="24"/>
      <c r="K1666" s="24"/>
      <c r="M1666" s="24"/>
      <c r="N1666" s="24"/>
      <c r="P1666" s="24"/>
    </row>
    <row r="1667" spans="2:16" x14ac:dyDescent="0.25">
      <c r="B1667" s="24"/>
      <c r="E1667" s="24"/>
      <c r="G1667" s="24"/>
      <c r="H1667" s="24"/>
      <c r="J1667" s="24"/>
      <c r="K1667" s="24"/>
      <c r="M1667" s="24"/>
      <c r="N1667" s="24"/>
      <c r="P1667" s="24"/>
    </row>
    <row r="1668" spans="2:16" x14ac:dyDescent="0.25">
      <c r="B1668" s="24"/>
      <c r="E1668" s="24"/>
      <c r="G1668" s="24"/>
      <c r="H1668" s="24"/>
      <c r="J1668" s="24"/>
      <c r="K1668" s="24"/>
      <c r="M1668" s="24"/>
      <c r="N1668" s="24"/>
      <c r="P1668" s="24"/>
    </row>
    <row r="1669" spans="2:16" x14ac:dyDescent="0.25">
      <c r="B1669" s="24"/>
      <c r="E1669" s="24"/>
      <c r="G1669" s="24"/>
      <c r="H1669" s="24"/>
      <c r="J1669" s="24"/>
      <c r="K1669" s="24"/>
      <c r="M1669" s="24"/>
      <c r="N1669" s="24"/>
      <c r="P1669" s="24"/>
    </row>
    <row r="1670" spans="2:16" x14ac:dyDescent="0.25">
      <c r="B1670" s="24"/>
      <c r="E1670" s="24"/>
      <c r="G1670" s="24"/>
      <c r="H1670" s="24"/>
      <c r="J1670" s="24"/>
      <c r="K1670" s="24"/>
      <c r="M1670" s="24"/>
      <c r="N1670" s="24"/>
      <c r="P1670" s="24"/>
    </row>
    <row r="1671" spans="2:16" x14ac:dyDescent="0.25">
      <c r="B1671" s="24"/>
      <c r="E1671" s="24"/>
      <c r="G1671" s="24"/>
      <c r="H1671" s="24"/>
      <c r="J1671" s="24"/>
      <c r="K1671" s="24"/>
      <c r="M1671" s="24"/>
      <c r="N1671" s="24"/>
      <c r="P1671" s="24"/>
    </row>
    <row r="1672" spans="2:16" x14ac:dyDescent="0.25">
      <c r="B1672" s="24"/>
      <c r="E1672" s="24"/>
      <c r="G1672" s="24"/>
      <c r="H1672" s="24"/>
      <c r="J1672" s="24"/>
      <c r="K1672" s="24"/>
      <c r="M1672" s="24"/>
      <c r="N1672" s="24"/>
      <c r="P1672" s="24"/>
    </row>
    <row r="1673" spans="2:16" x14ac:dyDescent="0.25">
      <c r="B1673" s="24"/>
      <c r="E1673" s="24"/>
      <c r="G1673" s="24"/>
      <c r="H1673" s="24"/>
      <c r="J1673" s="24"/>
      <c r="K1673" s="24"/>
      <c r="M1673" s="24"/>
      <c r="N1673" s="24"/>
      <c r="P1673" s="24"/>
    </row>
    <row r="1674" spans="2:16" x14ac:dyDescent="0.25">
      <c r="B1674" s="24"/>
      <c r="E1674" s="24"/>
      <c r="G1674" s="24"/>
      <c r="H1674" s="24"/>
      <c r="J1674" s="24"/>
      <c r="K1674" s="24"/>
      <c r="M1674" s="24"/>
      <c r="N1674" s="24"/>
      <c r="P1674" s="24"/>
    </row>
    <row r="1675" spans="2:16" x14ac:dyDescent="0.25">
      <c r="B1675" s="24"/>
      <c r="E1675" s="24"/>
      <c r="G1675" s="24"/>
      <c r="H1675" s="24"/>
      <c r="J1675" s="24"/>
      <c r="K1675" s="24"/>
      <c r="M1675" s="24"/>
      <c r="N1675" s="24"/>
      <c r="P1675" s="24"/>
    </row>
    <row r="1676" spans="2:16" x14ac:dyDescent="0.25">
      <c r="B1676" s="24"/>
      <c r="E1676" s="24"/>
      <c r="G1676" s="24"/>
      <c r="H1676" s="24"/>
      <c r="J1676" s="24"/>
      <c r="K1676" s="24"/>
      <c r="M1676" s="24"/>
      <c r="N1676" s="24"/>
      <c r="P1676" s="24"/>
    </row>
    <row r="1677" spans="2:16" x14ac:dyDescent="0.25">
      <c r="B1677" s="24"/>
      <c r="E1677" s="24"/>
      <c r="G1677" s="24"/>
      <c r="H1677" s="24"/>
      <c r="J1677" s="24"/>
      <c r="K1677" s="24"/>
      <c r="M1677" s="24"/>
      <c r="N1677" s="24"/>
      <c r="P1677" s="24"/>
    </row>
    <row r="1678" spans="2:16" x14ac:dyDescent="0.25">
      <c r="B1678" s="24"/>
      <c r="E1678" s="24"/>
      <c r="G1678" s="24"/>
      <c r="H1678" s="24"/>
      <c r="J1678" s="24"/>
      <c r="K1678" s="24"/>
      <c r="M1678" s="24"/>
      <c r="N1678" s="24"/>
      <c r="P1678" s="24"/>
    </row>
    <row r="1679" spans="2:16" x14ac:dyDescent="0.25">
      <c r="B1679" s="24"/>
      <c r="E1679" s="24"/>
      <c r="G1679" s="24"/>
      <c r="H1679" s="24"/>
      <c r="J1679" s="24"/>
      <c r="K1679" s="24"/>
      <c r="M1679" s="24"/>
      <c r="N1679" s="24"/>
      <c r="P1679" s="24"/>
    </row>
    <row r="1680" spans="2:16" x14ac:dyDescent="0.25">
      <c r="B1680" s="24"/>
      <c r="E1680" s="24"/>
      <c r="G1680" s="24"/>
      <c r="H1680" s="24"/>
      <c r="J1680" s="24"/>
      <c r="K1680" s="24"/>
      <c r="M1680" s="24"/>
      <c r="N1680" s="24"/>
      <c r="P1680" s="24"/>
    </row>
    <row r="1681" spans="2:16" x14ac:dyDescent="0.25">
      <c r="B1681" s="24"/>
      <c r="E1681" s="24"/>
      <c r="G1681" s="24"/>
      <c r="H1681" s="24"/>
      <c r="J1681" s="24"/>
      <c r="K1681" s="24"/>
      <c r="M1681" s="24"/>
      <c r="N1681" s="24"/>
      <c r="P1681" s="24"/>
    </row>
    <row r="1682" spans="2:16" x14ac:dyDescent="0.25">
      <c r="B1682" s="24"/>
      <c r="E1682" s="24"/>
      <c r="G1682" s="24"/>
      <c r="H1682" s="24"/>
      <c r="J1682" s="24"/>
      <c r="K1682" s="24"/>
      <c r="M1682" s="24"/>
      <c r="N1682" s="24"/>
      <c r="P1682" s="24"/>
    </row>
    <row r="1683" spans="2:16" x14ac:dyDescent="0.25">
      <c r="B1683" s="24"/>
      <c r="E1683" s="24"/>
      <c r="G1683" s="24"/>
      <c r="H1683" s="24"/>
      <c r="J1683" s="24"/>
      <c r="K1683" s="24"/>
      <c r="M1683" s="24"/>
      <c r="N1683" s="24"/>
      <c r="P1683" s="24"/>
    </row>
    <row r="1684" spans="2:16" x14ac:dyDescent="0.25">
      <c r="B1684" s="24"/>
      <c r="E1684" s="24"/>
      <c r="G1684" s="24"/>
      <c r="H1684" s="24"/>
      <c r="J1684" s="24"/>
      <c r="K1684" s="24"/>
      <c r="M1684" s="24"/>
      <c r="N1684" s="24"/>
      <c r="P1684" s="24"/>
    </row>
    <row r="1685" spans="2:16" x14ac:dyDescent="0.25">
      <c r="B1685" s="24"/>
      <c r="E1685" s="24"/>
      <c r="G1685" s="24"/>
      <c r="H1685" s="24"/>
      <c r="J1685" s="24"/>
      <c r="K1685" s="24"/>
      <c r="M1685" s="24"/>
      <c r="N1685" s="24"/>
      <c r="P1685" s="24"/>
    </row>
    <row r="1686" spans="2:16" x14ac:dyDescent="0.25">
      <c r="B1686" s="24"/>
      <c r="E1686" s="24"/>
      <c r="G1686" s="24"/>
      <c r="H1686" s="24"/>
      <c r="J1686" s="24"/>
      <c r="K1686" s="24"/>
      <c r="M1686" s="24"/>
      <c r="N1686" s="24"/>
      <c r="P1686" s="24"/>
    </row>
    <row r="1687" spans="2:16" x14ac:dyDescent="0.25">
      <c r="B1687" s="24"/>
      <c r="E1687" s="24"/>
      <c r="G1687" s="24"/>
      <c r="H1687" s="24"/>
      <c r="J1687" s="24"/>
      <c r="K1687" s="24"/>
      <c r="M1687" s="24"/>
      <c r="N1687" s="24"/>
      <c r="P1687" s="24"/>
    </row>
    <row r="1688" spans="2:16" x14ac:dyDescent="0.25">
      <c r="B1688" s="24"/>
      <c r="E1688" s="24"/>
      <c r="G1688" s="24"/>
      <c r="H1688" s="24"/>
      <c r="J1688" s="24"/>
      <c r="K1688" s="24"/>
      <c r="M1688" s="24"/>
      <c r="N1688" s="24"/>
      <c r="P1688" s="24"/>
    </row>
    <row r="1689" spans="2:16" x14ac:dyDescent="0.25">
      <c r="B1689" s="24"/>
      <c r="E1689" s="24"/>
      <c r="G1689" s="24"/>
      <c r="H1689" s="24"/>
      <c r="J1689" s="24"/>
      <c r="K1689" s="24"/>
      <c r="M1689" s="24"/>
      <c r="N1689" s="24"/>
      <c r="P1689" s="24"/>
    </row>
    <row r="1690" spans="2:16" x14ac:dyDescent="0.25">
      <c r="B1690" s="24"/>
      <c r="E1690" s="24"/>
      <c r="G1690" s="24"/>
      <c r="H1690" s="24"/>
      <c r="J1690" s="24"/>
      <c r="K1690" s="24"/>
      <c r="M1690" s="24"/>
      <c r="N1690" s="24"/>
      <c r="P1690" s="24"/>
    </row>
    <row r="1691" spans="2:16" x14ac:dyDescent="0.25">
      <c r="B1691" s="24"/>
      <c r="E1691" s="24"/>
      <c r="G1691" s="24"/>
      <c r="H1691" s="24"/>
      <c r="J1691" s="24"/>
      <c r="K1691" s="24"/>
      <c r="M1691" s="24"/>
      <c r="N1691" s="24"/>
      <c r="P1691" s="24"/>
    </row>
    <row r="1692" spans="2:16" x14ac:dyDescent="0.25">
      <c r="B1692" s="24"/>
      <c r="E1692" s="24"/>
      <c r="G1692" s="24"/>
      <c r="H1692" s="24"/>
      <c r="J1692" s="24"/>
      <c r="K1692" s="24"/>
      <c r="M1692" s="24"/>
      <c r="N1692" s="24"/>
      <c r="P1692" s="24"/>
    </row>
    <row r="1693" spans="2:16" x14ac:dyDescent="0.25">
      <c r="B1693" s="24"/>
      <c r="E1693" s="24"/>
      <c r="G1693" s="24"/>
      <c r="H1693" s="24"/>
      <c r="J1693" s="24"/>
      <c r="K1693" s="24"/>
      <c r="M1693" s="24"/>
      <c r="N1693" s="24"/>
      <c r="P1693" s="24"/>
    </row>
    <row r="1694" spans="2:16" x14ac:dyDescent="0.25">
      <c r="B1694" s="24"/>
      <c r="E1694" s="24"/>
      <c r="G1694" s="24"/>
      <c r="H1694" s="24"/>
      <c r="J1694" s="24"/>
      <c r="K1694" s="24"/>
      <c r="M1694" s="24"/>
      <c r="N1694" s="24"/>
      <c r="P1694" s="24"/>
    </row>
    <row r="1695" spans="2:16" x14ac:dyDescent="0.25">
      <c r="B1695" s="24"/>
      <c r="E1695" s="24"/>
      <c r="G1695" s="24"/>
      <c r="H1695" s="24"/>
      <c r="J1695" s="24"/>
      <c r="K1695" s="24"/>
      <c r="M1695" s="24"/>
      <c r="N1695" s="24"/>
      <c r="P1695" s="24"/>
    </row>
    <row r="1696" spans="2:16" x14ac:dyDescent="0.25">
      <c r="B1696" s="24"/>
      <c r="E1696" s="24"/>
      <c r="G1696" s="24"/>
      <c r="H1696" s="24"/>
      <c r="J1696" s="24"/>
      <c r="K1696" s="24"/>
      <c r="M1696" s="24"/>
      <c r="N1696" s="24"/>
      <c r="P1696" s="24"/>
    </row>
    <row r="1697" spans="2:16" x14ac:dyDescent="0.25">
      <c r="B1697" s="24"/>
      <c r="E1697" s="24"/>
      <c r="G1697" s="24"/>
      <c r="H1697" s="24"/>
      <c r="J1697" s="24"/>
      <c r="K1697" s="24"/>
      <c r="M1697" s="24"/>
      <c r="N1697" s="24"/>
      <c r="P1697" s="24"/>
    </row>
    <row r="1698" spans="2:16" x14ac:dyDescent="0.25">
      <c r="B1698" s="24"/>
      <c r="E1698" s="24"/>
      <c r="G1698" s="24"/>
      <c r="H1698" s="24"/>
      <c r="J1698" s="24"/>
      <c r="K1698" s="24"/>
      <c r="M1698" s="24"/>
      <c r="N1698" s="24"/>
      <c r="P1698" s="24"/>
    </row>
    <row r="1699" spans="2:16" x14ac:dyDescent="0.25">
      <c r="B1699" s="24"/>
      <c r="E1699" s="24"/>
      <c r="G1699" s="24"/>
      <c r="H1699" s="24"/>
      <c r="J1699" s="24"/>
      <c r="K1699" s="24"/>
      <c r="M1699" s="24"/>
      <c r="N1699" s="24"/>
      <c r="P1699" s="24"/>
    </row>
    <row r="1700" spans="2:16" x14ac:dyDescent="0.25">
      <c r="B1700" s="24"/>
      <c r="E1700" s="24"/>
      <c r="G1700" s="24"/>
      <c r="H1700" s="24"/>
      <c r="J1700" s="24"/>
      <c r="K1700" s="24"/>
      <c r="M1700" s="24"/>
      <c r="N1700" s="24"/>
      <c r="P1700" s="24"/>
    </row>
    <row r="1701" spans="2:16" x14ac:dyDescent="0.25">
      <c r="B1701" s="24"/>
      <c r="E1701" s="24"/>
      <c r="G1701" s="24"/>
      <c r="H1701" s="24"/>
      <c r="J1701" s="24"/>
      <c r="K1701" s="24"/>
      <c r="M1701" s="24"/>
      <c r="N1701" s="24"/>
      <c r="P1701" s="24"/>
    </row>
    <row r="1702" spans="2:16" x14ac:dyDescent="0.25">
      <c r="B1702" s="24"/>
      <c r="E1702" s="24"/>
      <c r="G1702" s="24"/>
      <c r="H1702" s="24"/>
      <c r="J1702" s="24"/>
      <c r="K1702" s="24"/>
      <c r="M1702" s="24"/>
      <c r="N1702" s="24"/>
      <c r="P1702" s="24"/>
    </row>
    <row r="1703" spans="2:16" x14ac:dyDescent="0.25">
      <c r="B1703" s="24"/>
      <c r="E1703" s="24"/>
      <c r="G1703" s="24"/>
      <c r="H1703" s="24"/>
      <c r="J1703" s="24"/>
      <c r="K1703" s="24"/>
      <c r="M1703" s="24"/>
      <c r="N1703" s="24"/>
      <c r="P1703" s="24"/>
    </row>
    <row r="1704" spans="2:16" x14ac:dyDescent="0.25">
      <c r="B1704" s="24"/>
      <c r="E1704" s="24"/>
      <c r="G1704" s="24"/>
      <c r="H1704" s="24"/>
      <c r="J1704" s="24"/>
      <c r="K1704" s="24"/>
      <c r="M1704" s="24"/>
      <c r="N1704" s="24"/>
      <c r="P1704" s="24"/>
    </row>
    <row r="1705" spans="2:16" x14ac:dyDescent="0.25">
      <c r="B1705" s="24"/>
      <c r="E1705" s="24"/>
      <c r="G1705" s="24"/>
      <c r="H1705" s="24"/>
      <c r="J1705" s="24"/>
      <c r="K1705" s="24"/>
      <c r="M1705" s="24"/>
      <c r="N1705" s="24"/>
      <c r="P1705" s="24"/>
    </row>
    <row r="1706" spans="2:16" x14ac:dyDescent="0.25">
      <c r="B1706" s="24"/>
      <c r="E1706" s="24"/>
      <c r="G1706" s="24"/>
      <c r="H1706" s="24"/>
      <c r="J1706" s="24"/>
      <c r="K1706" s="24"/>
      <c r="M1706" s="24"/>
      <c r="N1706" s="24"/>
      <c r="P1706" s="24"/>
    </row>
    <row r="1707" spans="2:16" x14ac:dyDescent="0.25">
      <c r="B1707" s="24"/>
      <c r="E1707" s="24"/>
      <c r="G1707" s="24"/>
      <c r="H1707" s="24"/>
      <c r="J1707" s="24"/>
      <c r="K1707" s="24"/>
      <c r="M1707" s="24"/>
      <c r="N1707" s="24"/>
      <c r="P1707" s="24"/>
    </row>
    <row r="1708" spans="2:16" x14ac:dyDescent="0.25">
      <c r="B1708" s="24"/>
      <c r="E1708" s="24"/>
      <c r="G1708" s="24"/>
      <c r="H1708" s="24"/>
      <c r="J1708" s="24"/>
      <c r="K1708" s="24"/>
      <c r="M1708" s="24"/>
      <c r="N1708" s="24"/>
      <c r="P1708" s="24"/>
    </row>
    <row r="1709" spans="2:16" x14ac:dyDescent="0.25">
      <c r="B1709" s="24"/>
      <c r="E1709" s="24"/>
      <c r="G1709" s="24"/>
      <c r="H1709" s="24"/>
      <c r="J1709" s="24"/>
      <c r="K1709" s="24"/>
      <c r="M1709" s="24"/>
      <c r="N1709" s="24"/>
      <c r="P1709" s="24"/>
    </row>
    <row r="1710" spans="2:16" x14ac:dyDescent="0.25">
      <c r="B1710" s="24"/>
      <c r="E1710" s="24"/>
      <c r="G1710" s="24"/>
      <c r="H1710" s="24"/>
      <c r="J1710" s="24"/>
      <c r="K1710" s="24"/>
      <c r="M1710" s="24"/>
      <c r="N1710" s="24"/>
      <c r="P1710" s="24"/>
    </row>
    <row r="1711" spans="2:16" x14ac:dyDescent="0.25">
      <c r="B1711" s="24"/>
      <c r="E1711" s="24"/>
      <c r="G1711" s="24"/>
      <c r="H1711" s="24"/>
      <c r="J1711" s="24"/>
      <c r="K1711" s="24"/>
      <c r="M1711" s="24"/>
      <c r="N1711" s="24"/>
      <c r="P1711" s="24"/>
    </row>
    <row r="1712" spans="2:16" x14ac:dyDescent="0.25">
      <c r="B1712" s="24"/>
      <c r="E1712" s="24"/>
      <c r="G1712" s="24"/>
      <c r="H1712" s="24"/>
      <c r="J1712" s="24"/>
      <c r="K1712" s="24"/>
      <c r="M1712" s="24"/>
      <c r="N1712" s="24"/>
      <c r="P1712" s="24"/>
    </row>
    <row r="1713" spans="2:16" x14ac:dyDescent="0.25">
      <c r="B1713" s="24"/>
      <c r="E1713" s="24"/>
      <c r="G1713" s="24"/>
      <c r="H1713" s="24"/>
      <c r="J1713" s="24"/>
      <c r="K1713" s="24"/>
      <c r="M1713" s="24"/>
      <c r="N1713" s="24"/>
      <c r="P1713" s="24"/>
    </row>
    <row r="1714" spans="2:16" x14ac:dyDescent="0.25">
      <c r="B1714" s="24"/>
      <c r="E1714" s="24"/>
      <c r="G1714" s="24"/>
      <c r="H1714" s="24"/>
      <c r="J1714" s="24"/>
      <c r="K1714" s="24"/>
      <c r="M1714" s="24"/>
      <c r="N1714" s="24"/>
      <c r="P1714" s="24"/>
    </row>
    <row r="1715" spans="2:16" x14ac:dyDescent="0.25">
      <c r="B1715" s="24"/>
      <c r="E1715" s="24"/>
      <c r="G1715" s="24"/>
      <c r="H1715" s="24"/>
      <c r="J1715" s="24"/>
      <c r="K1715" s="24"/>
      <c r="M1715" s="24"/>
      <c r="N1715" s="24"/>
      <c r="P1715" s="24"/>
    </row>
    <row r="1716" spans="2:16" x14ac:dyDescent="0.25">
      <c r="B1716" s="24"/>
      <c r="E1716" s="24"/>
      <c r="G1716" s="24"/>
      <c r="H1716" s="24"/>
      <c r="J1716" s="24"/>
      <c r="K1716" s="24"/>
      <c r="M1716" s="24"/>
      <c r="N1716" s="24"/>
      <c r="P1716" s="24"/>
    </row>
    <row r="1717" spans="2:16" x14ac:dyDescent="0.25">
      <c r="B1717" s="24"/>
      <c r="E1717" s="24"/>
      <c r="G1717" s="24"/>
      <c r="H1717" s="24"/>
      <c r="J1717" s="24"/>
      <c r="K1717" s="24"/>
      <c r="M1717" s="24"/>
      <c r="N1717" s="24"/>
      <c r="P1717" s="24"/>
    </row>
    <row r="1718" spans="2:16" x14ac:dyDescent="0.25">
      <c r="B1718" s="24"/>
      <c r="E1718" s="24"/>
      <c r="G1718" s="24"/>
      <c r="H1718" s="24"/>
      <c r="J1718" s="24"/>
      <c r="K1718" s="24"/>
      <c r="M1718" s="24"/>
      <c r="N1718" s="24"/>
      <c r="P1718" s="24"/>
    </row>
    <row r="1719" spans="2:16" x14ac:dyDescent="0.25">
      <c r="B1719" s="24"/>
      <c r="E1719" s="24"/>
      <c r="G1719" s="24"/>
      <c r="H1719" s="24"/>
      <c r="J1719" s="24"/>
      <c r="K1719" s="24"/>
      <c r="M1719" s="24"/>
      <c r="N1719" s="24"/>
      <c r="P1719" s="24"/>
    </row>
    <row r="1720" spans="2:16" x14ac:dyDescent="0.25">
      <c r="B1720" s="24"/>
      <c r="E1720" s="24"/>
      <c r="G1720" s="24"/>
      <c r="H1720" s="24"/>
      <c r="J1720" s="24"/>
      <c r="K1720" s="24"/>
      <c r="M1720" s="24"/>
      <c r="N1720" s="24"/>
      <c r="P1720" s="24"/>
    </row>
    <row r="1721" spans="2:16" x14ac:dyDescent="0.25">
      <c r="B1721" s="24"/>
      <c r="E1721" s="24"/>
      <c r="G1721" s="24"/>
      <c r="H1721" s="24"/>
      <c r="J1721" s="24"/>
      <c r="K1721" s="24"/>
      <c r="M1721" s="24"/>
      <c r="N1721" s="24"/>
      <c r="P1721" s="24"/>
    </row>
    <row r="1722" spans="2:16" x14ac:dyDescent="0.25">
      <c r="B1722" s="24"/>
      <c r="E1722" s="24"/>
      <c r="G1722" s="24"/>
      <c r="H1722" s="24"/>
      <c r="J1722" s="24"/>
      <c r="K1722" s="24"/>
      <c r="M1722" s="24"/>
      <c r="N1722" s="24"/>
      <c r="P1722" s="24"/>
    </row>
    <row r="1723" spans="2:16" x14ac:dyDescent="0.25">
      <c r="B1723" s="24"/>
      <c r="E1723" s="24"/>
      <c r="G1723" s="24"/>
      <c r="H1723" s="24"/>
      <c r="J1723" s="24"/>
      <c r="K1723" s="24"/>
      <c r="M1723" s="24"/>
      <c r="N1723" s="24"/>
      <c r="P1723" s="24"/>
    </row>
    <row r="1724" spans="2:16" x14ac:dyDescent="0.25">
      <c r="B1724" s="24"/>
      <c r="E1724" s="24"/>
      <c r="G1724" s="24"/>
      <c r="H1724" s="24"/>
      <c r="J1724" s="24"/>
      <c r="K1724" s="24"/>
      <c r="M1724" s="24"/>
      <c r="N1724" s="24"/>
      <c r="P1724" s="24"/>
    </row>
    <row r="1725" spans="2:16" x14ac:dyDescent="0.25">
      <c r="B1725" s="24"/>
      <c r="E1725" s="24"/>
      <c r="G1725" s="24"/>
      <c r="H1725" s="24"/>
      <c r="J1725" s="24"/>
      <c r="K1725" s="24"/>
      <c r="M1725" s="24"/>
      <c r="N1725" s="24"/>
      <c r="P1725" s="24"/>
    </row>
    <row r="1726" spans="2:16" x14ac:dyDescent="0.25">
      <c r="B1726" s="24"/>
      <c r="E1726" s="24"/>
      <c r="G1726" s="24"/>
      <c r="H1726" s="24"/>
      <c r="J1726" s="24"/>
      <c r="K1726" s="24"/>
      <c r="M1726" s="24"/>
      <c r="N1726" s="24"/>
      <c r="P1726" s="24"/>
    </row>
    <row r="1727" spans="2:16" x14ac:dyDescent="0.25">
      <c r="B1727" s="24"/>
      <c r="E1727" s="24"/>
      <c r="G1727" s="24"/>
      <c r="H1727" s="24"/>
      <c r="J1727" s="24"/>
      <c r="K1727" s="24"/>
      <c r="M1727" s="24"/>
      <c r="N1727" s="24"/>
      <c r="P1727" s="24"/>
    </row>
    <row r="1728" spans="2:16" x14ac:dyDescent="0.25">
      <c r="B1728" s="24"/>
      <c r="E1728" s="24"/>
      <c r="G1728" s="24"/>
      <c r="H1728" s="24"/>
      <c r="J1728" s="24"/>
      <c r="K1728" s="24"/>
      <c r="M1728" s="24"/>
      <c r="N1728" s="24"/>
      <c r="P1728" s="24"/>
    </row>
    <row r="1729" spans="2:16" x14ac:dyDescent="0.25">
      <c r="B1729" s="24"/>
      <c r="E1729" s="24"/>
      <c r="G1729" s="24"/>
      <c r="H1729" s="24"/>
      <c r="J1729" s="24"/>
      <c r="K1729" s="24"/>
      <c r="M1729" s="24"/>
      <c r="N1729" s="24"/>
      <c r="P1729" s="24"/>
    </row>
    <row r="1730" spans="2:16" x14ac:dyDescent="0.25">
      <c r="B1730" s="24"/>
      <c r="E1730" s="24"/>
      <c r="G1730" s="24"/>
      <c r="H1730" s="24"/>
      <c r="J1730" s="24"/>
      <c r="K1730" s="24"/>
      <c r="M1730" s="24"/>
      <c r="N1730" s="24"/>
      <c r="P1730" s="24"/>
    </row>
    <row r="1731" spans="2:16" x14ac:dyDescent="0.25">
      <c r="B1731" s="24"/>
      <c r="E1731" s="24"/>
      <c r="G1731" s="24"/>
      <c r="H1731" s="24"/>
      <c r="J1731" s="24"/>
      <c r="K1731" s="24"/>
      <c r="M1731" s="24"/>
      <c r="N1731" s="24"/>
      <c r="P1731" s="24"/>
    </row>
    <row r="1732" spans="2:16" x14ac:dyDescent="0.25">
      <c r="B1732" s="24"/>
      <c r="E1732" s="24"/>
      <c r="G1732" s="24"/>
      <c r="H1732" s="24"/>
      <c r="J1732" s="24"/>
      <c r="K1732" s="24"/>
      <c r="M1732" s="24"/>
      <c r="N1732" s="24"/>
      <c r="P1732" s="24"/>
    </row>
    <row r="1733" spans="2:16" x14ac:dyDescent="0.25">
      <c r="B1733" s="24"/>
      <c r="E1733" s="24"/>
      <c r="G1733" s="24"/>
      <c r="H1733" s="24"/>
      <c r="J1733" s="24"/>
      <c r="K1733" s="24"/>
      <c r="M1733" s="24"/>
      <c r="N1733" s="24"/>
      <c r="P1733" s="24"/>
    </row>
    <row r="1734" spans="2:16" x14ac:dyDescent="0.25">
      <c r="B1734" s="24"/>
      <c r="E1734" s="24"/>
      <c r="G1734" s="24"/>
      <c r="H1734" s="24"/>
      <c r="J1734" s="24"/>
      <c r="K1734" s="24"/>
      <c r="M1734" s="24"/>
      <c r="N1734" s="24"/>
      <c r="P1734" s="24"/>
    </row>
    <row r="1735" spans="2:16" x14ac:dyDescent="0.25">
      <c r="B1735" s="24"/>
      <c r="E1735" s="24"/>
      <c r="G1735" s="24"/>
      <c r="H1735" s="24"/>
      <c r="J1735" s="24"/>
      <c r="K1735" s="24"/>
      <c r="M1735" s="24"/>
      <c r="N1735" s="24"/>
      <c r="P1735" s="24"/>
    </row>
    <row r="1736" spans="2:16" x14ac:dyDescent="0.25">
      <c r="B1736" s="24"/>
      <c r="E1736" s="24"/>
      <c r="G1736" s="24"/>
      <c r="H1736" s="24"/>
      <c r="J1736" s="24"/>
      <c r="K1736" s="24"/>
      <c r="M1736" s="24"/>
      <c r="N1736" s="24"/>
      <c r="P1736" s="24"/>
    </row>
    <row r="1737" spans="2:16" x14ac:dyDescent="0.25">
      <c r="B1737" s="24"/>
      <c r="E1737" s="24"/>
      <c r="G1737" s="24"/>
      <c r="H1737" s="24"/>
      <c r="J1737" s="24"/>
      <c r="K1737" s="24"/>
      <c r="M1737" s="24"/>
      <c r="N1737" s="24"/>
      <c r="P1737" s="24"/>
    </row>
    <row r="1738" spans="2:16" x14ac:dyDescent="0.25">
      <c r="B1738" s="24"/>
      <c r="E1738" s="24"/>
      <c r="G1738" s="24"/>
      <c r="H1738" s="24"/>
      <c r="J1738" s="24"/>
      <c r="K1738" s="24"/>
      <c r="M1738" s="24"/>
      <c r="N1738" s="24"/>
      <c r="P1738" s="24"/>
    </row>
    <row r="1739" spans="2:16" x14ac:dyDescent="0.25">
      <c r="B1739" s="24"/>
      <c r="E1739" s="24"/>
      <c r="G1739" s="24"/>
      <c r="H1739" s="24"/>
      <c r="J1739" s="24"/>
      <c r="K1739" s="24"/>
      <c r="M1739" s="24"/>
      <c r="N1739" s="24"/>
      <c r="P1739" s="24"/>
    </row>
    <row r="1740" spans="2:16" x14ac:dyDescent="0.25">
      <c r="B1740" s="24"/>
      <c r="E1740" s="24"/>
      <c r="G1740" s="24"/>
      <c r="H1740" s="24"/>
      <c r="J1740" s="24"/>
      <c r="K1740" s="24"/>
      <c r="M1740" s="24"/>
      <c r="N1740" s="24"/>
      <c r="P1740" s="24"/>
    </row>
    <row r="1741" spans="2:16" x14ac:dyDescent="0.25">
      <c r="B1741" s="24"/>
      <c r="E1741" s="24"/>
      <c r="G1741" s="24"/>
      <c r="H1741" s="24"/>
      <c r="J1741" s="24"/>
      <c r="K1741" s="24"/>
      <c r="M1741" s="24"/>
      <c r="N1741" s="24"/>
      <c r="P1741" s="24"/>
    </row>
    <row r="1742" spans="2:16" x14ac:dyDescent="0.25">
      <c r="B1742" s="24"/>
      <c r="E1742" s="24"/>
      <c r="G1742" s="24"/>
      <c r="H1742" s="24"/>
      <c r="J1742" s="24"/>
      <c r="K1742" s="24"/>
      <c r="M1742" s="24"/>
      <c r="N1742" s="24"/>
      <c r="P1742" s="24"/>
    </row>
    <row r="1743" spans="2:16" x14ac:dyDescent="0.25">
      <c r="B1743" s="24"/>
      <c r="E1743" s="24"/>
      <c r="G1743" s="24"/>
      <c r="H1743" s="24"/>
      <c r="J1743" s="24"/>
      <c r="K1743" s="24"/>
      <c r="M1743" s="24"/>
      <c r="N1743" s="24"/>
      <c r="P1743" s="24"/>
    </row>
    <row r="1744" spans="2:16" x14ac:dyDescent="0.25">
      <c r="B1744" s="24"/>
      <c r="E1744" s="24"/>
      <c r="G1744" s="24"/>
      <c r="H1744" s="24"/>
      <c r="J1744" s="24"/>
      <c r="K1744" s="24"/>
      <c r="M1744" s="24"/>
      <c r="N1744" s="24"/>
      <c r="P1744" s="24"/>
    </row>
    <row r="1745" spans="2:16" x14ac:dyDescent="0.25">
      <c r="B1745" s="24"/>
      <c r="E1745" s="24"/>
      <c r="G1745" s="24"/>
      <c r="H1745" s="24"/>
      <c r="J1745" s="24"/>
      <c r="K1745" s="24"/>
      <c r="M1745" s="24"/>
      <c r="N1745" s="24"/>
      <c r="P1745" s="24"/>
    </row>
    <row r="1746" spans="2:16" x14ac:dyDescent="0.25">
      <c r="B1746" s="24"/>
      <c r="E1746" s="24"/>
      <c r="G1746" s="24"/>
      <c r="H1746" s="24"/>
      <c r="J1746" s="24"/>
      <c r="K1746" s="24"/>
      <c r="M1746" s="24"/>
      <c r="N1746" s="24"/>
      <c r="P1746" s="24"/>
    </row>
    <row r="1747" spans="2:16" x14ac:dyDescent="0.25">
      <c r="B1747" s="24"/>
      <c r="E1747" s="24"/>
      <c r="G1747" s="24"/>
      <c r="H1747" s="24"/>
      <c r="J1747" s="24"/>
      <c r="K1747" s="24"/>
      <c r="M1747" s="24"/>
      <c r="N1747" s="24"/>
      <c r="P1747" s="24"/>
    </row>
    <row r="1748" spans="2:16" x14ac:dyDescent="0.25">
      <c r="B1748" s="24"/>
      <c r="E1748" s="24"/>
      <c r="G1748" s="24"/>
      <c r="H1748" s="24"/>
      <c r="J1748" s="24"/>
      <c r="K1748" s="24"/>
      <c r="M1748" s="24"/>
      <c r="N1748" s="24"/>
      <c r="P1748" s="24"/>
    </row>
    <row r="1749" spans="2:16" x14ac:dyDescent="0.25">
      <c r="B1749" s="24"/>
      <c r="E1749" s="24"/>
      <c r="G1749" s="24"/>
      <c r="H1749" s="24"/>
      <c r="J1749" s="24"/>
      <c r="K1749" s="24"/>
      <c r="M1749" s="24"/>
      <c r="N1749" s="24"/>
      <c r="P1749" s="24"/>
    </row>
    <row r="1750" spans="2:16" x14ac:dyDescent="0.25">
      <c r="B1750" s="24"/>
      <c r="E1750" s="24"/>
      <c r="G1750" s="24"/>
      <c r="H1750" s="24"/>
      <c r="J1750" s="24"/>
      <c r="K1750" s="24"/>
      <c r="M1750" s="24"/>
      <c r="N1750" s="24"/>
      <c r="P1750" s="24"/>
    </row>
    <row r="1751" spans="2:16" x14ac:dyDescent="0.25">
      <c r="B1751" s="24"/>
      <c r="E1751" s="24"/>
      <c r="G1751" s="24"/>
      <c r="H1751" s="24"/>
      <c r="J1751" s="24"/>
      <c r="K1751" s="24"/>
      <c r="M1751" s="24"/>
      <c r="N1751" s="24"/>
      <c r="P1751" s="24"/>
    </row>
    <row r="1752" spans="2:16" x14ac:dyDescent="0.25">
      <c r="B1752" s="24"/>
      <c r="E1752" s="24"/>
      <c r="G1752" s="24"/>
      <c r="H1752" s="24"/>
      <c r="J1752" s="24"/>
      <c r="K1752" s="24"/>
      <c r="M1752" s="24"/>
      <c r="N1752" s="24"/>
      <c r="P1752" s="24"/>
    </row>
    <row r="1753" spans="2:16" x14ac:dyDescent="0.25">
      <c r="B1753" s="24"/>
      <c r="E1753" s="24"/>
      <c r="G1753" s="24"/>
      <c r="H1753" s="24"/>
      <c r="J1753" s="24"/>
      <c r="K1753" s="24"/>
      <c r="M1753" s="24"/>
      <c r="N1753" s="24"/>
      <c r="P1753" s="24"/>
    </row>
    <row r="1754" spans="2:16" x14ac:dyDescent="0.25">
      <c r="B1754" s="24"/>
      <c r="E1754" s="24"/>
      <c r="G1754" s="24"/>
      <c r="H1754" s="24"/>
      <c r="J1754" s="24"/>
      <c r="K1754" s="24"/>
      <c r="M1754" s="24"/>
      <c r="N1754" s="24"/>
      <c r="P1754" s="24"/>
    </row>
    <row r="1755" spans="2:16" x14ac:dyDescent="0.25">
      <c r="B1755" s="24"/>
      <c r="E1755" s="24"/>
      <c r="G1755" s="24"/>
      <c r="H1755" s="24"/>
      <c r="J1755" s="24"/>
      <c r="K1755" s="24"/>
      <c r="M1755" s="24"/>
      <c r="N1755" s="24"/>
      <c r="P1755" s="24"/>
    </row>
    <row r="1756" spans="2:16" x14ac:dyDescent="0.25">
      <c r="B1756" s="24"/>
      <c r="E1756" s="24"/>
      <c r="G1756" s="24"/>
      <c r="H1756" s="24"/>
      <c r="J1756" s="24"/>
      <c r="K1756" s="24"/>
      <c r="M1756" s="24"/>
      <c r="N1756" s="24"/>
      <c r="P1756" s="24"/>
    </row>
    <row r="1757" spans="2:16" x14ac:dyDescent="0.25">
      <c r="B1757" s="24"/>
      <c r="E1757" s="24"/>
      <c r="G1757" s="24"/>
      <c r="H1757" s="24"/>
      <c r="J1757" s="24"/>
      <c r="K1757" s="24"/>
      <c r="M1757" s="24"/>
      <c r="N1757" s="24"/>
      <c r="P1757" s="24"/>
    </row>
    <row r="1758" spans="2:16" x14ac:dyDescent="0.25">
      <c r="B1758" s="24"/>
      <c r="E1758" s="24"/>
      <c r="G1758" s="24"/>
      <c r="H1758" s="24"/>
      <c r="J1758" s="24"/>
      <c r="K1758" s="24"/>
      <c r="M1758" s="24"/>
      <c r="N1758" s="24"/>
      <c r="P1758" s="24"/>
    </row>
    <row r="1759" spans="2:16" x14ac:dyDescent="0.25">
      <c r="B1759" s="24"/>
      <c r="E1759" s="24"/>
      <c r="G1759" s="24"/>
      <c r="H1759" s="24"/>
      <c r="J1759" s="24"/>
      <c r="K1759" s="24"/>
      <c r="M1759" s="24"/>
      <c r="N1759" s="24"/>
      <c r="P1759" s="24"/>
    </row>
    <row r="1760" spans="2:16" x14ac:dyDescent="0.25">
      <c r="B1760" s="24"/>
      <c r="E1760" s="24"/>
      <c r="G1760" s="24"/>
      <c r="H1760" s="24"/>
      <c r="J1760" s="24"/>
      <c r="K1760" s="24"/>
      <c r="M1760" s="24"/>
      <c r="N1760" s="24"/>
      <c r="P1760" s="24"/>
    </row>
    <row r="1761" spans="2:16" x14ac:dyDescent="0.25">
      <c r="B1761" s="24"/>
      <c r="E1761" s="24"/>
      <c r="G1761" s="24"/>
      <c r="H1761" s="24"/>
      <c r="J1761" s="24"/>
      <c r="K1761" s="24"/>
      <c r="M1761" s="24"/>
      <c r="N1761" s="24"/>
      <c r="P1761" s="24"/>
    </row>
    <row r="1762" spans="2:16" x14ac:dyDescent="0.25">
      <c r="B1762" s="24"/>
      <c r="E1762" s="24"/>
      <c r="G1762" s="24"/>
      <c r="H1762" s="24"/>
      <c r="J1762" s="24"/>
      <c r="K1762" s="24"/>
      <c r="M1762" s="24"/>
      <c r="N1762" s="24"/>
      <c r="P1762" s="24"/>
    </row>
    <row r="1763" spans="2:16" x14ac:dyDescent="0.25">
      <c r="B1763" s="24"/>
      <c r="E1763" s="24"/>
      <c r="G1763" s="24"/>
      <c r="H1763" s="24"/>
      <c r="J1763" s="24"/>
      <c r="K1763" s="24"/>
      <c r="M1763" s="24"/>
      <c r="N1763" s="24"/>
      <c r="P1763" s="24"/>
    </row>
    <row r="1764" spans="2:16" x14ac:dyDescent="0.25">
      <c r="B1764" s="24"/>
      <c r="E1764" s="24"/>
      <c r="G1764" s="24"/>
      <c r="H1764" s="24"/>
      <c r="J1764" s="24"/>
      <c r="K1764" s="24"/>
      <c r="M1764" s="24"/>
      <c r="N1764" s="24"/>
      <c r="P1764" s="24"/>
    </row>
    <row r="1765" spans="2:16" x14ac:dyDescent="0.25">
      <c r="B1765" s="24"/>
      <c r="E1765" s="24"/>
      <c r="G1765" s="24"/>
      <c r="H1765" s="24"/>
      <c r="J1765" s="24"/>
      <c r="K1765" s="24"/>
      <c r="M1765" s="24"/>
      <c r="N1765" s="24"/>
      <c r="P1765" s="24"/>
    </row>
    <row r="1766" spans="2:16" x14ac:dyDescent="0.25">
      <c r="B1766" s="24"/>
      <c r="E1766" s="24"/>
      <c r="G1766" s="24"/>
      <c r="H1766" s="24"/>
      <c r="J1766" s="24"/>
      <c r="K1766" s="24"/>
      <c r="M1766" s="24"/>
      <c r="N1766" s="24"/>
      <c r="P1766" s="24"/>
    </row>
    <row r="1767" spans="2:16" x14ac:dyDescent="0.25">
      <c r="B1767" s="24"/>
      <c r="E1767" s="24"/>
      <c r="G1767" s="24"/>
      <c r="H1767" s="24"/>
      <c r="J1767" s="24"/>
      <c r="K1767" s="24"/>
      <c r="M1767" s="24"/>
      <c r="N1767" s="24"/>
      <c r="P1767" s="24"/>
    </row>
    <row r="1768" spans="2:16" x14ac:dyDescent="0.25">
      <c r="B1768" s="24"/>
      <c r="E1768" s="24"/>
      <c r="G1768" s="24"/>
      <c r="H1768" s="24"/>
      <c r="J1768" s="24"/>
      <c r="K1768" s="24"/>
      <c r="M1768" s="24"/>
      <c r="N1768" s="24"/>
      <c r="P1768" s="24"/>
    </row>
    <row r="1769" spans="2:16" x14ac:dyDescent="0.25">
      <c r="B1769" s="24"/>
      <c r="E1769" s="24"/>
      <c r="G1769" s="24"/>
      <c r="H1769" s="24"/>
      <c r="J1769" s="24"/>
      <c r="K1769" s="24"/>
      <c r="M1769" s="24"/>
      <c r="N1769" s="24"/>
      <c r="P1769" s="24"/>
    </row>
    <row r="1770" spans="2:16" x14ac:dyDescent="0.25">
      <c r="B1770" s="24"/>
      <c r="E1770" s="24"/>
      <c r="G1770" s="24"/>
      <c r="H1770" s="24"/>
      <c r="J1770" s="24"/>
      <c r="K1770" s="24"/>
      <c r="M1770" s="24"/>
      <c r="N1770" s="24"/>
      <c r="P1770" s="24"/>
    </row>
    <row r="1771" spans="2:16" x14ac:dyDescent="0.25">
      <c r="B1771" s="24"/>
      <c r="E1771" s="24"/>
      <c r="G1771" s="24"/>
      <c r="H1771" s="24"/>
      <c r="J1771" s="24"/>
      <c r="K1771" s="24"/>
      <c r="M1771" s="24"/>
      <c r="N1771" s="24"/>
      <c r="P1771" s="24"/>
    </row>
    <row r="1772" spans="2:16" x14ac:dyDescent="0.25">
      <c r="B1772" s="24"/>
      <c r="E1772" s="24"/>
      <c r="G1772" s="24"/>
      <c r="H1772" s="24"/>
      <c r="J1772" s="24"/>
      <c r="K1772" s="24"/>
      <c r="M1772" s="24"/>
      <c r="N1772" s="24"/>
      <c r="P1772" s="24"/>
    </row>
    <row r="1773" spans="2:16" x14ac:dyDescent="0.25">
      <c r="B1773" s="24"/>
      <c r="E1773" s="24"/>
      <c r="G1773" s="24"/>
      <c r="H1773" s="24"/>
      <c r="J1773" s="24"/>
      <c r="K1773" s="24"/>
      <c r="M1773" s="24"/>
      <c r="N1773" s="24"/>
      <c r="P1773" s="24"/>
    </row>
    <row r="1774" spans="2:16" x14ac:dyDescent="0.25">
      <c r="B1774" s="24"/>
      <c r="E1774" s="24"/>
      <c r="G1774" s="24"/>
      <c r="H1774" s="24"/>
      <c r="J1774" s="24"/>
      <c r="K1774" s="24"/>
      <c r="M1774" s="24"/>
      <c r="N1774" s="24"/>
      <c r="P1774" s="24"/>
    </row>
    <row r="1775" spans="2:16" x14ac:dyDescent="0.25">
      <c r="B1775" s="24"/>
      <c r="E1775" s="24"/>
      <c r="G1775" s="24"/>
      <c r="H1775" s="24"/>
      <c r="J1775" s="24"/>
      <c r="K1775" s="24"/>
      <c r="M1775" s="24"/>
      <c r="N1775" s="24"/>
      <c r="P1775" s="24"/>
    </row>
    <row r="1776" spans="2:16" x14ac:dyDescent="0.25">
      <c r="B1776" s="24"/>
      <c r="E1776" s="24"/>
      <c r="G1776" s="24"/>
      <c r="H1776" s="24"/>
      <c r="J1776" s="24"/>
      <c r="K1776" s="24"/>
      <c r="M1776" s="24"/>
      <c r="N1776" s="24"/>
      <c r="P1776" s="24"/>
    </row>
    <row r="1777" spans="2:16" x14ac:dyDescent="0.25">
      <c r="B1777" s="24"/>
      <c r="E1777" s="24"/>
      <c r="G1777" s="24"/>
      <c r="H1777" s="24"/>
      <c r="J1777" s="24"/>
      <c r="K1777" s="24"/>
      <c r="M1777" s="24"/>
      <c r="N1777" s="24"/>
      <c r="P1777" s="24"/>
    </row>
    <row r="1778" spans="2:16" x14ac:dyDescent="0.25">
      <c r="B1778" s="24"/>
      <c r="E1778" s="24"/>
      <c r="G1778" s="24"/>
      <c r="H1778" s="24"/>
      <c r="J1778" s="24"/>
      <c r="K1778" s="24"/>
      <c r="M1778" s="24"/>
      <c r="N1778" s="24"/>
      <c r="P1778" s="24"/>
    </row>
    <row r="1779" spans="2:16" x14ac:dyDescent="0.25">
      <c r="B1779" s="24"/>
      <c r="E1779" s="24"/>
      <c r="G1779" s="24"/>
      <c r="H1779" s="24"/>
      <c r="J1779" s="24"/>
      <c r="K1779" s="24"/>
      <c r="M1779" s="24"/>
      <c r="N1779" s="24"/>
      <c r="P1779" s="24"/>
    </row>
    <row r="1780" spans="2:16" x14ac:dyDescent="0.25">
      <c r="B1780" s="24"/>
      <c r="E1780" s="24"/>
      <c r="G1780" s="24"/>
      <c r="H1780" s="24"/>
      <c r="J1780" s="24"/>
      <c r="K1780" s="24"/>
      <c r="M1780" s="24"/>
      <c r="N1780" s="24"/>
      <c r="P1780" s="24"/>
    </row>
    <row r="1781" spans="2:16" x14ac:dyDescent="0.25">
      <c r="B1781" s="24"/>
      <c r="E1781" s="24"/>
      <c r="G1781" s="24"/>
      <c r="H1781" s="24"/>
      <c r="J1781" s="24"/>
      <c r="K1781" s="24"/>
      <c r="M1781" s="24"/>
      <c r="N1781" s="24"/>
      <c r="P1781" s="24"/>
    </row>
    <row r="1782" spans="2:16" x14ac:dyDescent="0.25">
      <c r="B1782" s="24"/>
      <c r="E1782" s="24"/>
      <c r="G1782" s="24"/>
      <c r="H1782" s="24"/>
      <c r="J1782" s="24"/>
      <c r="K1782" s="24"/>
      <c r="M1782" s="24"/>
      <c r="N1782" s="24"/>
      <c r="P1782" s="24"/>
    </row>
    <row r="1783" spans="2:16" x14ac:dyDescent="0.25">
      <c r="B1783" s="24"/>
      <c r="E1783" s="24"/>
      <c r="G1783" s="24"/>
      <c r="H1783" s="24"/>
      <c r="J1783" s="24"/>
      <c r="K1783" s="24"/>
      <c r="M1783" s="24"/>
      <c r="N1783" s="24"/>
      <c r="P1783" s="24"/>
    </row>
    <row r="1784" spans="2:16" x14ac:dyDescent="0.25">
      <c r="B1784" s="24"/>
      <c r="E1784" s="24"/>
      <c r="G1784" s="24"/>
      <c r="H1784" s="24"/>
      <c r="J1784" s="24"/>
      <c r="K1784" s="24"/>
      <c r="M1784" s="24"/>
      <c r="N1784" s="24"/>
      <c r="P1784" s="24"/>
    </row>
    <row r="1785" spans="2:16" x14ac:dyDescent="0.25">
      <c r="B1785" s="24"/>
      <c r="E1785" s="24"/>
      <c r="G1785" s="24"/>
      <c r="H1785" s="24"/>
      <c r="J1785" s="24"/>
      <c r="K1785" s="24"/>
      <c r="M1785" s="24"/>
      <c r="N1785" s="24"/>
      <c r="P1785" s="24"/>
    </row>
    <row r="1786" spans="2:16" x14ac:dyDescent="0.25">
      <c r="B1786" s="24"/>
      <c r="E1786" s="24"/>
      <c r="G1786" s="24"/>
      <c r="H1786" s="24"/>
      <c r="J1786" s="24"/>
      <c r="K1786" s="24"/>
      <c r="M1786" s="24"/>
      <c r="N1786" s="24"/>
      <c r="P1786" s="24"/>
    </row>
    <row r="1787" spans="2:16" x14ac:dyDescent="0.25">
      <c r="B1787" s="24"/>
      <c r="E1787" s="24"/>
      <c r="G1787" s="24"/>
      <c r="H1787" s="24"/>
      <c r="J1787" s="24"/>
      <c r="K1787" s="24"/>
      <c r="M1787" s="24"/>
      <c r="N1787" s="24"/>
      <c r="P1787" s="24"/>
    </row>
    <row r="1788" spans="2:16" x14ac:dyDescent="0.25">
      <c r="B1788" s="24"/>
      <c r="E1788" s="24"/>
      <c r="G1788" s="24"/>
      <c r="H1788" s="24"/>
      <c r="J1788" s="24"/>
      <c r="K1788" s="24"/>
      <c r="M1788" s="24"/>
      <c r="N1788" s="24"/>
      <c r="P1788" s="24"/>
    </row>
    <row r="1789" spans="2:16" x14ac:dyDescent="0.25">
      <c r="B1789" s="24"/>
      <c r="E1789" s="24"/>
      <c r="G1789" s="24"/>
      <c r="H1789" s="24"/>
      <c r="J1789" s="24"/>
      <c r="K1789" s="24"/>
      <c r="M1789" s="24"/>
      <c r="N1789" s="24"/>
      <c r="P1789" s="24"/>
    </row>
    <row r="1790" spans="2:16" x14ac:dyDescent="0.25">
      <c r="B1790" s="24"/>
      <c r="E1790" s="24"/>
      <c r="G1790" s="24"/>
      <c r="H1790" s="24"/>
      <c r="J1790" s="24"/>
      <c r="K1790" s="24"/>
      <c r="M1790" s="24"/>
      <c r="N1790" s="24"/>
      <c r="P1790" s="24"/>
    </row>
    <row r="1791" spans="2:16" x14ac:dyDescent="0.25">
      <c r="B1791" s="24"/>
      <c r="E1791" s="24"/>
      <c r="G1791" s="24"/>
      <c r="H1791" s="24"/>
      <c r="J1791" s="24"/>
      <c r="K1791" s="24"/>
      <c r="M1791" s="24"/>
      <c r="N1791" s="24"/>
      <c r="P1791" s="24"/>
    </row>
    <row r="1792" spans="2:16" x14ac:dyDescent="0.25">
      <c r="B1792" s="24"/>
      <c r="E1792" s="24"/>
      <c r="G1792" s="24"/>
      <c r="H1792" s="24"/>
      <c r="J1792" s="24"/>
      <c r="K1792" s="24"/>
      <c r="M1792" s="24"/>
      <c r="N1792" s="24"/>
      <c r="P1792" s="24"/>
    </row>
    <row r="1793" spans="2:16" x14ac:dyDescent="0.25">
      <c r="B1793" s="24"/>
      <c r="E1793" s="24"/>
      <c r="G1793" s="24"/>
      <c r="H1793" s="24"/>
      <c r="J1793" s="24"/>
      <c r="K1793" s="24"/>
      <c r="M1793" s="24"/>
      <c r="N1793" s="24"/>
      <c r="P1793" s="24"/>
    </row>
    <row r="1794" spans="2:16" x14ac:dyDescent="0.25">
      <c r="B1794" s="24"/>
      <c r="E1794" s="24"/>
      <c r="G1794" s="24"/>
      <c r="H1794" s="24"/>
      <c r="J1794" s="24"/>
      <c r="K1794" s="24"/>
      <c r="M1794" s="24"/>
      <c r="N1794" s="24"/>
      <c r="P1794" s="24"/>
    </row>
    <row r="1795" spans="2:16" x14ac:dyDescent="0.25">
      <c r="B1795" s="24"/>
      <c r="E1795" s="24"/>
      <c r="G1795" s="24"/>
      <c r="H1795" s="24"/>
      <c r="J1795" s="24"/>
      <c r="K1795" s="24"/>
      <c r="M1795" s="24"/>
      <c r="N1795" s="24"/>
      <c r="P1795" s="24"/>
    </row>
    <row r="1796" spans="2:16" x14ac:dyDescent="0.25">
      <c r="B1796" s="24"/>
      <c r="E1796" s="24"/>
      <c r="G1796" s="24"/>
      <c r="H1796" s="24"/>
      <c r="J1796" s="24"/>
      <c r="K1796" s="24"/>
      <c r="M1796" s="24"/>
      <c r="N1796" s="24"/>
      <c r="P1796" s="24"/>
    </row>
    <row r="1797" spans="2:16" x14ac:dyDescent="0.25">
      <c r="B1797" s="24"/>
      <c r="E1797" s="24"/>
      <c r="G1797" s="24"/>
      <c r="H1797" s="24"/>
      <c r="J1797" s="24"/>
      <c r="K1797" s="24"/>
      <c r="M1797" s="24"/>
      <c r="N1797" s="24"/>
      <c r="P1797" s="24"/>
    </row>
    <row r="1798" spans="2:16" x14ac:dyDescent="0.25">
      <c r="B1798" s="24"/>
      <c r="E1798" s="24"/>
      <c r="G1798" s="24"/>
      <c r="H1798" s="24"/>
      <c r="J1798" s="24"/>
      <c r="K1798" s="24"/>
      <c r="M1798" s="24"/>
      <c r="N1798" s="24"/>
      <c r="P1798" s="24"/>
    </row>
    <row r="1799" spans="2:16" x14ac:dyDescent="0.25">
      <c r="B1799" s="24"/>
      <c r="E1799" s="24"/>
      <c r="G1799" s="24"/>
      <c r="H1799" s="24"/>
      <c r="J1799" s="24"/>
      <c r="K1799" s="24"/>
      <c r="M1799" s="24"/>
      <c r="N1799" s="24"/>
      <c r="P1799" s="24"/>
    </row>
    <row r="1800" spans="2:16" x14ac:dyDescent="0.25">
      <c r="B1800" s="24"/>
      <c r="E1800" s="24"/>
      <c r="G1800" s="24"/>
      <c r="H1800" s="24"/>
      <c r="J1800" s="24"/>
      <c r="K1800" s="24"/>
      <c r="M1800" s="24"/>
      <c r="N1800" s="24"/>
      <c r="P1800" s="24"/>
    </row>
    <row r="1801" spans="2:16" x14ac:dyDescent="0.25">
      <c r="B1801" s="24"/>
      <c r="E1801" s="24"/>
      <c r="G1801" s="24"/>
      <c r="H1801" s="24"/>
      <c r="J1801" s="24"/>
      <c r="K1801" s="24"/>
      <c r="M1801" s="24"/>
      <c r="N1801" s="24"/>
      <c r="P1801" s="24"/>
    </row>
    <row r="1802" spans="2:16" x14ac:dyDescent="0.25">
      <c r="B1802" s="24"/>
      <c r="E1802" s="24"/>
      <c r="G1802" s="24"/>
      <c r="H1802" s="24"/>
      <c r="J1802" s="24"/>
      <c r="K1802" s="24"/>
      <c r="M1802" s="24"/>
      <c r="N1802" s="24"/>
      <c r="P1802" s="24"/>
    </row>
    <row r="1803" spans="2:16" x14ac:dyDescent="0.25">
      <c r="B1803" s="24"/>
      <c r="E1803" s="24"/>
      <c r="G1803" s="24"/>
      <c r="H1803" s="24"/>
      <c r="J1803" s="24"/>
      <c r="K1803" s="24"/>
      <c r="M1803" s="24"/>
      <c r="N1803" s="24"/>
      <c r="P1803" s="24"/>
    </row>
    <row r="1804" spans="2:16" x14ac:dyDescent="0.25">
      <c r="B1804" s="24"/>
      <c r="E1804" s="24"/>
      <c r="G1804" s="24"/>
      <c r="H1804" s="24"/>
      <c r="J1804" s="24"/>
      <c r="K1804" s="24"/>
      <c r="M1804" s="24"/>
      <c r="N1804" s="24"/>
      <c r="P1804" s="24"/>
    </row>
    <row r="1805" spans="2:16" x14ac:dyDescent="0.25">
      <c r="B1805" s="24"/>
      <c r="E1805" s="24"/>
      <c r="G1805" s="24"/>
      <c r="H1805" s="24"/>
      <c r="J1805" s="24"/>
      <c r="K1805" s="24"/>
      <c r="M1805" s="24"/>
      <c r="N1805" s="24"/>
      <c r="P1805" s="24"/>
    </row>
    <row r="1806" spans="2:16" x14ac:dyDescent="0.25">
      <c r="B1806" s="24"/>
      <c r="E1806" s="24"/>
      <c r="G1806" s="24"/>
      <c r="H1806" s="24"/>
      <c r="J1806" s="24"/>
      <c r="K1806" s="24"/>
      <c r="M1806" s="24"/>
      <c r="N1806" s="24"/>
      <c r="P1806" s="24"/>
    </row>
    <row r="1807" spans="2:16" x14ac:dyDescent="0.25">
      <c r="B1807" s="24"/>
      <c r="E1807" s="24"/>
      <c r="G1807" s="24"/>
      <c r="H1807" s="24"/>
      <c r="J1807" s="24"/>
      <c r="K1807" s="24"/>
      <c r="M1807" s="24"/>
      <c r="N1807" s="24"/>
      <c r="P1807" s="24"/>
    </row>
    <row r="1808" spans="2:16" x14ac:dyDescent="0.25">
      <c r="B1808" s="24"/>
      <c r="E1808" s="24"/>
      <c r="G1808" s="24"/>
      <c r="H1808" s="24"/>
      <c r="J1808" s="24"/>
      <c r="K1808" s="24"/>
      <c r="M1808" s="24"/>
      <c r="N1808" s="24"/>
      <c r="P1808" s="24"/>
    </row>
    <row r="1809" spans="2:16" x14ac:dyDescent="0.25">
      <c r="B1809" s="24"/>
      <c r="E1809" s="24"/>
      <c r="G1809" s="24"/>
      <c r="H1809" s="24"/>
      <c r="J1809" s="24"/>
      <c r="K1809" s="24"/>
      <c r="M1809" s="24"/>
      <c r="N1809" s="24"/>
      <c r="P1809" s="24"/>
    </row>
    <row r="1810" spans="2:16" x14ac:dyDescent="0.25">
      <c r="B1810" s="24"/>
      <c r="E1810" s="24"/>
      <c r="G1810" s="24"/>
      <c r="H1810" s="24"/>
      <c r="J1810" s="24"/>
      <c r="K1810" s="24"/>
      <c r="M1810" s="24"/>
      <c r="N1810" s="24"/>
      <c r="P1810" s="24"/>
    </row>
    <row r="1811" spans="2:16" x14ac:dyDescent="0.25">
      <c r="B1811" s="24"/>
      <c r="E1811" s="24"/>
      <c r="G1811" s="24"/>
      <c r="H1811" s="24"/>
      <c r="J1811" s="24"/>
      <c r="K1811" s="24"/>
      <c r="M1811" s="24"/>
      <c r="N1811" s="24"/>
      <c r="P1811" s="24"/>
    </row>
    <row r="1812" spans="2:16" x14ac:dyDescent="0.25">
      <c r="B1812" s="24"/>
      <c r="E1812" s="24"/>
      <c r="G1812" s="24"/>
      <c r="H1812" s="24"/>
      <c r="J1812" s="24"/>
      <c r="K1812" s="24"/>
      <c r="M1812" s="24"/>
      <c r="N1812" s="24"/>
      <c r="P1812" s="24"/>
    </row>
    <row r="1813" spans="2:16" x14ac:dyDescent="0.25">
      <c r="B1813" s="24"/>
      <c r="E1813" s="24"/>
      <c r="G1813" s="24"/>
      <c r="H1813" s="24"/>
      <c r="J1813" s="24"/>
      <c r="K1813" s="24"/>
      <c r="M1813" s="24"/>
      <c r="N1813" s="24"/>
      <c r="P1813" s="24"/>
    </row>
    <row r="1814" spans="2:16" x14ac:dyDescent="0.25">
      <c r="B1814" s="24"/>
      <c r="E1814" s="24"/>
      <c r="G1814" s="24"/>
      <c r="H1814" s="24"/>
      <c r="J1814" s="24"/>
      <c r="K1814" s="24"/>
      <c r="M1814" s="24"/>
      <c r="N1814" s="24"/>
      <c r="P1814" s="24"/>
    </row>
    <row r="1815" spans="2:16" x14ac:dyDescent="0.25">
      <c r="B1815" s="24"/>
      <c r="E1815" s="24"/>
      <c r="G1815" s="24"/>
      <c r="H1815" s="24"/>
      <c r="J1815" s="24"/>
      <c r="K1815" s="24"/>
      <c r="M1815" s="24"/>
      <c r="N1815" s="24"/>
      <c r="P1815" s="24"/>
    </row>
    <row r="1816" spans="2:16" x14ac:dyDescent="0.25">
      <c r="B1816" s="24"/>
      <c r="E1816" s="24"/>
      <c r="G1816" s="24"/>
      <c r="H1816" s="24"/>
      <c r="J1816" s="24"/>
      <c r="K1816" s="24"/>
      <c r="M1816" s="24"/>
      <c r="N1816" s="24"/>
      <c r="P1816" s="24"/>
    </row>
    <row r="1817" spans="2:16" x14ac:dyDescent="0.25">
      <c r="B1817" s="24"/>
      <c r="E1817" s="24"/>
      <c r="G1817" s="24"/>
      <c r="H1817" s="24"/>
      <c r="J1817" s="24"/>
      <c r="K1817" s="24"/>
      <c r="M1817" s="24"/>
      <c r="N1817" s="24"/>
      <c r="P1817" s="24"/>
    </row>
    <row r="1818" spans="2:16" x14ac:dyDescent="0.25">
      <c r="B1818" s="24"/>
      <c r="E1818" s="24"/>
      <c r="G1818" s="24"/>
      <c r="H1818" s="24"/>
      <c r="J1818" s="24"/>
      <c r="K1818" s="24"/>
      <c r="M1818" s="24"/>
      <c r="N1818" s="24"/>
      <c r="P1818" s="24"/>
    </row>
    <row r="1819" spans="2:16" x14ac:dyDescent="0.25">
      <c r="B1819" s="24"/>
      <c r="E1819" s="24"/>
      <c r="G1819" s="24"/>
      <c r="H1819" s="24"/>
      <c r="J1819" s="24"/>
      <c r="K1819" s="24"/>
      <c r="M1819" s="24"/>
      <c r="N1819" s="24"/>
      <c r="P1819" s="24"/>
    </row>
    <row r="1820" spans="2:16" x14ac:dyDescent="0.25">
      <c r="B1820" s="24"/>
      <c r="E1820" s="24"/>
      <c r="G1820" s="24"/>
      <c r="H1820" s="24"/>
      <c r="J1820" s="24"/>
      <c r="K1820" s="24"/>
      <c r="M1820" s="24"/>
      <c r="N1820" s="24"/>
      <c r="P1820" s="24"/>
    </row>
    <row r="1821" spans="2:16" x14ac:dyDescent="0.25">
      <c r="B1821" s="24"/>
      <c r="E1821" s="24"/>
      <c r="G1821" s="24"/>
      <c r="H1821" s="24"/>
      <c r="J1821" s="24"/>
      <c r="K1821" s="24"/>
      <c r="M1821" s="24"/>
      <c r="N1821" s="24"/>
      <c r="P1821" s="24"/>
    </row>
    <row r="1822" spans="2:16" x14ac:dyDescent="0.25">
      <c r="B1822" s="24"/>
      <c r="E1822" s="24"/>
      <c r="G1822" s="24"/>
      <c r="H1822" s="24"/>
      <c r="J1822" s="24"/>
      <c r="K1822" s="24"/>
      <c r="M1822" s="24"/>
      <c r="N1822" s="24"/>
      <c r="P1822" s="24"/>
    </row>
    <row r="1823" spans="2:16" x14ac:dyDescent="0.25">
      <c r="B1823" s="24"/>
      <c r="E1823" s="24"/>
      <c r="G1823" s="24"/>
      <c r="H1823" s="24"/>
      <c r="J1823" s="24"/>
      <c r="K1823" s="24"/>
      <c r="M1823" s="24"/>
      <c r="N1823" s="24"/>
      <c r="P1823" s="24"/>
    </row>
    <row r="1824" spans="2:16" x14ac:dyDescent="0.25">
      <c r="B1824" s="24"/>
      <c r="E1824" s="24"/>
      <c r="G1824" s="24"/>
      <c r="H1824" s="24"/>
      <c r="J1824" s="24"/>
      <c r="K1824" s="24"/>
      <c r="M1824" s="24"/>
      <c r="N1824" s="24"/>
      <c r="P1824" s="24"/>
    </row>
    <row r="1825" spans="2:16" x14ac:dyDescent="0.25">
      <c r="B1825" s="24"/>
      <c r="E1825" s="24"/>
      <c r="G1825" s="24"/>
      <c r="H1825" s="24"/>
      <c r="J1825" s="24"/>
      <c r="K1825" s="24"/>
      <c r="M1825" s="24"/>
      <c r="N1825" s="24"/>
      <c r="P1825" s="24"/>
    </row>
    <row r="1826" spans="2:16" x14ac:dyDescent="0.25">
      <c r="B1826" s="24"/>
      <c r="E1826" s="24"/>
      <c r="G1826" s="24"/>
      <c r="H1826" s="24"/>
      <c r="J1826" s="24"/>
      <c r="K1826" s="24"/>
      <c r="M1826" s="24"/>
      <c r="N1826" s="24"/>
      <c r="P1826" s="24"/>
    </row>
    <row r="1827" spans="2:16" x14ac:dyDescent="0.25">
      <c r="B1827" s="24"/>
      <c r="E1827" s="24"/>
      <c r="G1827" s="24"/>
      <c r="H1827" s="24"/>
      <c r="J1827" s="24"/>
      <c r="K1827" s="24"/>
      <c r="M1827" s="24"/>
      <c r="N1827" s="24"/>
      <c r="P1827" s="24"/>
    </row>
    <row r="1828" spans="2:16" x14ac:dyDescent="0.25">
      <c r="B1828" s="24"/>
      <c r="E1828" s="24"/>
      <c r="G1828" s="24"/>
      <c r="H1828" s="24"/>
      <c r="J1828" s="24"/>
      <c r="K1828" s="24"/>
      <c r="M1828" s="24"/>
      <c r="N1828" s="24"/>
      <c r="P1828" s="24"/>
    </row>
    <row r="1829" spans="2:16" x14ac:dyDescent="0.25">
      <c r="B1829" s="24"/>
      <c r="E1829" s="24"/>
      <c r="G1829" s="24"/>
      <c r="H1829" s="24"/>
      <c r="J1829" s="24"/>
      <c r="K1829" s="24"/>
      <c r="M1829" s="24"/>
      <c r="N1829" s="24"/>
      <c r="P1829" s="24"/>
    </row>
    <row r="1830" spans="2:16" x14ac:dyDescent="0.25">
      <c r="B1830" s="24"/>
      <c r="E1830" s="24"/>
      <c r="G1830" s="24"/>
      <c r="H1830" s="24"/>
      <c r="J1830" s="24"/>
      <c r="K1830" s="24"/>
      <c r="M1830" s="24"/>
      <c r="N1830" s="24"/>
      <c r="P1830" s="24"/>
    </row>
    <row r="1831" spans="2:16" x14ac:dyDescent="0.25">
      <c r="B1831" s="24"/>
      <c r="E1831" s="24"/>
      <c r="G1831" s="24"/>
      <c r="H1831" s="24"/>
      <c r="J1831" s="24"/>
      <c r="K1831" s="24"/>
      <c r="M1831" s="24"/>
      <c r="N1831" s="24"/>
      <c r="P1831" s="24"/>
    </row>
    <row r="1832" spans="2:16" x14ac:dyDescent="0.25">
      <c r="B1832" s="24"/>
      <c r="E1832" s="24"/>
      <c r="G1832" s="24"/>
      <c r="H1832" s="24"/>
      <c r="J1832" s="24"/>
      <c r="K1832" s="24"/>
      <c r="M1832" s="24"/>
      <c r="N1832" s="24"/>
      <c r="P1832" s="24"/>
    </row>
    <row r="1833" spans="2:16" x14ac:dyDescent="0.25">
      <c r="B1833" s="24"/>
      <c r="E1833" s="24"/>
      <c r="G1833" s="24"/>
      <c r="H1833" s="24"/>
      <c r="J1833" s="24"/>
      <c r="K1833" s="24"/>
      <c r="M1833" s="24"/>
      <c r="N1833" s="24"/>
      <c r="P1833" s="24"/>
    </row>
    <row r="1834" spans="2:16" x14ac:dyDescent="0.25">
      <c r="B1834" s="24"/>
      <c r="E1834" s="24"/>
      <c r="G1834" s="24"/>
      <c r="H1834" s="24"/>
      <c r="J1834" s="24"/>
      <c r="K1834" s="24"/>
      <c r="M1834" s="24"/>
      <c r="N1834" s="24"/>
      <c r="P1834" s="24"/>
    </row>
    <row r="1835" spans="2:16" x14ac:dyDescent="0.25">
      <c r="B1835" s="24"/>
      <c r="E1835" s="24"/>
      <c r="G1835" s="24"/>
      <c r="H1835" s="24"/>
      <c r="J1835" s="24"/>
      <c r="K1835" s="24"/>
      <c r="M1835" s="24"/>
      <c r="N1835" s="24"/>
      <c r="P1835" s="24"/>
    </row>
    <row r="1836" spans="2:16" x14ac:dyDescent="0.25">
      <c r="B1836" s="24"/>
      <c r="E1836" s="24"/>
      <c r="G1836" s="24"/>
      <c r="H1836" s="24"/>
      <c r="J1836" s="24"/>
      <c r="K1836" s="24"/>
      <c r="M1836" s="24"/>
      <c r="N1836" s="24"/>
      <c r="P1836" s="24"/>
    </row>
    <row r="1837" spans="2:16" x14ac:dyDescent="0.25">
      <c r="B1837" s="24"/>
      <c r="E1837" s="24"/>
      <c r="G1837" s="24"/>
      <c r="H1837" s="24"/>
      <c r="J1837" s="24"/>
      <c r="K1837" s="24"/>
      <c r="M1837" s="24"/>
      <c r="N1837" s="24"/>
      <c r="P1837" s="24"/>
    </row>
    <row r="1838" spans="2:16" x14ac:dyDescent="0.25">
      <c r="B1838" s="24"/>
      <c r="E1838" s="24"/>
      <c r="G1838" s="24"/>
      <c r="H1838" s="24"/>
      <c r="J1838" s="24"/>
      <c r="K1838" s="24"/>
      <c r="M1838" s="24"/>
      <c r="N1838" s="24"/>
      <c r="P1838" s="24"/>
    </row>
    <row r="1839" spans="2:16" x14ac:dyDescent="0.25">
      <c r="B1839" s="24"/>
      <c r="E1839" s="24"/>
      <c r="G1839" s="24"/>
      <c r="H1839" s="24"/>
      <c r="J1839" s="24"/>
      <c r="K1839" s="24"/>
      <c r="M1839" s="24"/>
      <c r="N1839" s="24"/>
      <c r="P1839" s="24"/>
    </row>
    <row r="1840" spans="2:16" x14ac:dyDescent="0.25">
      <c r="B1840" s="24"/>
      <c r="E1840" s="24"/>
      <c r="G1840" s="24"/>
      <c r="H1840" s="24"/>
      <c r="J1840" s="24"/>
      <c r="K1840" s="24"/>
      <c r="M1840" s="24"/>
      <c r="N1840" s="24"/>
      <c r="P1840" s="24"/>
    </row>
    <row r="1841" spans="2:16" x14ac:dyDescent="0.25">
      <c r="B1841" s="24"/>
      <c r="E1841" s="24"/>
      <c r="G1841" s="24"/>
      <c r="H1841" s="24"/>
      <c r="J1841" s="24"/>
      <c r="K1841" s="24"/>
      <c r="M1841" s="24"/>
      <c r="N1841" s="24"/>
      <c r="P1841" s="24"/>
    </row>
    <row r="1842" spans="2:16" x14ac:dyDescent="0.25">
      <c r="B1842" s="24"/>
      <c r="E1842" s="24"/>
      <c r="G1842" s="24"/>
      <c r="H1842" s="24"/>
      <c r="J1842" s="24"/>
      <c r="K1842" s="24"/>
      <c r="M1842" s="24"/>
      <c r="N1842" s="24"/>
      <c r="P1842" s="24"/>
    </row>
    <row r="1843" spans="2:16" x14ac:dyDescent="0.25">
      <c r="B1843" s="24"/>
      <c r="E1843" s="24"/>
      <c r="G1843" s="24"/>
      <c r="H1843" s="24"/>
      <c r="J1843" s="24"/>
      <c r="K1843" s="24"/>
      <c r="M1843" s="24"/>
      <c r="N1843" s="24"/>
      <c r="P1843" s="24"/>
    </row>
    <row r="1844" spans="2:16" x14ac:dyDescent="0.25">
      <c r="B1844" s="24"/>
      <c r="E1844" s="24"/>
      <c r="G1844" s="24"/>
      <c r="H1844" s="24"/>
      <c r="J1844" s="24"/>
      <c r="K1844" s="24"/>
      <c r="M1844" s="24"/>
      <c r="N1844" s="24"/>
      <c r="P1844" s="24"/>
    </row>
    <row r="1845" spans="2:16" x14ac:dyDescent="0.25">
      <c r="B1845" s="24"/>
      <c r="E1845" s="24"/>
      <c r="G1845" s="24"/>
      <c r="H1845" s="24"/>
      <c r="J1845" s="24"/>
      <c r="K1845" s="24"/>
      <c r="M1845" s="24"/>
      <c r="N1845" s="24"/>
      <c r="P1845" s="24"/>
    </row>
    <row r="1846" spans="2:16" x14ac:dyDescent="0.25">
      <c r="B1846" s="24"/>
      <c r="E1846" s="24"/>
      <c r="G1846" s="24"/>
      <c r="H1846" s="24"/>
      <c r="J1846" s="24"/>
      <c r="K1846" s="24"/>
      <c r="M1846" s="24"/>
      <c r="N1846" s="24"/>
      <c r="P1846" s="24"/>
    </row>
    <row r="1847" spans="2:16" x14ac:dyDescent="0.25">
      <c r="B1847" s="24"/>
      <c r="E1847" s="24"/>
      <c r="G1847" s="24"/>
      <c r="H1847" s="24"/>
      <c r="J1847" s="24"/>
      <c r="K1847" s="24"/>
      <c r="M1847" s="24"/>
      <c r="N1847" s="24"/>
      <c r="P1847" s="24"/>
    </row>
    <row r="1848" spans="2:16" x14ac:dyDescent="0.25">
      <c r="B1848" s="24"/>
      <c r="E1848" s="24"/>
      <c r="G1848" s="24"/>
      <c r="H1848" s="24"/>
      <c r="J1848" s="24"/>
      <c r="K1848" s="24"/>
      <c r="M1848" s="24"/>
      <c r="N1848" s="24"/>
      <c r="P1848" s="24"/>
    </row>
    <row r="1849" spans="2:16" x14ac:dyDescent="0.25">
      <c r="B1849" s="24"/>
      <c r="E1849" s="24"/>
      <c r="G1849" s="24"/>
      <c r="H1849" s="24"/>
      <c r="J1849" s="24"/>
      <c r="K1849" s="24"/>
      <c r="M1849" s="24"/>
      <c r="N1849" s="24"/>
      <c r="P1849" s="24"/>
    </row>
    <row r="1850" spans="2:16" x14ac:dyDescent="0.25">
      <c r="B1850" s="24"/>
      <c r="E1850" s="24"/>
      <c r="G1850" s="24"/>
      <c r="H1850" s="24"/>
      <c r="J1850" s="24"/>
      <c r="K1850" s="24"/>
      <c r="M1850" s="24"/>
      <c r="N1850" s="24"/>
      <c r="P1850" s="24"/>
    </row>
    <row r="1851" spans="2:16" x14ac:dyDescent="0.25">
      <c r="B1851" s="24"/>
      <c r="E1851" s="24"/>
      <c r="G1851" s="24"/>
      <c r="H1851" s="24"/>
      <c r="J1851" s="24"/>
      <c r="K1851" s="24"/>
      <c r="M1851" s="24"/>
      <c r="N1851" s="24"/>
      <c r="P1851" s="24"/>
    </row>
    <row r="1852" spans="2:16" x14ac:dyDescent="0.25">
      <c r="B1852" s="24"/>
      <c r="E1852" s="24"/>
      <c r="G1852" s="24"/>
      <c r="H1852" s="24"/>
      <c r="J1852" s="24"/>
      <c r="K1852" s="24"/>
      <c r="M1852" s="24"/>
      <c r="N1852" s="24"/>
      <c r="P1852" s="24"/>
    </row>
    <row r="1853" spans="2:16" x14ac:dyDescent="0.25">
      <c r="B1853" s="24"/>
      <c r="E1853" s="24"/>
      <c r="G1853" s="24"/>
      <c r="H1853" s="24"/>
      <c r="J1853" s="24"/>
      <c r="K1853" s="24"/>
      <c r="M1853" s="24"/>
      <c r="N1853" s="24"/>
      <c r="P1853" s="24"/>
    </row>
    <row r="1854" spans="2:16" x14ac:dyDescent="0.25">
      <c r="B1854" s="24"/>
      <c r="E1854" s="24"/>
      <c r="G1854" s="24"/>
      <c r="H1854" s="24"/>
      <c r="J1854" s="24"/>
      <c r="K1854" s="24"/>
      <c r="M1854" s="24"/>
      <c r="N1854" s="24"/>
      <c r="P1854" s="24"/>
    </row>
    <row r="1855" spans="2:16" x14ac:dyDescent="0.25">
      <c r="B1855" s="24"/>
      <c r="E1855" s="24"/>
      <c r="G1855" s="24"/>
      <c r="H1855" s="24"/>
      <c r="J1855" s="24"/>
      <c r="K1855" s="24"/>
      <c r="M1855" s="24"/>
      <c r="N1855" s="24"/>
      <c r="P1855" s="24"/>
    </row>
    <row r="1856" spans="2:16" x14ac:dyDescent="0.25">
      <c r="B1856" s="24"/>
      <c r="E1856" s="24"/>
      <c r="G1856" s="24"/>
      <c r="H1856" s="24"/>
      <c r="J1856" s="24"/>
      <c r="K1856" s="24"/>
      <c r="M1856" s="24"/>
      <c r="N1856" s="24"/>
      <c r="P1856" s="24"/>
    </row>
    <row r="1857" spans="2:16" x14ac:dyDescent="0.25">
      <c r="B1857" s="24"/>
      <c r="E1857" s="24"/>
      <c r="G1857" s="24"/>
      <c r="H1857" s="24"/>
      <c r="J1857" s="24"/>
      <c r="K1857" s="24"/>
      <c r="M1857" s="24"/>
      <c r="N1857" s="24"/>
      <c r="P1857" s="24"/>
    </row>
    <row r="1858" spans="2:16" x14ac:dyDescent="0.25">
      <c r="B1858" s="24"/>
      <c r="E1858" s="24"/>
      <c r="G1858" s="24"/>
      <c r="H1858" s="24"/>
      <c r="J1858" s="24"/>
      <c r="K1858" s="24"/>
      <c r="M1858" s="24"/>
      <c r="N1858" s="24"/>
      <c r="P1858" s="24"/>
    </row>
    <row r="1859" spans="2:16" x14ac:dyDescent="0.25">
      <c r="B1859" s="24"/>
      <c r="E1859" s="24"/>
      <c r="G1859" s="24"/>
      <c r="H1859" s="24"/>
      <c r="J1859" s="24"/>
      <c r="K1859" s="24"/>
      <c r="M1859" s="24"/>
      <c r="N1859" s="24"/>
      <c r="P1859" s="24"/>
    </row>
    <row r="1860" spans="2:16" x14ac:dyDescent="0.25">
      <c r="B1860" s="24"/>
      <c r="E1860" s="24"/>
      <c r="G1860" s="24"/>
      <c r="H1860" s="24"/>
      <c r="J1860" s="24"/>
      <c r="K1860" s="24"/>
      <c r="M1860" s="24"/>
      <c r="N1860" s="24"/>
      <c r="P1860" s="24"/>
    </row>
    <row r="1861" spans="2:16" x14ac:dyDescent="0.25">
      <c r="B1861" s="24"/>
      <c r="E1861" s="24"/>
      <c r="G1861" s="24"/>
      <c r="H1861" s="24"/>
      <c r="J1861" s="24"/>
      <c r="K1861" s="24"/>
      <c r="M1861" s="24"/>
      <c r="N1861" s="24"/>
      <c r="P1861" s="24"/>
    </row>
    <row r="1862" spans="2:16" x14ac:dyDescent="0.25">
      <c r="B1862" s="24"/>
      <c r="E1862" s="24"/>
      <c r="G1862" s="24"/>
      <c r="H1862" s="24"/>
      <c r="J1862" s="24"/>
      <c r="K1862" s="24"/>
      <c r="M1862" s="24"/>
      <c r="N1862" s="24"/>
      <c r="P1862" s="24"/>
    </row>
    <row r="1863" spans="2:16" x14ac:dyDescent="0.25">
      <c r="B1863" s="24"/>
      <c r="E1863" s="24"/>
      <c r="G1863" s="24"/>
      <c r="H1863" s="24"/>
      <c r="J1863" s="24"/>
      <c r="K1863" s="24"/>
      <c r="M1863" s="24"/>
      <c r="N1863" s="24"/>
      <c r="P1863" s="24"/>
    </row>
    <row r="1864" spans="2:16" x14ac:dyDescent="0.25">
      <c r="B1864" s="24"/>
      <c r="E1864" s="24"/>
      <c r="G1864" s="24"/>
      <c r="H1864" s="24"/>
      <c r="J1864" s="24"/>
      <c r="K1864" s="24"/>
      <c r="M1864" s="24"/>
      <c r="N1864" s="24"/>
      <c r="P1864" s="24"/>
    </row>
    <row r="1865" spans="2:16" x14ac:dyDescent="0.25">
      <c r="B1865" s="24"/>
      <c r="E1865" s="24"/>
      <c r="G1865" s="24"/>
      <c r="H1865" s="24"/>
      <c r="J1865" s="24"/>
      <c r="K1865" s="24"/>
      <c r="M1865" s="24"/>
      <c r="N1865" s="24"/>
      <c r="P1865" s="24"/>
    </row>
    <row r="1866" spans="2:16" x14ac:dyDescent="0.25">
      <c r="B1866" s="24"/>
      <c r="E1866" s="24"/>
      <c r="G1866" s="24"/>
      <c r="H1866" s="24"/>
      <c r="J1866" s="24"/>
      <c r="K1866" s="24"/>
      <c r="M1866" s="24"/>
      <c r="N1866" s="24"/>
      <c r="P1866" s="24"/>
    </row>
    <row r="1867" spans="2:16" x14ac:dyDescent="0.25">
      <c r="B1867" s="24"/>
      <c r="E1867" s="24"/>
      <c r="G1867" s="24"/>
      <c r="H1867" s="24"/>
      <c r="J1867" s="24"/>
      <c r="K1867" s="24"/>
      <c r="M1867" s="24"/>
      <c r="N1867" s="24"/>
      <c r="P1867" s="24"/>
    </row>
    <row r="1868" spans="2:16" x14ac:dyDescent="0.25">
      <c r="B1868" s="24"/>
      <c r="E1868" s="24"/>
      <c r="G1868" s="24"/>
      <c r="H1868" s="24"/>
      <c r="J1868" s="24"/>
      <c r="K1868" s="24"/>
      <c r="M1868" s="24"/>
      <c r="N1868" s="24"/>
      <c r="P1868" s="24"/>
    </row>
    <row r="1869" spans="2:16" x14ac:dyDescent="0.25">
      <c r="B1869" s="24"/>
      <c r="E1869" s="24"/>
      <c r="G1869" s="24"/>
      <c r="H1869" s="24"/>
      <c r="J1869" s="24"/>
      <c r="K1869" s="24"/>
      <c r="M1869" s="24"/>
      <c r="N1869" s="24"/>
      <c r="P1869" s="24"/>
    </row>
    <row r="1870" spans="2:16" x14ac:dyDescent="0.25">
      <c r="B1870" s="24"/>
      <c r="E1870" s="24"/>
      <c r="G1870" s="24"/>
      <c r="H1870" s="24"/>
      <c r="J1870" s="24"/>
      <c r="K1870" s="24"/>
      <c r="M1870" s="24"/>
      <c r="N1870" s="24"/>
      <c r="P1870" s="24"/>
    </row>
    <row r="1871" spans="2:16" x14ac:dyDescent="0.25">
      <c r="B1871" s="24"/>
      <c r="E1871" s="24"/>
      <c r="G1871" s="24"/>
      <c r="H1871" s="24"/>
      <c r="J1871" s="24"/>
      <c r="K1871" s="24"/>
      <c r="M1871" s="24"/>
      <c r="N1871" s="24"/>
      <c r="P1871" s="24"/>
    </row>
    <row r="1872" spans="2:16" x14ac:dyDescent="0.25">
      <c r="B1872" s="24"/>
      <c r="E1872" s="24"/>
      <c r="G1872" s="24"/>
      <c r="H1872" s="24"/>
      <c r="J1872" s="24"/>
      <c r="K1872" s="24"/>
      <c r="M1872" s="24"/>
      <c r="N1872" s="24"/>
      <c r="P1872" s="24"/>
    </row>
    <row r="1873" spans="2:16" x14ac:dyDescent="0.25">
      <c r="B1873" s="24"/>
      <c r="E1873" s="24"/>
      <c r="G1873" s="24"/>
      <c r="H1873" s="24"/>
      <c r="J1873" s="24"/>
      <c r="K1873" s="24"/>
      <c r="M1873" s="24"/>
      <c r="N1873" s="24"/>
      <c r="P1873" s="24"/>
    </row>
    <row r="1874" spans="2:16" x14ac:dyDescent="0.25">
      <c r="B1874" s="24"/>
      <c r="E1874" s="24"/>
      <c r="G1874" s="24"/>
      <c r="H1874" s="24"/>
      <c r="J1874" s="24"/>
      <c r="K1874" s="24"/>
      <c r="M1874" s="24"/>
      <c r="N1874" s="24"/>
      <c r="P1874" s="24"/>
    </row>
    <row r="1875" spans="2:16" x14ac:dyDescent="0.25">
      <c r="B1875" s="24"/>
      <c r="E1875" s="24"/>
      <c r="G1875" s="24"/>
      <c r="H1875" s="24"/>
      <c r="J1875" s="24"/>
      <c r="K1875" s="24"/>
      <c r="M1875" s="24"/>
      <c r="N1875" s="24"/>
      <c r="P1875" s="24"/>
    </row>
    <row r="1876" spans="2:16" x14ac:dyDescent="0.25">
      <c r="B1876" s="24"/>
      <c r="E1876" s="24"/>
      <c r="G1876" s="24"/>
      <c r="H1876" s="24"/>
      <c r="J1876" s="24"/>
      <c r="K1876" s="24"/>
      <c r="M1876" s="24"/>
      <c r="N1876" s="24"/>
      <c r="P1876" s="24"/>
    </row>
    <row r="1877" spans="2:16" x14ac:dyDescent="0.25">
      <c r="B1877" s="24"/>
      <c r="E1877" s="24"/>
      <c r="G1877" s="24"/>
      <c r="H1877" s="24"/>
      <c r="J1877" s="24"/>
      <c r="K1877" s="24"/>
      <c r="M1877" s="24"/>
      <c r="N1877" s="24"/>
      <c r="P1877" s="24"/>
    </row>
    <row r="1878" spans="2:16" x14ac:dyDescent="0.25">
      <c r="B1878" s="24"/>
      <c r="E1878" s="24"/>
      <c r="G1878" s="24"/>
      <c r="H1878" s="24"/>
      <c r="J1878" s="24"/>
      <c r="K1878" s="24"/>
      <c r="M1878" s="24"/>
      <c r="N1878" s="24"/>
      <c r="P1878" s="24"/>
    </row>
    <row r="1879" spans="2:16" x14ac:dyDescent="0.25">
      <c r="B1879" s="24"/>
      <c r="E1879" s="24"/>
      <c r="G1879" s="24"/>
      <c r="H1879" s="24"/>
      <c r="J1879" s="24"/>
      <c r="K1879" s="24"/>
      <c r="M1879" s="24"/>
      <c r="N1879" s="24"/>
      <c r="P1879" s="24"/>
    </row>
    <row r="1880" spans="2:16" x14ac:dyDescent="0.25">
      <c r="B1880" s="24"/>
      <c r="E1880" s="24"/>
      <c r="G1880" s="24"/>
      <c r="H1880" s="24"/>
      <c r="J1880" s="24"/>
      <c r="K1880" s="24"/>
      <c r="M1880" s="24"/>
      <c r="N1880" s="24"/>
      <c r="P1880" s="24"/>
    </row>
    <row r="1881" spans="2:16" x14ac:dyDescent="0.25">
      <c r="B1881" s="24"/>
      <c r="E1881" s="24"/>
      <c r="G1881" s="24"/>
      <c r="H1881" s="24"/>
      <c r="J1881" s="24"/>
      <c r="K1881" s="24"/>
      <c r="M1881" s="24"/>
      <c r="N1881" s="24"/>
      <c r="P1881" s="24"/>
    </row>
    <row r="1882" spans="2:16" x14ac:dyDescent="0.25">
      <c r="B1882" s="24"/>
      <c r="E1882" s="24"/>
      <c r="G1882" s="24"/>
      <c r="H1882" s="24"/>
      <c r="J1882" s="24"/>
      <c r="K1882" s="24"/>
      <c r="M1882" s="24"/>
      <c r="N1882" s="24"/>
      <c r="P1882" s="24"/>
    </row>
    <row r="1883" spans="2:16" x14ac:dyDescent="0.25">
      <c r="B1883" s="24"/>
      <c r="E1883" s="24"/>
      <c r="G1883" s="24"/>
      <c r="H1883" s="24"/>
      <c r="J1883" s="24"/>
      <c r="K1883" s="24"/>
      <c r="M1883" s="24"/>
      <c r="N1883" s="24"/>
      <c r="P1883" s="24"/>
    </row>
    <row r="1884" spans="2:16" x14ac:dyDescent="0.25">
      <c r="B1884" s="24"/>
      <c r="E1884" s="24"/>
      <c r="G1884" s="24"/>
      <c r="H1884" s="24"/>
      <c r="J1884" s="24"/>
      <c r="K1884" s="24"/>
      <c r="M1884" s="24"/>
      <c r="N1884" s="24"/>
      <c r="P1884" s="24"/>
    </row>
    <row r="1885" spans="2:16" x14ac:dyDescent="0.25">
      <c r="B1885" s="24"/>
      <c r="E1885" s="24"/>
      <c r="G1885" s="24"/>
      <c r="H1885" s="24"/>
      <c r="J1885" s="24"/>
      <c r="K1885" s="24"/>
      <c r="M1885" s="24"/>
      <c r="N1885" s="24"/>
      <c r="P1885" s="24"/>
    </row>
    <row r="1886" spans="2:16" x14ac:dyDescent="0.25">
      <c r="B1886" s="24"/>
      <c r="E1886" s="24"/>
      <c r="G1886" s="24"/>
      <c r="H1886" s="24"/>
      <c r="J1886" s="24"/>
      <c r="K1886" s="24"/>
      <c r="M1886" s="24"/>
      <c r="N1886" s="24"/>
      <c r="P1886" s="24"/>
    </row>
    <row r="1887" spans="2:16" x14ac:dyDescent="0.25">
      <c r="B1887" s="24"/>
      <c r="E1887" s="24"/>
      <c r="G1887" s="24"/>
      <c r="H1887" s="24"/>
      <c r="J1887" s="24"/>
      <c r="K1887" s="24"/>
      <c r="M1887" s="24"/>
      <c r="N1887" s="24"/>
      <c r="P1887" s="24"/>
    </row>
    <row r="1888" spans="2:16" x14ac:dyDescent="0.25">
      <c r="B1888" s="24"/>
      <c r="E1888" s="24"/>
      <c r="G1888" s="24"/>
      <c r="H1888" s="24"/>
      <c r="J1888" s="24"/>
      <c r="K1888" s="24"/>
      <c r="M1888" s="24"/>
      <c r="N1888" s="24"/>
      <c r="P1888" s="24"/>
    </row>
    <row r="1889" spans="2:16" x14ac:dyDescent="0.25">
      <c r="B1889" s="24"/>
      <c r="E1889" s="24"/>
      <c r="G1889" s="24"/>
      <c r="H1889" s="24"/>
      <c r="J1889" s="24"/>
      <c r="K1889" s="24"/>
      <c r="M1889" s="24"/>
      <c r="N1889" s="24"/>
      <c r="P1889" s="24"/>
    </row>
    <row r="1890" spans="2:16" x14ac:dyDescent="0.25">
      <c r="B1890" s="24"/>
      <c r="E1890" s="24"/>
      <c r="G1890" s="24"/>
      <c r="H1890" s="24"/>
      <c r="J1890" s="24"/>
      <c r="K1890" s="24"/>
      <c r="M1890" s="24"/>
      <c r="N1890" s="24"/>
      <c r="P1890" s="24"/>
    </row>
    <row r="1891" spans="2:16" x14ac:dyDescent="0.25">
      <c r="B1891" s="24"/>
      <c r="E1891" s="24"/>
      <c r="G1891" s="24"/>
      <c r="H1891" s="24"/>
      <c r="J1891" s="24"/>
      <c r="K1891" s="24"/>
      <c r="M1891" s="24"/>
      <c r="N1891" s="24"/>
      <c r="P1891" s="24"/>
    </row>
    <row r="1892" spans="2:16" x14ac:dyDescent="0.25">
      <c r="B1892" s="24"/>
      <c r="E1892" s="24"/>
      <c r="G1892" s="24"/>
      <c r="H1892" s="24"/>
      <c r="J1892" s="24"/>
      <c r="K1892" s="24"/>
      <c r="M1892" s="24"/>
      <c r="N1892" s="24"/>
      <c r="P1892" s="24"/>
    </row>
    <row r="1893" spans="2:16" x14ac:dyDescent="0.25">
      <c r="B1893" s="24"/>
      <c r="E1893" s="24"/>
      <c r="G1893" s="24"/>
      <c r="H1893" s="24"/>
      <c r="J1893" s="24"/>
      <c r="K1893" s="24"/>
      <c r="M1893" s="24"/>
      <c r="N1893" s="24"/>
      <c r="P1893" s="24"/>
    </row>
    <row r="1894" spans="2:16" x14ac:dyDescent="0.25">
      <c r="B1894" s="24"/>
      <c r="E1894" s="24"/>
      <c r="G1894" s="24"/>
      <c r="H1894" s="24"/>
      <c r="J1894" s="24"/>
      <c r="K1894" s="24"/>
      <c r="M1894" s="24"/>
      <c r="N1894" s="24"/>
      <c r="P1894" s="24"/>
    </row>
    <row r="1895" spans="2:16" x14ac:dyDescent="0.25">
      <c r="B1895" s="24"/>
      <c r="E1895" s="24"/>
      <c r="G1895" s="24"/>
      <c r="H1895" s="24"/>
      <c r="J1895" s="24"/>
      <c r="K1895" s="24"/>
      <c r="M1895" s="24"/>
      <c r="N1895" s="24"/>
      <c r="P1895" s="24"/>
    </row>
    <row r="1896" spans="2:16" x14ac:dyDescent="0.25">
      <c r="B1896" s="24"/>
      <c r="E1896" s="24"/>
      <c r="G1896" s="24"/>
      <c r="H1896" s="24"/>
      <c r="J1896" s="24"/>
      <c r="K1896" s="24"/>
      <c r="M1896" s="24"/>
      <c r="N1896" s="24"/>
      <c r="P1896" s="24"/>
    </row>
    <row r="1897" spans="2:16" x14ac:dyDescent="0.25">
      <c r="B1897" s="24"/>
      <c r="E1897" s="24"/>
      <c r="G1897" s="24"/>
      <c r="H1897" s="24"/>
      <c r="J1897" s="24"/>
      <c r="K1897" s="24"/>
      <c r="M1897" s="24"/>
      <c r="N1897" s="24"/>
      <c r="P1897" s="24"/>
    </row>
    <row r="1898" spans="2:16" x14ac:dyDescent="0.25">
      <c r="B1898" s="24"/>
      <c r="E1898" s="24"/>
      <c r="G1898" s="24"/>
      <c r="H1898" s="24"/>
      <c r="J1898" s="24"/>
      <c r="K1898" s="24"/>
      <c r="M1898" s="24"/>
      <c r="N1898" s="24"/>
      <c r="P1898" s="24"/>
    </row>
    <row r="1899" spans="2:16" x14ac:dyDescent="0.25">
      <c r="B1899" s="24"/>
      <c r="E1899" s="24"/>
      <c r="G1899" s="24"/>
      <c r="H1899" s="24"/>
      <c r="J1899" s="24"/>
      <c r="K1899" s="24"/>
      <c r="M1899" s="24"/>
      <c r="N1899" s="24"/>
      <c r="P1899" s="24"/>
    </row>
    <row r="1900" spans="2:16" x14ac:dyDescent="0.25">
      <c r="B1900" s="24"/>
      <c r="E1900" s="24"/>
      <c r="G1900" s="24"/>
      <c r="H1900" s="24"/>
      <c r="J1900" s="24"/>
      <c r="K1900" s="24"/>
      <c r="M1900" s="24"/>
      <c r="N1900" s="24"/>
      <c r="P1900" s="24"/>
    </row>
    <row r="1901" spans="2:16" x14ac:dyDescent="0.25">
      <c r="B1901" s="24"/>
      <c r="E1901" s="24"/>
      <c r="G1901" s="24"/>
      <c r="H1901" s="24"/>
      <c r="J1901" s="24"/>
      <c r="K1901" s="24"/>
      <c r="M1901" s="24"/>
      <c r="N1901" s="24"/>
      <c r="P1901" s="24"/>
    </row>
    <row r="1902" spans="2:16" x14ac:dyDescent="0.25">
      <c r="B1902" s="24"/>
      <c r="E1902" s="24"/>
      <c r="G1902" s="24"/>
      <c r="H1902" s="24"/>
      <c r="J1902" s="24"/>
      <c r="K1902" s="24"/>
      <c r="M1902" s="24"/>
      <c r="N1902" s="24"/>
      <c r="P1902" s="24"/>
    </row>
    <row r="1903" spans="2:16" x14ac:dyDescent="0.25">
      <c r="B1903" s="24"/>
      <c r="E1903" s="24"/>
      <c r="G1903" s="24"/>
      <c r="H1903" s="24"/>
      <c r="J1903" s="24"/>
      <c r="K1903" s="24"/>
      <c r="M1903" s="24"/>
      <c r="N1903" s="24"/>
      <c r="P1903" s="24"/>
    </row>
    <row r="1904" spans="2:16" x14ac:dyDescent="0.25">
      <c r="B1904" s="24"/>
      <c r="E1904" s="24"/>
      <c r="G1904" s="24"/>
      <c r="H1904" s="24"/>
      <c r="J1904" s="24"/>
      <c r="K1904" s="24"/>
      <c r="M1904" s="24"/>
      <c r="N1904" s="24"/>
      <c r="P1904" s="24"/>
    </row>
    <row r="1905" spans="2:16" x14ac:dyDescent="0.25">
      <c r="B1905" s="24"/>
      <c r="E1905" s="24"/>
      <c r="G1905" s="24"/>
      <c r="H1905" s="24"/>
      <c r="J1905" s="24"/>
      <c r="K1905" s="24"/>
      <c r="M1905" s="24"/>
      <c r="N1905" s="24"/>
      <c r="P1905" s="24"/>
    </row>
    <row r="1906" spans="2:16" x14ac:dyDescent="0.25">
      <c r="B1906" s="24"/>
      <c r="E1906" s="24"/>
      <c r="G1906" s="24"/>
      <c r="H1906" s="24"/>
      <c r="J1906" s="24"/>
      <c r="K1906" s="24"/>
      <c r="M1906" s="24"/>
      <c r="N1906" s="24"/>
      <c r="P1906" s="24"/>
    </row>
    <row r="1907" spans="2:16" x14ac:dyDescent="0.25">
      <c r="B1907" s="24"/>
      <c r="E1907" s="24"/>
      <c r="G1907" s="24"/>
      <c r="H1907" s="24"/>
      <c r="J1907" s="24"/>
      <c r="K1907" s="24"/>
      <c r="M1907" s="24"/>
      <c r="N1907" s="24"/>
      <c r="P1907" s="24"/>
    </row>
    <row r="1908" spans="2:16" x14ac:dyDescent="0.25">
      <c r="B1908" s="24"/>
      <c r="E1908" s="24"/>
      <c r="G1908" s="24"/>
      <c r="H1908" s="24"/>
      <c r="J1908" s="24"/>
      <c r="K1908" s="24"/>
      <c r="M1908" s="24"/>
      <c r="N1908" s="24"/>
      <c r="P1908" s="24"/>
    </row>
    <row r="1909" spans="2:16" x14ac:dyDescent="0.25">
      <c r="B1909" s="24"/>
      <c r="E1909" s="24"/>
      <c r="G1909" s="24"/>
      <c r="H1909" s="24"/>
      <c r="J1909" s="24"/>
      <c r="K1909" s="24"/>
      <c r="M1909" s="24"/>
      <c r="N1909" s="24"/>
      <c r="P1909" s="24"/>
    </row>
    <row r="1910" spans="2:16" x14ac:dyDescent="0.25">
      <c r="B1910" s="24"/>
      <c r="E1910" s="24"/>
      <c r="G1910" s="24"/>
      <c r="H1910" s="24"/>
      <c r="J1910" s="24"/>
      <c r="K1910" s="24"/>
      <c r="M1910" s="24"/>
      <c r="N1910" s="24"/>
      <c r="P1910" s="24"/>
    </row>
    <row r="1911" spans="2:16" x14ac:dyDescent="0.25">
      <c r="B1911" s="24"/>
      <c r="E1911" s="24"/>
      <c r="G1911" s="24"/>
      <c r="H1911" s="24"/>
      <c r="J1911" s="24"/>
      <c r="K1911" s="24"/>
      <c r="M1911" s="24"/>
      <c r="N1911" s="24"/>
      <c r="P1911" s="24"/>
    </row>
    <row r="1912" spans="2:16" x14ac:dyDescent="0.25">
      <c r="B1912" s="24"/>
      <c r="E1912" s="24"/>
      <c r="G1912" s="24"/>
      <c r="H1912" s="24"/>
      <c r="J1912" s="24"/>
      <c r="K1912" s="24"/>
      <c r="M1912" s="24"/>
      <c r="N1912" s="24"/>
      <c r="P1912" s="24"/>
    </row>
    <row r="1913" spans="2:16" x14ac:dyDescent="0.25">
      <c r="B1913" s="24"/>
      <c r="E1913" s="24"/>
      <c r="G1913" s="24"/>
      <c r="H1913" s="24"/>
      <c r="J1913" s="24"/>
      <c r="K1913" s="24"/>
      <c r="M1913" s="24"/>
      <c r="N1913" s="24"/>
      <c r="P1913" s="24"/>
    </row>
    <row r="1914" spans="2:16" x14ac:dyDescent="0.25">
      <c r="B1914" s="24"/>
      <c r="E1914" s="24"/>
      <c r="G1914" s="24"/>
      <c r="H1914" s="24"/>
      <c r="J1914" s="24"/>
      <c r="K1914" s="24"/>
      <c r="M1914" s="24"/>
      <c r="N1914" s="24"/>
      <c r="P1914" s="24"/>
    </row>
    <row r="1915" spans="2:16" x14ac:dyDescent="0.25">
      <c r="B1915" s="24"/>
      <c r="E1915" s="24"/>
      <c r="G1915" s="24"/>
      <c r="H1915" s="24"/>
      <c r="J1915" s="24"/>
      <c r="K1915" s="24"/>
      <c r="M1915" s="24"/>
      <c r="N1915" s="24"/>
      <c r="P1915" s="24"/>
    </row>
    <row r="1916" spans="2:16" x14ac:dyDescent="0.25">
      <c r="B1916" s="24"/>
      <c r="E1916" s="24"/>
      <c r="G1916" s="24"/>
      <c r="H1916" s="24"/>
      <c r="J1916" s="24"/>
      <c r="K1916" s="24"/>
      <c r="M1916" s="24"/>
      <c r="N1916" s="24"/>
      <c r="P1916" s="24"/>
    </row>
    <row r="1917" spans="2:16" x14ac:dyDescent="0.25">
      <c r="B1917" s="24"/>
      <c r="E1917" s="24"/>
      <c r="G1917" s="24"/>
      <c r="H1917" s="24"/>
      <c r="J1917" s="24"/>
      <c r="K1917" s="24"/>
      <c r="M1917" s="24"/>
      <c r="N1917" s="24"/>
      <c r="P1917" s="24"/>
    </row>
    <row r="1918" spans="2:16" x14ac:dyDescent="0.25">
      <c r="B1918" s="24"/>
      <c r="E1918" s="24"/>
      <c r="G1918" s="24"/>
      <c r="H1918" s="24"/>
      <c r="J1918" s="24"/>
      <c r="K1918" s="24"/>
      <c r="M1918" s="24"/>
      <c r="N1918" s="24"/>
      <c r="P1918" s="24"/>
    </row>
    <row r="1919" spans="2:16" x14ac:dyDescent="0.25">
      <c r="B1919" s="24"/>
      <c r="E1919" s="24"/>
      <c r="G1919" s="24"/>
      <c r="H1919" s="24"/>
      <c r="J1919" s="24"/>
      <c r="K1919" s="24"/>
      <c r="M1919" s="24"/>
      <c r="N1919" s="24"/>
      <c r="P1919" s="24"/>
    </row>
    <row r="1920" spans="2:16" x14ac:dyDescent="0.25">
      <c r="B1920" s="24"/>
      <c r="E1920" s="24"/>
      <c r="G1920" s="24"/>
      <c r="H1920" s="24"/>
      <c r="J1920" s="24"/>
      <c r="K1920" s="24"/>
      <c r="M1920" s="24"/>
      <c r="N1920" s="24"/>
      <c r="P1920" s="24"/>
    </row>
    <row r="1921" spans="2:16" x14ac:dyDescent="0.25">
      <c r="B1921" s="24"/>
      <c r="E1921" s="24"/>
      <c r="G1921" s="24"/>
      <c r="H1921" s="24"/>
      <c r="J1921" s="24"/>
      <c r="K1921" s="24"/>
      <c r="M1921" s="24"/>
      <c r="N1921" s="24"/>
      <c r="P1921" s="24"/>
    </row>
    <row r="1922" spans="2:16" x14ac:dyDescent="0.25">
      <c r="B1922" s="24"/>
      <c r="E1922" s="24"/>
      <c r="G1922" s="24"/>
      <c r="H1922" s="24"/>
      <c r="J1922" s="24"/>
      <c r="K1922" s="24"/>
      <c r="M1922" s="24"/>
      <c r="N1922" s="24"/>
      <c r="P1922" s="24"/>
    </row>
    <row r="1923" spans="2:16" x14ac:dyDescent="0.25">
      <c r="B1923" s="24"/>
      <c r="E1923" s="24"/>
      <c r="G1923" s="24"/>
      <c r="H1923" s="24"/>
      <c r="J1923" s="24"/>
      <c r="K1923" s="24"/>
      <c r="M1923" s="24"/>
      <c r="N1923" s="24"/>
      <c r="P1923" s="24"/>
    </row>
    <row r="1924" spans="2:16" x14ac:dyDescent="0.25">
      <c r="B1924" s="24"/>
      <c r="E1924" s="24"/>
      <c r="G1924" s="24"/>
      <c r="H1924" s="24"/>
      <c r="J1924" s="24"/>
      <c r="K1924" s="24"/>
      <c r="M1924" s="24"/>
      <c r="N1924" s="24"/>
      <c r="P1924" s="24"/>
    </row>
    <row r="1925" spans="2:16" x14ac:dyDescent="0.25">
      <c r="B1925" s="24"/>
      <c r="E1925" s="24"/>
      <c r="G1925" s="24"/>
      <c r="H1925" s="24"/>
      <c r="J1925" s="24"/>
      <c r="K1925" s="24"/>
      <c r="M1925" s="24"/>
      <c r="N1925" s="24"/>
      <c r="P1925" s="24"/>
    </row>
    <row r="1926" spans="2:16" x14ac:dyDescent="0.25">
      <c r="B1926" s="24"/>
      <c r="E1926" s="24"/>
      <c r="G1926" s="24"/>
      <c r="H1926" s="24"/>
      <c r="J1926" s="24"/>
      <c r="K1926" s="24"/>
      <c r="M1926" s="24"/>
      <c r="N1926" s="24"/>
      <c r="P1926" s="24"/>
    </row>
    <row r="1927" spans="2:16" x14ac:dyDescent="0.25">
      <c r="B1927" s="24"/>
      <c r="E1927" s="24"/>
      <c r="G1927" s="24"/>
      <c r="H1927" s="24"/>
      <c r="J1927" s="24"/>
      <c r="K1927" s="24"/>
      <c r="M1927" s="24"/>
      <c r="N1927" s="24"/>
      <c r="P1927" s="24"/>
    </row>
    <row r="1928" spans="2:16" x14ac:dyDescent="0.25">
      <c r="B1928" s="24"/>
      <c r="E1928" s="24"/>
      <c r="G1928" s="24"/>
      <c r="H1928" s="24"/>
      <c r="J1928" s="24"/>
      <c r="K1928" s="24"/>
      <c r="M1928" s="24"/>
      <c r="N1928" s="24"/>
      <c r="P1928" s="24"/>
    </row>
    <row r="1929" spans="2:16" x14ac:dyDescent="0.25">
      <c r="B1929" s="24"/>
      <c r="E1929" s="24"/>
      <c r="G1929" s="24"/>
      <c r="H1929" s="24"/>
      <c r="J1929" s="24"/>
      <c r="K1929" s="24"/>
      <c r="M1929" s="24"/>
      <c r="N1929" s="24"/>
      <c r="P1929" s="24"/>
    </row>
    <row r="1930" spans="2:16" x14ac:dyDescent="0.25">
      <c r="B1930" s="24"/>
      <c r="E1930" s="24"/>
      <c r="G1930" s="24"/>
      <c r="H1930" s="24"/>
      <c r="J1930" s="24"/>
      <c r="K1930" s="24"/>
      <c r="M1930" s="24"/>
      <c r="N1930" s="24"/>
      <c r="P1930" s="24"/>
    </row>
    <row r="1931" spans="2:16" x14ac:dyDescent="0.25">
      <c r="B1931" s="24"/>
      <c r="E1931" s="24"/>
      <c r="G1931" s="24"/>
      <c r="H1931" s="24"/>
      <c r="J1931" s="24"/>
      <c r="K1931" s="24"/>
      <c r="M1931" s="24"/>
      <c r="N1931" s="24"/>
      <c r="P1931" s="24"/>
    </row>
    <row r="1932" spans="2:16" x14ac:dyDescent="0.25">
      <c r="B1932" s="24"/>
      <c r="E1932" s="24"/>
      <c r="G1932" s="24"/>
      <c r="H1932" s="24"/>
      <c r="J1932" s="24"/>
      <c r="K1932" s="24"/>
      <c r="M1932" s="24"/>
      <c r="N1932" s="24"/>
      <c r="P1932" s="24"/>
    </row>
    <row r="1933" spans="2:16" x14ac:dyDescent="0.25">
      <c r="B1933" s="24"/>
      <c r="E1933" s="24"/>
      <c r="G1933" s="24"/>
      <c r="H1933" s="24"/>
      <c r="J1933" s="24"/>
      <c r="K1933" s="24"/>
      <c r="M1933" s="24"/>
      <c r="N1933" s="24"/>
      <c r="P1933" s="24"/>
    </row>
    <row r="1934" spans="2:16" x14ac:dyDescent="0.25">
      <c r="B1934" s="24"/>
      <c r="E1934" s="24"/>
      <c r="G1934" s="24"/>
      <c r="H1934" s="24"/>
      <c r="J1934" s="24"/>
      <c r="K1934" s="24"/>
      <c r="M1934" s="24"/>
      <c r="N1934" s="24"/>
      <c r="P1934" s="24"/>
    </row>
    <row r="1935" spans="2:16" x14ac:dyDescent="0.25">
      <c r="B1935" s="24"/>
      <c r="E1935" s="24"/>
      <c r="G1935" s="24"/>
      <c r="H1935" s="24"/>
      <c r="J1935" s="24"/>
      <c r="K1935" s="24"/>
      <c r="M1935" s="24"/>
      <c r="N1935" s="24"/>
      <c r="P1935" s="24"/>
    </row>
    <row r="1936" spans="2:16" x14ac:dyDescent="0.25">
      <c r="B1936" s="24"/>
      <c r="E1936" s="24"/>
      <c r="G1936" s="24"/>
      <c r="H1936" s="24"/>
      <c r="J1936" s="24"/>
      <c r="K1936" s="24"/>
      <c r="M1936" s="24"/>
      <c r="N1936" s="24"/>
      <c r="P1936" s="24"/>
    </row>
    <row r="1937" spans="2:16" x14ac:dyDescent="0.25">
      <c r="B1937" s="24"/>
      <c r="E1937" s="24"/>
      <c r="G1937" s="24"/>
      <c r="H1937" s="24"/>
      <c r="J1937" s="24"/>
      <c r="K1937" s="24"/>
      <c r="M1937" s="24"/>
      <c r="N1937" s="24"/>
      <c r="P1937" s="24"/>
    </row>
    <row r="1938" spans="2:16" x14ac:dyDescent="0.25">
      <c r="B1938" s="24"/>
      <c r="E1938" s="24"/>
      <c r="G1938" s="24"/>
      <c r="H1938" s="24"/>
      <c r="J1938" s="24"/>
      <c r="K1938" s="24"/>
      <c r="M1938" s="24"/>
      <c r="N1938" s="24"/>
      <c r="P1938" s="24"/>
    </row>
    <row r="1939" spans="2:16" x14ac:dyDescent="0.25">
      <c r="B1939" s="24"/>
      <c r="E1939" s="24"/>
      <c r="G1939" s="24"/>
      <c r="H1939" s="24"/>
      <c r="J1939" s="24"/>
      <c r="K1939" s="24"/>
      <c r="M1939" s="24"/>
      <c r="N1939" s="24"/>
      <c r="P1939" s="24"/>
    </row>
    <row r="1940" spans="2:16" x14ac:dyDescent="0.25">
      <c r="B1940" s="24"/>
      <c r="E1940" s="24"/>
      <c r="G1940" s="24"/>
      <c r="H1940" s="24"/>
      <c r="J1940" s="24"/>
      <c r="K1940" s="24"/>
      <c r="M1940" s="24"/>
      <c r="N1940" s="24"/>
      <c r="P1940" s="24"/>
    </row>
    <row r="1941" spans="2:16" x14ac:dyDescent="0.25">
      <c r="B1941" s="24"/>
      <c r="E1941" s="24"/>
      <c r="G1941" s="24"/>
      <c r="H1941" s="24"/>
      <c r="J1941" s="24"/>
      <c r="K1941" s="24"/>
      <c r="M1941" s="24"/>
      <c r="N1941" s="24"/>
      <c r="P1941" s="24"/>
    </row>
    <row r="1942" spans="2:16" x14ac:dyDescent="0.25">
      <c r="B1942" s="24"/>
      <c r="E1942" s="24"/>
      <c r="G1942" s="24"/>
      <c r="H1942" s="24"/>
      <c r="J1942" s="24"/>
      <c r="K1942" s="24"/>
      <c r="M1942" s="24"/>
      <c r="N1942" s="24"/>
      <c r="P1942" s="24"/>
    </row>
    <row r="1943" spans="2:16" x14ac:dyDescent="0.25">
      <c r="B1943" s="24"/>
      <c r="E1943" s="24"/>
      <c r="G1943" s="24"/>
      <c r="H1943" s="24"/>
      <c r="J1943" s="24"/>
      <c r="K1943" s="24"/>
      <c r="M1943" s="24"/>
      <c r="N1943" s="24"/>
      <c r="P1943" s="24"/>
    </row>
    <row r="1944" spans="2:16" x14ac:dyDescent="0.25">
      <c r="B1944" s="24"/>
      <c r="E1944" s="24"/>
      <c r="G1944" s="24"/>
      <c r="H1944" s="24"/>
      <c r="J1944" s="24"/>
      <c r="K1944" s="24"/>
      <c r="M1944" s="24"/>
      <c r="N1944" s="24"/>
      <c r="P1944" s="24"/>
    </row>
    <row r="1945" spans="2:16" x14ac:dyDescent="0.25">
      <c r="B1945" s="24"/>
      <c r="E1945" s="24"/>
      <c r="G1945" s="24"/>
      <c r="H1945" s="24"/>
      <c r="J1945" s="24"/>
      <c r="K1945" s="24"/>
      <c r="M1945" s="24"/>
      <c r="N1945" s="24"/>
      <c r="P1945" s="24"/>
    </row>
    <row r="1946" spans="2:16" x14ac:dyDescent="0.25">
      <c r="B1946" s="24"/>
      <c r="E1946" s="24"/>
      <c r="G1946" s="24"/>
      <c r="H1946" s="24"/>
      <c r="J1946" s="24"/>
      <c r="K1946" s="24"/>
      <c r="M1946" s="24"/>
      <c r="N1946" s="24"/>
      <c r="P1946" s="24"/>
    </row>
    <row r="1947" spans="2:16" x14ac:dyDescent="0.25">
      <c r="B1947" s="24"/>
      <c r="E1947" s="24"/>
      <c r="G1947" s="24"/>
      <c r="H1947" s="24"/>
      <c r="J1947" s="24"/>
      <c r="K1947" s="24"/>
      <c r="M1947" s="24"/>
      <c r="N1947" s="24"/>
      <c r="P1947" s="24"/>
    </row>
    <row r="1948" spans="2:16" x14ac:dyDescent="0.25">
      <c r="B1948" s="24"/>
      <c r="E1948" s="24"/>
      <c r="G1948" s="24"/>
      <c r="H1948" s="24"/>
      <c r="J1948" s="24"/>
      <c r="K1948" s="24"/>
      <c r="M1948" s="24"/>
      <c r="N1948" s="24"/>
      <c r="P1948" s="24"/>
    </row>
    <row r="1949" spans="2:16" x14ac:dyDescent="0.25">
      <c r="B1949" s="24"/>
      <c r="E1949" s="24"/>
      <c r="G1949" s="24"/>
      <c r="H1949" s="24"/>
      <c r="J1949" s="24"/>
      <c r="K1949" s="24"/>
      <c r="M1949" s="24"/>
      <c r="N1949" s="24"/>
      <c r="P1949" s="24"/>
    </row>
    <row r="1950" spans="2:16" x14ac:dyDescent="0.25">
      <c r="B1950" s="24"/>
      <c r="E1950" s="24"/>
      <c r="G1950" s="24"/>
      <c r="H1950" s="24"/>
      <c r="J1950" s="24"/>
      <c r="K1950" s="24"/>
      <c r="M1950" s="24"/>
      <c r="N1950" s="24"/>
      <c r="P1950" s="24"/>
    </row>
    <row r="1951" spans="2:16" x14ac:dyDescent="0.25">
      <c r="B1951" s="24"/>
      <c r="E1951" s="24"/>
      <c r="G1951" s="24"/>
      <c r="H1951" s="24"/>
      <c r="J1951" s="24"/>
      <c r="K1951" s="24"/>
      <c r="M1951" s="24"/>
      <c r="N1951" s="24"/>
      <c r="P1951" s="24"/>
    </row>
    <row r="1952" spans="2:16" x14ac:dyDescent="0.25">
      <c r="B1952" s="24"/>
      <c r="E1952" s="24"/>
      <c r="G1952" s="24"/>
      <c r="H1952" s="24"/>
      <c r="J1952" s="24"/>
      <c r="K1952" s="24"/>
      <c r="M1952" s="24"/>
      <c r="N1952" s="24"/>
      <c r="P1952" s="24"/>
    </row>
    <row r="1953" spans="2:16" x14ac:dyDescent="0.25">
      <c r="B1953" s="24"/>
      <c r="E1953" s="24"/>
      <c r="G1953" s="24"/>
      <c r="H1953" s="24"/>
      <c r="J1953" s="24"/>
      <c r="K1953" s="24"/>
      <c r="M1953" s="24"/>
      <c r="N1953" s="24"/>
      <c r="P1953" s="24"/>
    </row>
    <row r="1954" spans="2:16" x14ac:dyDescent="0.25">
      <c r="B1954" s="24"/>
      <c r="E1954" s="24"/>
      <c r="G1954" s="24"/>
      <c r="H1954" s="24"/>
      <c r="J1954" s="24"/>
      <c r="K1954" s="24"/>
      <c r="M1954" s="24"/>
      <c r="N1954" s="24"/>
      <c r="P1954" s="24"/>
    </row>
    <row r="1955" spans="2:16" x14ac:dyDescent="0.25">
      <c r="B1955" s="24"/>
      <c r="E1955" s="24"/>
      <c r="G1955" s="24"/>
      <c r="H1955" s="24"/>
      <c r="J1955" s="24"/>
      <c r="K1955" s="24"/>
      <c r="M1955" s="24"/>
      <c r="N1955" s="24"/>
      <c r="P1955" s="24"/>
    </row>
    <row r="1956" spans="2:16" x14ac:dyDescent="0.25">
      <c r="B1956" s="24"/>
      <c r="E1956" s="24"/>
      <c r="G1956" s="24"/>
      <c r="H1956" s="24"/>
      <c r="J1956" s="24"/>
      <c r="K1956" s="24"/>
      <c r="M1956" s="24"/>
      <c r="N1956" s="24"/>
      <c r="P1956" s="24"/>
    </row>
    <row r="1957" spans="2:16" x14ac:dyDescent="0.25">
      <c r="B1957" s="24"/>
      <c r="E1957" s="24"/>
      <c r="G1957" s="24"/>
      <c r="H1957" s="24"/>
      <c r="J1957" s="24"/>
      <c r="K1957" s="24"/>
      <c r="M1957" s="24"/>
      <c r="N1957" s="24"/>
      <c r="P1957" s="24"/>
    </row>
    <row r="1958" spans="2:16" x14ac:dyDescent="0.25">
      <c r="B1958" s="24"/>
      <c r="E1958" s="24"/>
      <c r="G1958" s="24"/>
      <c r="H1958" s="24"/>
      <c r="J1958" s="24"/>
      <c r="K1958" s="24"/>
      <c r="M1958" s="24"/>
      <c r="N1958" s="24"/>
      <c r="P1958" s="24"/>
    </row>
    <row r="1959" spans="2:16" x14ac:dyDescent="0.25">
      <c r="B1959" s="24"/>
      <c r="E1959" s="24"/>
      <c r="G1959" s="24"/>
      <c r="H1959" s="24"/>
      <c r="J1959" s="24"/>
      <c r="K1959" s="24"/>
      <c r="M1959" s="24"/>
      <c r="N1959" s="24"/>
      <c r="P1959" s="24"/>
    </row>
    <row r="1960" spans="2:16" x14ac:dyDescent="0.25">
      <c r="B1960" s="24"/>
      <c r="E1960" s="24"/>
      <c r="G1960" s="24"/>
      <c r="H1960" s="24"/>
      <c r="J1960" s="24"/>
      <c r="K1960" s="24"/>
      <c r="M1960" s="24"/>
      <c r="N1960" s="24"/>
      <c r="P1960" s="24"/>
    </row>
    <row r="1961" spans="2:16" x14ac:dyDescent="0.25">
      <c r="B1961" s="24"/>
      <c r="E1961" s="24"/>
      <c r="G1961" s="24"/>
      <c r="H1961" s="24"/>
      <c r="J1961" s="24"/>
      <c r="K1961" s="24"/>
      <c r="M1961" s="24"/>
      <c r="N1961" s="24"/>
      <c r="P1961" s="24"/>
    </row>
    <row r="1962" spans="2:16" x14ac:dyDescent="0.25">
      <c r="B1962" s="24"/>
      <c r="E1962" s="24"/>
      <c r="G1962" s="24"/>
      <c r="H1962" s="24"/>
      <c r="J1962" s="24"/>
      <c r="K1962" s="24"/>
      <c r="M1962" s="24"/>
      <c r="N1962" s="24"/>
      <c r="P1962" s="24"/>
    </row>
    <row r="1963" spans="2:16" x14ac:dyDescent="0.25">
      <c r="B1963" s="24"/>
      <c r="E1963" s="24"/>
      <c r="G1963" s="24"/>
      <c r="H1963" s="24"/>
      <c r="J1963" s="24"/>
      <c r="K1963" s="24"/>
      <c r="M1963" s="24"/>
      <c r="N1963" s="24"/>
      <c r="P1963" s="24"/>
    </row>
    <row r="1964" spans="2:16" x14ac:dyDescent="0.25">
      <c r="B1964" s="24"/>
      <c r="E1964" s="24"/>
      <c r="G1964" s="24"/>
      <c r="H1964" s="24"/>
      <c r="J1964" s="24"/>
      <c r="K1964" s="24"/>
      <c r="M1964" s="24"/>
      <c r="N1964" s="24"/>
      <c r="P1964" s="24"/>
    </row>
    <row r="1965" spans="2:16" x14ac:dyDescent="0.25">
      <c r="B1965" s="24"/>
      <c r="E1965" s="24"/>
      <c r="G1965" s="24"/>
      <c r="H1965" s="24"/>
      <c r="J1965" s="24"/>
      <c r="K1965" s="24"/>
      <c r="M1965" s="24"/>
      <c r="N1965" s="24"/>
      <c r="P1965" s="24"/>
    </row>
    <row r="1966" spans="2:16" x14ac:dyDescent="0.25">
      <c r="B1966" s="24"/>
      <c r="E1966" s="24"/>
      <c r="G1966" s="24"/>
      <c r="H1966" s="24"/>
      <c r="J1966" s="24"/>
      <c r="K1966" s="24"/>
      <c r="M1966" s="24"/>
      <c r="N1966" s="24"/>
      <c r="P1966" s="24"/>
    </row>
    <row r="1967" spans="2:16" x14ac:dyDescent="0.25">
      <c r="B1967" s="24"/>
      <c r="E1967" s="24"/>
      <c r="G1967" s="24"/>
      <c r="H1967" s="24"/>
      <c r="J1967" s="24"/>
      <c r="K1967" s="24"/>
      <c r="M1967" s="24"/>
      <c r="N1967" s="24"/>
      <c r="P1967" s="24"/>
    </row>
    <row r="1968" spans="2:16" x14ac:dyDescent="0.25">
      <c r="B1968" s="24"/>
      <c r="E1968" s="24"/>
      <c r="G1968" s="24"/>
      <c r="H1968" s="24"/>
      <c r="J1968" s="24"/>
      <c r="K1968" s="24"/>
      <c r="M1968" s="24"/>
      <c r="N1968" s="24"/>
      <c r="P1968" s="24"/>
    </row>
    <row r="1969" spans="2:16" x14ac:dyDescent="0.25">
      <c r="B1969" s="24"/>
      <c r="E1969" s="24"/>
      <c r="G1969" s="24"/>
      <c r="H1969" s="24"/>
      <c r="J1969" s="24"/>
      <c r="K1969" s="24"/>
      <c r="M1969" s="24"/>
      <c r="N1969" s="24"/>
      <c r="P1969" s="24"/>
    </row>
    <row r="1970" spans="2:16" x14ac:dyDescent="0.25">
      <c r="B1970" s="24"/>
      <c r="E1970" s="24"/>
      <c r="G1970" s="24"/>
      <c r="H1970" s="24"/>
      <c r="J1970" s="24"/>
      <c r="K1970" s="24"/>
      <c r="M1970" s="24"/>
      <c r="N1970" s="24"/>
      <c r="P1970" s="24"/>
    </row>
    <row r="1971" spans="2:16" x14ac:dyDescent="0.25">
      <c r="B1971" s="24"/>
      <c r="E1971" s="24"/>
      <c r="G1971" s="24"/>
      <c r="H1971" s="24"/>
      <c r="J1971" s="24"/>
      <c r="K1971" s="24"/>
      <c r="M1971" s="24"/>
      <c r="N1971" s="24"/>
      <c r="P1971" s="24"/>
    </row>
    <row r="1972" spans="2:16" x14ac:dyDescent="0.25">
      <c r="B1972" s="24"/>
      <c r="E1972" s="24"/>
      <c r="G1972" s="24"/>
      <c r="H1972" s="24"/>
      <c r="J1972" s="24"/>
      <c r="K1972" s="24"/>
      <c r="M1972" s="24"/>
      <c r="N1972" s="24"/>
      <c r="P1972" s="24"/>
    </row>
    <row r="1973" spans="2:16" x14ac:dyDescent="0.25">
      <c r="B1973" s="24"/>
      <c r="E1973" s="24"/>
      <c r="G1973" s="24"/>
      <c r="H1973" s="24"/>
      <c r="J1973" s="24"/>
      <c r="K1973" s="24"/>
      <c r="M1973" s="24"/>
      <c r="N1973" s="24"/>
      <c r="P1973" s="24"/>
    </row>
    <row r="1974" spans="2:16" x14ac:dyDescent="0.25">
      <c r="B1974" s="24"/>
      <c r="E1974" s="24"/>
      <c r="G1974" s="24"/>
      <c r="H1974" s="24"/>
      <c r="J1974" s="24"/>
      <c r="K1974" s="24"/>
      <c r="M1974" s="24"/>
      <c r="N1974" s="24"/>
      <c r="P1974" s="24"/>
    </row>
    <row r="1975" spans="2:16" x14ac:dyDescent="0.25">
      <c r="B1975" s="24"/>
      <c r="E1975" s="24"/>
      <c r="G1975" s="24"/>
      <c r="H1975" s="24"/>
      <c r="J1975" s="24"/>
      <c r="K1975" s="24"/>
      <c r="M1975" s="24"/>
      <c r="N1975" s="24"/>
      <c r="P1975" s="24"/>
    </row>
    <row r="1976" spans="2:16" x14ac:dyDescent="0.25">
      <c r="B1976" s="24"/>
      <c r="E1976" s="24"/>
      <c r="G1976" s="24"/>
      <c r="H1976" s="24"/>
      <c r="J1976" s="24"/>
      <c r="K1976" s="24"/>
      <c r="M1976" s="24"/>
      <c r="N1976" s="24"/>
      <c r="P1976" s="24"/>
    </row>
    <row r="1977" spans="2:16" x14ac:dyDescent="0.25">
      <c r="B1977" s="24"/>
      <c r="E1977" s="24"/>
      <c r="G1977" s="24"/>
      <c r="H1977" s="24"/>
      <c r="J1977" s="24"/>
      <c r="K1977" s="24"/>
      <c r="M1977" s="24"/>
      <c r="N1977" s="24"/>
      <c r="P1977" s="24"/>
    </row>
    <row r="1978" spans="2:16" x14ac:dyDescent="0.25">
      <c r="B1978" s="24"/>
      <c r="E1978" s="24"/>
      <c r="G1978" s="24"/>
      <c r="H1978" s="24"/>
      <c r="J1978" s="24"/>
      <c r="K1978" s="24"/>
      <c r="M1978" s="24"/>
      <c r="N1978" s="24"/>
      <c r="P1978" s="24"/>
    </row>
    <row r="1979" spans="2:16" x14ac:dyDescent="0.25">
      <c r="B1979" s="24"/>
      <c r="E1979" s="24"/>
      <c r="G1979" s="24"/>
      <c r="H1979" s="24"/>
      <c r="J1979" s="24"/>
      <c r="K1979" s="24"/>
      <c r="M1979" s="24"/>
      <c r="N1979" s="24"/>
      <c r="P1979" s="24"/>
    </row>
    <row r="1980" spans="2:16" x14ac:dyDescent="0.25">
      <c r="B1980" s="24"/>
      <c r="E1980" s="24"/>
      <c r="G1980" s="24"/>
      <c r="H1980" s="24"/>
      <c r="J1980" s="24"/>
      <c r="K1980" s="24"/>
      <c r="M1980" s="24"/>
      <c r="N1980" s="24"/>
      <c r="P1980" s="24"/>
    </row>
    <row r="1981" spans="2:16" x14ac:dyDescent="0.25">
      <c r="B1981" s="24"/>
      <c r="E1981" s="24"/>
      <c r="G1981" s="24"/>
      <c r="H1981" s="24"/>
      <c r="J1981" s="24"/>
      <c r="K1981" s="24"/>
      <c r="M1981" s="24"/>
      <c r="N1981" s="24"/>
      <c r="P1981" s="24"/>
    </row>
    <row r="1982" spans="2:16" x14ac:dyDescent="0.25">
      <c r="B1982" s="24"/>
      <c r="E1982" s="24"/>
      <c r="G1982" s="24"/>
      <c r="H1982" s="24"/>
      <c r="J1982" s="24"/>
      <c r="K1982" s="24"/>
      <c r="M1982" s="24"/>
      <c r="N1982" s="24"/>
      <c r="P1982" s="24"/>
    </row>
    <row r="1983" spans="2:16" x14ac:dyDescent="0.25">
      <c r="B1983" s="24"/>
      <c r="E1983" s="24"/>
      <c r="G1983" s="24"/>
      <c r="H1983" s="24"/>
      <c r="J1983" s="24"/>
      <c r="K1983" s="24"/>
      <c r="M1983" s="24"/>
      <c r="N1983" s="24"/>
      <c r="P1983" s="24"/>
    </row>
    <row r="1984" spans="2:16" x14ac:dyDescent="0.25">
      <c r="B1984" s="24"/>
      <c r="E1984" s="24"/>
      <c r="G1984" s="24"/>
      <c r="H1984" s="24"/>
      <c r="J1984" s="24"/>
      <c r="K1984" s="24"/>
      <c r="M1984" s="24"/>
      <c r="N1984" s="24"/>
      <c r="P1984" s="24"/>
    </row>
    <row r="1985" spans="2:16" x14ac:dyDescent="0.25">
      <c r="B1985" s="24"/>
      <c r="E1985" s="24"/>
      <c r="G1985" s="24"/>
      <c r="H1985" s="24"/>
      <c r="J1985" s="24"/>
      <c r="K1985" s="24"/>
      <c r="M1985" s="24"/>
      <c r="N1985" s="24"/>
      <c r="P1985" s="24"/>
    </row>
    <row r="1986" spans="2:16" x14ac:dyDescent="0.25">
      <c r="B1986" s="24"/>
      <c r="E1986" s="24"/>
      <c r="G1986" s="24"/>
      <c r="H1986" s="24"/>
      <c r="J1986" s="24"/>
      <c r="K1986" s="24"/>
      <c r="M1986" s="24"/>
      <c r="N1986" s="24"/>
      <c r="P1986" s="24"/>
    </row>
    <row r="1987" spans="2:16" x14ac:dyDescent="0.25">
      <c r="B1987" s="24"/>
      <c r="E1987" s="24"/>
      <c r="G1987" s="24"/>
      <c r="H1987" s="24"/>
      <c r="J1987" s="24"/>
      <c r="K1987" s="24"/>
      <c r="M1987" s="24"/>
      <c r="N1987" s="24"/>
      <c r="P1987" s="24"/>
    </row>
    <row r="1988" spans="2:16" x14ac:dyDescent="0.25">
      <c r="B1988" s="24"/>
      <c r="E1988" s="24"/>
      <c r="G1988" s="24"/>
      <c r="H1988" s="24"/>
      <c r="J1988" s="24"/>
      <c r="K1988" s="24"/>
      <c r="M1988" s="24"/>
      <c r="N1988" s="24"/>
      <c r="P1988" s="24"/>
    </row>
    <row r="1989" spans="2:16" x14ac:dyDescent="0.25">
      <c r="B1989" s="24"/>
      <c r="E1989" s="24"/>
      <c r="G1989" s="24"/>
      <c r="H1989" s="24"/>
      <c r="J1989" s="24"/>
      <c r="K1989" s="24"/>
      <c r="M1989" s="24"/>
      <c r="N1989" s="24"/>
      <c r="P1989" s="24"/>
    </row>
    <row r="1990" spans="2:16" x14ac:dyDescent="0.25">
      <c r="B1990" s="24"/>
      <c r="E1990" s="24"/>
      <c r="G1990" s="24"/>
      <c r="H1990" s="24"/>
      <c r="J1990" s="24"/>
      <c r="K1990" s="24"/>
      <c r="M1990" s="24"/>
      <c r="N1990" s="24"/>
      <c r="P1990" s="24"/>
    </row>
    <row r="1991" spans="2:16" x14ac:dyDescent="0.25">
      <c r="B1991" s="24"/>
      <c r="E1991" s="24"/>
      <c r="G1991" s="24"/>
      <c r="H1991" s="24"/>
      <c r="J1991" s="24"/>
      <c r="K1991" s="24"/>
      <c r="M1991" s="24"/>
      <c r="N1991" s="24"/>
      <c r="P1991" s="24"/>
    </row>
    <row r="1992" spans="2:16" x14ac:dyDescent="0.25">
      <c r="B1992" s="24"/>
      <c r="E1992" s="24"/>
      <c r="G1992" s="24"/>
      <c r="H1992" s="24"/>
      <c r="J1992" s="24"/>
      <c r="K1992" s="24"/>
      <c r="M1992" s="24"/>
      <c r="N1992" s="24"/>
      <c r="P1992" s="24"/>
    </row>
    <row r="1993" spans="2:16" x14ac:dyDescent="0.25">
      <c r="B1993" s="24"/>
      <c r="E1993" s="24"/>
      <c r="G1993" s="24"/>
      <c r="H1993" s="24"/>
      <c r="J1993" s="24"/>
      <c r="K1993" s="24"/>
      <c r="M1993" s="24"/>
      <c r="N1993" s="24"/>
      <c r="P1993" s="24"/>
    </row>
    <row r="1994" spans="2:16" x14ac:dyDescent="0.25">
      <c r="B1994" s="24"/>
      <c r="E1994" s="24"/>
      <c r="G1994" s="24"/>
      <c r="H1994" s="24"/>
      <c r="J1994" s="24"/>
      <c r="K1994" s="24"/>
      <c r="M1994" s="24"/>
      <c r="N1994" s="24"/>
      <c r="P1994" s="24"/>
    </row>
    <row r="1995" spans="2:16" x14ac:dyDescent="0.25">
      <c r="B1995" s="24"/>
      <c r="E1995" s="24"/>
      <c r="G1995" s="24"/>
      <c r="H1995" s="24"/>
      <c r="J1995" s="24"/>
      <c r="K1995" s="24"/>
      <c r="M1995" s="24"/>
      <c r="N1995" s="24"/>
      <c r="P1995" s="24"/>
    </row>
    <row r="1996" spans="2:16" x14ac:dyDescent="0.25">
      <c r="B1996" s="24"/>
      <c r="E1996" s="24"/>
      <c r="G1996" s="24"/>
      <c r="H1996" s="24"/>
      <c r="J1996" s="24"/>
      <c r="K1996" s="24"/>
      <c r="M1996" s="24"/>
      <c r="N1996" s="24"/>
      <c r="P1996" s="24"/>
    </row>
    <row r="1997" spans="2:16" x14ac:dyDescent="0.25">
      <c r="B1997" s="24"/>
      <c r="E1997" s="24"/>
      <c r="G1997" s="24"/>
      <c r="H1997" s="24"/>
      <c r="J1997" s="24"/>
      <c r="K1997" s="24"/>
      <c r="M1997" s="24"/>
      <c r="N1997" s="24"/>
      <c r="P1997" s="24"/>
    </row>
    <row r="1998" spans="2:16" x14ac:dyDescent="0.25">
      <c r="B1998" s="24"/>
      <c r="E1998" s="24"/>
      <c r="G1998" s="24"/>
      <c r="H1998" s="24"/>
      <c r="J1998" s="24"/>
      <c r="K1998" s="24"/>
      <c r="M1998" s="24"/>
      <c r="N1998" s="24"/>
      <c r="P1998" s="24"/>
    </row>
    <row r="1999" spans="2:16" x14ac:dyDescent="0.25">
      <c r="B1999" s="24"/>
      <c r="E1999" s="24"/>
      <c r="G1999" s="24"/>
      <c r="H1999" s="24"/>
      <c r="J1999" s="24"/>
      <c r="K1999" s="24"/>
      <c r="M1999" s="24"/>
      <c r="N1999" s="24"/>
      <c r="P1999" s="24"/>
    </row>
    <row r="2000" spans="2:16" x14ac:dyDescent="0.25">
      <c r="B2000" s="24"/>
      <c r="E2000" s="24"/>
      <c r="G2000" s="24"/>
      <c r="H2000" s="24"/>
      <c r="J2000" s="24"/>
      <c r="K2000" s="24"/>
      <c r="M2000" s="24"/>
      <c r="N2000" s="24"/>
      <c r="P2000" s="24"/>
    </row>
    <row r="2001" spans="2:16" x14ac:dyDescent="0.25">
      <c r="B2001" s="24"/>
      <c r="E2001" s="24"/>
      <c r="G2001" s="24"/>
      <c r="H2001" s="24"/>
      <c r="J2001" s="24"/>
      <c r="K2001" s="24"/>
      <c r="M2001" s="24"/>
      <c r="N2001" s="24"/>
      <c r="P2001" s="24"/>
    </row>
    <row r="2002" spans="2:16" x14ac:dyDescent="0.25">
      <c r="B2002" s="24"/>
      <c r="E2002" s="24"/>
      <c r="G2002" s="24"/>
      <c r="H2002" s="24"/>
      <c r="J2002" s="24"/>
      <c r="K2002" s="24"/>
      <c r="M2002" s="24"/>
      <c r="N2002" s="24"/>
      <c r="P2002" s="24"/>
    </row>
    <row r="2003" spans="2:16" x14ac:dyDescent="0.25">
      <c r="B2003" s="24"/>
      <c r="E2003" s="24"/>
      <c r="G2003" s="24"/>
      <c r="H2003" s="24"/>
      <c r="J2003" s="24"/>
      <c r="K2003" s="24"/>
      <c r="M2003" s="24"/>
      <c r="N2003" s="24"/>
      <c r="P2003" s="24"/>
    </row>
    <row r="2004" spans="2:16" x14ac:dyDescent="0.25">
      <c r="B2004" s="24"/>
      <c r="E2004" s="24"/>
      <c r="G2004" s="24"/>
      <c r="H2004" s="24"/>
      <c r="J2004" s="24"/>
      <c r="K2004" s="24"/>
      <c r="M2004" s="24"/>
      <c r="N2004" s="24"/>
      <c r="P2004" s="24"/>
    </row>
    <row r="2005" spans="2:16" x14ac:dyDescent="0.25">
      <c r="B2005" s="24"/>
      <c r="E2005" s="24"/>
      <c r="G2005" s="24"/>
      <c r="H2005" s="24"/>
      <c r="J2005" s="24"/>
      <c r="K2005" s="24"/>
      <c r="M2005" s="24"/>
      <c r="N2005" s="24"/>
      <c r="P2005" s="24"/>
    </row>
    <row r="2006" spans="2:16" x14ac:dyDescent="0.25">
      <c r="B2006" s="24"/>
      <c r="E2006" s="24"/>
      <c r="G2006" s="24"/>
      <c r="H2006" s="24"/>
      <c r="J2006" s="24"/>
      <c r="K2006" s="24"/>
      <c r="M2006" s="24"/>
      <c r="N2006" s="24"/>
      <c r="P2006" s="24"/>
    </row>
    <row r="2007" spans="2:16" x14ac:dyDescent="0.25">
      <c r="B2007" s="24"/>
      <c r="E2007" s="24"/>
      <c r="G2007" s="24"/>
      <c r="H2007" s="24"/>
      <c r="J2007" s="24"/>
      <c r="K2007" s="24"/>
      <c r="M2007" s="24"/>
      <c r="N2007" s="24"/>
      <c r="P2007" s="24"/>
    </row>
    <row r="2008" spans="2:16" x14ac:dyDescent="0.25">
      <c r="B2008" s="24"/>
      <c r="E2008" s="24"/>
      <c r="G2008" s="24"/>
      <c r="H2008" s="24"/>
      <c r="J2008" s="24"/>
      <c r="K2008" s="24"/>
      <c r="M2008" s="24"/>
      <c r="N2008" s="24"/>
      <c r="P2008" s="24"/>
    </row>
    <row r="2009" spans="2:16" x14ac:dyDescent="0.25">
      <c r="B2009" s="24"/>
      <c r="E2009" s="24"/>
      <c r="G2009" s="24"/>
      <c r="H2009" s="24"/>
      <c r="J2009" s="24"/>
      <c r="K2009" s="24"/>
      <c r="M2009" s="24"/>
      <c r="N2009" s="24"/>
      <c r="P2009" s="24"/>
    </row>
    <row r="2010" spans="2:16" x14ac:dyDescent="0.25">
      <c r="B2010" s="24"/>
      <c r="E2010" s="24"/>
      <c r="G2010" s="24"/>
      <c r="H2010" s="24"/>
      <c r="J2010" s="24"/>
      <c r="K2010" s="24"/>
      <c r="M2010" s="24"/>
      <c r="N2010" s="24"/>
      <c r="P2010" s="24"/>
    </row>
    <row r="2011" spans="2:16" x14ac:dyDescent="0.25">
      <c r="B2011" s="24"/>
      <c r="E2011" s="24"/>
      <c r="G2011" s="24"/>
      <c r="H2011" s="24"/>
      <c r="J2011" s="24"/>
      <c r="K2011" s="24"/>
      <c r="M2011" s="24"/>
      <c r="N2011" s="24"/>
      <c r="P2011" s="24"/>
    </row>
    <row r="2012" spans="2:16" x14ac:dyDescent="0.25">
      <c r="B2012" s="24"/>
      <c r="E2012" s="24"/>
      <c r="G2012" s="24"/>
      <c r="H2012" s="24"/>
      <c r="J2012" s="24"/>
      <c r="K2012" s="24"/>
      <c r="M2012" s="24"/>
      <c r="N2012" s="24"/>
      <c r="P2012" s="24"/>
    </row>
    <row r="2013" spans="2:16" x14ac:dyDescent="0.25">
      <c r="B2013" s="24"/>
      <c r="E2013" s="24"/>
      <c r="G2013" s="24"/>
      <c r="H2013" s="24"/>
      <c r="J2013" s="24"/>
      <c r="K2013" s="24"/>
      <c r="M2013" s="24"/>
      <c r="N2013" s="24"/>
      <c r="P2013" s="24"/>
    </row>
    <row r="2014" spans="2:16" x14ac:dyDescent="0.25">
      <c r="B2014" s="24"/>
      <c r="E2014" s="24"/>
      <c r="G2014" s="24"/>
      <c r="H2014" s="24"/>
      <c r="J2014" s="24"/>
      <c r="K2014" s="24"/>
      <c r="M2014" s="24"/>
      <c r="N2014" s="24"/>
      <c r="P2014" s="24"/>
    </row>
    <row r="2015" spans="2:16" x14ac:dyDescent="0.25">
      <c r="B2015" s="24"/>
      <c r="E2015" s="24"/>
      <c r="G2015" s="24"/>
      <c r="H2015" s="24"/>
      <c r="J2015" s="24"/>
      <c r="K2015" s="24"/>
      <c r="M2015" s="24"/>
      <c r="N2015" s="24"/>
      <c r="P2015" s="24"/>
    </row>
    <row r="2016" spans="2:16" x14ac:dyDescent="0.25">
      <c r="B2016" s="24"/>
      <c r="E2016" s="24"/>
      <c r="G2016" s="24"/>
      <c r="H2016" s="24"/>
      <c r="J2016" s="24"/>
      <c r="K2016" s="24"/>
      <c r="M2016" s="24"/>
      <c r="N2016" s="24"/>
      <c r="P2016" s="24"/>
    </row>
    <row r="2017" spans="2:16" x14ac:dyDescent="0.25">
      <c r="B2017" s="24"/>
      <c r="E2017" s="24"/>
      <c r="G2017" s="24"/>
      <c r="H2017" s="24"/>
      <c r="J2017" s="24"/>
      <c r="K2017" s="24"/>
      <c r="M2017" s="24"/>
      <c r="N2017" s="24"/>
      <c r="P2017" s="24"/>
    </row>
    <row r="2018" spans="2:16" x14ac:dyDescent="0.25">
      <c r="B2018" s="24"/>
      <c r="E2018" s="24"/>
      <c r="G2018" s="24"/>
      <c r="H2018" s="24"/>
      <c r="J2018" s="24"/>
      <c r="K2018" s="24"/>
      <c r="M2018" s="24"/>
      <c r="N2018" s="24"/>
      <c r="P2018" s="24"/>
    </row>
    <row r="2019" spans="2:16" x14ac:dyDescent="0.25">
      <c r="B2019" s="24"/>
      <c r="E2019" s="24"/>
      <c r="G2019" s="24"/>
      <c r="H2019" s="24"/>
      <c r="J2019" s="24"/>
      <c r="K2019" s="24"/>
      <c r="M2019" s="24"/>
      <c r="N2019" s="24"/>
      <c r="P2019" s="24"/>
    </row>
    <row r="2020" spans="2:16" x14ac:dyDescent="0.25">
      <c r="B2020" s="24"/>
      <c r="E2020" s="24"/>
      <c r="G2020" s="24"/>
      <c r="H2020" s="24"/>
      <c r="J2020" s="24"/>
      <c r="K2020" s="24"/>
      <c r="M2020" s="24"/>
      <c r="N2020" s="24"/>
      <c r="P2020" s="24"/>
    </row>
    <row r="2021" spans="2:16" x14ac:dyDescent="0.25">
      <c r="B2021" s="24"/>
      <c r="E2021" s="24"/>
      <c r="G2021" s="24"/>
      <c r="H2021" s="24"/>
      <c r="J2021" s="24"/>
      <c r="K2021" s="24"/>
      <c r="M2021" s="24"/>
      <c r="N2021" s="24"/>
      <c r="P2021" s="24"/>
    </row>
    <row r="2022" spans="2:16" x14ac:dyDescent="0.25">
      <c r="B2022" s="24"/>
      <c r="E2022" s="24"/>
      <c r="G2022" s="24"/>
      <c r="H2022" s="24"/>
      <c r="J2022" s="24"/>
      <c r="K2022" s="24"/>
      <c r="M2022" s="24"/>
      <c r="N2022" s="24"/>
      <c r="P2022" s="24"/>
    </row>
    <row r="2023" spans="2:16" x14ac:dyDescent="0.25">
      <c r="B2023" s="24"/>
      <c r="E2023" s="24"/>
      <c r="G2023" s="24"/>
      <c r="H2023" s="24"/>
      <c r="J2023" s="24"/>
      <c r="K2023" s="24"/>
      <c r="M2023" s="24"/>
      <c r="N2023" s="24"/>
      <c r="P2023" s="24"/>
    </row>
    <row r="2024" spans="2:16" x14ac:dyDescent="0.25">
      <c r="B2024" s="24"/>
      <c r="E2024" s="24"/>
      <c r="G2024" s="24"/>
      <c r="H2024" s="24"/>
      <c r="J2024" s="24"/>
      <c r="K2024" s="24"/>
      <c r="M2024" s="24"/>
      <c r="N2024" s="24"/>
      <c r="P2024" s="24"/>
    </row>
    <row r="2025" spans="2:16" x14ac:dyDescent="0.25">
      <c r="B2025" s="24"/>
      <c r="E2025" s="24"/>
      <c r="G2025" s="24"/>
      <c r="H2025" s="24"/>
      <c r="J2025" s="24"/>
      <c r="K2025" s="24"/>
      <c r="M2025" s="24"/>
      <c r="N2025" s="24"/>
      <c r="P2025" s="24"/>
    </row>
    <row r="2026" spans="2:16" x14ac:dyDescent="0.25">
      <c r="B2026" s="24"/>
      <c r="E2026" s="24"/>
      <c r="G2026" s="24"/>
      <c r="H2026" s="24"/>
      <c r="J2026" s="24"/>
      <c r="K2026" s="24"/>
      <c r="M2026" s="24"/>
      <c r="N2026" s="24"/>
      <c r="P2026" s="24"/>
    </row>
    <row r="2027" spans="2:16" x14ac:dyDescent="0.25">
      <c r="B2027" s="24"/>
      <c r="E2027" s="24"/>
      <c r="G2027" s="24"/>
      <c r="H2027" s="24"/>
      <c r="J2027" s="24"/>
      <c r="K2027" s="24"/>
      <c r="M2027" s="24"/>
      <c r="N2027" s="24"/>
      <c r="P2027" s="24"/>
    </row>
    <row r="2028" spans="2:16" x14ac:dyDescent="0.25">
      <c r="B2028" s="24"/>
      <c r="E2028" s="24"/>
      <c r="G2028" s="24"/>
      <c r="H2028" s="24"/>
      <c r="J2028" s="24"/>
      <c r="K2028" s="24"/>
      <c r="M2028" s="24"/>
      <c r="N2028" s="24"/>
      <c r="P2028" s="24"/>
    </row>
    <row r="2029" spans="2:16" x14ac:dyDescent="0.25">
      <c r="B2029" s="24"/>
      <c r="E2029" s="24"/>
      <c r="G2029" s="24"/>
      <c r="H2029" s="24"/>
      <c r="J2029" s="24"/>
      <c r="K2029" s="24"/>
      <c r="M2029" s="24"/>
      <c r="N2029" s="24"/>
      <c r="P2029" s="24"/>
    </row>
    <row r="2030" spans="2:16" x14ac:dyDescent="0.25">
      <c r="B2030" s="24"/>
      <c r="E2030" s="24"/>
      <c r="G2030" s="24"/>
      <c r="H2030" s="24"/>
      <c r="J2030" s="24"/>
      <c r="K2030" s="24"/>
      <c r="M2030" s="24"/>
      <c r="N2030" s="24"/>
      <c r="P2030" s="24"/>
    </row>
    <row r="2031" spans="2:16" x14ac:dyDescent="0.25">
      <c r="B2031" s="24"/>
      <c r="E2031" s="24"/>
      <c r="G2031" s="24"/>
      <c r="H2031" s="24"/>
      <c r="J2031" s="24"/>
      <c r="K2031" s="24"/>
      <c r="M2031" s="24"/>
      <c r="N2031" s="24"/>
      <c r="P2031" s="24"/>
    </row>
    <row r="2032" spans="2:16" x14ac:dyDescent="0.25">
      <c r="B2032" s="24"/>
      <c r="E2032" s="24"/>
      <c r="G2032" s="24"/>
      <c r="H2032" s="24"/>
      <c r="J2032" s="24"/>
      <c r="K2032" s="24"/>
      <c r="M2032" s="24"/>
      <c r="N2032" s="24"/>
      <c r="P2032" s="24"/>
    </row>
    <row r="2033" spans="2:16" x14ac:dyDescent="0.25">
      <c r="B2033" s="24"/>
      <c r="E2033" s="24"/>
      <c r="G2033" s="24"/>
      <c r="H2033" s="24"/>
      <c r="J2033" s="24"/>
      <c r="K2033" s="24"/>
      <c r="M2033" s="24"/>
      <c r="N2033" s="24"/>
      <c r="P2033" s="24"/>
    </row>
    <row r="2034" spans="2:16" x14ac:dyDescent="0.25">
      <c r="B2034" s="24"/>
      <c r="E2034" s="24"/>
      <c r="G2034" s="24"/>
      <c r="H2034" s="24"/>
      <c r="J2034" s="24"/>
      <c r="K2034" s="24"/>
      <c r="M2034" s="24"/>
      <c r="N2034" s="24"/>
      <c r="P2034" s="24"/>
    </row>
    <row r="2035" spans="2:16" x14ac:dyDescent="0.25">
      <c r="B2035" s="24"/>
      <c r="E2035" s="24"/>
      <c r="G2035" s="24"/>
      <c r="H2035" s="24"/>
      <c r="J2035" s="24"/>
      <c r="K2035" s="24"/>
      <c r="M2035" s="24"/>
      <c r="N2035" s="24"/>
      <c r="P2035" s="24"/>
    </row>
    <row r="2036" spans="2:16" x14ac:dyDescent="0.25">
      <c r="B2036" s="24"/>
      <c r="E2036" s="24"/>
      <c r="G2036" s="24"/>
      <c r="H2036" s="24"/>
      <c r="J2036" s="24"/>
      <c r="K2036" s="24"/>
      <c r="M2036" s="24"/>
      <c r="N2036" s="24"/>
      <c r="P2036" s="24"/>
    </row>
    <row r="2037" spans="2:16" x14ac:dyDescent="0.25">
      <c r="B2037" s="24"/>
      <c r="E2037" s="24"/>
      <c r="G2037" s="24"/>
      <c r="H2037" s="24"/>
      <c r="J2037" s="24"/>
      <c r="K2037" s="24"/>
      <c r="M2037" s="24"/>
      <c r="N2037" s="24"/>
      <c r="P2037" s="24"/>
    </row>
    <row r="2038" spans="2:16" x14ac:dyDescent="0.25">
      <c r="B2038" s="24"/>
      <c r="E2038" s="24"/>
      <c r="G2038" s="24"/>
      <c r="H2038" s="24"/>
      <c r="J2038" s="24"/>
      <c r="K2038" s="24"/>
      <c r="M2038" s="24"/>
      <c r="N2038" s="24"/>
      <c r="P2038" s="24"/>
    </row>
    <row r="2039" spans="2:16" x14ac:dyDescent="0.25">
      <c r="B2039" s="24"/>
      <c r="E2039" s="24"/>
      <c r="G2039" s="24"/>
      <c r="H2039" s="24"/>
      <c r="J2039" s="24"/>
      <c r="K2039" s="24"/>
      <c r="M2039" s="24"/>
      <c r="N2039" s="24"/>
      <c r="P2039" s="24"/>
    </row>
    <row r="2040" spans="2:16" x14ac:dyDescent="0.25">
      <c r="B2040" s="24"/>
      <c r="E2040" s="24"/>
      <c r="G2040" s="24"/>
      <c r="H2040" s="24"/>
      <c r="J2040" s="24"/>
      <c r="K2040" s="24"/>
      <c r="M2040" s="24"/>
      <c r="N2040" s="24"/>
      <c r="P2040" s="24"/>
    </row>
    <row r="2041" spans="2:16" x14ac:dyDescent="0.25">
      <c r="B2041" s="24"/>
      <c r="E2041" s="24"/>
      <c r="G2041" s="24"/>
      <c r="H2041" s="24"/>
      <c r="J2041" s="24"/>
      <c r="K2041" s="24"/>
      <c r="M2041" s="24"/>
      <c r="N2041" s="24"/>
      <c r="P2041" s="24"/>
    </row>
    <row r="2042" spans="2:16" x14ac:dyDescent="0.25">
      <c r="B2042" s="24"/>
      <c r="E2042" s="24"/>
      <c r="G2042" s="24"/>
      <c r="H2042" s="24"/>
      <c r="J2042" s="24"/>
      <c r="K2042" s="24"/>
      <c r="M2042" s="24"/>
      <c r="N2042" s="24"/>
      <c r="P2042" s="24"/>
    </row>
    <row r="2043" spans="2:16" x14ac:dyDescent="0.25">
      <c r="B2043" s="24"/>
      <c r="E2043" s="24"/>
      <c r="G2043" s="24"/>
      <c r="H2043" s="24"/>
      <c r="J2043" s="24"/>
      <c r="K2043" s="24"/>
      <c r="M2043" s="24"/>
      <c r="N2043" s="24"/>
      <c r="P2043" s="24"/>
    </row>
    <row r="2044" spans="2:16" x14ac:dyDescent="0.25">
      <c r="B2044" s="24"/>
      <c r="E2044" s="24"/>
      <c r="G2044" s="24"/>
      <c r="H2044" s="24"/>
      <c r="J2044" s="24"/>
      <c r="K2044" s="24"/>
      <c r="M2044" s="24"/>
      <c r="N2044" s="24"/>
      <c r="P2044" s="24"/>
    </row>
    <row r="2045" spans="2:16" x14ac:dyDescent="0.25">
      <c r="B2045" s="24"/>
      <c r="E2045" s="24"/>
      <c r="G2045" s="24"/>
      <c r="H2045" s="24"/>
      <c r="J2045" s="24"/>
      <c r="K2045" s="24"/>
      <c r="M2045" s="24"/>
      <c r="N2045" s="24"/>
      <c r="P2045" s="24"/>
    </row>
    <row r="2046" spans="2:16" x14ac:dyDescent="0.25">
      <c r="B2046" s="24"/>
      <c r="E2046" s="24"/>
      <c r="G2046" s="24"/>
      <c r="H2046" s="24"/>
      <c r="J2046" s="24"/>
      <c r="K2046" s="24"/>
      <c r="M2046" s="24"/>
      <c r="N2046" s="24"/>
      <c r="P2046" s="24"/>
    </row>
    <row r="2047" spans="2:16" x14ac:dyDescent="0.25">
      <c r="B2047" s="24"/>
      <c r="E2047" s="24"/>
      <c r="G2047" s="24"/>
      <c r="H2047" s="24"/>
      <c r="J2047" s="24"/>
      <c r="K2047" s="24"/>
      <c r="M2047" s="24"/>
      <c r="N2047" s="24"/>
      <c r="P2047" s="24"/>
    </row>
    <row r="2048" spans="2:16" x14ac:dyDescent="0.25">
      <c r="B2048" s="24"/>
      <c r="E2048" s="24"/>
      <c r="G2048" s="24"/>
      <c r="H2048" s="24"/>
      <c r="J2048" s="24"/>
      <c r="K2048" s="24"/>
      <c r="M2048" s="24"/>
      <c r="N2048" s="24"/>
      <c r="P2048" s="24"/>
    </row>
    <row r="2049" spans="2:16" x14ac:dyDescent="0.25">
      <c r="B2049" s="24"/>
      <c r="E2049" s="24"/>
      <c r="G2049" s="24"/>
      <c r="H2049" s="24"/>
      <c r="J2049" s="24"/>
      <c r="K2049" s="24"/>
      <c r="M2049" s="24"/>
      <c r="N2049" s="24"/>
      <c r="P2049" s="24"/>
    </row>
    <row r="2050" spans="2:16" x14ac:dyDescent="0.25">
      <c r="B2050" s="24"/>
      <c r="E2050" s="24"/>
      <c r="G2050" s="24"/>
      <c r="H2050" s="24"/>
      <c r="J2050" s="24"/>
      <c r="K2050" s="24"/>
      <c r="M2050" s="24"/>
      <c r="N2050" s="24"/>
      <c r="P2050" s="24"/>
    </row>
    <row r="2051" spans="2:16" x14ac:dyDescent="0.25">
      <c r="B2051" s="24"/>
      <c r="E2051" s="24"/>
      <c r="G2051" s="24"/>
      <c r="H2051" s="24"/>
      <c r="J2051" s="24"/>
      <c r="K2051" s="24"/>
      <c r="M2051" s="24"/>
      <c r="N2051" s="24"/>
      <c r="P2051" s="24"/>
    </row>
    <row r="2052" spans="2:16" x14ac:dyDescent="0.25">
      <c r="B2052" s="24"/>
      <c r="E2052" s="24"/>
      <c r="G2052" s="24"/>
      <c r="H2052" s="24"/>
      <c r="J2052" s="24"/>
      <c r="K2052" s="24"/>
      <c r="M2052" s="24"/>
      <c r="N2052" s="24"/>
      <c r="P2052" s="24"/>
    </row>
    <row r="2053" spans="2:16" x14ac:dyDescent="0.25">
      <c r="B2053" s="24"/>
      <c r="E2053" s="24"/>
      <c r="G2053" s="24"/>
      <c r="H2053" s="24"/>
      <c r="J2053" s="24"/>
      <c r="K2053" s="24"/>
      <c r="M2053" s="24"/>
      <c r="N2053" s="24"/>
      <c r="P2053" s="24"/>
    </row>
    <row r="2054" spans="2:16" x14ac:dyDescent="0.25">
      <c r="B2054" s="24"/>
      <c r="E2054" s="24"/>
      <c r="G2054" s="24"/>
      <c r="H2054" s="24"/>
      <c r="J2054" s="24"/>
      <c r="K2054" s="24"/>
      <c r="M2054" s="24"/>
      <c r="N2054" s="24"/>
      <c r="P2054" s="24"/>
    </row>
    <row r="2055" spans="2:16" x14ac:dyDescent="0.25">
      <c r="B2055" s="24"/>
      <c r="E2055" s="24"/>
      <c r="G2055" s="24"/>
      <c r="H2055" s="24"/>
      <c r="J2055" s="24"/>
      <c r="K2055" s="24"/>
      <c r="M2055" s="24"/>
      <c r="N2055" s="24"/>
      <c r="P2055" s="24"/>
    </row>
    <row r="2056" spans="2:16" x14ac:dyDescent="0.25">
      <c r="B2056" s="24"/>
      <c r="E2056" s="24"/>
      <c r="G2056" s="24"/>
      <c r="H2056" s="24"/>
      <c r="J2056" s="24"/>
      <c r="K2056" s="24"/>
      <c r="M2056" s="24"/>
      <c r="N2056" s="24"/>
      <c r="P2056" s="24"/>
    </row>
    <row r="2057" spans="2:16" x14ac:dyDescent="0.25">
      <c r="B2057" s="24"/>
      <c r="E2057" s="24"/>
      <c r="G2057" s="24"/>
      <c r="H2057" s="24"/>
      <c r="J2057" s="24"/>
      <c r="K2057" s="24"/>
      <c r="M2057" s="24"/>
      <c r="N2057" s="24"/>
      <c r="P2057" s="24"/>
    </row>
    <row r="2058" spans="2:16" x14ac:dyDescent="0.25">
      <c r="B2058" s="24"/>
      <c r="E2058" s="24"/>
      <c r="G2058" s="24"/>
      <c r="H2058" s="24"/>
      <c r="J2058" s="24"/>
      <c r="K2058" s="24"/>
      <c r="M2058" s="24"/>
      <c r="N2058" s="24"/>
      <c r="P2058" s="24"/>
    </row>
    <row r="2059" spans="2:16" x14ac:dyDescent="0.25">
      <c r="B2059" s="24"/>
      <c r="E2059" s="24"/>
      <c r="G2059" s="24"/>
      <c r="H2059" s="24"/>
      <c r="J2059" s="24"/>
      <c r="K2059" s="24"/>
      <c r="M2059" s="24"/>
      <c r="N2059" s="24"/>
      <c r="P2059" s="24"/>
    </row>
    <row r="2060" spans="2:16" x14ac:dyDescent="0.25">
      <c r="B2060" s="24"/>
      <c r="E2060" s="24"/>
      <c r="G2060" s="24"/>
      <c r="H2060" s="24"/>
      <c r="J2060" s="24"/>
      <c r="K2060" s="24"/>
      <c r="M2060" s="24"/>
      <c r="N2060" s="24"/>
      <c r="P2060" s="24"/>
    </row>
    <row r="2061" spans="2:16" x14ac:dyDescent="0.25">
      <c r="B2061" s="24"/>
      <c r="E2061" s="24"/>
      <c r="G2061" s="24"/>
      <c r="H2061" s="24"/>
      <c r="J2061" s="24"/>
      <c r="K2061" s="24"/>
      <c r="M2061" s="24"/>
      <c r="N2061" s="24"/>
      <c r="P2061" s="24"/>
    </row>
    <row r="2062" spans="2:16" x14ac:dyDescent="0.25">
      <c r="B2062" s="24"/>
      <c r="E2062" s="24"/>
      <c r="G2062" s="24"/>
      <c r="H2062" s="24"/>
      <c r="J2062" s="24"/>
      <c r="K2062" s="24"/>
      <c r="M2062" s="24"/>
      <c r="N2062" s="24"/>
      <c r="P2062" s="24"/>
    </row>
    <row r="2063" spans="2:16" x14ac:dyDescent="0.25">
      <c r="B2063" s="24"/>
      <c r="E2063" s="24"/>
      <c r="G2063" s="24"/>
      <c r="H2063" s="24"/>
      <c r="J2063" s="24"/>
      <c r="K2063" s="24"/>
      <c r="M2063" s="24"/>
      <c r="N2063" s="24"/>
      <c r="P2063" s="24"/>
    </row>
    <row r="2064" spans="2:16" x14ac:dyDescent="0.25">
      <c r="B2064" s="24"/>
      <c r="E2064" s="24"/>
      <c r="G2064" s="24"/>
      <c r="H2064" s="24"/>
      <c r="J2064" s="24"/>
      <c r="K2064" s="24"/>
      <c r="M2064" s="24"/>
      <c r="N2064" s="24"/>
      <c r="P2064" s="24"/>
    </row>
    <row r="2065" spans="2:16" x14ac:dyDescent="0.25">
      <c r="B2065" s="24"/>
      <c r="E2065" s="24"/>
      <c r="G2065" s="24"/>
      <c r="H2065" s="24"/>
      <c r="J2065" s="24"/>
      <c r="K2065" s="24"/>
      <c r="M2065" s="24"/>
      <c r="N2065" s="24"/>
      <c r="P2065" s="24"/>
    </row>
    <row r="2066" spans="2:16" x14ac:dyDescent="0.25">
      <c r="B2066" s="24"/>
      <c r="E2066" s="24"/>
      <c r="G2066" s="24"/>
      <c r="H2066" s="24"/>
      <c r="J2066" s="24"/>
      <c r="K2066" s="24"/>
      <c r="M2066" s="24"/>
      <c r="N2066" s="24"/>
      <c r="P2066" s="24"/>
    </row>
    <row r="2067" spans="2:16" x14ac:dyDescent="0.25">
      <c r="B2067" s="24"/>
      <c r="E2067" s="24"/>
      <c r="G2067" s="24"/>
      <c r="H2067" s="24"/>
      <c r="J2067" s="24"/>
      <c r="K2067" s="24"/>
      <c r="M2067" s="24"/>
      <c r="N2067" s="24"/>
      <c r="P2067" s="24"/>
    </row>
    <row r="2068" spans="2:16" x14ac:dyDescent="0.25">
      <c r="B2068" s="24"/>
      <c r="E2068" s="24"/>
      <c r="G2068" s="24"/>
      <c r="H2068" s="24"/>
      <c r="J2068" s="24"/>
      <c r="K2068" s="24"/>
      <c r="M2068" s="24"/>
      <c r="N2068" s="24"/>
      <c r="P2068" s="24"/>
    </row>
    <row r="2069" spans="2:16" x14ac:dyDescent="0.25">
      <c r="B2069" s="24"/>
      <c r="E2069" s="24"/>
      <c r="G2069" s="24"/>
      <c r="H2069" s="24"/>
      <c r="J2069" s="24"/>
      <c r="K2069" s="24"/>
      <c r="M2069" s="24"/>
      <c r="N2069" s="24"/>
      <c r="P2069" s="24"/>
    </row>
    <row r="2070" spans="2:16" x14ac:dyDescent="0.25">
      <c r="B2070" s="24"/>
      <c r="E2070" s="24"/>
      <c r="G2070" s="24"/>
      <c r="H2070" s="24"/>
      <c r="J2070" s="24"/>
      <c r="K2070" s="24"/>
      <c r="M2070" s="24"/>
      <c r="N2070" s="24"/>
      <c r="P2070" s="24"/>
    </row>
    <row r="2071" spans="2:16" x14ac:dyDescent="0.25">
      <c r="B2071" s="24"/>
      <c r="E2071" s="24"/>
      <c r="G2071" s="24"/>
      <c r="H2071" s="24"/>
      <c r="J2071" s="24"/>
      <c r="K2071" s="24"/>
      <c r="M2071" s="24"/>
      <c r="N2071" s="24"/>
      <c r="P2071" s="24"/>
    </row>
    <row r="2072" spans="2:16" x14ac:dyDescent="0.25">
      <c r="B2072" s="24"/>
      <c r="E2072" s="24"/>
      <c r="G2072" s="24"/>
      <c r="H2072" s="24"/>
      <c r="J2072" s="24"/>
      <c r="K2072" s="24"/>
      <c r="M2072" s="24"/>
      <c r="N2072" s="24"/>
      <c r="P2072" s="24"/>
    </row>
    <row r="2073" spans="2:16" x14ac:dyDescent="0.25">
      <c r="B2073" s="24"/>
      <c r="E2073" s="24"/>
      <c r="G2073" s="24"/>
      <c r="H2073" s="24"/>
      <c r="J2073" s="24"/>
      <c r="K2073" s="24"/>
      <c r="M2073" s="24"/>
      <c r="N2073" s="24"/>
      <c r="P2073" s="24"/>
    </row>
    <row r="2074" spans="2:16" x14ac:dyDescent="0.25">
      <c r="B2074" s="24"/>
      <c r="E2074" s="24"/>
      <c r="G2074" s="24"/>
      <c r="H2074" s="24"/>
      <c r="J2074" s="24"/>
      <c r="K2074" s="24"/>
      <c r="M2074" s="24"/>
      <c r="N2074" s="24"/>
      <c r="P2074" s="24"/>
    </row>
    <row r="2075" spans="2:16" x14ac:dyDescent="0.25">
      <c r="B2075" s="24"/>
      <c r="E2075" s="24"/>
      <c r="G2075" s="24"/>
      <c r="H2075" s="24"/>
      <c r="J2075" s="24"/>
      <c r="K2075" s="24"/>
      <c r="M2075" s="24"/>
      <c r="N2075" s="24"/>
      <c r="P2075" s="24"/>
    </row>
    <row r="2076" spans="2:16" x14ac:dyDescent="0.25">
      <c r="B2076" s="24"/>
      <c r="E2076" s="24"/>
      <c r="G2076" s="24"/>
      <c r="H2076" s="24"/>
      <c r="J2076" s="24"/>
      <c r="K2076" s="24"/>
      <c r="M2076" s="24"/>
      <c r="N2076" s="24"/>
      <c r="P2076" s="24"/>
    </row>
    <row r="2077" spans="2:16" x14ac:dyDescent="0.25">
      <c r="B2077" s="24"/>
      <c r="E2077" s="24"/>
      <c r="G2077" s="24"/>
      <c r="H2077" s="24"/>
      <c r="J2077" s="24"/>
      <c r="K2077" s="24"/>
      <c r="M2077" s="24"/>
      <c r="N2077" s="24"/>
      <c r="P2077" s="24"/>
    </row>
    <row r="2078" spans="2:16" x14ac:dyDescent="0.25">
      <c r="B2078" s="24"/>
      <c r="E2078" s="24"/>
      <c r="G2078" s="24"/>
      <c r="H2078" s="24"/>
      <c r="J2078" s="24"/>
      <c r="K2078" s="24"/>
      <c r="M2078" s="24"/>
      <c r="N2078" s="24"/>
      <c r="P2078" s="24"/>
    </row>
    <row r="2079" spans="2:16" x14ac:dyDescent="0.25">
      <c r="B2079" s="24"/>
      <c r="E2079" s="24"/>
      <c r="G2079" s="24"/>
      <c r="H2079" s="24"/>
      <c r="J2079" s="24"/>
      <c r="K2079" s="24"/>
      <c r="M2079" s="24"/>
      <c r="N2079" s="24"/>
      <c r="P2079" s="24"/>
    </row>
    <row r="2080" spans="2:16" x14ac:dyDescent="0.25">
      <c r="B2080" s="24"/>
      <c r="E2080" s="24"/>
      <c r="G2080" s="24"/>
      <c r="H2080" s="24"/>
      <c r="J2080" s="24"/>
      <c r="K2080" s="24"/>
      <c r="M2080" s="24"/>
      <c r="N2080" s="24"/>
      <c r="P2080" s="24"/>
    </row>
    <row r="2081" spans="2:16" x14ac:dyDescent="0.25">
      <c r="B2081" s="24"/>
      <c r="E2081" s="24"/>
      <c r="G2081" s="24"/>
      <c r="H2081" s="24"/>
      <c r="J2081" s="24"/>
      <c r="K2081" s="24"/>
      <c r="M2081" s="24"/>
      <c r="N2081" s="24"/>
      <c r="P2081" s="24"/>
    </row>
    <row r="2082" spans="2:16" x14ac:dyDescent="0.25">
      <c r="B2082" s="24"/>
      <c r="E2082" s="24"/>
      <c r="G2082" s="24"/>
      <c r="H2082" s="24"/>
      <c r="J2082" s="24"/>
      <c r="K2082" s="24"/>
      <c r="M2082" s="24"/>
      <c r="N2082" s="24"/>
      <c r="P2082" s="24"/>
    </row>
    <row r="2083" spans="2:16" x14ac:dyDescent="0.25">
      <c r="B2083" s="24"/>
      <c r="E2083" s="24"/>
      <c r="G2083" s="24"/>
      <c r="H2083" s="24"/>
      <c r="J2083" s="24"/>
      <c r="K2083" s="24"/>
      <c r="M2083" s="24"/>
      <c r="N2083" s="24"/>
      <c r="P2083" s="24"/>
    </row>
    <row r="2084" spans="2:16" x14ac:dyDescent="0.25">
      <c r="B2084" s="24"/>
      <c r="E2084" s="24"/>
      <c r="G2084" s="24"/>
      <c r="H2084" s="24"/>
      <c r="J2084" s="24"/>
      <c r="K2084" s="24"/>
      <c r="M2084" s="24"/>
      <c r="N2084" s="24"/>
      <c r="P2084" s="24"/>
    </row>
    <row r="2085" spans="2:16" x14ac:dyDescent="0.25">
      <c r="B2085" s="24"/>
      <c r="E2085" s="24"/>
      <c r="G2085" s="24"/>
      <c r="H2085" s="24"/>
      <c r="J2085" s="24"/>
      <c r="K2085" s="24"/>
      <c r="M2085" s="24"/>
      <c r="N2085" s="24"/>
      <c r="P2085" s="24"/>
    </row>
    <row r="2086" spans="2:16" x14ac:dyDescent="0.25">
      <c r="B2086" s="24"/>
      <c r="E2086" s="24"/>
      <c r="G2086" s="24"/>
      <c r="H2086" s="24"/>
      <c r="J2086" s="24"/>
      <c r="K2086" s="24"/>
      <c r="M2086" s="24"/>
      <c r="N2086" s="24"/>
      <c r="P2086" s="24"/>
    </row>
    <row r="2087" spans="2:16" x14ac:dyDescent="0.25">
      <c r="B2087" s="24"/>
      <c r="E2087" s="24"/>
      <c r="G2087" s="24"/>
      <c r="H2087" s="24"/>
      <c r="J2087" s="24"/>
      <c r="K2087" s="24"/>
      <c r="M2087" s="24"/>
      <c r="N2087" s="24"/>
      <c r="P2087" s="24"/>
    </row>
    <row r="2088" spans="2:16" x14ac:dyDescent="0.25">
      <c r="B2088" s="24"/>
      <c r="E2088" s="24"/>
      <c r="G2088" s="24"/>
      <c r="H2088" s="24"/>
      <c r="J2088" s="24"/>
      <c r="K2088" s="24"/>
      <c r="M2088" s="24"/>
      <c r="N2088" s="24"/>
      <c r="P2088" s="24"/>
    </row>
    <row r="2089" spans="2:16" x14ac:dyDescent="0.25">
      <c r="B2089" s="24"/>
      <c r="E2089" s="24"/>
      <c r="G2089" s="24"/>
      <c r="H2089" s="24"/>
      <c r="J2089" s="24"/>
      <c r="K2089" s="24"/>
      <c r="M2089" s="24"/>
      <c r="N2089" s="24"/>
      <c r="P2089" s="24"/>
    </row>
    <row r="2090" spans="2:16" x14ac:dyDescent="0.25">
      <c r="B2090" s="24"/>
      <c r="E2090" s="24"/>
      <c r="G2090" s="24"/>
      <c r="H2090" s="24"/>
      <c r="J2090" s="24"/>
      <c r="K2090" s="24"/>
      <c r="M2090" s="24"/>
      <c r="N2090" s="24"/>
      <c r="P2090" s="24"/>
    </row>
    <row r="2091" spans="2:16" x14ac:dyDescent="0.25">
      <c r="B2091" s="24"/>
      <c r="E2091" s="24"/>
      <c r="G2091" s="24"/>
      <c r="H2091" s="24"/>
      <c r="J2091" s="24"/>
      <c r="K2091" s="24"/>
      <c r="M2091" s="24"/>
      <c r="N2091" s="24"/>
      <c r="P2091" s="24"/>
    </row>
    <row r="2092" spans="2:16" x14ac:dyDescent="0.25">
      <c r="B2092" s="24"/>
      <c r="E2092" s="24"/>
      <c r="G2092" s="24"/>
      <c r="H2092" s="24"/>
      <c r="J2092" s="24"/>
      <c r="K2092" s="24"/>
      <c r="M2092" s="24"/>
      <c r="N2092" s="24"/>
      <c r="P2092" s="24"/>
    </row>
    <row r="2093" spans="2:16" x14ac:dyDescent="0.25">
      <c r="B2093" s="24"/>
      <c r="E2093" s="24"/>
      <c r="G2093" s="24"/>
      <c r="H2093" s="24"/>
      <c r="J2093" s="24"/>
      <c r="K2093" s="24"/>
      <c r="M2093" s="24"/>
      <c r="N2093" s="24"/>
      <c r="P2093" s="24"/>
    </row>
    <row r="2094" spans="2:16" x14ac:dyDescent="0.25">
      <c r="B2094" s="24"/>
      <c r="E2094" s="24"/>
      <c r="G2094" s="24"/>
      <c r="H2094" s="24"/>
      <c r="J2094" s="24"/>
      <c r="K2094" s="24"/>
      <c r="M2094" s="24"/>
      <c r="N2094" s="24"/>
      <c r="P2094" s="24"/>
    </row>
    <row r="2095" spans="2:16" x14ac:dyDescent="0.25">
      <c r="B2095" s="24"/>
      <c r="E2095" s="24"/>
      <c r="G2095" s="24"/>
      <c r="H2095" s="24"/>
      <c r="J2095" s="24"/>
      <c r="K2095" s="24"/>
      <c r="M2095" s="24"/>
      <c r="N2095" s="24"/>
      <c r="P2095" s="24"/>
    </row>
    <row r="2096" spans="2:16" x14ac:dyDescent="0.25">
      <c r="B2096" s="24"/>
      <c r="E2096" s="24"/>
      <c r="G2096" s="24"/>
      <c r="H2096" s="24"/>
      <c r="J2096" s="24"/>
      <c r="K2096" s="24"/>
      <c r="M2096" s="24"/>
      <c r="N2096" s="24"/>
      <c r="P2096" s="24"/>
    </row>
    <row r="2097" spans="2:16" x14ac:dyDescent="0.25">
      <c r="B2097" s="24"/>
      <c r="E2097" s="24"/>
      <c r="G2097" s="24"/>
      <c r="H2097" s="24"/>
      <c r="J2097" s="24"/>
      <c r="K2097" s="24"/>
      <c r="M2097" s="24"/>
      <c r="N2097" s="24"/>
      <c r="P2097" s="24"/>
    </row>
    <row r="2098" spans="2:16" x14ac:dyDescent="0.25">
      <c r="B2098" s="24"/>
      <c r="E2098" s="24"/>
      <c r="G2098" s="24"/>
      <c r="H2098" s="24"/>
      <c r="J2098" s="24"/>
      <c r="K2098" s="24"/>
      <c r="M2098" s="24"/>
      <c r="N2098" s="24"/>
      <c r="P2098" s="24"/>
    </row>
    <row r="2099" spans="2:16" x14ac:dyDescent="0.25">
      <c r="B2099" s="24"/>
      <c r="E2099" s="24"/>
      <c r="G2099" s="24"/>
      <c r="H2099" s="24"/>
      <c r="J2099" s="24"/>
      <c r="K2099" s="24"/>
      <c r="M2099" s="24"/>
      <c r="N2099" s="24"/>
      <c r="P2099" s="24"/>
    </row>
    <row r="2100" spans="2:16" x14ac:dyDescent="0.25">
      <c r="B2100" s="24"/>
      <c r="E2100" s="24"/>
      <c r="G2100" s="24"/>
      <c r="H2100" s="24"/>
      <c r="J2100" s="24"/>
      <c r="K2100" s="24"/>
      <c r="M2100" s="24"/>
      <c r="N2100" s="24"/>
      <c r="P2100" s="24"/>
    </row>
    <row r="2101" spans="2:16" x14ac:dyDescent="0.25">
      <c r="B2101" s="24"/>
      <c r="E2101" s="24"/>
      <c r="G2101" s="24"/>
      <c r="H2101" s="24"/>
      <c r="J2101" s="24"/>
      <c r="K2101" s="24"/>
      <c r="M2101" s="24"/>
      <c r="N2101" s="24"/>
      <c r="P2101" s="24"/>
    </row>
    <row r="2102" spans="2:16" x14ac:dyDescent="0.25">
      <c r="B2102" s="24"/>
      <c r="E2102" s="24"/>
      <c r="G2102" s="24"/>
      <c r="H2102" s="24"/>
      <c r="J2102" s="24"/>
      <c r="K2102" s="24"/>
      <c r="M2102" s="24"/>
      <c r="N2102" s="24"/>
      <c r="P2102" s="24"/>
    </row>
    <row r="2103" spans="2:16" x14ac:dyDescent="0.25">
      <c r="B2103" s="24"/>
      <c r="E2103" s="24"/>
      <c r="G2103" s="24"/>
      <c r="H2103" s="24"/>
      <c r="J2103" s="24"/>
      <c r="K2103" s="24"/>
      <c r="M2103" s="24"/>
      <c r="N2103" s="24"/>
      <c r="P2103" s="24"/>
    </row>
    <row r="2104" spans="2:16" x14ac:dyDescent="0.25">
      <c r="B2104" s="24"/>
      <c r="E2104" s="24"/>
      <c r="G2104" s="24"/>
      <c r="H2104" s="24"/>
      <c r="J2104" s="24"/>
      <c r="K2104" s="24"/>
      <c r="M2104" s="24"/>
      <c r="N2104" s="24"/>
      <c r="P2104" s="24"/>
    </row>
    <row r="2105" spans="2:16" x14ac:dyDescent="0.25">
      <c r="B2105" s="24"/>
      <c r="E2105" s="24"/>
      <c r="G2105" s="24"/>
      <c r="H2105" s="24"/>
      <c r="J2105" s="24"/>
      <c r="K2105" s="24"/>
      <c r="M2105" s="24"/>
      <c r="N2105" s="24"/>
      <c r="P2105" s="24"/>
    </row>
    <row r="2106" spans="2:16" x14ac:dyDescent="0.25">
      <c r="B2106" s="24"/>
      <c r="E2106" s="24"/>
      <c r="G2106" s="24"/>
      <c r="H2106" s="24"/>
      <c r="J2106" s="24"/>
      <c r="K2106" s="24"/>
      <c r="M2106" s="24"/>
      <c r="N2106" s="24"/>
      <c r="P2106" s="24"/>
    </row>
    <row r="2107" spans="2:16" x14ac:dyDescent="0.25">
      <c r="B2107" s="24"/>
      <c r="E2107" s="24"/>
      <c r="G2107" s="24"/>
      <c r="H2107" s="24"/>
      <c r="J2107" s="24"/>
      <c r="K2107" s="24"/>
      <c r="M2107" s="24"/>
      <c r="N2107" s="24"/>
      <c r="P2107" s="24"/>
    </row>
    <row r="2108" spans="2:16" x14ac:dyDescent="0.25">
      <c r="B2108" s="24"/>
      <c r="E2108" s="24"/>
      <c r="G2108" s="24"/>
      <c r="H2108" s="24"/>
      <c r="J2108" s="24"/>
      <c r="K2108" s="24"/>
      <c r="M2108" s="24"/>
      <c r="N2108" s="24"/>
      <c r="P2108" s="24"/>
    </row>
    <row r="2109" spans="2:16" x14ac:dyDescent="0.25">
      <c r="B2109" s="24"/>
      <c r="E2109" s="24"/>
      <c r="G2109" s="24"/>
      <c r="H2109" s="24"/>
      <c r="J2109" s="24"/>
      <c r="K2109" s="24"/>
      <c r="M2109" s="24"/>
      <c r="N2109" s="24"/>
      <c r="P2109" s="24"/>
    </row>
    <row r="2110" spans="2:16" x14ac:dyDescent="0.25">
      <c r="B2110" s="24"/>
      <c r="E2110" s="24"/>
      <c r="G2110" s="24"/>
      <c r="H2110" s="24"/>
      <c r="J2110" s="24"/>
      <c r="K2110" s="24"/>
      <c r="M2110" s="24"/>
      <c r="N2110" s="24"/>
      <c r="P2110" s="24"/>
    </row>
    <row r="2111" spans="2:16" x14ac:dyDescent="0.25">
      <c r="B2111" s="24"/>
      <c r="E2111" s="24"/>
      <c r="G2111" s="24"/>
      <c r="H2111" s="24"/>
      <c r="J2111" s="24"/>
      <c r="K2111" s="24"/>
      <c r="M2111" s="24"/>
      <c r="N2111" s="24"/>
      <c r="P2111" s="24"/>
    </row>
    <row r="2112" spans="2:16" x14ac:dyDescent="0.25">
      <c r="B2112" s="24"/>
      <c r="E2112" s="24"/>
      <c r="G2112" s="24"/>
      <c r="H2112" s="24"/>
      <c r="J2112" s="24"/>
      <c r="K2112" s="24"/>
      <c r="M2112" s="24"/>
      <c r="N2112" s="24"/>
      <c r="P2112" s="24"/>
    </row>
    <row r="2113" spans="2:16" x14ac:dyDescent="0.25">
      <c r="B2113" s="24"/>
      <c r="E2113" s="24"/>
      <c r="G2113" s="24"/>
      <c r="H2113" s="24"/>
      <c r="J2113" s="24"/>
      <c r="K2113" s="24"/>
      <c r="M2113" s="24"/>
      <c r="N2113" s="24"/>
      <c r="P2113" s="24"/>
    </row>
    <row r="2114" spans="2:16" x14ac:dyDescent="0.25">
      <c r="B2114" s="24"/>
      <c r="E2114" s="24"/>
      <c r="G2114" s="24"/>
      <c r="H2114" s="24"/>
      <c r="J2114" s="24"/>
      <c r="K2114" s="24"/>
      <c r="M2114" s="24"/>
      <c r="N2114" s="24"/>
      <c r="P2114" s="24"/>
    </row>
    <row r="2115" spans="2:16" x14ac:dyDescent="0.25">
      <c r="B2115" s="24"/>
      <c r="E2115" s="24"/>
      <c r="G2115" s="24"/>
      <c r="H2115" s="24"/>
      <c r="J2115" s="24"/>
      <c r="K2115" s="24"/>
      <c r="M2115" s="24"/>
      <c r="N2115" s="24"/>
      <c r="P2115" s="24"/>
    </row>
    <row r="2116" spans="2:16" x14ac:dyDescent="0.25">
      <c r="B2116" s="24"/>
      <c r="E2116" s="24"/>
      <c r="G2116" s="24"/>
      <c r="H2116" s="24"/>
      <c r="J2116" s="24"/>
      <c r="K2116" s="24"/>
      <c r="M2116" s="24"/>
      <c r="N2116" s="24"/>
      <c r="P2116" s="24"/>
    </row>
    <row r="2117" spans="2:16" x14ac:dyDescent="0.25">
      <c r="B2117" s="24"/>
      <c r="E2117" s="24"/>
      <c r="G2117" s="24"/>
      <c r="H2117" s="24"/>
      <c r="J2117" s="24"/>
      <c r="K2117" s="24"/>
      <c r="M2117" s="24"/>
      <c r="N2117" s="24"/>
      <c r="P2117" s="24"/>
    </row>
    <row r="2118" spans="2:16" x14ac:dyDescent="0.25">
      <c r="B2118" s="24"/>
      <c r="E2118" s="24"/>
      <c r="G2118" s="24"/>
      <c r="H2118" s="24"/>
      <c r="J2118" s="24"/>
      <c r="K2118" s="24"/>
      <c r="M2118" s="24"/>
      <c r="N2118" s="24"/>
      <c r="P2118" s="24"/>
    </row>
    <row r="2119" spans="2:16" x14ac:dyDescent="0.25">
      <c r="B2119" s="24"/>
      <c r="E2119" s="24"/>
      <c r="G2119" s="24"/>
      <c r="H2119" s="24"/>
      <c r="J2119" s="24"/>
      <c r="K2119" s="24"/>
      <c r="M2119" s="24"/>
      <c r="N2119" s="24"/>
      <c r="P2119" s="24"/>
    </row>
    <row r="2120" spans="2:16" x14ac:dyDescent="0.25">
      <c r="B2120" s="24"/>
      <c r="E2120" s="24"/>
      <c r="G2120" s="24"/>
      <c r="H2120" s="24"/>
      <c r="J2120" s="24"/>
      <c r="K2120" s="24"/>
      <c r="M2120" s="24"/>
      <c r="N2120" s="24"/>
      <c r="P2120" s="24"/>
    </row>
    <row r="2121" spans="2:16" x14ac:dyDescent="0.25">
      <c r="B2121" s="24"/>
      <c r="E2121" s="24"/>
      <c r="G2121" s="24"/>
      <c r="H2121" s="24"/>
      <c r="J2121" s="24"/>
      <c r="K2121" s="24"/>
      <c r="M2121" s="24"/>
      <c r="N2121" s="24"/>
      <c r="P2121" s="24"/>
    </row>
    <row r="2122" spans="2:16" x14ac:dyDescent="0.25">
      <c r="B2122" s="24"/>
      <c r="E2122" s="24"/>
      <c r="G2122" s="24"/>
      <c r="H2122" s="24"/>
      <c r="J2122" s="24"/>
      <c r="K2122" s="24"/>
      <c r="M2122" s="24"/>
      <c r="N2122" s="24"/>
      <c r="P2122" s="24"/>
    </row>
    <row r="2123" spans="2:16" x14ac:dyDescent="0.25">
      <c r="B2123" s="24"/>
      <c r="E2123" s="24"/>
      <c r="G2123" s="24"/>
      <c r="H2123" s="24"/>
      <c r="J2123" s="24"/>
      <c r="K2123" s="24"/>
      <c r="M2123" s="24"/>
      <c r="N2123" s="24"/>
      <c r="P2123" s="24"/>
    </row>
    <row r="2124" spans="2:16" x14ac:dyDescent="0.25">
      <c r="B2124" s="24"/>
      <c r="E2124" s="24"/>
      <c r="G2124" s="24"/>
      <c r="H2124" s="24"/>
      <c r="J2124" s="24"/>
      <c r="K2124" s="24"/>
      <c r="M2124" s="24"/>
      <c r="N2124" s="24"/>
      <c r="P2124" s="24"/>
    </row>
    <row r="2125" spans="2:16" x14ac:dyDescent="0.25">
      <c r="B2125" s="24"/>
      <c r="E2125" s="24"/>
      <c r="G2125" s="24"/>
      <c r="H2125" s="24"/>
      <c r="J2125" s="24"/>
      <c r="K2125" s="24"/>
      <c r="M2125" s="24"/>
      <c r="N2125" s="24"/>
      <c r="P2125" s="24"/>
    </row>
    <row r="2126" spans="2:16" x14ac:dyDescent="0.25">
      <c r="B2126" s="24"/>
      <c r="E2126" s="24"/>
      <c r="G2126" s="24"/>
      <c r="H2126" s="24"/>
      <c r="J2126" s="24"/>
      <c r="K2126" s="24"/>
      <c r="M2126" s="24"/>
      <c r="N2126" s="24"/>
      <c r="P2126" s="24"/>
    </row>
    <row r="2127" spans="2:16" x14ac:dyDescent="0.25">
      <c r="B2127" s="24"/>
      <c r="E2127" s="24"/>
      <c r="G2127" s="24"/>
      <c r="H2127" s="24"/>
      <c r="J2127" s="24"/>
      <c r="K2127" s="24"/>
      <c r="M2127" s="24"/>
      <c r="N2127" s="24"/>
      <c r="P2127" s="24"/>
    </row>
    <row r="2128" spans="2:16" x14ac:dyDescent="0.25">
      <c r="B2128" s="24"/>
      <c r="E2128" s="24"/>
      <c r="G2128" s="24"/>
      <c r="H2128" s="24"/>
      <c r="J2128" s="24"/>
      <c r="K2128" s="24"/>
      <c r="M2128" s="24"/>
      <c r="N2128" s="24"/>
      <c r="P2128" s="24"/>
    </row>
    <row r="2129" spans="2:16" x14ac:dyDescent="0.25">
      <c r="B2129" s="24"/>
      <c r="E2129" s="24"/>
      <c r="G2129" s="24"/>
      <c r="H2129" s="24"/>
      <c r="J2129" s="24"/>
      <c r="K2129" s="24"/>
      <c r="M2129" s="24"/>
      <c r="N2129" s="24"/>
      <c r="P2129" s="24"/>
    </row>
    <row r="2130" spans="2:16" x14ac:dyDescent="0.25">
      <c r="B2130" s="24"/>
      <c r="E2130" s="24"/>
      <c r="G2130" s="24"/>
      <c r="H2130" s="24"/>
      <c r="J2130" s="24"/>
      <c r="K2130" s="24"/>
      <c r="M2130" s="24"/>
      <c r="N2130" s="24"/>
      <c r="P2130" s="24"/>
    </row>
    <row r="2131" spans="2:16" x14ac:dyDescent="0.25">
      <c r="B2131" s="24"/>
      <c r="E2131" s="24"/>
      <c r="G2131" s="24"/>
      <c r="H2131" s="24"/>
      <c r="J2131" s="24"/>
      <c r="K2131" s="24"/>
      <c r="M2131" s="24"/>
      <c r="N2131" s="24"/>
      <c r="P2131" s="24"/>
    </row>
    <row r="2132" spans="2:16" x14ac:dyDescent="0.25">
      <c r="B2132" s="24"/>
      <c r="E2132" s="24"/>
      <c r="G2132" s="24"/>
      <c r="H2132" s="24"/>
      <c r="J2132" s="24"/>
      <c r="K2132" s="24"/>
      <c r="M2132" s="24"/>
      <c r="N2132" s="24"/>
      <c r="P2132" s="24"/>
    </row>
    <row r="2133" spans="2:16" x14ac:dyDescent="0.25">
      <c r="B2133" s="24"/>
      <c r="E2133" s="24"/>
      <c r="G2133" s="24"/>
      <c r="H2133" s="24"/>
      <c r="J2133" s="24"/>
      <c r="K2133" s="24"/>
      <c r="M2133" s="24"/>
      <c r="N2133" s="24"/>
      <c r="P2133" s="24"/>
    </row>
    <row r="2134" spans="2:16" x14ac:dyDescent="0.25">
      <c r="B2134" s="24"/>
      <c r="E2134" s="24"/>
      <c r="G2134" s="24"/>
      <c r="H2134" s="24"/>
      <c r="J2134" s="24"/>
      <c r="K2134" s="24"/>
      <c r="M2134" s="24"/>
      <c r="N2134" s="24"/>
      <c r="P2134" s="24"/>
    </row>
    <row r="2135" spans="2:16" x14ac:dyDescent="0.25">
      <c r="B2135" s="24"/>
      <c r="E2135" s="24"/>
      <c r="G2135" s="24"/>
      <c r="H2135" s="24"/>
      <c r="J2135" s="24"/>
      <c r="K2135" s="24"/>
      <c r="M2135" s="24"/>
      <c r="N2135" s="24"/>
      <c r="P2135" s="24"/>
    </row>
    <row r="2136" spans="2:16" x14ac:dyDescent="0.25">
      <c r="B2136" s="24"/>
      <c r="E2136" s="24"/>
      <c r="G2136" s="24"/>
      <c r="H2136" s="24"/>
      <c r="J2136" s="24"/>
      <c r="K2136" s="24"/>
      <c r="M2136" s="24"/>
      <c r="N2136" s="24"/>
      <c r="P2136" s="24"/>
    </row>
    <row r="2137" spans="2:16" x14ac:dyDescent="0.25">
      <c r="B2137" s="24"/>
      <c r="E2137" s="24"/>
      <c r="G2137" s="24"/>
      <c r="H2137" s="24"/>
      <c r="J2137" s="24"/>
      <c r="K2137" s="24"/>
      <c r="M2137" s="24"/>
      <c r="N2137" s="24"/>
      <c r="P2137" s="24"/>
    </row>
    <row r="2138" spans="2:16" x14ac:dyDescent="0.25">
      <c r="B2138" s="24"/>
      <c r="E2138" s="24"/>
      <c r="G2138" s="24"/>
      <c r="H2138" s="24"/>
      <c r="J2138" s="24"/>
      <c r="K2138" s="24"/>
      <c r="M2138" s="24"/>
      <c r="N2138" s="24"/>
      <c r="P2138" s="24"/>
    </row>
    <row r="2139" spans="2:16" x14ac:dyDescent="0.25">
      <c r="B2139" s="24"/>
      <c r="E2139" s="24"/>
      <c r="G2139" s="24"/>
      <c r="H2139" s="24"/>
      <c r="J2139" s="24"/>
      <c r="K2139" s="24"/>
      <c r="M2139" s="24"/>
      <c r="N2139" s="24"/>
      <c r="P2139" s="24"/>
    </row>
    <row r="2140" spans="2:16" x14ac:dyDescent="0.25">
      <c r="B2140" s="24"/>
      <c r="E2140" s="24"/>
      <c r="G2140" s="24"/>
      <c r="H2140" s="24"/>
      <c r="J2140" s="24"/>
      <c r="K2140" s="24"/>
      <c r="M2140" s="24"/>
      <c r="N2140" s="24"/>
      <c r="P2140" s="24"/>
    </row>
    <row r="2141" spans="2:16" x14ac:dyDescent="0.25">
      <c r="B2141" s="24"/>
      <c r="E2141" s="24"/>
      <c r="G2141" s="24"/>
      <c r="H2141" s="24"/>
      <c r="J2141" s="24"/>
      <c r="K2141" s="24"/>
      <c r="M2141" s="24"/>
      <c r="N2141" s="24"/>
      <c r="P2141" s="24"/>
    </row>
    <row r="2142" spans="2:16" x14ac:dyDescent="0.25">
      <c r="B2142" s="24"/>
      <c r="E2142" s="24"/>
      <c r="G2142" s="24"/>
      <c r="H2142" s="24"/>
      <c r="J2142" s="24"/>
      <c r="K2142" s="24"/>
      <c r="M2142" s="24"/>
      <c r="N2142" s="24"/>
      <c r="P2142" s="24"/>
    </row>
    <row r="2143" spans="2:16" x14ac:dyDescent="0.25">
      <c r="B2143" s="24"/>
      <c r="E2143" s="24"/>
      <c r="G2143" s="24"/>
      <c r="H2143" s="24"/>
      <c r="J2143" s="24"/>
      <c r="K2143" s="24"/>
      <c r="M2143" s="24"/>
      <c r="N2143" s="24"/>
      <c r="P2143" s="24"/>
    </row>
    <row r="2144" spans="2:16" x14ac:dyDescent="0.25">
      <c r="B2144" s="24"/>
      <c r="E2144" s="24"/>
      <c r="G2144" s="24"/>
      <c r="H2144" s="24"/>
      <c r="J2144" s="24"/>
      <c r="K2144" s="24"/>
      <c r="M2144" s="24"/>
      <c r="N2144" s="24"/>
      <c r="P2144" s="24"/>
    </row>
    <row r="2145" spans="2:16" x14ac:dyDescent="0.25">
      <c r="B2145" s="24"/>
      <c r="E2145" s="24"/>
      <c r="G2145" s="24"/>
      <c r="H2145" s="24"/>
      <c r="J2145" s="24"/>
      <c r="K2145" s="24"/>
      <c r="M2145" s="24"/>
      <c r="N2145" s="24"/>
      <c r="P2145" s="24"/>
    </row>
    <row r="2146" spans="2:16" x14ac:dyDescent="0.25">
      <c r="B2146" s="24"/>
      <c r="E2146" s="24"/>
      <c r="G2146" s="24"/>
      <c r="H2146" s="24"/>
      <c r="J2146" s="24"/>
      <c r="K2146" s="24"/>
      <c r="M2146" s="24"/>
      <c r="N2146" s="24"/>
      <c r="P2146" s="24"/>
    </row>
    <row r="2147" spans="2:16" x14ac:dyDescent="0.25">
      <c r="B2147" s="24"/>
      <c r="E2147" s="24"/>
      <c r="G2147" s="24"/>
      <c r="H2147" s="24"/>
      <c r="J2147" s="24"/>
      <c r="K2147" s="24"/>
      <c r="M2147" s="24"/>
      <c r="N2147" s="24"/>
      <c r="P2147" s="24"/>
    </row>
    <row r="2148" spans="2:16" x14ac:dyDescent="0.25">
      <c r="B2148" s="24"/>
      <c r="E2148" s="24"/>
      <c r="G2148" s="24"/>
      <c r="H2148" s="24"/>
      <c r="J2148" s="24"/>
      <c r="K2148" s="24"/>
      <c r="M2148" s="24"/>
      <c r="N2148" s="24"/>
      <c r="P2148" s="24"/>
    </row>
    <row r="2149" spans="2:16" x14ac:dyDescent="0.25">
      <c r="B2149" s="24"/>
      <c r="E2149" s="24"/>
      <c r="G2149" s="24"/>
      <c r="H2149" s="24"/>
      <c r="J2149" s="24"/>
      <c r="K2149" s="24"/>
      <c r="M2149" s="24"/>
      <c r="N2149" s="24"/>
      <c r="P2149" s="24"/>
    </row>
    <row r="2150" spans="2:16" x14ac:dyDescent="0.25">
      <c r="B2150" s="24"/>
      <c r="E2150" s="24"/>
      <c r="G2150" s="24"/>
      <c r="H2150" s="24"/>
      <c r="J2150" s="24"/>
      <c r="K2150" s="24"/>
      <c r="M2150" s="24"/>
      <c r="N2150" s="24"/>
      <c r="P2150" s="24"/>
    </row>
    <row r="2151" spans="2:16" x14ac:dyDescent="0.25">
      <c r="B2151" s="24"/>
      <c r="E2151" s="24"/>
      <c r="G2151" s="24"/>
      <c r="H2151" s="24"/>
      <c r="J2151" s="24"/>
      <c r="K2151" s="24"/>
      <c r="M2151" s="24"/>
      <c r="N2151" s="24"/>
      <c r="P2151" s="24"/>
    </row>
    <row r="2152" spans="2:16" x14ac:dyDescent="0.25">
      <c r="B2152" s="24"/>
      <c r="E2152" s="24"/>
      <c r="G2152" s="24"/>
      <c r="H2152" s="24"/>
      <c r="J2152" s="24"/>
      <c r="K2152" s="24"/>
      <c r="M2152" s="24"/>
      <c r="N2152" s="24"/>
      <c r="P2152" s="24"/>
    </row>
    <row r="2153" spans="2:16" x14ac:dyDescent="0.25">
      <c r="B2153" s="24"/>
      <c r="E2153" s="24"/>
      <c r="G2153" s="24"/>
      <c r="H2153" s="24"/>
      <c r="J2153" s="24"/>
      <c r="K2153" s="24"/>
      <c r="M2153" s="24"/>
      <c r="N2153" s="24"/>
      <c r="P2153" s="24"/>
    </row>
    <row r="2154" spans="2:16" x14ac:dyDescent="0.25">
      <c r="B2154" s="24"/>
      <c r="E2154" s="24"/>
      <c r="G2154" s="24"/>
      <c r="H2154" s="24"/>
      <c r="J2154" s="24"/>
      <c r="K2154" s="24"/>
      <c r="M2154" s="24"/>
      <c r="N2154" s="24"/>
      <c r="P2154" s="24"/>
    </row>
    <row r="2155" spans="2:16" x14ac:dyDescent="0.25">
      <c r="B2155" s="24"/>
      <c r="E2155" s="24"/>
      <c r="G2155" s="24"/>
      <c r="H2155" s="24"/>
      <c r="J2155" s="24"/>
      <c r="K2155" s="24"/>
      <c r="M2155" s="24"/>
      <c r="N2155" s="24"/>
      <c r="P2155" s="24"/>
    </row>
    <row r="2156" spans="2:16" x14ac:dyDescent="0.25">
      <c r="B2156" s="24"/>
      <c r="E2156" s="24"/>
      <c r="G2156" s="24"/>
      <c r="H2156" s="24"/>
      <c r="J2156" s="24"/>
      <c r="K2156" s="24"/>
      <c r="M2156" s="24"/>
      <c r="N2156" s="24"/>
      <c r="P2156" s="24"/>
    </row>
    <row r="2157" spans="2:16" x14ac:dyDescent="0.25">
      <c r="B2157" s="24"/>
      <c r="E2157" s="24"/>
      <c r="G2157" s="24"/>
      <c r="H2157" s="24"/>
      <c r="J2157" s="24"/>
      <c r="K2157" s="24"/>
      <c r="M2157" s="24"/>
      <c r="N2157" s="24"/>
      <c r="P2157" s="24"/>
    </row>
    <row r="2158" spans="2:16" x14ac:dyDescent="0.25">
      <c r="B2158" s="24"/>
      <c r="E2158" s="24"/>
      <c r="G2158" s="24"/>
      <c r="H2158" s="24"/>
      <c r="J2158" s="24"/>
      <c r="K2158" s="24"/>
      <c r="M2158" s="24"/>
      <c r="N2158" s="24"/>
      <c r="P2158" s="24"/>
    </row>
    <row r="2159" spans="2:16" x14ac:dyDescent="0.25">
      <c r="B2159" s="24"/>
      <c r="E2159" s="24"/>
      <c r="G2159" s="24"/>
      <c r="H2159" s="24"/>
      <c r="J2159" s="24"/>
      <c r="K2159" s="24"/>
      <c r="M2159" s="24"/>
      <c r="N2159" s="24"/>
      <c r="P2159" s="24"/>
    </row>
    <row r="2160" spans="2:16" x14ac:dyDescent="0.25">
      <c r="B2160" s="24"/>
      <c r="E2160" s="24"/>
      <c r="G2160" s="24"/>
      <c r="H2160" s="24"/>
      <c r="J2160" s="24"/>
      <c r="K2160" s="24"/>
      <c r="M2160" s="24"/>
      <c r="N2160" s="24"/>
      <c r="P2160" s="24"/>
    </row>
    <row r="2161" spans="2:16" x14ac:dyDescent="0.25">
      <c r="B2161" s="24"/>
      <c r="E2161" s="24"/>
      <c r="G2161" s="24"/>
      <c r="H2161" s="24"/>
      <c r="J2161" s="24"/>
      <c r="K2161" s="24"/>
      <c r="M2161" s="24"/>
      <c r="N2161" s="24"/>
      <c r="P2161" s="24"/>
    </row>
    <row r="2162" spans="2:16" x14ac:dyDescent="0.25">
      <c r="B2162" s="24"/>
      <c r="E2162" s="24"/>
      <c r="G2162" s="24"/>
      <c r="H2162" s="24"/>
      <c r="J2162" s="24"/>
      <c r="K2162" s="24"/>
      <c r="M2162" s="24"/>
      <c r="N2162" s="24"/>
      <c r="P2162" s="24"/>
    </row>
    <row r="2163" spans="2:16" x14ac:dyDescent="0.25">
      <c r="B2163" s="24"/>
      <c r="E2163" s="24"/>
      <c r="G2163" s="24"/>
      <c r="H2163" s="24"/>
      <c r="J2163" s="24"/>
      <c r="K2163" s="24"/>
      <c r="M2163" s="24"/>
      <c r="N2163" s="24"/>
      <c r="P2163" s="24"/>
    </row>
    <row r="2164" spans="2:16" x14ac:dyDescent="0.25">
      <c r="B2164" s="24"/>
      <c r="E2164" s="24"/>
      <c r="G2164" s="24"/>
      <c r="H2164" s="24"/>
      <c r="J2164" s="24"/>
      <c r="K2164" s="24"/>
      <c r="M2164" s="24"/>
      <c r="N2164" s="24"/>
      <c r="P2164" s="24"/>
    </row>
    <row r="2165" spans="2:16" x14ac:dyDescent="0.25">
      <c r="B2165" s="24"/>
      <c r="E2165" s="24"/>
      <c r="G2165" s="24"/>
      <c r="H2165" s="24"/>
      <c r="J2165" s="24"/>
      <c r="K2165" s="24"/>
      <c r="M2165" s="24"/>
      <c r="N2165" s="24"/>
      <c r="P2165" s="24"/>
    </row>
    <row r="2166" spans="2:16" x14ac:dyDescent="0.25">
      <c r="B2166" s="24"/>
      <c r="E2166" s="24"/>
      <c r="G2166" s="24"/>
      <c r="H2166" s="24"/>
      <c r="J2166" s="24"/>
      <c r="K2166" s="24"/>
      <c r="M2166" s="24"/>
      <c r="N2166" s="24"/>
      <c r="P2166" s="24"/>
    </row>
    <row r="2167" spans="2:16" x14ac:dyDescent="0.25">
      <c r="B2167" s="24"/>
      <c r="E2167" s="24"/>
      <c r="G2167" s="24"/>
      <c r="H2167" s="24"/>
      <c r="J2167" s="24"/>
      <c r="K2167" s="24"/>
      <c r="M2167" s="24"/>
      <c r="N2167" s="24"/>
      <c r="P2167" s="24"/>
    </row>
    <row r="2168" spans="2:16" x14ac:dyDescent="0.25">
      <c r="B2168" s="24"/>
      <c r="E2168" s="24"/>
      <c r="G2168" s="24"/>
      <c r="H2168" s="24"/>
      <c r="J2168" s="24"/>
      <c r="K2168" s="24"/>
      <c r="M2168" s="24"/>
      <c r="N2168" s="24"/>
      <c r="P2168" s="24"/>
    </row>
    <row r="2169" spans="2:16" x14ac:dyDescent="0.25">
      <c r="B2169" s="24"/>
      <c r="E2169" s="24"/>
      <c r="G2169" s="24"/>
      <c r="H2169" s="24"/>
      <c r="J2169" s="24"/>
      <c r="K2169" s="24"/>
      <c r="M2169" s="24"/>
      <c r="N2169" s="24"/>
      <c r="P2169" s="24"/>
    </row>
    <row r="2170" spans="2:16" x14ac:dyDescent="0.25">
      <c r="B2170" s="24"/>
      <c r="E2170" s="24"/>
      <c r="G2170" s="24"/>
      <c r="H2170" s="24"/>
      <c r="J2170" s="24"/>
      <c r="K2170" s="24"/>
      <c r="M2170" s="24"/>
      <c r="N2170" s="24"/>
      <c r="P2170" s="24"/>
    </row>
    <row r="2171" spans="2:16" x14ac:dyDescent="0.25">
      <c r="B2171" s="24"/>
      <c r="E2171" s="24"/>
      <c r="G2171" s="24"/>
      <c r="H2171" s="24"/>
      <c r="J2171" s="24"/>
      <c r="K2171" s="24"/>
      <c r="M2171" s="24"/>
      <c r="N2171" s="24"/>
      <c r="P2171" s="24"/>
    </row>
    <row r="2172" spans="2:16" x14ac:dyDescent="0.25">
      <c r="B2172" s="24"/>
      <c r="E2172" s="24"/>
      <c r="G2172" s="24"/>
      <c r="H2172" s="24"/>
      <c r="J2172" s="24"/>
      <c r="K2172" s="24"/>
      <c r="M2172" s="24"/>
      <c r="N2172" s="24"/>
      <c r="P2172" s="24"/>
    </row>
    <row r="2173" spans="2:16" x14ac:dyDescent="0.25">
      <c r="B2173" s="24"/>
      <c r="E2173" s="24"/>
      <c r="G2173" s="24"/>
      <c r="H2173" s="24"/>
      <c r="J2173" s="24"/>
      <c r="K2173" s="24"/>
      <c r="M2173" s="24"/>
      <c r="N2173" s="24"/>
      <c r="P2173" s="24"/>
    </row>
    <row r="2174" spans="2:16" x14ac:dyDescent="0.25">
      <c r="B2174" s="24"/>
      <c r="E2174" s="24"/>
      <c r="G2174" s="24"/>
      <c r="H2174" s="24"/>
      <c r="J2174" s="24"/>
      <c r="K2174" s="24"/>
      <c r="M2174" s="24"/>
      <c r="N2174" s="24"/>
      <c r="P2174" s="24"/>
    </row>
    <row r="2175" spans="2:16" x14ac:dyDescent="0.25">
      <c r="B2175" s="24"/>
      <c r="E2175" s="24"/>
      <c r="G2175" s="24"/>
      <c r="H2175" s="24"/>
      <c r="J2175" s="24"/>
      <c r="K2175" s="24"/>
      <c r="M2175" s="24"/>
      <c r="N2175" s="24"/>
      <c r="P2175" s="24"/>
    </row>
    <row r="2176" spans="2:16" x14ac:dyDescent="0.25">
      <c r="B2176" s="24"/>
      <c r="E2176" s="24"/>
      <c r="G2176" s="24"/>
      <c r="H2176" s="24"/>
      <c r="J2176" s="24"/>
      <c r="K2176" s="24"/>
      <c r="M2176" s="24"/>
      <c r="N2176" s="24"/>
      <c r="P2176" s="24"/>
    </row>
    <row r="2177" spans="2:16" x14ac:dyDescent="0.25">
      <c r="B2177" s="24"/>
      <c r="E2177" s="24"/>
      <c r="G2177" s="24"/>
      <c r="H2177" s="24"/>
      <c r="J2177" s="24"/>
      <c r="K2177" s="24"/>
      <c r="M2177" s="24"/>
      <c r="N2177" s="24"/>
      <c r="P2177" s="24"/>
    </row>
    <row r="2178" spans="2:16" x14ac:dyDescent="0.25">
      <c r="B2178" s="24"/>
      <c r="E2178" s="24"/>
      <c r="G2178" s="24"/>
      <c r="H2178" s="24"/>
      <c r="J2178" s="24"/>
      <c r="K2178" s="24"/>
      <c r="M2178" s="24"/>
      <c r="N2178" s="24"/>
      <c r="P2178" s="24"/>
    </row>
    <row r="2179" spans="2:16" x14ac:dyDescent="0.25">
      <c r="B2179" s="24"/>
      <c r="E2179" s="24"/>
      <c r="G2179" s="24"/>
      <c r="H2179" s="24"/>
      <c r="J2179" s="24"/>
      <c r="K2179" s="24"/>
      <c r="M2179" s="24"/>
      <c r="N2179" s="24"/>
      <c r="P2179" s="24"/>
    </row>
    <row r="2180" spans="2:16" x14ac:dyDescent="0.25">
      <c r="B2180" s="24"/>
      <c r="E2180" s="24"/>
      <c r="G2180" s="24"/>
      <c r="H2180" s="24"/>
      <c r="J2180" s="24"/>
      <c r="K2180" s="24"/>
      <c r="M2180" s="24"/>
      <c r="N2180" s="24"/>
      <c r="P2180" s="24"/>
    </row>
    <row r="2181" spans="2:16" x14ac:dyDescent="0.25">
      <c r="B2181" s="24"/>
      <c r="E2181" s="24"/>
      <c r="G2181" s="24"/>
      <c r="H2181" s="24"/>
      <c r="J2181" s="24"/>
      <c r="K2181" s="24"/>
      <c r="M2181" s="24"/>
      <c r="N2181" s="24"/>
      <c r="P2181" s="24"/>
    </row>
    <row r="2182" spans="2:16" x14ac:dyDescent="0.25">
      <c r="B2182" s="24"/>
      <c r="E2182" s="24"/>
      <c r="G2182" s="24"/>
      <c r="H2182" s="24"/>
      <c r="J2182" s="24"/>
      <c r="K2182" s="24"/>
      <c r="M2182" s="24"/>
      <c r="N2182" s="24"/>
      <c r="P2182" s="24"/>
    </row>
    <row r="2183" spans="2:16" x14ac:dyDescent="0.25">
      <c r="B2183" s="24"/>
      <c r="E2183" s="24"/>
      <c r="G2183" s="24"/>
      <c r="H2183" s="24"/>
      <c r="J2183" s="24"/>
      <c r="K2183" s="24"/>
      <c r="M2183" s="24"/>
      <c r="N2183" s="24"/>
      <c r="P2183" s="24"/>
    </row>
    <row r="2184" spans="2:16" x14ac:dyDescent="0.25">
      <c r="B2184" s="24"/>
      <c r="E2184" s="24"/>
      <c r="G2184" s="24"/>
      <c r="H2184" s="24"/>
      <c r="J2184" s="24"/>
      <c r="K2184" s="24"/>
      <c r="M2184" s="24"/>
      <c r="N2184" s="24"/>
      <c r="P2184" s="24"/>
    </row>
    <row r="2185" spans="2:16" x14ac:dyDescent="0.25">
      <c r="B2185" s="24"/>
      <c r="E2185" s="24"/>
      <c r="G2185" s="24"/>
      <c r="H2185" s="24"/>
      <c r="J2185" s="24"/>
      <c r="K2185" s="24"/>
      <c r="M2185" s="24"/>
      <c r="N2185" s="24"/>
      <c r="P2185" s="24"/>
    </row>
    <row r="2186" spans="2:16" x14ac:dyDescent="0.25">
      <c r="B2186" s="24"/>
      <c r="E2186" s="24"/>
      <c r="G2186" s="24"/>
      <c r="H2186" s="24"/>
      <c r="J2186" s="24"/>
      <c r="K2186" s="24"/>
      <c r="M2186" s="24"/>
      <c r="N2186" s="24"/>
      <c r="P2186" s="24"/>
    </row>
    <row r="2187" spans="2:16" x14ac:dyDescent="0.25">
      <c r="B2187" s="24"/>
      <c r="E2187" s="24"/>
      <c r="G2187" s="24"/>
      <c r="H2187" s="24"/>
      <c r="J2187" s="24"/>
      <c r="K2187" s="24"/>
      <c r="M2187" s="24"/>
      <c r="N2187" s="24"/>
      <c r="P2187" s="24"/>
    </row>
    <row r="2188" spans="2:16" x14ac:dyDescent="0.25">
      <c r="B2188" s="24"/>
      <c r="E2188" s="24"/>
      <c r="G2188" s="24"/>
      <c r="H2188" s="24"/>
      <c r="J2188" s="24"/>
      <c r="K2188" s="24"/>
      <c r="M2188" s="24"/>
      <c r="N2188" s="24"/>
      <c r="P2188" s="24"/>
    </row>
    <row r="2189" spans="2:16" x14ac:dyDescent="0.25">
      <c r="B2189" s="24"/>
      <c r="E2189" s="24"/>
      <c r="G2189" s="24"/>
      <c r="H2189" s="24"/>
      <c r="J2189" s="24"/>
      <c r="K2189" s="24"/>
      <c r="M2189" s="24"/>
      <c r="N2189" s="24"/>
      <c r="P2189" s="24"/>
    </row>
    <row r="2190" spans="2:16" x14ac:dyDescent="0.25">
      <c r="B2190" s="24"/>
      <c r="E2190" s="24"/>
      <c r="G2190" s="24"/>
      <c r="H2190" s="24"/>
      <c r="J2190" s="24"/>
      <c r="K2190" s="24"/>
      <c r="M2190" s="24"/>
      <c r="N2190" s="24"/>
      <c r="P2190" s="24"/>
    </row>
    <row r="2191" spans="2:16" x14ac:dyDescent="0.25">
      <c r="B2191" s="24"/>
      <c r="E2191" s="24"/>
      <c r="G2191" s="24"/>
      <c r="H2191" s="24"/>
      <c r="J2191" s="24"/>
      <c r="K2191" s="24"/>
      <c r="M2191" s="24"/>
      <c r="N2191" s="24"/>
      <c r="P2191" s="24"/>
    </row>
    <row r="2192" spans="2:16" x14ac:dyDescent="0.25">
      <c r="B2192" s="24"/>
      <c r="E2192" s="24"/>
      <c r="G2192" s="24"/>
      <c r="H2192" s="24"/>
      <c r="J2192" s="24"/>
      <c r="K2192" s="24"/>
      <c r="M2192" s="24"/>
      <c r="N2192" s="24"/>
      <c r="P2192" s="24"/>
    </row>
    <row r="2193" spans="2:16" x14ac:dyDescent="0.25">
      <c r="B2193" s="24"/>
      <c r="E2193" s="24"/>
      <c r="G2193" s="24"/>
      <c r="H2193" s="24"/>
      <c r="J2193" s="24"/>
      <c r="K2193" s="24"/>
      <c r="M2193" s="24"/>
      <c r="N2193" s="24"/>
      <c r="P2193" s="24"/>
    </row>
    <row r="2194" spans="2:16" x14ac:dyDescent="0.25">
      <c r="B2194" s="24"/>
      <c r="E2194" s="24"/>
      <c r="G2194" s="24"/>
      <c r="H2194" s="24"/>
      <c r="J2194" s="24"/>
      <c r="K2194" s="24"/>
      <c r="M2194" s="24"/>
      <c r="N2194" s="24"/>
      <c r="P2194" s="24"/>
    </row>
    <row r="2195" spans="2:16" x14ac:dyDescent="0.25">
      <c r="B2195" s="24"/>
      <c r="E2195" s="24"/>
      <c r="G2195" s="24"/>
      <c r="H2195" s="24"/>
      <c r="J2195" s="24"/>
      <c r="K2195" s="24"/>
      <c r="M2195" s="24"/>
      <c r="N2195" s="24"/>
      <c r="P2195" s="24"/>
    </row>
    <row r="2196" spans="2:16" x14ac:dyDescent="0.25">
      <c r="B2196" s="24"/>
      <c r="E2196" s="24"/>
      <c r="G2196" s="24"/>
      <c r="H2196" s="24"/>
      <c r="J2196" s="24"/>
      <c r="K2196" s="24"/>
      <c r="M2196" s="24"/>
      <c r="N2196" s="24"/>
      <c r="P2196" s="24"/>
    </row>
    <row r="2197" spans="2:16" x14ac:dyDescent="0.25">
      <c r="B2197" s="24"/>
      <c r="E2197" s="24"/>
      <c r="G2197" s="24"/>
      <c r="H2197" s="24"/>
      <c r="J2197" s="24"/>
      <c r="K2197" s="24"/>
      <c r="M2197" s="24"/>
      <c r="N2197" s="24"/>
      <c r="P2197" s="24"/>
    </row>
    <row r="2198" spans="2:16" x14ac:dyDescent="0.25">
      <c r="B2198" s="24"/>
      <c r="E2198" s="24"/>
      <c r="G2198" s="24"/>
      <c r="H2198" s="24"/>
      <c r="J2198" s="24"/>
      <c r="K2198" s="24"/>
      <c r="M2198" s="24"/>
      <c r="N2198" s="24"/>
      <c r="P2198" s="24"/>
    </row>
    <row r="2199" spans="2:16" x14ac:dyDescent="0.25">
      <c r="B2199" s="24"/>
      <c r="E2199" s="24"/>
      <c r="G2199" s="24"/>
      <c r="H2199" s="24"/>
      <c r="J2199" s="24"/>
      <c r="K2199" s="24"/>
      <c r="M2199" s="24"/>
      <c r="N2199" s="24"/>
      <c r="P2199" s="24"/>
    </row>
    <row r="2200" spans="2:16" x14ac:dyDescent="0.25">
      <c r="B2200" s="24"/>
      <c r="E2200" s="24"/>
      <c r="G2200" s="24"/>
      <c r="H2200" s="24"/>
      <c r="J2200" s="24"/>
      <c r="K2200" s="24"/>
      <c r="M2200" s="24"/>
      <c r="N2200" s="24"/>
      <c r="P2200" s="24"/>
    </row>
    <row r="2201" spans="2:16" x14ac:dyDescent="0.25">
      <c r="B2201" s="24"/>
      <c r="E2201" s="24"/>
      <c r="G2201" s="24"/>
      <c r="H2201" s="24"/>
      <c r="J2201" s="24"/>
      <c r="K2201" s="24"/>
      <c r="M2201" s="24"/>
      <c r="N2201" s="24"/>
      <c r="P2201" s="24"/>
    </row>
    <row r="2202" spans="2:16" x14ac:dyDescent="0.25">
      <c r="B2202" s="24"/>
      <c r="E2202" s="24"/>
      <c r="G2202" s="24"/>
      <c r="H2202" s="24"/>
      <c r="J2202" s="24"/>
      <c r="K2202" s="24"/>
      <c r="M2202" s="24"/>
      <c r="N2202" s="24"/>
      <c r="P2202" s="24"/>
    </row>
    <row r="2203" spans="2:16" x14ac:dyDescent="0.25">
      <c r="B2203" s="24"/>
      <c r="E2203" s="24"/>
      <c r="G2203" s="24"/>
      <c r="H2203" s="24"/>
      <c r="J2203" s="24"/>
      <c r="K2203" s="24"/>
      <c r="M2203" s="24"/>
      <c r="N2203" s="24"/>
      <c r="P2203" s="24"/>
    </row>
    <row r="2204" spans="2:16" x14ac:dyDescent="0.25">
      <c r="B2204" s="24"/>
      <c r="E2204" s="24"/>
      <c r="G2204" s="24"/>
      <c r="H2204" s="24"/>
      <c r="J2204" s="24"/>
      <c r="K2204" s="24"/>
      <c r="M2204" s="24"/>
      <c r="N2204" s="24"/>
      <c r="P2204" s="24"/>
    </row>
    <row r="2205" spans="2:16" x14ac:dyDescent="0.25">
      <c r="B2205" s="24"/>
      <c r="E2205" s="24"/>
      <c r="G2205" s="24"/>
      <c r="H2205" s="24"/>
      <c r="J2205" s="24"/>
      <c r="K2205" s="24"/>
      <c r="M2205" s="24"/>
      <c r="N2205" s="24"/>
      <c r="P2205" s="24"/>
    </row>
    <row r="2206" spans="2:16" x14ac:dyDescent="0.25">
      <c r="B2206" s="24"/>
      <c r="E2206" s="24"/>
      <c r="G2206" s="24"/>
      <c r="H2206" s="24"/>
      <c r="J2206" s="24"/>
      <c r="K2206" s="24"/>
      <c r="M2206" s="24"/>
      <c r="N2206" s="24"/>
      <c r="P2206" s="24"/>
    </row>
    <row r="2207" spans="2:16" x14ac:dyDescent="0.25">
      <c r="B2207" s="24"/>
      <c r="E2207" s="24"/>
      <c r="G2207" s="24"/>
      <c r="H2207" s="24"/>
      <c r="J2207" s="24"/>
      <c r="K2207" s="24"/>
      <c r="M2207" s="24"/>
      <c r="N2207" s="24"/>
      <c r="P2207" s="24"/>
    </row>
    <row r="2208" spans="2:16" x14ac:dyDescent="0.25">
      <c r="B2208" s="24"/>
      <c r="E2208" s="24"/>
      <c r="G2208" s="24"/>
      <c r="H2208" s="24"/>
      <c r="J2208" s="24"/>
      <c r="K2208" s="24"/>
      <c r="M2208" s="24"/>
      <c r="N2208" s="24"/>
      <c r="P2208" s="24"/>
    </row>
    <row r="2209" spans="2:16" x14ac:dyDescent="0.25">
      <c r="B2209" s="24"/>
      <c r="E2209" s="24"/>
      <c r="G2209" s="24"/>
      <c r="H2209" s="24"/>
      <c r="J2209" s="24"/>
      <c r="K2209" s="24"/>
      <c r="M2209" s="24"/>
      <c r="N2209" s="24"/>
      <c r="P2209" s="24"/>
    </row>
    <row r="2210" spans="2:16" x14ac:dyDescent="0.25">
      <c r="B2210" s="24"/>
      <c r="E2210" s="24"/>
      <c r="G2210" s="24"/>
      <c r="H2210" s="24"/>
      <c r="J2210" s="24"/>
      <c r="K2210" s="24"/>
      <c r="M2210" s="24"/>
      <c r="N2210" s="24"/>
      <c r="P2210" s="24"/>
    </row>
    <row r="2211" spans="2:16" x14ac:dyDescent="0.25">
      <c r="B2211" s="24"/>
      <c r="E2211" s="24"/>
      <c r="G2211" s="24"/>
      <c r="H2211" s="24"/>
      <c r="J2211" s="24"/>
      <c r="K2211" s="24"/>
      <c r="M2211" s="24"/>
      <c r="N2211" s="24"/>
      <c r="P2211" s="24"/>
    </row>
    <row r="2212" spans="2:16" x14ac:dyDescent="0.25">
      <c r="B2212" s="24"/>
      <c r="E2212" s="24"/>
      <c r="G2212" s="24"/>
      <c r="H2212" s="24"/>
      <c r="J2212" s="24"/>
      <c r="K2212" s="24"/>
      <c r="M2212" s="24"/>
      <c r="N2212" s="24"/>
      <c r="P2212" s="24"/>
    </row>
    <row r="2213" spans="2:16" x14ac:dyDescent="0.25">
      <c r="B2213" s="24"/>
      <c r="E2213" s="24"/>
      <c r="G2213" s="24"/>
      <c r="H2213" s="24"/>
      <c r="J2213" s="24"/>
      <c r="K2213" s="24"/>
      <c r="M2213" s="24"/>
      <c r="N2213" s="24"/>
      <c r="P2213" s="24"/>
    </row>
    <row r="2214" spans="2:16" x14ac:dyDescent="0.25">
      <c r="B2214" s="24"/>
      <c r="E2214" s="24"/>
      <c r="G2214" s="24"/>
      <c r="H2214" s="24"/>
      <c r="J2214" s="24"/>
      <c r="K2214" s="24"/>
      <c r="M2214" s="24"/>
      <c r="N2214" s="24"/>
      <c r="P2214" s="24"/>
    </row>
    <row r="2215" spans="2:16" x14ac:dyDescent="0.25">
      <c r="B2215" s="24"/>
      <c r="E2215" s="24"/>
      <c r="G2215" s="24"/>
      <c r="H2215" s="24"/>
      <c r="J2215" s="24"/>
      <c r="K2215" s="24"/>
      <c r="M2215" s="24"/>
      <c r="N2215" s="24"/>
      <c r="P2215" s="24"/>
    </row>
    <row r="2216" spans="2:16" x14ac:dyDescent="0.25">
      <c r="B2216" s="24"/>
      <c r="E2216" s="24"/>
      <c r="G2216" s="24"/>
      <c r="H2216" s="24"/>
      <c r="J2216" s="24"/>
      <c r="K2216" s="24"/>
      <c r="M2216" s="24"/>
      <c r="N2216" s="24"/>
      <c r="P2216" s="24"/>
    </row>
    <row r="2217" spans="2:16" x14ac:dyDescent="0.25">
      <c r="B2217" s="24"/>
      <c r="E2217" s="24"/>
      <c r="G2217" s="24"/>
      <c r="H2217" s="24"/>
      <c r="J2217" s="24"/>
      <c r="K2217" s="24"/>
      <c r="M2217" s="24"/>
      <c r="N2217" s="24"/>
      <c r="P2217" s="24"/>
    </row>
    <row r="2218" spans="2:16" x14ac:dyDescent="0.25">
      <c r="B2218" s="24"/>
      <c r="E2218" s="24"/>
      <c r="G2218" s="24"/>
      <c r="H2218" s="24"/>
      <c r="J2218" s="24"/>
      <c r="K2218" s="24"/>
      <c r="M2218" s="24"/>
      <c r="N2218" s="24"/>
      <c r="P2218" s="24"/>
    </row>
    <row r="2219" spans="2:16" x14ac:dyDescent="0.25">
      <c r="B2219" s="24"/>
      <c r="E2219" s="24"/>
      <c r="G2219" s="24"/>
      <c r="H2219" s="24"/>
      <c r="J2219" s="24"/>
      <c r="K2219" s="24"/>
      <c r="M2219" s="24"/>
      <c r="N2219" s="24"/>
      <c r="P2219" s="24"/>
    </row>
    <row r="2220" spans="2:16" x14ac:dyDescent="0.25">
      <c r="B2220" s="24"/>
      <c r="E2220" s="24"/>
      <c r="G2220" s="24"/>
      <c r="H2220" s="24"/>
      <c r="J2220" s="24"/>
      <c r="K2220" s="24"/>
      <c r="M2220" s="24"/>
      <c r="N2220" s="24"/>
      <c r="P2220" s="24"/>
    </row>
    <row r="2221" spans="2:16" x14ac:dyDescent="0.25">
      <c r="B2221" s="24"/>
      <c r="E2221" s="24"/>
      <c r="G2221" s="24"/>
      <c r="H2221" s="24"/>
      <c r="J2221" s="24"/>
      <c r="K2221" s="24"/>
      <c r="M2221" s="24"/>
      <c r="N2221" s="24"/>
      <c r="P2221" s="24"/>
    </row>
    <row r="2222" spans="2:16" x14ac:dyDescent="0.25">
      <c r="B2222" s="24"/>
      <c r="E2222" s="24"/>
      <c r="G2222" s="24"/>
      <c r="H2222" s="24"/>
      <c r="J2222" s="24"/>
      <c r="K2222" s="24"/>
      <c r="M2222" s="24"/>
      <c r="N2222" s="24"/>
      <c r="P2222" s="24"/>
    </row>
    <row r="2223" spans="2:16" x14ac:dyDescent="0.25">
      <c r="B2223" s="24"/>
      <c r="E2223" s="24"/>
      <c r="G2223" s="24"/>
      <c r="H2223" s="24"/>
      <c r="J2223" s="24"/>
      <c r="K2223" s="24"/>
      <c r="M2223" s="24"/>
      <c r="N2223" s="24"/>
      <c r="P2223" s="24"/>
    </row>
    <row r="2224" spans="2:16" x14ac:dyDescent="0.25">
      <c r="B2224" s="24"/>
      <c r="E2224" s="24"/>
      <c r="G2224" s="24"/>
      <c r="H2224" s="24"/>
      <c r="J2224" s="24"/>
      <c r="K2224" s="24"/>
      <c r="M2224" s="24"/>
      <c r="N2224" s="24"/>
      <c r="P2224" s="24"/>
    </row>
    <row r="2225" spans="2:16" x14ac:dyDescent="0.25">
      <c r="B2225" s="24"/>
      <c r="E2225" s="24"/>
      <c r="G2225" s="24"/>
      <c r="H2225" s="24"/>
      <c r="J2225" s="24"/>
      <c r="K2225" s="24"/>
      <c r="M2225" s="24"/>
      <c r="N2225" s="24"/>
      <c r="P2225" s="24"/>
    </row>
    <row r="2226" spans="2:16" x14ac:dyDescent="0.25">
      <c r="B2226" s="24"/>
      <c r="E2226" s="24"/>
      <c r="G2226" s="24"/>
      <c r="H2226" s="24"/>
      <c r="J2226" s="24"/>
      <c r="K2226" s="24"/>
      <c r="M2226" s="24"/>
      <c r="N2226" s="24"/>
      <c r="P2226" s="24"/>
    </row>
    <row r="2227" spans="2:16" x14ac:dyDescent="0.25">
      <c r="B2227" s="24"/>
      <c r="E2227" s="24"/>
      <c r="G2227" s="24"/>
      <c r="H2227" s="24"/>
      <c r="J2227" s="24"/>
      <c r="K2227" s="24"/>
      <c r="M2227" s="24"/>
      <c r="N2227" s="24"/>
      <c r="P2227" s="24"/>
    </row>
    <row r="2228" spans="2:16" x14ac:dyDescent="0.25">
      <c r="B2228" s="24"/>
      <c r="E2228" s="24"/>
      <c r="G2228" s="24"/>
      <c r="H2228" s="24"/>
      <c r="J2228" s="24"/>
      <c r="K2228" s="24"/>
      <c r="M2228" s="24"/>
      <c r="N2228" s="24"/>
      <c r="P2228" s="24"/>
    </row>
    <row r="2229" spans="2:16" x14ac:dyDescent="0.25">
      <c r="B2229" s="24"/>
      <c r="E2229" s="24"/>
      <c r="G2229" s="24"/>
      <c r="H2229" s="24"/>
      <c r="J2229" s="24"/>
      <c r="K2229" s="24"/>
      <c r="M2229" s="24"/>
      <c r="N2229" s="24"/>
      <c r="P2229" s="24"/>
    </row>
    <row r="2230" spans="2:16" x14ac:dyDescent="0.25">
      <c r="B2230" s="24"/>
      <c r="E2230" s="24"/>
      <c r="G2230" s="24"/>
      <c r="H2230" s="24"/>
      <c r="J2230" s="24"/>
      <c r="K2230" s="24"/>
      <c r="M2230" s="24"/>
      <c r="N2230" s="24"/>
      <c r="P2230" s="24"/>
    </row>
    <row r="2231" spans="2:16" x14ac:dyDescent="0.25">
      <c r="B2231" s="24"/>
      <c r="E2231" s="24"/>
      <c r="G2231" s="24"/>
      <c r="H2231" s="24"/>
      <c r="J2231" s="24"/>
      <c r="K2231" s="24"/>
      <c r="M2231" s="24"/>
      <c r="N2231" s="24"/>
      <c r="P2231" s="24"/>
    </row>
    <row r="2232" spans="2:16" x14ac:dyDescent="0.25">
      <c r="B2232" s="24"/>
      <c r="E2232" s="24"/>
      <c r="G2232" s="24"/>
      <c r="H2232" s="24"/>
      <c r="J2232" s="24"/>
      <c r="K2232" s="24"/>
      <c r="M2232" s="24"/>
      <c r="N2232" s="24"/>
      <c r="P2232" s="24"/>
    </row>
    <row r="2233" spans="2:16" x14ac:dyDescent="0.25">
      <c r="B2233" s="24"/>
      <c r="E2233" s="24"/>
      <c r="G2233" s="24"/>
      <c r="H2233" s="24"/>
      <c r="J2233" s="24"/>
      <c r="K2233" s="24"/>
      <c r="M2233" s="24"/>
      <c r="N2233" s="24"/>
      <c r="P2233" s="24"/>
    </row>
    <row r="2234" spans="2:16" x14ac:dyDescent="0.25">
      <c r="B2234" s="24"/>
      <c r="E2234" s="24"/>
      <c r="G2234" s="24"/>
      <c r="H2234" s="24"/>
      <c r="J2234" s="24"/>
      <c r="K2234" s="24"/>
      <c r="M2234" s="24"/>
      <c r="N2234" s="24"/>
      <c r="P2234" s="24"/>
    </row>
    <row r="2235" spans="2:16" x14ac:dyDescent="0.25">
      <c r="B2235" s="24"/>
      <c r="E2235" s="24"/>
      <c r="G2235" s="24"/>
      <c r="H2235" s="24"/>
      <c r="J2235" s="24"/>
      <c r="K2235" s="24"/>
      <c r="M2235" s="24"/>
      <c r="N2235" s="24"/>
      <c r="P2235" s="24"/>
    </row>
    <row r="2236" spans="2:16" x14ac:dyDescent="0.25">
      <c r="B2236" s="24"/>
      <c r="E2236" s="24"/>
      <c r="G2236" s="24"/>
      <c r="H2236" s="24"/>
      <c r="J2236" s="24"/>
      <c r="K2236" s="24"/>
      <c r="M2236" s="24"/>
      <c r="N2236" s="24"/>
      <c r="P2236" s="24"/>
    </row>
    <row r="2237" spans="2:16" x14ac:dyDescent="0.25">
      <c r="B2237" s="24"/>
      <c r="E2237" s="24"/>
      <c r="G2237" s="24"/>
      <c r="H2237" s="24"/>
      <c r="J2237" s="24"/>
      <c r="K2237" s="24"/>
      <c r="M2237" s="24"/>
      <c r="N2237" s="24"/>
      <c r="P2237" s="24"/>
    </row>
    <row r="2238" spans="2:16" x14ac:dyDescent="0.25">
      <c r="B2238" s="24"/>
      <c r="E2238" s="24"/>
      <c r="G2238" s="24"/>
      <c r="H2238" s="24"/>
      <c r="J2238" s="24"/>
      <c r="K2238" s="24"/>
      <c r="M2238" s="24"/>
      <c r="N2238" s="24"/>
      <c r="P2238" s="24"/>
    </row>
    <row r="2239" spans="2:16" x14ac:dyDescent="0.25">
      <c r="B2239" s="24"/>
      <c r="E2239" s="24"/>
      <c r="G2239" s="24"/>
      <c r="H2239" s="24"/>
      <c r="J2239" s="24"/>
      <c r="K2239" s="24"/>
      <c r="M2239" s="24"/>
      <c r="N2239" s="24"/>
      <c r="P2239" s="24"/>
    </row>
    <row r="2240" spans="2:16" x14ac:dyDescent="0.25">
      <c r="B2240" s="24"/>
      <c r="E2240" s="24"/>
      <c r="G2240" s="24"/>
      <c r="H2240" s="24"/>
      <c r="J2240" s="24"/>
      <c r="K2240" s="24"/>
      <c r="M2240" s="24"/>
      <c r="N2240" s="24"/>
      <c r="P2240" s="24"/>
    </row>
    <row r="2241" spans="2:16" x14ac:dyDescent="0.25">
      <c r="B2241" s="24"/>
      <c r="E2241" s="24"/>
      <c r="G2241" s="24"/>
      <c r="H2241" s="24"/>
      <c r="J2241" s="24"/>
      <c r="K2241" s="24"/>
      <c r="M2241" s="24"/>
      <c r="N2241" s="24"/>
      <c r="P2241" s="24"/>
    </row>
    <row r="2242" spans="2:16" x14ac:dyDescent="0.25">
      <c r="B2242" s="24"/>
      <c r="E2242" s="24"/>
      <c r="G2242" s="24"/>
      <c r="H2242" s="24"/>
      <c r="J2242" s="24"/>
      <c r="K2242" s="24"/>
      <c r="M2242" s="24"/>
      <c r="N2242" s="24"/>
      <c r="P2242" s="24"/>
    </row>
    <row r="2243" spans="2:16" x14ac:dyDescent="0.25">
      <c r="B2243" s="24"/>
      <c r="E2243" s="24"/>
      <c r="G2243" s="24"/>
      <c r="H2243" s="24"/>
      <c r="J2243" s="24"/>
      <c r="K2243" s="24"/>
      <c r="M2243" s="24"/>
      <c r="N2243" s="24"/>
      <c r="P2243" s="24"/>
    </row>
    <row r="2244" spans="2:16" x14ac:dyDescent="0.25">
      <c r="B2244" s="24"/>
      <c r="E2244" s="24"/>
      <c r="G2244" s="24"/>
      <c r="H2244" s="24"/>
      <c r="J2244" s="24"/>
      <c r="K2244" s="24"/>
      <c r="M2244" s="24"/>
      <c r="N2244" s="24"/>
      <c r="P2244" s="24"/>
    </row>
    <row r="2245" spans="2:16" x14ac:dyDescent="0.25">
      <c r="B2245" s="24"/>
      <c r="E2245" s="24"/>
      <c r="G2245" s="24"/>
      <c r="H2245" s="24"/>
      <c r="J2245" s="24"/>
      <c r="K2245" s="24"/>
      <c r="M2245" s="24"/>
      <c r="N2245" s="24"/>
      <c r="P2245" s="24"/>
    </row>
    <row r="2246" spans="2:16" x14ac:dyDescent="0.25">
      <c r="B2246" s="24"/>
      <c r="E2246" s="24"/>
      <c r="G2246" s="24"/>
      <c r="H2246" s="24"/>
      <c r="J2246" s="24"/>
      <c r="K2246" s="24"/>
      <c r="M2246" s="24"/>
      <c r="N2246" s="24"/>
      <c r="P2246" s="24"/>
    </row>
    <row r="2247" spans="2:16" x14ac:dyDescent="0.25">
      <c r="B2247" s="24"/>
      <c r="E2247" s="24"/>
      <c r="G2247" s="24"/>
      <c r="H2247" s="24"/>
      <c r="J2247" s="24"/>
      <c r="K2247" s="24"/>
      <c r="M2247" s="24"/>
      <c r="N2247" s="24"/>
      <c r="P2247" s="24"/>
    </row>
    <row r="2248" spans="2:16" x14ac:dyDescent="0.25">
      <c r="B2248" s="24"/>
      <c r="E2248" s="24"/>
      <c r="G2248" s="24"/>
      <c r="H2248" s="24"/>
      <c r="J2248" s="24"/>
      <c r="K2248" s="24"/>
      <c r="M2248" s="24"/>
      <c r="N2248" s="24"/>
      <c r="P2248" s="24"/>
    </row>
    <row r="2249" spans="2:16" x14ac:dyDescent="0.25">
      <c r="B2249" s="24"/>
      <c r="E2249" s="24"/>
      <c r="G2249" s="24"/>
      <c r="H2249" s="24"/>
      <c r="J2249" s="24"/>
      <c r="K2249" s="24"/>
      <c r="M2249" s="24"/>
      <c r="N2249" s="24"/>
      <c r="P2249" s="24"/>
    </row>
    <row r="2250" spans="2:16" x14ac:dyDescent="0.25">
      <c r="B2250" s="24"/>
      <c r="E2250" s="24"/>
      <c r="G2250" s="24"/>
      <c r="H2250" s="24"/>
      <c r="J2250" s="24"/>
      <c r="K2250" s="24"/>
      <c r="M2250" s="24"/>
      <c r="N2250" s="24"/>
      <c r="P2250" s="24"/>
    </row>
    <row r="2251" spans="2:16" x14ac:dyDescent="0.25">
      <c r="B2251" s="24"/>
      <c r="E2251" s="24"/>
      <c r="G2251" s="24"/>
      <c r="H2251" s="24"/>
      <c r="J2251" s="24"/>
      <c r="K2251" s="24"/>
      <c r="M2251" s="24"/>
      <c r="N2251" s="24"/>
      <c r="P2251" s="24"/>
    </row>
    <row r="2252" spans="2:16" x14ac:dyDescent="0.25">
      <c r="B2252" s="24"/>
      <c r="E2252" s="24"/>
      <c r="G2252" s="24"/>
      <c r="H2252" s="24"/>
      <c r="J2252" s="24"/>
      <c r="K2252" s="24"/>
      <c r="M2252" s="24"/>
      <c r="N2252" s="24"/>
      <c r="P2252" s="24"/>
    </row>
    <row r="2253" spans="2:16" x14ac:dyDescent="0.25">
      <c r="B2253" s="24"/>
      <c r="E2253" s="24"/>
      <c r="G2253" s="24"/>
      <c r="H2253" s="24"/>
      <c r="J2253" s="24"/>
      <c r="K2253" s="24"/>
      <c r="M2253" s="24"/>
      <c r="N2253" s="24"/>
      <c r="P2253" s="24"/>
    </row>
    <row r="2254" spans="2:16" x14ac:dyDescent="0.25">
      <c r="B2254" s="24"/>
      <c r="E2254" s="24"/>
      <c r="G2254" s="24"/>
      <c r="H2254" s="24"/>
      <c r="J2254" s="24"/>
      <c r="K2254" s="24"/>
      <c r="M2254" s="24"/>
      <c r="N2254" s="24"/>
      <c r="P2254" s="24"/>
    </row>
    <row r="2255" spans="2:16" x14ac:dyDescent="0.25">
      <c r="B2255" s="24"/>
      <c r="E2255" s="24"/>
      <c r="G2255" s="24"/>
      <c r="H2255" s="24"/>
      <c r="J2255" s="24"/>
      <c r="K2255" s="24"/>
      <c r="M2255" s="24"/>
      <c r="N2255" s="24"/>
      <c r="P2255" s="24"/>
    </row>
    <row r="2256" spans="2:16" x14ac:dyDescent="0.25">
      <c r="B2256" s="24"/>
      <c r="E2256" s="24"/>
      <c r="G2256" s="24"/>
      <c r="H2256" s="24"/>
      <c r="J2256" s="24"/>
      <c r="K2256" s="24"/>
      <c r="M2256" s="24"/>
      <c r="N2256" s="24"/>
      <c r="P2256" s="24"/>
    </row>
    <row r="2257" spans="2:16" x14ac:dyDescent="0.25">
      <c r="B2257" s="24"/>
      <c r="E2257" s="24"/>
      <c r="G2257" s="24"/>
      <c r="H2257" s="24"/>
      <c r="J2257" s="24"/>
      <c r="K2257" s="24"/>
      <c r="M2257" s="24"/>
      <c r="N2257" s="24"/>
      <c r="P2257" s="24"/>
    </row>
    <row r="2258" spans="2:16" x14ac:dyDescent="0.25">
      <c r="B2258" s="24"/>
      <c r="E2258" s="24"/>
      <c r="G2258" s="24"/>
      <c r="H2258" s="24"/>
      <c r="J2258" s="24"/>
      <c r="K2258" s="24"/>
      <c r="M2258" s="24"/>
      <c r="N2258" s="24"/>
      <c r="P2258" s="24"/>
    </row>
    <row r="2259" spans="2:16" x14ac:dyDescent="0.25">
      <c r="B2259" s="24"/>
      <c r="E2259" s="24"/>
      <c r="G2259" s="24"/>
      <c r="H2259" s="24"/>
      <c r="J2259" s="24"/>
      <c r="K2259" s="24"/>
      <c r="M2259" s="24"/>
      <c r="N2259" s="24"/>
      <c r="P2259" s="24"/>
    </row>
    <row r="2260" spans="2:16" x14ac:dyDescent="0.25">
      <c r="B2260" s="24"/>
      <c r="E2260" s="24"/>
      <c r="G2260" s="24"/>
      <c r="H2260" s="24"/>
      <c r="J2260" s="24"/>
      <c r="K2260" s="24"/>
      <c r="M2260" s="24"/>
      <c r="N2260" s="24"/>
      <c r="P2260" s="24"/>
    </row>
    <row r="2261" spans="2:16" x14ac:dyDescent="0.25">
      <c r="B2261" s="24"/>
      <c r="E2261" s="24"/>
      <c r="G2261" s="24"/>
      <c r="H2261" s="24"/>
      <c r="J2261" s="24"/>
      <c r="K2261" s="24"/>
      <c r="M2261" s="24"/>
      <c r="N2261" s="24"/>
      <c r="P2261" s="24"/>
    </row>
    <row r="2262" spans="2:16" x14ac:dyDescent="0.25">
      <c r="B2262" s="24"/>
      <c r="E2262" s="24"/>
      <c r="G2262" s="24"/>
      <c r="H2262" s="24"/>
      <c r="J2262" s="24"/>
      <c r="K2262" s="24"/>
      <c r="M2262" s="24"/>
      <c r="N2262" s="24"/>
      <c r="P2262" s="24"/>
    </row>
    <row r="2263" spans="2:16" x14ac:dyDescent="0.25">
      <c r="B2263" s="24"/>
      <c r="E2263" s="24"/>
      <c r="G2263" s="24"/>
      <c r="H2263" s="24"/>
      <c r="J2263" s="24"/>
      <c r="K2263" s="24"/>
      <c r="M2263" s="24"/>
      <c r="N2263" s="24"/>
      <c r="P2263" s="24"/>
    </row>
    <row r="2264" spans="2:16" x14ac:dyDescent="0.25">
      <c r="B2264" s="24"/>
      <c r="E2264" s="24"/>
      <c r="G2264" s="24"/>
      <c r="H2264" s="24"/>
      <c r="J2264" s="24"/>
      <c r="K2264" s="24"/>
      <c r="M2264" s="24"/>
      <c r="N2264" s="24"/>
      <c r="P2264" s="24"/>
    </row>
    <row r="2265" spans="2:16" x14ac:dyDescent="0.25">
      <c r="B2265" s="24"/>
      <c r="E2265" s="24"/>
      <c r="G2265" s="24"/>
      <c r="H2265" s="24"/>
      <c r="J2265" s="24"/>
      <c r="K2265" s="24"/>
      <c r="M2265" s="24"/>
      <c r="N2265" s="24"/>
      <c r="P2265" s="24"/>
    </row>
    <row r="2266" spans="2:16" x14ac:dyDescent="0.25">
      <c r="B2266" s="24"/>
      <c r="E2266" s="24"/>
      <c r="G2266" s="24"/>
      <c r="H2266" s="24"/>
      <c r="J2266" s="24"/>
      <c r="K2266" s="24"/>
      <c r="M2266" s="24"/>
      <c r="N2266" s="24"/>
      <c r="P2266" s="24"/>
    </row>
    <row r="2267" spans="2:16" x14ac:dyDescent="0.25">
      <c r="B2267" s="24"/>
      <c r="E2267" s="24"/>
      <c r="G2267" s="24"/>
      <c r="H2267" s="24"/>
      <c r="J2267" s="24"/>
      <c r="K2267" s="24"/>
      <c r="M2267" s="24"/>
      <c r="N2267" s="24"/>
      <c r="P2267" s="24"/>
    </row>
    <row r="2268" spans="2:16" x14ac:dyDescent="0.25">
      <c r="B2268" s="24"/>
      <c r="E2268" s="24"/>
      <c r="G2268" s="24"/>
      <c r="H2268" s="24"/>
      <c r="J2268" s="24"/>
      <c r="K2268" s="24"/>
      <c r="M2268" s="24"/>
      <c r="N2268" s="24"/>
      <c r="P2268" s="24"/>
    </row>
    <row r="2269" spans="2:16" x14ac:dyDescent="0.25">
      <c r="B2269" s="24"/>
      <c r="E2269" s="24"/>
      <c r="G2269" s="24"/>
      <c r="H2269" s="24"/>
      <c r="J2269" s="24"/>
      <c r="K2269" s="24"/>
      <c r="M2269" s="24"/>
      <c r="N2269" s="24"/>
      <c r="P2269" s="24"/>
    </row>
    <row r="2270" spans="2:16" x14ac:dyDescent="0.25">
      <c r="B2270" s="24"/>
      <c r="E2270" s="24"/>
      <c r="G2270" s="24"/>
      <c r="H2270" s="24"/>
      <c r="J2270" s="24"/>
      <c r="K2270" s="24"/>
      <c r="M2270" s="24"/>
      <c r="N2270" s="24"/>
      <c r="P2270" s="24"/>
    </row>
    <row r="2271" spans="2:16" x14ac:dyDescent="0.25">
      <c r="B2271" s="24"/>
      <c r="E2271" s="24"/>
      <c r="G2271" s="24"/>
      <c r="H2271" s="24"/>
      <c r="J2271" s="24"/>
      <c r="K2271" s="24"/>
      <c r="M2271" s="24"/>
      <c r="N2271" s="24"/>
      <c r="P2271" s="24"/>
    </row>
    <row r="2272" spans="2:16" x14ac:dyDescent="0.25">
      <c r="B2272" s="24"/>
      <c r="E2272" s="24"/>
      <c r="G2272" s="24"/>
      <c r="H2272" s="24"/>
      <c r="J2272" s="24"/>
      <c r="K2272" s="24"/>
      <c r="M2272" s="24"/>
      <c r="N2272" s="24"/>
      <c r="P2272" s="24"/>
    </row>
    <row r="2273" spans="2:16" x14ac:dyDescent="0.25">
      <c r="B2273" s="24"/>
      <c r="E2273" s="24"/>
      <c r="G2273" s="24"/>
      <c r="H2273" s="24"/>
      <c r="J2273" s="24"/>
      <c r="K2273" s="24"/>
      <c r="M2273" s="24"/>
      <c r="N2273" s="24"/>
      <c r="P2273" s="24"/>
    </row>
    <row r="2274" spans="2:16" x14ac:dyDescent="0.25">
      <c r="B2274" s="24"/>
      <c r="E2274" s="24"/>
      <c r="G2274" s="24"/>
      <c r="H2274" s="24"/>
      <c r="J2274" s="24"/>
      <c r="K2274" s="24"/>
      <c r="M2274" s="24"/>
      <c r="N2274" s="24"/>
      <c r="P2274" s="24"/>
    </row>
    <row r="2275" spans="2:16" x14ac:dyDescent="0.25">
      <c r="B2275" s="24"/>
      <c r="E2275" s="24"/>
      <c r="G2275" s="24"/>
      <c r="H2275" s="24"/>
      <c r="J2275" s="24"/>
      <c r="K2275" s="24"/>
      <c r="M2275" s="24"/>
      <c r="N2275" s="24"/>
      <c r="P2275" s="24"/>
    </row>
    <row r="2276" spans="2:16" x14ac:dyDescent="0.25">
      <c r="B2276" s="24"/>
      <c r="E2276" s="24"/>
      <c r="G2276" s="24"/>
      <c r="H2276" s="24"/>
      <c r="J2276" s="24"/>
      <c r="K2276" s="24"/>
      <c r="M2276" s="24"/>
      <c r="N2276" s="24"/>
      <c r="P2276" s="24"/>
    </row>
    <row r="2277" spans="2:16" x14ac:dyDescent="0.25">
      <c r="B2277" s="24"/>
      <c r="E2277" s="24"/>
      <c r="G2277" s="24"/>
      <c r="H2277" s="24"/>
      <c r="J2277" s="24"/>
      <c r="K2277" s="24"/>
      <c r="M2277" s="24"/>
      <c r="N2277" s="24"/>
      <c r="P2277" s="24"/>
    </row>
    <row r="2278" spans="2:16" x14ac:dyDescent="0.25">
      <c r="B2278" s="24"/>
      <c r="E2278" s="24"/>
      <c r="G2278" s="24"/>
      <c r="H2278" s="24"/>
      <c r="J2278" s="24"/>
      <c r="K2278" s="24"/>
      <c r="M2278" s="24"/>
      <c r="N2278" s="24"/>
      <c r="P2278" s="24"/>
    </row>
    <row r="2279" spans="2:16" x14ac:dyDescent="0.25">
      <c r="B2279" s="24"/>
      <c r="E2279" s="24"/>
      <c r="G2279" s="24"/>
      <c r="H2279" s="24"/>
      <c r="J2279" s="24"/>
      <c r="K2279" s="24"/>
      <c r="M2279" s="24"/>
      <c r="N2279" s="24"/>
      <c r="P2279" s="24"/>
    </row>
    <row r="2280" spans="2:16" x14ac:dyDescent="0.25">
      <c r="B2280" s="24"/>
      <c r="E2280" s="24"/>
      <c r="G2280" s="24"/>
      <c r="H2280" s="24"/>
      <c r="J2280" s="24"/>
      <c r="K2280" s="24"/>
      <c r="M2280" s="24"/>
      <c r="N2280" s="24"/>
      <c r="P2280" s="24"/>
    </row>
    <row r="2281" spans="2:16" x14ac:dyDescent="0.25">
      <c r="B2281" s="24"/>
      <c r="E2281" s="24"/>
      <c r="G2281" s="24"/>
      <c r="H2281" s="24"/>
      <c r="J2281" s="24"/>
      <c r="K2281" s="24"/>
      <c r="M2281" s="24"/>
      <c r="N2281" s="24"/>
      <c r="P2281" s="24"/>
    </row>
    <row r="2282" spans="2:16" x14ac:dyDescent="0.25">
      <c r="B2282" s="24"/>
      <c r="E2282" s="24"/>
      <c r="G2282" s="24"/>
      <c r="H2282" s="24"/>
      <c r="J2282" s="24"/>
      <c r="K2282" s="24"/>
      <c r="M2282" s="24"/>
      <c r="N2282" s="24"/>
      <c r="P2282" s="24"/>
    </row>
    <row r="2283" spans="2:16" x14ac:dyDescent="0.25">
      <c r="B2283" s="24"/>
      <c r="E2283" s="24"/>
      <c r="G2283" s="24"/>
      <c r="H2283" s="24"/>
      <c r="J2283" s="24"/>
      <c r="K2283" s="24"/>
      <c r="M2283" s="24"/>
      <c r="N2283" s="24"/>
      <c r="P2283" s="24"/>
    </row>
    <row r="2284" spans="2:16" x14ac:dyDescent="0.25">
      <c r="B2284" s="24"/>
      <c r="E2284" s="24"/>
      <c r="G2284" s="24"/>
      <c r="H2284" s="24"/>
      <c r="J2284" s="24"/>
      <c r="K2284" s="24"/>
      <c r="M2284" s="24"/>
      <c r="N2284" s="24"/>
      <c r="P2284" s="24"/>
    </row>
    <row r="2285" spans="2:16" x14ac:dyDescent="0.25">
      <c r="B2285" s="24"/>
      <c r="E2285" s="24"/>
      <c r="G2285" s="24"/>
      <c r="H2285" s="24"/>
      <c r="J2285" s="24"/>
      <c r="K2285" s="24"/>
      <c r="M2285" s="24"/>
      <c r="N2285" s="24"/>
      <c r="P2285" s="24"/>
    </row>
    <row r="2286" spans="2:16" x14ac:dyDescent="0.25">
      <c r="B2286" s="24"/>
      <c r="E2286" s="24"/>
      <c r="G2286" s="24"/>
      <c r="H2286" s="24"/>
      <c r="J2286" s="24"/>
      <c r="K2286" s="24"/>
      <c r="M2286" s="24"/>
      <c r="N2286" s="24"/>
      <c r="P2286" s="24"/>
    </row>
    <row r="2287" spans="2:16" x14ac:dyDescent="0.25">
      <c r="B2287" s="24"/>
      <c r="E2287" s="24"/>
      <c r="G2287" s="24"/>
      <c r="H2287" s="24"/>
      <c r="J2287" s="24"/>
      <c r="K2287" s="24"/>
      <c r="M2287" s="24"/>
      <c r="N2287" s="24"/>
      <c r="P2287" s="24"/>
    </row>
    <row r="2288" spans="2:16" x14ac:dyDescent="0.25">
      <c r="B2288" s="24"/>
      <c r="E2288" s="24"/>
      <c r="G2288" s="24"/>
      <c r="H2288" s="24"/>
      <c r="J2288" s="24"/>
      <c r="K2288" s="24"/>
      <c r="M2288" s="24"/>
      <c r="N2288" s="24"/>
      <c r="P2288" s="24"/>
    </row>
    <row r="2289" spans="2:16" x14ac:dyDescent="0.25">
      <c r="B2289" s="24"/>
      <c r="E2289" s="24"/>
      <c r="G2289" s="24"/>
      <c r="H2289" s="24"/>
      <c r="J2289" s="24"/>
      <c r="K2289" s="24"/>
      <c r="M2289" s="24"/>
      <c r="N2289" s="24"/>
      <c r="P2289" s="24"/>
    </row>
    <row r="2290" spans="2:16" x14ac:dyDescent="0.25">
      <c r="B2290" s="24"/>
      <c r="E2290" s="24"/>
      <c r="G2290" s="24"/>
      <c r="H2290" s="24"/>
      <c r="J2290" s="24"/>
      <c r="K2290" s="24"/>
      <c r="M2290" s="24"/>
      <c r="N2290" s="24"/>
      <c r="P2290" s="24"/>
    </row>
    <row r="2291" spans="2:16" x14ac:dyDescent="0.25">
      <c r="B2291" s="24"/>
      <c r="E2291" s="24"/>
      <c r="G2291" s="24"/>
      <c r="H2291" s="24"/>
      <c r="J2291" s="24"/>
      <c r="K2291" s="24"/>
      <c r="M2291" s="24"/>
      <c r="N2291" s="24"/>
      <c r="P2291" s="24"/>
    </row>
    <row r="2292" spans="2:16" x14ac:dyDescent="0.25">
      <c r="B2292" s="24"/>
      <c r="E2292" s="24"/>
      <c r="G2292" s="24"/>
      <c r="H2292" s="24"/>
      <c r="J2292" s="24"/>
      <c r="K2292" s="24"/>
      <c r="M2292" s="24"/>
      <c r="N2292" s="24"/>
      <c r="P2292" s="24"/>
    </row>
    <row r="2293" spans="2:16" x14ac:dyDescent="0.25">
      <c r="B2293" s="24"/>
      <c r="E2293" s="24"/>
      <c r="G2293" s="24"/>
      <c r="H2293" s="24"/>
      <c r="J2293" s="24"/>
      <c r="K2293" s="24"/>
      <c r="M2293" s="24"/>
      <c r="N2293" s="24"/>
      <c r="P2293" s="24"/>
    </row>
    <row r="2294" spans="2:16" x14ac:dyDescent="0.25">
      <c r="B2294" s="24"/>
      <c r="E2294" s="24"/>
      <c r="G2294" s="24"/>
      <c r="H2294" s="24"/>
      <c r="J2294" s="24"/>
      <c r="K2294" s="24"/>
      <c r="M2294" s="24"/>
      <c r="N2294" s="24"/>
      <c r="P2294" s="24"/>
    </row>
    <row r="2295" spans="2:16" x14ac:dyDescent="0.25">
      <c r="B2295" s="24"/>
      <c r="E2295" s="24"/>
      <c r="G2295" s="24"/>
      <c r="H2295" s="24"/>
      <c r="J2295" s="24"/>
      <c r="K2295" s="24"/>
      <c r="M2295" s="24"/>
      <c r="N2295" s="24"/>
      <c r="P2295" s="24"/>
    </row>
    <row r="2296" spans="2:16" x14ac:dyDescent="0.25">
      <c r="B2296" s="24"/>
      <c r="E2296" s="24"/>
      <c r="G2296" s="24"/>
      <c r="H2296" s="24"/>
      <c r="J2296" s="24"/>
      <c r="K2296" s="24"/>
      <c r="M2296" s="24"/>
      <c r="N2296" s="24"/>
      <c r="P2296" s="24"/>
    </row>
    <row r="2297" spans="2:16" x14ac:dyDescent="0.25">
      <c r="B2297" s="24"/>
      <c r="E2297" s="24"/>
      <c r="G2297" s="24"/>
      <c r="H2297" s="24"/>
      <c r="J2297" s="24"/>
      <c r="K2297" s="24"/>
      <c r="M2297" s="24"/>
      <c r="N2297" s="24"/>
      <c r="P2297" s="24"/>
    </row>
    <row r="2298" spans="2:16" x14ac:dyDescent="0.25">
      <c r="B2298" s="24"/>
      <c r="E2298" s="24"/>
      <c r="G2298" s="24"/>
      <c r="H2298" s="24"/>
      <c r="J2298" s="24"/>
      <c r="K2298" s="24"/>
      <c r="M2298" s="24"/>
      <c r="N2298" s="24"/>
      <c r="P2298" s="24"/>
    </row>
    <row r="2299" spans="2:16" x14ac:dyDescent="0.25">
      <c r="B2299" s="24"/>
      <c r="E2299" s="24"/>
      <c r="G2299" s="24"/>
      <c r="H2299" s="24"/>
      <c r="J2299" s="24"/>
      <c r="K2299" s="24"/>
      <c r="M2299" s="24"/>
      <c r="N2299" s="24"/>
      <c r="P2299" s="24"/>
    </row>
    <row r="2300" spans="2:16" x14ac:dyDescent="0.25">
      <c r="B2300" s="24"/>
      <c r="E2300" s="24"/>
      <c r="G2300" s="24"/>
      <c r="H2300" s="24"/>
      <c r="J2300" s="24"/>
      <c r="K2300" s="24"/>
      <c r="M2300" s="24"/>
      <c r="N2300" s="24"/>
      <c r="P2300" s="24"/>
    </row>
    <row r="2301" spans="2:16" x14ac:dyDescent="0.25">
      <c r="B2301" s="24"/>
      <c r="E2301" s="24"/>
      <c r="G2301" s="24"/>
      <c r="H2301" s="24"/>
      <c r="J2301" s="24"/>
      <c r="K2301" s="24"/>
      <c r="M2301" s="24"/>
      <c r="N2301" s="24"/>
      <c r="P2301" s="24"/>
    </row>
    <row r="2302" spans="2:16" x14ac:dyDescent="0.25">
      <c r="B2302" s="24"/>
      <c r="E2302" s="24"/>
      <c r="G2302" s="24"/>
      <c r="H2302" s="24"/>
      <c r="J2302" s="24"/>
      <c r="K2302" s="24"/>
      <c r="M2302" s="24"/>
      <c r="N2302" s="24"/>
      <c r="P2302" s="24"/>
    </row>
    <row r="2303" spans="2:16" x14ac:dyDescent="0.25">
      <c r="B2303" s="24"/>
      <c r="E2303" s="24"/>
      <c r="G2303" s="24"/>
      <c r="H2303" s="24"/>
      <c r="J2303" s="24"/>
      <c r="K2303" s="24"/>
      <c r="M2303" s="24"/>
      <c r="N2303" s="24"/>
      <c r="P2303" s="24"/>
    </row>
    <row r="2304" spans="2:16" x14ac:dyDescent="0.25">
      <c r="B2304" s="24"/>
      <c r="E2304" s="24"/>
      <c r="G2304" s="24"/>
      <c r="H2304" s="24"/>
      <c r="J2304" s="24"/>
      <c r="K2304" s="24"/>
      <c r="M2304" s="24"/>
      <c r="N2304" s="24"/>
      <c r="P2304" s="24"/>
    </row>
    <row r="2305" spans="2:16" x14ac:dyDescent="0.25">
      <c r="B2305" s="24"/>
      <c r="E2305" s="24"/>
      <c r="G2305" s="24"/>
      <c r="H2305" s="24"/>
      <c r="J2305" s="24"/>
      <c r="K2305" s="24"/>
      <c r="M2305" s="24"/>
      <c r="N2305" s="24"/>
      <c r="P2305" s="24"/>
    </row>
    <row r="2306" spans="2:16" x14ac:dyDescent="0.25">
      <c r="B2306" s="24"/>
      <c r="E2306" s="24"/>
      <c r="G2306" s="24"/>
      <c r="H2306" s="24"/>
      <c r="J2306" s="24"/>
      <c r="K2306" s="24"/>
      <c r="M2306" s="24"/>
      <c r="N2306" s="24"/>
      <c r="P2306" s="24"/>
    </row>
    <row r="2307" spans="2:16" x14ac:dyDescent="0.25">
      <c r="B2307" s="24"/>
      <c r="E2307" s="24"/>
      <c r="G2307" s="24"/>
      <c r="H2307" s="24"/>
      <c r="J2307" s="24"/>
      <c r="K2307" s="24"/>
      <c r="M2307" s="24"/>
      <c r="N2307" s="24"/>
      <c r="P2307" s="24"/>
    </row>
    <row r="2308" spans="2:16" x14ac:dyDescent="0.25">
      <c r="B2308" s="24"/>
      <c r="E2308" s="24"/>
      <c r="G2308" s="24"/>
      <c r="H2308" s="24"/>
      <c r="J2308" s="24"/>
      <c r="K2308" s="24"/>
      <c r="M2308" s="24"/>
      <c r="N2308" s="24"/>
      <c r="P2308" s="24"/>
    </row>
    <row r="2309" spans="2:16" x14ac:dyDescent="0.25">
      <c r="B2309" s="24"/>
      <c r="E2309" s="24"/>
      <c r="G2309" s="24"/>
      <c r="H2309" s="24"/>
      <c r="J2309" s="24"/>
      <c r="K2309" s="24"/>
      <c r="M2309" s="24"/>
      <c r="N2309" s="24"/>
      <c r="P2309" s="24"/>
    </row>
    <row r="2310" spans="2:16" x14ac:dyDescent="0.25">
      <c r="B2310" s="24"/>
      <c r="E2310" s="24"/>
      <c r="G2310" s="24"/>
      <c r="H2310" s="24"/>
      <c r="J2310" s="24"/>
      <c r="K2310" s="24"/>
      <c r="M2310" s="24"/>
      <c r="N2310" s="24"/>
      <c r="P2310" s="24"/>
    </row>
    <row r="2311" spans="2:16" x14ac:dyDescent="0.25">
      <c r="B2311" s="24"/>
      <c r="E2311" s="24"/>
      <c r="G2311" s="24"/>
      <c r="H2311" s="24"/>
      <c r="J2311" s="24"/>
      <c r="K2311" s="24"/>
      <c r="M2311" s="24"/>
      <c r="N2311" s="24"/>
      <c r="P2311" s="24"/>
    </row>
    <row r="2312" spans="2:16" x14ac:dyDescent="0.25">
      <c r="B2312" s="24"/>
      <c r="E2312" s="24"/>
      <c r="G2312" s="24"/>
      <c r="H2312" s="24"/>
      <c r="J2312" s="24"/>
      <c r="K2312" s="24"/>
      <c r="M2312" s="24"/>
      <c r="N2312" s="24"/>
      <c r="P2312" s="24"/>
    </row>
    <row r="2313" spans="2:16" x14ac:dyDescent="0.25">
      <c r="B2313" s="24"/>
      <c r="E2313" s="24"/>
      <c r="G2313" s="24"/>
      <c r="H2313" s="24"/>
      <c r="J2313" s="24"/>
      <c r="K2313" s="24"/>
      <c r="M2313" s="24"/>
      <c r="N2313" s="24"/>
      <c r="P2313" s="24"/>
    </row>
    <row r="2314" spans="2:16" x14ac:dyDescent="0.25">
      <c r="B2314" s="24"/>
      <c r="E2314" s="24"/>
      <c r="G2314" s="24"/>
      <c r="H2314" s="24"/>
      <c r="J2314" s="24"/>
      <c r="K2314" s="24"/>
      <c r="M2314" s="24"/>
      <c r="N2314" s="24"/>
      <c r="P2314" s="24"/>
    </row>
    <row r="2315" spans="2:16" x14ac:dyDescent="0.25">
      <c r="B2315" s="24"/>
      <c r="E2315" s="24"/>
      <c r="G2315" s="24"/>
      <c r="H2315" s="24"/>
      <c r="J2315" s="24"/>
      <c r="K2315" s="24"/>
      <c r="M2315" s="24"/>
      <c r="N2315" s="24"/>
      <c r="P2315" s="24"/>
    </row>
    <row r="2316" spans="2:16" x14ac:dyDescent="0.25">
      <c r="B2316" s="24"/>
      <c r="E2316" s="24"/>
      <c r="G2316" s="24"/>
      <c r="H2316" s="24"/>
      <c r="J2316" s="24"/>
      <c r="K2316" s="24"/>
      <c r="M2316" s="24"/>
      <c r="N2316" s="24"/>
      <c r="P2316" s="24"/>
    </row>
    <row r="2317" spans="2:16" x14ac:dyDescent="0.25">
      <c r="B2317" s="24"/>
      <c r="E2317" s="24"/>
      <c r="G2317" s="24"/>
      <c r="H2317" s="24"/>
      <c r="J2317" s="24"/>
      <c r="K2317" s="24"/>
      <c r="M2317" s="24"/>
      <c r="N2317" s="24"/>
      <c r="P2317" s="24"/>
    </row>
    <row r="2318" spans="2:16" x14ac:dyDescent="0.25">
      <c r="B2318" s="24"/>
      <c r="E2318" s="24"/>
      <c r="G2318" s="24"/>
      <c r="H2318" s="24"/>
      <c r="J2318" s="24"/>
      <c r="K2318" s="24"/>
      <c r="M2318" s="24"/>
      <c r="N2318" s="24"/>
      <c r="P2318" s="24"/>
    </row>
    <row r="2319" spans="2:16" x14ac:dyDescent="0.25">
      <c r="B2319" s="24"/>
      <c r="E2319" s="24"/>
      <c r="G2319" s="24"/>
      <c r="H2319" s="24"/>
      <c r="J2319" s="24"/>
      <c r="K2319" s="24"/>
      <c r="M2319" s="24"/>
      <c r="N2319" s="24"/>
      <c r="P2319" s="24"/>
    </row>
    <row r="2320" spans="2:16" x14ac:dyDescent="0.25">
      <c r="B2320" s="24"/>
      <c r="E2320" s="24"/>
      <c r="G2320" s="24"/>
      <c r="H2320" s="24"/>
      <c r="J2320" s="24"/>
      <c r="K2320" s="24"/>
      <c r="M2320" s="24"/>
      <c r="N2320" s="24"/>
      <c r="P2320" s="24"/>
    </row>
    <row r="2321" spans="2:16" x14ac:dyDescent="0.25">
      <c r="B2321" s="24"/>
      <c r="E2321" s="24"/>
      <c r="G2321" s="24"/>
      <c r="H2321" s="24"/>
      <c r="J2321" s="24"/>
      <c r="K2321" s="24"/>
      <c r="M2321" s="24"/>
      <c r="N2321" s="24"/>
      <c r="P2321" s="24"/>
    </row>
    <row r="2322" spans="2:16" x14ac:dyDescent="0.25">
      <c r="B2322" s="24"/>
      <c r="E2322" s="24"/>
      <c r="G2322" s="24"/>
      <c r="H2322" s="24"/>
      <c r="J2322" s="24"/>
      <c r="K2322" s="24"/>
      <c r="M2322" s="24"/>
      <c r="N2322" s="24"/>
      <c r="P2322" s="24"/>
    </row>
    <row r="2323" spans="2:16" x14ac:dyDescent="0.25">
      <c r="B2323" s="24"/>
      <c r="E2323" s="24"/>
      <c r="G2323" s="24"/>
      <c r="H2323" s="24"/>
      <c r="J2323" s="24"/>
      <c r="K2323" s="24"/>
      <c r="M2323" s="24"/>
      <c r="N2323" s="24"/>
      <c r="P2323" s="24"/>
    </row>
    <row r="2324" spans="2:16" x14ac:dyDescent="0.25">
      <c r="B2324" s="24"/>
      <c r="E2324" s="24"/>
      <c r="G2324" s="24"/>
      <c r="H2324" s="24"/>
      <c r="J2324" s="24"/>
      <c r="K2324" s="24"/>
      <c r="M2324" s="24"/>
      <c r="N2324" s="24"/>
      <c r="P2324" s="24"/>
    </row>
    <row r="2325" spans="2:16" x14ac:dyDescent="0.25">
      <c r="B2325" s="24"/>
      <c r="E2325" s="24"/>
      <c r="G2325" s="24"/>
      <c r="H2325" s="24"/>
      <c r="J2325" s="24"/>
      <c r="K2325" s="24"/>
      <c r="M2325" s="24"/>
      <c r="N2325" s="24"/>
      <c r="P2325" s="24"/>
    </row>
    <row r="2326" spans="2:16" x14ac:dyDescent="0.25">
      <c r="B2326" s="24"/>
      <c r="E2326" s="24"/>
      <c r="G2326" s="24"/>
      <c r="H2326" s="24"/>
      <c r="J2326" s="24"/>
      <c r="K2326" s="24"/>
      <c r="M2326" s="24"/>
      <c r="N2326" s="24"/>
      <c r="P2326" s="24"/>
    </row>
    <row r="2327" spans="2:16" x14ac:dyDescent="0.25">
      <c r="B2327" s="24"/>
      <c r="E2327" s="24"/>
      <c r="G2327" s="24"/>
      <c r="H2327" s="24"/>
      <c r="J2327" s="24"/>
      <c r="K2327" s="24"/>
      <c r="M2327" s="24"/>
      <c r="N2327" s="24"/>
      <c r="P2327" s="24"/>
    </row>
    <row r="2328" spans="2:16" x14ac:dyDescent="0.25">
      <c r="B2328" s="24"/>
      <c r="E2328" s="24"/>
      <c r="G2328" s="24"/>
      <c r="H2328" s="24"/>
      <c r="J2328" s="24"/>
      <c r="K2328" s="24"/>
      <c r="M2328" s="24"/>
      <c r="N2328" s="24"/>
      <c r="P2328" s="24"/>
    </row>
    <row r="2329" spans="2:16" x14ac:dyDescent="0.25">
      <c r="B2329" s="24"/>
      <c r="E2329" s="24"/>
      <c r="G2329" s="24"/>
      <c r="H2329" s="24"/>
      <c r="J2329" s="24"/>
      <c r="K2329" s="24"/>
      <c r="M2329" s="24"/>
      <c r="N2329" s="24"/>
      <c r="P2329" s="24"/>
    </row>
    <row r="2330" spans="2:16" x14ac:dyDescent="0.25">
      <c r="B2330" s="24"/>
      <c r="E2330" s="24"/>
      <c r="G2330" s="24"/>
      <c r="H2330" s="24"/>
      <c r="J2330" s="24"/>
      <c r="K2330" s="24"/>
      <c r="M2330" s="24"/>
      <c r="N2330" s="24"/>
      <c r="P2330" s="24"/>
    </row>
    <row r="2331" spans="2:16" x14ac:dyDescent="0.25">
      <c r="B2331" s="24"/>
      <c r="E2331" s="24"/>
      <c r="G2331" s="24"/>
      <c r="H2331" s="24"/>
      <c r="J2331" s="24"/>
      <c r="K2331" s="24"/>
      <c r="M2331" s="24"/>
      <c r="N2331" s="24"/>
      <c r="P2331" s="24"/>
    </row>
    <row r="2332" spans="2:16" x14ac:dyDescent="0.25">
      <c r="B2332" s="24"/>
      <c r="E2332" s="24"/>
      <c r="G2332" s="24"/>
      <c r="H2332" s="24"/>
      <c r="J2332" s="24"/>
      <c r="K2332" s="24"/>
      <c r="M2332" s="24"/>
      <c r="N2332" s="24"/>
      <c r="P2332" s="24"/>
    </row>
    <row r="2333" spans="2:16" x14ac:dyDescent="0.25">
      <c r="B2333" s="24"/>
      <c r="E2333" s="24"/>
      <c r="G2333" s="24"/>
      <c r="H2333" s="24"/>
      <c r="J2333" s="24"/>
      <c r="K2333" s="24"/>
      <c r="M2333" s="24"/>
      <c r="N2333" s="24"/>
      <c r="P2333" s="24"/>
    </row>
    <row r="2334" spans="2:16" x14ac:dyDescent="0.25">
      <c r="B2334" s="24"/>
      <c r="E2334" s="24"/>
      <c r="G2334" s="24"/>
      <c r="H2334" s="24"/>
      <c r="J2334" s="24"/>
      <c r="K2334" s="24"/>
      <c r="M2334" s="24"/>
      <c r="N2334" s="24"/>
      <c r="P2334" s="24"/>
    </row>
    <row r="2335" spans="2:16" x14ac:dyDescent="0.25">
      <c r="B2335" s="24"/>
      <c r="E2335" s="24"/>
      <c r="G2335" s="24"/>
      <c r="H2335" s="24"/>
      <c r="J2335" s="24"/>
      <c r="K2335" s="24"/>
      <c r="M2335" s="24"/>
      <c r="N2335" s="24"/>
      <c r="P2335" s="24"/>
    </row>
    <row r="2336" spans="2:16" x14ac:dyDescent="0.25">
      <c r="B2336" s="24"/>
      <c r="E2336" s="24"/>
      <c r="G2336" s="24"/>
      <c r="H2336" s="24"/>
      <c r="J2336" s="24"/>
      <c r="K2336" s="24"/>
      <c r="M2336" s="24"/>
      <c r="N2336" s="24"/>
      <c r="P2336" s="24"/>
    </row>
    <row r="2337" spans="2:16" x14ac:dyDescent="0.25">
      <c r="B2337" s="24"/>
      <c r="E2337" s="24"/>
      <c r="G2337" s="24"/>
      <c r="H2337" s="24"/>
      <c r="J2337" s="24"/>
      <c r="K2337" s="24"/>
      <c r="M2337" s="24"/>
      <c r="N2337" s="24"/>
      <c r="P2337" s="24"/>
    </row>
    <row r="2338" spans="2:16" x14ac:dyDescent="0.25">
      <c r="B2338" s="24"/>
      <c r="E2338" s="24"/>
      <c r="G2338" s="24"/>
      <c r="H2338" s="24"/>
      <c r="J2338" s="24"/>
      <c r="K2338" s="24"/>
      <c r="M2338" s="24"/>
      <c r="N2338" s="24"/>
      <c r="P2338" s="24"/>
    </row>
    <row r="2339" spans="2:16" x14ac:dyDescent="0.25">
      <c r="B2339" s="24"/>
      <c r="E2339" s="24"/>
      <c r="G2339" s="24"/>
      <c r="H2339" s="24"/>
      <c r="J2339" s="24"/>
      <c r="K2339" s="24"/>
      <c r="M2339" s="24"/>
      <c r="N2339" s="24"/>
      <c r="P2339" s="24"/>
    </row>
    <row r="2340" spans="2:16" x14ac:dyDescent="0.25">
      <c r="B2340" s="24"/>
      <c r="E2340" s="24"/>
      <c r="G2340" s="24"/>
      <c r="H2340" s="24"/>
      <c r="J2340" s="24"/>
      <c r="K2340" s="24"/>
      <c r="M2340" s="24"/>
      <c r="N2340" s="24"/>
      <c r="P2340" s="24"/>
    </row>
    <row r="2341" spans="2:16" x14ac:dyDescent="0.25">
      <c r="B2341" s="24"/>
      <c r="E2341" s="24"/>
      <c r="G2341" s="24"/>
      <c r="H2341" s="24"/>
      <c r="J2341" s="24"/>
      <c r="K2341" s="24"/>
      <c r="M2341" s="24"/>
      <c r="N2341" s="24"/>
      <c r="P2341" s="24"/>
    </row>
    <row r="2342" spans="2:16" x14ac:dyDescent="0.25">
      <c r="B2342" s="24"/>
      <c r="E2342" s="24"/>
      <c r="G2342" s="24"/>
      <c r="H2342" s="24"/>
      <c r="J2342" s="24"/>
      <c r="K2342" s="24"/>
      <c r="M2342" s="24"/>
      <c r="N2342" s="24"/>
      <c r="P2342" s="24"/>
    </row>
    <row r="2343" spans="2:16" x14ac:dyDescent="0.25">
      <c r="B2343" s="24"/>
      <c r="E2343" s="24"/>
      <c r="G2343" s="24"/>
      <c r="H2343" s="24"/>
      <c r="J2343" s="24"/>
      <c r="K2343" s="24"/>
      <c r="M2343" s="24"/>
      <c r="N2343" s="24"/>
      <c r="P2343" s="24"/>
    </row>
    <row r="2344" spans="2:16" x14ac:dyDescent="0.25">
      <c r="B2344" s="24"/>
      <c r="E2344" s="24"/>
      <c r="G2344" s="24"/>
      <c r="H2344" s="24"/>
      <c r="J2344" s="24"/>
      <c r="K2344" s="24"/>
      <c r="M2344" s="24"/>
      <c r="N2344" s="24"/>
      <c r="P2344" s="24"/>
    </row>
    <row r="2345" spans="2:16" x14ac:dyDescent="0.25">
      <c r="B2345" s="24"/>
      <c r="E2345" s="24"/>
      <c r="G2345" s="24"/>
      <c r="H2345" s="24"/>
      <c r="J2345" s="24"/>
      <c r="K2345" s="24"/>
      <c r="M2345" s="24"/>
      <c r="N2345" s="24"/>
      <c r="P2345" s="24"/>
    </row>
    <row r="2346" spans="2:16" x14ac:dyDescent="0.25">
      <c r="B2346" s="24"/>
      <c r="E2346" s="24"/>
      <c r="G2346" s="24"/>
      <c r="H2346" s="24"/>
      <c r="J2346" s="24"/>
      <c r="K2346" s="24"/>
      <c r="M2346" s="24"/>
      <c r="N2346" s="24"/>
      <c r="P2346" s="24"/>
    </row>
    <row r="2347" spans="2:16" x14ac:dyDescent="0.25">
      <c r="B2347" s="24"/>
      <c r="E2347" s="24"/>
      <c r="G2347" s="24"/>
      <c r="H2347" s="24"/>
      <c r="J2347" s="24"/>
      <c r="K2347" s="24"/>
      <c r="M2347" s="24"/>
      <c r="N2347" s="24"/>
      <c r="P2347" s="24"/>
    </row>
    <row r="2348" spans="2:16" x14ac:dyDescent="0.25">
      <c r="B2348" s="24"/>
      <c r="E2348" s="24"/>
      <c r="G2348" s="24"/>
      <c r="H2348" s="24"/>
      <c r="J2348" s="24"/>
      <c r="K2348" s="24"/>
      <c r="M2348" s="24"/>
      <c r="N2348" s="24"/>
      <c r="P2348" s="24"/>
    </row>
    <row r="2349" spans="2:16" x14ac:dyDescent="0.25">
      <c r="B2349" s="24"/>
      <c r="E2349" s="24"/>
      <c r="G2349" s="24"/>
      <c r="H2349" s="24"/>
      <c r="J2349" s="24"/>
      <c r="K2349" s="24"/>
      <c r="M2349" s="24"/>
      <c r="N2349" s="24"/>
      <c r="P2349" s="24"/>
    </row>
    <row r="2350" spans="2:16" x14ac:dyDescent="0.25">
      <c r="B2350" s="24"/>
      <c r="E2350" s="24"/>
      <c r="G2350" s="24"/>
      <c r="H2350" s="24"/>
      <c r="J2350" s="24"/>
      <c r="K2350" s="24"/>
      <c r="M2350" s="24"/>
      <c r="N2350" s="24"/>
      <c r="P2350" s="24"/>
    </row>
    <row r="2351" spans="2:16" x14ac:dyDescent="0.25">
      <c r="B2351" s="24"/>
      <c r="E2351" s="24"/>
      <c r="G2351" s="24"/>
      <c r="H2351" s="24"/>
      <c r="J2351" s="24"/>
      <c r="K2351" s="24"/>
      <c r="M2351" s="24"/>
      <c r="N2351" s="24"/>
      <c r="P2351" s="24"/>
    </row>
    <row r="2352" spans="2:16" x14ac:dyDescent="0.25">
      <c r="B2352" s="24"/>
      <c r="E2352" s="24"/>
      <c r="G2352" s="24"/>
      <c r="H2352" s="24"/>
      <c r="J2352" s="24"/>
      <c r="K2352" s="24"/>
      <c r="M2352" s="24"/>
      <c r="N2352" s="24"/>
      <c r="P2352" s="24"/>
    </row>
    <row r="2353" spans="2:16" x14ac:dyDescent="0.25">
      <c r="B2353" s="24"/>
      <c r="E2353" s="24"/>
      <c r="G2353" s="24"/>
      <c r="H2353" s="24"/>
      <c r="J2353" s="24"/>
      <c r="K2353" s="24"/>
      <c r="M2353" s="24"/>
      <c r="N2353" s="24"/>
      <c r="P2353" s="24"/>
    </row>
    <row r="2354" spans="2:16" x14ac:dyDescent="0.25">
      <c r="B2354" s="24"/>
      <c r="E2354" s="24"/>
      <c r="G2354" s="24"/>
      <c r="H2354" s="24"/>
      <c r="J2354" s="24"/>
      <c r="K2354" s="24"/>
      <c r="M2354" s="24"/>
      <c r="N2354" s="24"/>
      <c r="P2354" s="24"/>
    </row>
    <row r="2355" spans="2:16" x14ac:dyDescent="0.25">
      <c r="B2355" s="24"/>
      <c r="E2355" s="24"/>
      <c r="G2355" s="24"/>
      <c r="H2355" s="24"/>
      <c r="J2355" s="24"/>
      <c r="K2355" s="24"/>
      <c r="M2355" s="24"/>
      <c r="N2355" s="24"/>
      <c r="P2355" s="24"/>
    </row>
    <row r="2356" spans="2:16" x14ac:dyDescent="0.25">
      <c r="B2356" s="24"/>
      <c r="E2356" s="24"/>
      <c r="G2356" s="24"/>
      <c r="H2356" s="24"/>
      <c r="J2356" s="24"/>
      <c r="K2356" s="24"/>
      <c r="M2356" s="24"/>
      <c r="N2356" s="24"/>
      <c r="P2356" s="24"/>
    </row>
    <row r="2357" spans="2:16" x14ac:dyDescent="0.25">
      <c r="B2357" s="24"/>
      <c r="E2357" s="24"/>
      <c r="G2357" s="24"/>
      <c r="H2357" s="24"/>
      <c r="J2357" s="24"/>
      <c r="K2357" s="24"/>
      <c r="M2357" s="24"/>
      <c r="N2357" s="24"/>
      <c r="P2357" s="24"/>
    </row>
    <row r="2358" spans="2:16" x14ac:dyDescent="0.25">
      <c r="B2358" s="24"/>
      <c r="E2358" s="24"/>
      <c r="G2358" s="24"/>
      <c r="H2358" s="24"/>
      <c r="J2358" s="24"/>
      <c r="K2358" s="24"/>
      <c r="M2358" s="24"/>
      <c r="N2358" s="24"/>
      <c r="P2358" s="24"/>
    </row>
    <row r="2359" spans="2:16" x14ac:dyDescent="0.25">
      <c r="B2359" s="24"/>
      <c r="E2359" s="24"/>
      <c r="G2359" s="24"/>
      <c r="H2359" s="24"/>
      <c r="J2359" s="24"/>
      <c r="K2359" s="24"/>
      <c r="M2359" s="24"/>
      <c r="N2359" s="24"/>
      <c r="P2359" s="24"/>
    </row>
    <row r="2360" spans="2:16" x14ac:dyDescent="0.25">
      <c r="B2360" s="24"/>
      <c r="E2360" s="24"/>
      <c r="G2360" s="24"/>
      <c r="H2360" s="24"/>
      <c r="J2360" s="24"/>
      <c r="K2360" s="24"/>
      <c r="M2360" s="24"/>
      <c r="N2360" s="24"/>
      <c r="P2360" s="24"/>
    </row>
    <row r="2361" spans="2:16" x14ac:dyDescent="0.25">
      <c r="B2361" s="24"/>
      <c r="E2361" s="24"/>
      <c r="G2361" s="24"/>
      <c r="H2361" s="24"/>
      <c r="J2361" s="24"/>
      <c r="K2361" s="24"/>
      <c r="M2361" s="24"/>
      <c r="N2361" s="24"/>
      <c r="P2361" s="24"/>
    </row>
    <row r="2362" spans="2:16" x14ac:dyDescent="0.25">
      <c r="B2362" s="24"/>
      <c r="E2362" s="24"/>
      <c r="G2362" s="24"/>
      <c r="H2362" s="24"/>
      <c r="J2362" s="24"/>
      <c r="K2362" s="24"/>
      <c r="M2362" s="24"/>
      <c r="N2362" s="24"/>
      <c r="P2362" s="24"/>
    </row>
    <row r="2363" spans="2:16" x14ac:dyDescent="0.25">
      <c r="B2363" s="24"/>
      <c r="E2363" s="24"/>
      <c r="G2363" s="24"/>
      <c r="H2363" s="24"/>
      <c r="J2363" s="24"/>
      <c r="K2363" s="24"/>
      <c r="M2363" s="24"/>
      <c r="N2363" s="24"/>
      <c r="P2363" s="24"/>
    </row>
    <row r="2364" spans="2:16" x14ac:dyDescent="0.25">
      <c r="B2364" s="24"/>
      <c r="E2364" s="24"/>
      <c r="G2364" s="24"/>
      <c r="H2364" s="24"/>
      <c r="J2364" s="24"/>
      <c r="K2364" s="24"/>
      <c r="M2364" s="24"/>
      <c r="N2364" s="24"/>
      <c r="P2364" s="24"/>
    </row>
    <row r="2365" spans="2:16" x14ac:dyDescent="0.25">
      <c r="B2365" s="24"/>
      <c r="E2365" s="24"/>
      <c r="G2365" s="24"/>
      <c r="H2365" s="24"/>
      <c r="J2365" s="24"/>
      <c r="K2365" s="24"/>
      <c r="M2365" s="24"/>
      <c r="N2365" s="24"/>
      <c r="P2365" s="24"/>
    </row>
    <row r="2366" spans="2:16" x14ac:dyDescent="0.25">
      <c r="B2366" s="24"/>
      <c r="E2366" s="24"/>
      <c r="G2366" s="24"/>
      <c r="H2366" s="24"/>
      <c r="J2366" s="24"/>
      <c r="K2366" s="24"/>
      <c r="M2366" s="24"/>
      <c r="N2366" s="24"/>
      <c r="P2366" s="24"/>
    </row>
    <row r="2367" spans="2:16" x14ac:dyDescent="0.25">
      <c r="B2367" s="24"/>
      <c r="E2367" s="24"/>
      <c r="G2367" s="24"/>
      <c r="H2367" s="24"/>
      <c r="J2367" s="24"/>
      <c r="K2367" s="24"/>
      <c r="M2367" s="24"/>
      <c r="N2367" s="24"/>
      <c r="P2367" s="24"/>
    </row>
    <row r="2368" spans="2:16" x14ac:dyDescent="0.25">
      <c r="B2368" s="24"/>
      <c r="E2368" s="24"/>
      <c r="G2368" s="24"/>
      <c r="H2368" s="24"/>
      <c r="J2368" s="24"/>
      <c r="K2368" s="24"/>
      <c r="M2368" s="24"/>
      <c r="N2368" s="24"/>
      <c r="P2368" s="24"/>
    </row>
    <row r="2369" spans="2:16" x14ac:dyDescent="0.25">
      <c r="B2369" s="24"/>
      <c r="E2369" s="24"/>
      <c r="G2369" s="24"/>
      <c r="H2369" s="24"/>
      <c r="J2369" s="24"/>
      <c r="K2369" s="24"/>
      <c r="M2369" s="24"/>
      <c r="N2369" s="24"/>
      <c r="P2369" s="24"/>
    </row>
    <row r="2370" spans="2:16" x14ac:dyDescent="0.25">
      <c r="B2370" s="24"/>
      <c r="E2370" s="24"/>
      <c r="G2370" s="24"/>
      <c r="H2370" s="24"/>
      <c r="J2370" s="24"/>
      <c r="K2370" s="24"/>
      <c r="M2370" s="24"/>
      <c r="N2370" s="24"/>
      <c r="P2370" s="24"/>
    </row>
    <row r="2371" spans="2:16" x14ac:dyDescent="0.25">
      <c r="B2371" s="24"/>
      <c r="E2371" s="24"/>
      <c r="G2371" s="24"/>
      <c r="H2371" s="24"/>
      <c r="J2371" s="24"/>
      <c r="K2371" s="24"/>
      <c r="M2371" s="24"/>
      <c r="N2371" s="24"/>
      <c r="P2371" s="24"/>
    </row>
    <row r="2372" spans="2:16" x14ac:dyDescent="0.25">
      <c r="B2372" s="24"/>
      <c r="E2372" s="24"/>
      <c r="G2372" s="24"/>
      <c r="H2372" s="24"/>
      <c r="J2372" s="24"/>
      <c r="K2372" s="24"/>
      <c r="M2372" s="24"/>
      <c r="N2372" s="24"/>
      <c r="P2372" s="24"/>
    </row>
    <row r="2373" spans="2:16" x14ac:dyDescent="0.25">
      <c r="B2373" s="24"/>
      <c r="E2373" s="24"/>
      <c r="G2373" s="24"/>
      <c r="H2373" s="24"/>
      <c r="J2373" s="24"/>
      <c r="K2373" s="24"/>
      <c r="M2373" s="24"/>
      <c r="N2373" s="24"/>
      <c r="P2373" s="24"/>
    </row>
    <row r="2374" spans="2:16" x14ac:dyDescent="0.25">
      <c r="B2374" s="24"/>
      <c r="E2374" s="24"/>
      <c r="G2374" s="24"/>
      <c r="H2374" s="24"/>
      <c r="J2374" s="24"/>
      <c r="K2374" s="24"/>
      <c r="M2374" s="24"/>
      <c r="N2374" s="24"/>
      <c r="P2374" s="24"/>
    </row>
    <row r="2375" spans="2:16" x14ac:dyDescent="0.25">
      <c r="B2375" s="24"/>
      <c r="E2375" s="24"/>
      <c r="G2375" s="24"/>
      <c r="H2375" s="24"/>
      <c r="J2375" s="24"/>
      <c r="K2375" s="24"/>
      <c r="M2375" s="24"/>
      <c r="N2375" s="24"/>
      <c r="P2375" s="24"/>
    </row>
    <row r="2376" spans="2:16" x14ac:dyDescent="0.25">
      <c r="B2376" s="24"/>
      <c r="E2376" s="24"/>
      <c r="G2376" s="24"/>
      <c r="H2376" s="24"/>
      <c r="J2376" s="24"/>
      <c r="K2376" s="24"/>
      <c r="M2376" s="24"/>
      <c r="N2376" s="24"/>
      <c r="P2376" s="24"/>
    </row>
    <row r="2377" spans="2:16" x14ac:dyDescent="0.25">
      <c r="B2377" s="24"/>
      <c r="E2377" s="24"/>
      <c r="G2377" s="24"/>
      <c r="H2377" s="24"/>
      <c r="J2377" s="24"/>
      <c r="K2377" s="24"/>
      <c r="M2377" s="24"/>
      <c r="N2377" s="24"/>
      <c r="P2377" s="24"/>
    </row>
    <row r="2378" spans="2:16" x14ac:dyDescent="0.25">
      <c r="B2378" s="24"/>
      <c r="E2378" s="24"/>
      <c r="G2378" s="24"/>
      <c r="H2378" s="24"/>
      <c r="J2378" s="24"/>
      <c r="K2378" s="24"/>
      <c r="M2378" s="24"/>
      <c r="N2378" s="24"/>
      <c r="P2378" s="24"/>
    </row>
    <row r="2379" spans="2:16" x14ac:dyDescent="0.25">
      <c r="B2379" s="24"/>
      <c r="E2379" s="24"/>
      <c r="G2379" s="24"/>
      <c r="H2379" s="24"/>
      <c r="J2379" s="24"/>
      <c r="K2379" s="24"/>
      <c r="M2379" s="24"/>
      <c r="N2379" s="24"/>
      <c r="P2379" s="24"/>
    </row>
    <row r="2380" spans="2:16" x14ac:dyDescent="0.25">
      <c r="B2380" s="24"/>
      <c r="E2380" s="24"/>
      <c r="G2380" s="24"/>
      <c r="H2380" s="24"/>
      <c r="J2380" s="24"/>
      <c r="K2380" s="24"/>
      <c r="M2380" s="24"/>
      <c r="N2380" s="24"/>
      <c r="P2380" s="24"/>
    </row>
    <row r="2381" spans="2:16" x14ac:dyDescent="0.25">
      <c r="B2381" s="24"/>
      <c r="E2381" s="24"/>
      <c r="G2381" s="24"/>
      <c r="H2381" s="24"/>
      <c r="J2381" s="24"/>
      <c r="K2381" s="24"/>
      <c r="M2381" s="24"/>
      <c r="N2381" s="24"/>
      <c r="P2381" s="24"/>
    </row>
    <row r="2382" spans="2:16" x14ac:dyDescent="0.25">
      <c r="B2382" s="24"/>
      <c r="E2382" s="24"/>
      <c r="G2382" s="24"/>
      <c r="H2382" s="24"/>
      <c r="J2382" s="24"/>
      <c r="K2382" s="24"/>
      <c r="M2382" s="24"/>
      <c r="N2382" s="24"/>
      <c r="P2382" s="24"/>
    </row>
    <row r="2383" spans="2:16" x14ac:dyDescent="0.25">
      <c r="B2383" s="24"/>
      <c r="E2383" s="24"/>
      <c r="G2383" s="24"/>
      <c r="H2383" s="24"/>
      <c r="J2383" s="24"/>
      <c r="K2383" s="24"/>
      <c r="M2383" s="24"/>
      <c r="N2383" s="24"/>
      <c r="P2383" s="24"/>
    </row>
    <row r="2384" spans="2:16" x14ac:dyDescent="0.25">
      <c r="B2384" s="24"/>
      <c r="E2384" s="24"/>
      <c r="G2384" s="24"/>
      <c r="H2384" s="24"/>
      <c r="J2384" s="24"/>
      <c r="K2384" s="24"/>
      <c r="M2384" s="24"/>
      <c r="N2384" s="24"/>
      <c r="P2384" s="24"/>
    </row>
    <row r="2385" spans="2:16" x14ac:dyDescent="0.25">
      <c r="B2385" s="24"/>
      <c r="E2385" s="24"/>
      <c r="G2385" s="24"/>
      <c r="H2385" s="24"/>
      <c r="J2385" s="24"/>
      <c r="K2385" s="24"/>
      <c r="M2385" s="24"/>
      <c r="N2385" s="24"/>
      <c r="P2385" s="24"/>
    </row>
    <row r="2386" spans="2:16" x14ac:dyDescent="0.25">
      <c r="B2386" s="24"/>
      <c r="E2386" s="24"/>
      <c r="G2386" s="24"/>
      <c r="H2386" s="24"/>
      <c r="J2386" s="24"/>
      <c r="K2386" s="24"/>
      <c r="M2386" s="24"/>
      <c r="N2386" s="24"/>
      <c r="P2386" s="24"/>
    </row>
    <row r="2387" spans="2:16" x14ac:dyDescent="0.25">
      <c r="B2387" s="24"/>
      <c r="E2387" s="24"/>
      <c r="G2387" s="24"/>
      <c r="H2387" s="24"/>
      <c r="J2387" s="24"/>
      <c r="K2387" s="24"/>
      <c r="M2387" s="24"/>
      <c r="N2387" s="24"/>
      <c r="P2387" s="24"/>
    </row>
    <row r="2388" spans="2:16" x14ac:dyDescent="0.25">
      <c r="B2388" s="24"/>
      <c r="E2388" s="24"/>
      <c r="G2388" s="24"/>
      <c r="H2388" s="24"/>
      <c r="J2388" s="24"/>
      <c r="K2388" s="24"/>
      <c r="M2388" s="24"/>
      <c r="N2388" s="24"/>
      <c r="P2388" s="24"/>
    </row>
    <row r="2389" spans="2:16" x14ac:dyDescent="0.25">
      <c r="B2389" s="24"/>
      <c r="E2389" s="24"/>
      <c r="G2389" s="24"/>
      <c r="H2389" s="24"/>
      <c r="J2389" s="24"/>
      <c r="K2389" s="24"/>
      <c r="M2389" s="24"/>
      <c r="N2389" s="24"/>
      <c r="P2389" s="24"/>
    </row>
    <row r="2390" spans="2:16" x14ac:dyDescent="0.25">
      <c r="B2390" s="24"/>
      <c r="E2390" s="24"/>
      <c r="G2390" s="24"/>
      <c r="H2390" s="24"/>
      <c r="J2390" s="24"/>
      <c r="K2390" s="24"/>
      <c r="M2390" s="24"/>
      <c r="N2390" s="24"/>
      <c r="P2390" s="24"/>
    </row>
    <row r="2391" spans="2:16" x14ac:dyDescent="0.25">
      <c r="B2391" s="24"/>
      <c r="E2391" s="24"/>
      <c r="G2391" s="24"/>
      <c r="H2391" s="24"/>
      <c r="J2391" s="24"/>
      <c r="K2391" s="24"/>
      <c r="M2391" s="24"/>
      <c r="N2391" s="24"/>
      <c r="P2391" s="24"/>
    </row>
    <row r="2392" spans="2:16" x14ac:dyDescent="0.25">
      <c r="B2392" s="24"/>
      <c r="E2392" s="24"/>
      <c r="G2392" s="24"/>
      <c r="H2392" s="24"/>
      <c r="J2392" s="24"/>
      <c r="K2392" s="24"/>
      <c r="M2392" s="24"/>
      <c r="N2392" s="24"/>
      <c r="P2392" s="24"/>
    </row>
    <row r="2393" spans="2:16" x14ac:dyDescent="0.25">
      <c r="B2393" s="24"/>
      <c r="E2393" s="24"/>
      <c r="G2393" s="24"/>
      <c r="H2393" s="24"/>
      <c r="J2393" s="24"/>
      <c r="K2393" s="24"/>
      <c r="M2393" s="24"/>
      <c r="N2393" s="24"/>
      <c r="P2393" s="24"/>
    </row>
    <row r="2394" spans="2:16" x14ac:dyDescent="0.25">
      <c r="B2394" s="24"/>
      <c r="E2394" s="24"/>
      <c r="G2394" s="24"/>
      <c r="H2394" s="24"/>
      <c r="J2394" s="24"/>
      <c r="K2394" s="24"/>
      <c r="M2394" s="24"/>
      <c r="N2394" s="24"/>
      <c r="P2394" s="24"/>
    </row>
    <row r="2395" spans="2:16" x14ac:dyDescent="0.25">
      <c r="B2395" s="24"/>
      <c r="E2395" s="24"/>
      <c r="G2395" s="24"/>
      <c r="H2395" s="24"/>
      <c r="J2395" s="24"/>
      <c r="K2395" s="24"/>
      <c r="M2395" s="24"/>
      <c r="N2395" s="24"/>
      <c r="P2395" s="24"/>
    </row>
    <row r="2396" spans="2:16" x14ac:dyDescent="0.25">
      <c r="B2396" s="24"/>
      <c r="E2396" s="24"/>
      <c r="G2396" s="24"/>
      <c r="H2396" s="24"/>
      <c r="J2396" s="24"/>
      <c r="K2396" s="24"/>
      <c r="M2396" s="24"/>
      <c r="N2396" s="24"/>
      <c r="P2396" s="24"/>
    </row>
    <row r="2397" spans="2:16" x14ac:dyDescent="0.25">
      <c r="B2397" s="24"/>
      <c r="E2397" s="24"/>
      <c r="G2397" s="24"/>
      <c r="H2397" s="24"/>
      <c r="J2397" s="24"/>
      <c r="K2397" s="24"/>
      <c r="M2397" s="24"/>
      <c r="N2397" s="24"/>
      <c r="P2397" s="24"/>
    </row>
    <row r="2398" spans="2:16" x14ac:dyDescent="0.25">
      <c r="B2398" s="24"/>
      <c r="E2398" s="24"/>
      <c r="G2398" s="24"/>
      <c r="H2398" s="24"/>
      <c r="J2398" s="24"/>
      <c r="K2398" s="24"/>
      <c r="M2398" s="24"/>
      <c r="N2398" s="24"/>
      <c r="P2398" s="24"/>
    </row>
    <row r="2399" spans="2:16" x14ac:dyDescent="0.25">
      <c r="B2399" s="24"/>
      <c r="E2399" s="24"/>
      <c r="G2399" s="24"/>
      <c r="H2399" s="24"/>
      <c r="J2399" s="24"/>
      <c r="K2399" s="24"/>
      <c r="M2399" s="24"/>
      <c r="N2399" s="24"/>
      <c r="P2399" s="24"/>
    </row>
    <row r="2400" spans="2:16" x14ac:dyDescent="0.25">
      <c r="B2400" s="24"/>
      <c r="E2400" s="24"/>
      <c r="G2400" s="24"/>
      <c r="H2400" s="24"/>
      <c r="J2400" s="24"/>
      <c r="K2400" s="24"/>
      <c r="M2400" s="24"/>
      <c r="N2400" s="24"/>
      <c r="P2400" s="24"/>
    </row>
    <row r="2401" spans="2:16" x14ac:dyDescent="0.25">
      <c r="B2401" s="24"/>
      <c r="E2401" s="24"/>
      <c r="G2401" s="24"/>
      <c r="H2401" s="24"/>
      <c r="J2401" s="24"/>
      <c r="K2401" s="24"/>
      <c r="M2401" s="24"/>
      <c r="N2401" s="24"/>
      <c r="P2401" s="24"/>
    </row>
    <row r="2402" spans="2:16" x14ac:dyDescent="0.25">
      <c r="B2402" s="24"/>
      <c r="E2402" s="24"/>
      <c r="G2402" s="24"/>
      <c r="H2402" s="24"/>
      <c r="J2402" s="24"/>
      <c r="K2402" s="24"/>
      <c r="M2402" s="24"/>
      <c r="N2402" s="24"/>
      <c r="P2402" s="24"/>
    </row>
    <row r="2403" spans="2:16" x14ac:dyDescent="0.25">
      <c r="B2403" s="24"/>
      <c r="E2403" s="24"/>
      <c r="G2403" s="24"/>
      <c r="H2403" s="24"/>
      <c r="J2403" s="24"/>
      <c r="K2403" s="24"/>
      <c r="M2403" s="24"/>
      <c r="N2403" s="24"/>
      <c r="P2403" s="24"/>
    </row>
    <row r="2404" spans="2:16" x14ac:dyDescent="0.25">
      <c r="B2404" s="24"/>
      <c r="E2404" s="24"/>
      <c r="G2404" s="24"/>
      <c r="H2404" s="24"/>
      <c r="J2404" s="24"/>
      <c r="K2404" s="24"/>
      <c r="M2404" s="24"/>
      <c r="N2404" s="24"/>
      <c r="P2404" s="24"/>
    </row>
    <row r="2405" spans="2:16" x14ac:dyDescent="0.25">
      <c r="B2405" s="24"/>
      <c r="E2405" s="24"/>
      <c r="G2405" s="24"/>
      <c r="H2405" s="24"/>
      <c r="J2405" s="24"/>
      <c r="K2405" s="24"/>
      <c r="M2405" s="24"/>
      <c r="N2405" s="24"/>
      <c r="P2405" s="24"/>
    </row>
    <row r="2406" spans="2:16" x14ac:dyDescent="0.25">
      <c r="B2406" s="24"/>
      <c r="E2406" s="24"/>
      <c r="G2406" s="24"/>
      <c r="H2406" s="24"/>
      <c r="J2406" s="24"/>
      <c r="K2406" s="24"/>
      <c r="M2406" s="24"/>
      <c r="N2406" s="24"/>
      <c r="P2406" s="24"/>
    </row>
    <row r="2407" spans="2:16" x14ac:dyDescent="0.25">
      <c r="B2407" s="24"/>
      <c r="E2407" s="24"/>
      <c r="G2407" s="24"/>
      <c r="H2407" s="24"/>
      <c r="J2407" s="24"/>
      <c r="K2407" s="24"/>
      <c r="M2407" s="24"/>
      <c r="N2407" s="24"/>
      <c r="P2407" s="24"/>
    </row>
    <row r="2408" spans="2:16" x14ac:dyDescent="0.25">
      <c r="B2408" s="24"/>
      <c r="E2408" s="24"/>
      <c r="G2408" s="24"/>
      <c r="H2408" s="24"/>
      <c r="J2408" s="24"/>
      <c r="K2408" s="24"/>
      <c r="M2408" s="24"/>
      <c r="N2408" s="24"/>
      <c r="P2408" s="24"/>
    </row>
    <row r="2409" spans="2:16" x14ac:dyDescent="0.25">
      <c r="B2409" s="24"/>
      <c r="E2409" s="24"/>
      <c r="G2409" s="24"/>
      <c r="H2409" s="24"/>
      <c r="J2409" s="24"/>
      <c r="K2409" s="24"/>
      <c r="M2409" s="24"/>
      <c r="N2409" s="24"/>
      <c r="P2409" s="24"/>
    </row>
    <row r="2410" spans="2:16" x14ac:dyDescent="0.25">
      <c r="B2410" s="24"/>
      <c r="E2410" s="24"/>
      <c r="G2410" s="24"/>
      <c r="H2410" s="24"/>
      <c r="J2410" s="24"/>
      <c r="K2410" s="24"/>
      <c r="M2410" s="24"/>
      <c r="N2410" s="24"/>
      <c r="P2410" s="24"/>
    </row>
    <row r="2411" spans="2:16" x14ac:dyDescent="0.25">
      <c r="B2411" s="24"/>
      <c r="E2411" s="24"/>
      <c r="G2411" s="24"/>
      <c r="H2411" s="24"/>
      <c r="J2411" s="24"/>
      <c r="K2411" s="24"/>
      <c r="M2411" s="24"/>
      <c r="N2411" s="24"/>
      <c r="P2411" s="24"/>
    </row>
    <row r="2412" spans="2:16" x14ac:dyDescent="0.25">
      <c r="B2412" s="24"/>
      <c r="E2412" s="24"/>
      <c r="G2412" s="24"/>
      <c r="H2412" s="24"/>
      <c r="J2412" s="24"/>
      <c r="K2412" s="24"/>
      <c r="M2412" s="24"/>
      <c r="N2412" s="24"/>
      <c r="P2412" s="24"/>
    </row>
    <row r="2413" spans="2:16" x14ac:dyDescent="0.25">
      <c r="B2413" s="24"/>
      <c r="E2413" s="24"/>
      <c r="G2413" s="24"/>
      <c r="H2413" s="24"/>
      <c r="J2413" s="24"/>
      <c r="K2413" s="24"/>
      <c r="M2413" s="24"/>
      <c r="N2413" s="24"/>
      <c r="P2413" s="24"/>
    </row>
    <row r="2414" spans="2:16" x14ac:dyDescent="0.25">
      <c r="B2414" s="24"/>
      <c r="E2414" s="24"/>
      <c r="G2414" s="24"/>
      <c r="H2414" s="24"/>
      <c r="J2414" s="24"/>
      <c r="K2414" s="24"/>
      <c r="M2414" s="24"/>
      <c r="N2414" s="24"/>
      <c r="P2414" s="24"/>
    </row>
    <row r="2415" spans="2:16" x14ac:dyDescent="0.25">
      <c r="B2415" s="24"/>
      <c r="E2415" s="24"/>
      <c r="G2415" s="24"/>
      <c r="H2415" s="24"/>
      <c r="J2415" s="24"/>
      <c r="K2415" s="24"/>
      <c r="M2415" s="24"/>
      <c r="N2415" s="24"/>
      <c r="P2415" s="24"/>
    </row>
    <row r="2416" spans="2:16" x14ac:dyDescent="0.25">
      <c r="B2416" s="24"/>
      <c r="E2416" s="24"/>
      <c r="G2416" s="24"/>
      <c r="H2416" s="24"/>
      <c r="J2416" s="24"/>
      <c r="K2416" s="24"/>
      <c r="M2416" s="24"/>
      <c r="N2416" s="24"/>
      <c r="P2416" s="24"/>
    </row>
    <row r="2417" spans="2:16" x14ac:dyDescent="0.25">
      <c r="B2417" s="24"/>
      <c r="E2417" s="24"/>
      <c r="G2417" s="24"/>
      <c r="H2417" s="24"/>
      <c r="J2417" s="24"/>
      <c r="K2417" s="24"/>
      <c r="M2417" s="24"/>
      <c r="N2417" s="24"/>
      <c r="P2417" s="24"/>
    </row>
    <row r="2418" spans="2:16" x14ac:dyDescent="0.25">
      <c r="B2418" s="24"/>
      <c r="E2418" s="24"/>
      <c r="G2418" s="24"/>
      <c r="H2418" s="24"/>
      <c r="J2418" s="24"/>
      <c r="K2418" s="24"/>
      <c r="M2418" s="24"/>
      <c r="N2418" s="24"/>
      <c r="P2418" s="24"/>
    </row>
    <row r="2419" spans="2:16" x14ac:dyDescent="0.25">
      <c r="B2419" s="24"/>
      <c r="E2419" s="24"/>
      <c r="G2419" s="24"/>
      <c r="H2419" s="24"/>
      <c r="J2419" s="24"/>
      <c r="K2419" s="24"/>
      <c r="M2419" s="24"/>
      <c r="N2419" s="24"/>
      <c r="P2419" s="24"/>
    </row>
    <row r="2420" spans="2:16" x14ac:dyDescent="0.25">
      <c r="B2420" s="24"/>
      <c r="E2420" s="24"/>
      <c r="G2420" s="24"/>
      <c r="H2420" s="24"/>
      <c r="J2420" s="24"/>
      <c r="K2420" s="24"/>
      <c r="M2420" s="24"/>
      <c r="N2420" s="24"/>
      <c r="P2420" s="24"/>
    </row>
    <row r="2421" spans="2:16" x14ac:dyDescent="0.25">
      <c r="B2421" s="24"/>
      <c r="E2421" s="24"/>
      <c r="G2421" s="24"/>
      <c r="H2421" s="24"/>
      <c r="J2421" s="24"/>
      <c r="K2421" s="24"/>
      <c r="M2421" s="24"/>
      <c r="N2421" s="24"/>
      <c r="P2421" s="24"/>
    </row>
    <row r="2422" spans="2:16" x14ac:dyDescent="0.25">
      <c r="B2422" s="24"/>
      <c r="E2422" s="24"/>
      <c r="G2422" s="24"/>
      <c r="H2422" s="24"/>
      <c r="J2422" s="24"/>
      <c r="K2422" s="24"/>
      <c r="M2422" s="24"/>
      <c r="N2422" s="24"/>
      <c r="P2422" s="24"/>
    </row>
    <row r="2423" spans="2:16" x14ac:dyDescent="0.25">
      <c r="B2423" s="24"/>
      <c r="E2423" s="24"/>
      <c r="G2423" s="24"/>
      <c r="H2423" s="24"/>
      <c r="J2423" s="24"/>
      <c r="K2423" s="24"/>
      <c r="M2423" s="24"/>
      <c r="N2423" s="24"/>
      <c r="P2423" s="24"/>
    </row>
    <row r="2424" spans="2:16" x14ac:dyDescent="0.25">
      <c r="B2424" s="24"/>
      <c r="E2424" s="24"/>
      <c r="G2424" s="24"/>
      <c r="H2424" s="24"/>
      <c r="J2424" s="24"/>
      <c r="K2424" s="24"/>
      <c r="M2424" s="24"/>
      <c r="N2424" s="24"/>
      <c r="P2424" s="24"/>
    </row>
    <row r="2425" spans="2:16" x14ac:dyDescent="0.25">
      <c r="B2425" s="24"/>
      <c r="E2425" s="24"/>
      <c r="G2425" s="24"/>
      <c r="H2425" s="24"/>
      <c r="J2425" s="24"/>
      <c r="K2425" s="24"/>
      <c r="M2425" s="24"/>
      <c r="N2425" s="24"/>
      <c r="P2425" s="24"/>
    </row>
    <row r="2426" spans="2:16" x14ac:dyDescent="0.25">
      <c r="B2426" s="24"/>
      <c r="E2426" s="24"/>
      <c r="G2426" s="24"/>
      <c r="H2426" s="24"/>
      <c r="J2426" s="24"/>
      <c r="K2426" s="24"/>
      <c r="M2426" s="24"/>
      <c r="N2426" s="24"/>
      <c r="P2426" s="24"/>
    </row>
    <row r="2427" spans="2:16" x14ac:dyDescent="0.25">
      <c r="B2427" s="24"/>
      <c r="E2427" s="24"/>
      <c r="G2427" s="24"/>
      <c r="H2427" s="24"/>
      <c r="J2427" s="24"/>
      <c r="K2427" s="24"/>
      <c r="M2427" s="24"/>
      <c r="N2427" s="24"/>
      <c r="P2427" s="24"/>
    </row>
    <row r="2428" spans="2:16" x14ac:dyDescent="0.25">
      <c r="B2428" s="24"/>
      <c r="E2428" s="24"/>
      <c r="G2428" s="24"/>
      <c r="H2428" s="24"/>
      <c r="J2428" s="24"/>
      <c r="K2428" s="24"/>
      <c r="M2428" s="24"/>
      <c r="N2428" s="24"/>
      <c r="P2428" s="24"/>
    </row>
    <row r="2429" spans="2:16" x14ac:dyDescent="0.25">
      <c r="B2429" s="24"/>
      <c r="E2429" s="24"/>
      <c r="G2429" s="24"/>
      <c r="H2429" s="24"/>
      <c r="J2429" s="24"/>
      <c r="K2429" s="24"/>
      <c r="M2429" s="24"/>
      <c r="N2429" s="24"/>
      <c r="P2429" s="24"/>
    </row>
    <row r="2430" spans="2:16" x14ac:dyDescent="0.25">
      <c r="B2430" s="24"/>
      <c r="E2430" s="24"/>
      <c r="G2430" s="24"/>
      <c r="H2430" s="24"/>
      <c r="J2430" s="24"/>
      <c r="K2430" s="24"/>
      <c r="M2430" s="24"/>
      <c r="N2430" s="24"/>
      <c r="P2430" s="24"/>
    </row>
    <row r="2431" spans="2:16" x14ac:dyDescent="0.25">
      <c r="B2431" s="24"/>
      <c r="E2431" s="24"/>
      <c r="G2431" s="24"/>
      <c r="H2431" s="24"/>
      <c r="J2431" s="24"/>
      <c r="K2431" s="24"/>
      <c r="M2431" s="24"/>
      <c r="N2431" s="24"/>
      <c r="P2431" s="24"/>
    </row>
    <row r="2432" spans="2:16" x14ac:dyDescent="0.25">
      <c r="B2432" s="24"/>
      <c r="E2432" s="24"/>
      <c r="G2432" s="24"/>
      <c r="H2432" s="24"/>
      <c r="J2432" s="24"/>
      <c r="K2432" s="24"/>
      <c r="M2432" s="24"/>
      <c r="N2432" s="24"/>
      <c r="P2432" s="24"/>
    </row>
    <row r="2433" spans="2:16" x14ac:dyDescent="0.25">
      <c r="B2433" s="24"/>
      <c r="E2433" s="24"/>
      <c r="G2433" s="24"/>
      <c r="H2433" s="24"/>
      <c r="J2433" s="24"/>
      <c r="K2433" s="24"/>
      <c r="M2433" s="24"/>
      <c r="N2433" s="24"/>
      <c r="P2433" s="24"/>
    </row>
    <row r="2434" spans="2:16" x14ac:dyDescent="0.25">
      <c r="B2434" s="24"/>
      <c r="E2434" s="24"/>
      <c r="G2434" s="24"/>
      <c r="H2434" s="24"/>
      <c r="J2434" s="24"/>
      <c r="K2434" s="24"/>
      <c r="M2434" s="24"/>
      <c r="N2434" s="24"/>
      <c r="P2434" s="24"/>
    </row>
    <row r="2435" spans="2:16" x14ac:dyDescent="0.25">
      <c r="B2435" s="24"/>
      <c r="E2435" s="24"/>
      <c r="G2435" s="24"/>
      <c r="H2435" s="24"/>
      <c r="J2435" s="24"/>
      <c r="K2435" s="24"/>
      <c r="M2435" s="24"/>
      <c r="N2435" s="24"/>
      <c r="P2435" s="24"/>
    </row>
    <row r="2436" spans="2:16" x14ac:dyDescent="0.25">
      <c r="B2436" s="24"/>
      <c r="E2436" s="24"/>
      <c r="G2436" s="24"/>
      <c r="H2436" s="24"/>
      <c r="J2436" s="24"/>
      <c r="K2436" s="24"/>
      <c r="M2436" s="24"/>
      <c r="N2436" s="24"/>
      <c r="P2436" s="24"/>
    </row>
    <row r="2437" spans="2:16" x14ac:dyDescent="0.25">
      <c r="B2437" s="24"/>
      <c r="E2437" s="24"/>
      <c r="G2437" s="24"/>
      <c r="H2437" s="24"/>
      <c r="J2437" s="24"/>
      <c r="K2437" s="24"/>
      <c r="M2437" s="24"/>
      <c r="N2437" s="24"/>
      <c r="P2437" s="24"/>
    </row>
    <row r="2438" spans="2:16" x14ac:dyDescent="0.25">
      <c r="B2438" s="24"/>
      <c r="E2438" s="24"/>
      <c r="G2438" s="24"/>
      <c r="H2438" s="24"/>
      <c r="J2438" s="24"/>
      <c r="K2438" s="24"/>
      <c r="M2438" s="24"/>
      <c r="N2438" s="24"/>
      <c r="P2438" s="24"/>
    </row>
    <row r="2439" spans="2:16" x14ac:dyDescent="0.25">
      <c r="B2439" s="24"/>
      <c r="E2439" s="24"/>
      <c r="G2439" s="24"/>
      <c r="H2439" s="24"/>
      <c r="J2439" s="24"/>
      <c r="K2439" s="24"/>
      <c r="M2439" s="24"/>
      <c r="N2439" s="24"/>
      <c r="P2439" s="24"/>
    </row>
    <row r="2440" spans="2:16" x14ac:dyDescent="0.25">
      <c r="B2440" s="24"/>
      <c r="E2440" s="24"/>
      <c r="G2440" s="24"/>
      <c r="H2440" s="24"/>
      <c r="J2440" s="24"/>
      <c r="K2440" s="24"/>
      <c r="M2440" s="24"/>
      <c r="N2440" s="24"/>
      <c r="P2440" s="24"/>
    </row>
    <row r="2441" spans="2:16" x14ac:dyDescent="0.25">
      <c r="B2441" s="24"/>
      <c r="E2441" s="24"/>
      <c r="G2441" s="24"/>
      <c r="H2441" s="24"/>
      <c r="J2441" s="24"/>
      <c r="K2441" s="24"/>
      <c r="M2441" s="24"/>
      <c r="N2441" s="24"/>
      <c r="P2441" s="24"/>
    </row>
    <row r="2442" spans="2:16" x14ac:dyDescent="0.25">
      <c r="B2442" s="24"/>
      <c r="E2442" s="24"/>
      <c r="G2442" s="24"/>
      <c r="H2442" s="24"/>
      <c r="J2442" s="24"/>
      <c r="K2442" s="24"/>
      <c r="M2442" s="24"/>
      <c r="N2442" s="24"/>
      <c r="P2442" s="24"/>
    </row>
    <row r="2443" spans="2:16" x14ac:dyDescent="0.25">
      <c r="B2443" s="24"/>
      <c r="E2443" s="24"/>
      <c r="G2443" s="24"/>
      <c r="H2443" s="24"/>
      <c r="J2443" s="24"/>
      <c r="K2443" s="24"/>
      <c r="M2443" s="24"/>
      <c r="N2443" s="24"/>
      <c r="P2443" s="24"/>
    </row>
    <row r="2444" spans="2:16" x14ac:dyDescent="0.25">
      <c r="B2444" s="24"/>
      <c r="E2444" s="24"/>
      <c r="G2444" s="24"/>
      <c r="H2444" s="24"/>
      <c r="J2444" s="24"/>
      <c r="K2444" s="24"/>
      <c r="M2444" s="24"/>
      <c r="N2444" s="24"/>
      <c r="P2444" s="24"/>
    </row>
    <row r="2445" spans="2:16" x14ac:dyDescent="0.25">
      <c r="B2445" s="24"/>
      <c r="E2445" s="24"/>
      <c r="G2445" s="24"/>
      <c r="H2445" s="24"/>
      <c r="J2445" s="24"/>
      <c r="K2445" s="24"/>
      <c r="M2445" s="24"/>
      <c r="N2445" s="24"/>
      <c r="P2445" s="24"/>
    </row>
    <row r="2446" spans="2:16" x14ac:dyDescent="0.25">
      <c r="B2446" s="24"/>
      <c r="E2446" s="24"/>
      <c r="G2446" s="24"/>
      <c r="H2446" s="24"/>
      <c r="J2446" s="24"/>
      <c r="K2446" s="24"/>
      <c r="M2446" s="24"/>
      <c r="N2446" s="24"/>
      <c r="P2446" s="24"/>
    </row>
    <row r="2447" spans="2:16" x14ac:dyDescent="0.25">
      <c r="B2447" s="24"/>
      <c r="E2447" s="24"/>
      <c r="G2447" s="24"/>
      <c r="H2447" s="24"/>
      <c r="J2447" s="24"/>
      <c r="K2447" s="24"/>
      <c r="M2447" s="24"/>
      <c r="N2447" s="24"/>
      <c r="P2447" s="24"/>
    </row>
    <row r="2448" spans="2:16" x14ac:dyDescent="0.25">
      <c r="B2448" s="24"/>
      <c r="E2448" s="24"/>
      <c r="G2448" s="24"/>
      <c r="H2448" s="24"/>
      <c r="J2448" s="24"/>
      <c r="K2448" s="24"/>
      <c r="M2448" s="24"/>
      <c r="N2448" s="24"/>
      <c r="P2448" s="24"/>
    </row>
    <row r="2449" spans="2:16" x14ac:dyDescent="0.25">
      <c r="B2449" s="24"/>
      <c r="E2449" s="24"/>
      <c r="G2449" s="24"/>
      <c r="H2449" s="24"/>
      <c r="J2449" s="24"/>
      <c r="K2449" s="24"/>
      <c r="M2449" s="24"/>
      <c r="N2449" s="24"/>
      <c r="P2449" s="24"/>
    </row>
    <row r="2450" spans="2:16" x14ac:dyDescent="0.25">
      <c r="B2450" s="24"/>
      <c r="E2450" s="24"/>
      <c r="G2450" s="24"/>
      <c r="H2450" s="24"/>
      <c r="J2450" s="24"/>
      <c r="K2450" s="24"/>
      <c r="M2450" s="24"/>
      <c r="N2450" s="24"/>
      <c r="P2450" s="24"/>
    </row>
    <row r="2451" spans="2:16" x14ac:dyDescent="0.25">
      <c r="B2451" s="24"/>
      <c r="E2451" s="24"/>
      <c r="G2451" s="24"/>
      <c r="H2451" s="24"/>
      <c r="J2451" s="24"/>
      <c r="K2451" s="24"/>
      <c r="M2451" s="24"/>
      <c r="N2451" s="24"/>
      <c r="P2451" s="24"/>
    </row>
    <row r="2452" spans="2:16" x14ac:dyDescent="0.25">
      <c r="B2452" s="24"/>
      <c r="E2452" s="24"/>
      <c r="G2452" s="24"/>
      <c r="H2452" s="24"/>
      <c r="J2452" s="24"/>
      <c r="K2452" s="24"/>
      <c r="M2452" s="24"/>
      <c r="N2452" s="24"/>
      <c r="P2452" s="24"/>
    </row>
    <row r="2453" spans="2:16" x14ac:dyDescent="0.25">
      <c r="B2453" s="24"/>
      <c r="E2453" s="24"/>
      <c r="G2453" s="24"/>
      <c r="H2453" s="24"/>
      <c r="J2453" s="24"/>
      <c r="K2453" s="24"/>
      <c r="M2453" s="24"/>
      <c r="N2453" s="24"/>
      <c r="P2453" s="24"/>
    </row>
    <row r="2454" spans="2:16" x14ac:dyDescent="0.25">
      <c r="B2454" s="24"/>
      <c r="E2454" s="24"/>
      <c r="G2454" s="24"/>
      <c r="H2454" s="24"/>
      <c r="J2454" s="24"/>
      <c r="K2454" s="24"/>
      <c r="M2454" s="24"/>
      <c r="N2454" s="24"/>
      <c r="P2454" s="24"/>
    </row>
    <row r="2455" spans="2:16" x14ac:dyDescent="0.25">
      <c r="B2455" s="24"/>
      <c r="E2455" s="24"/>
      <c r="G2455" s="24"/>
      <c r="H2455" s="24"/>
      <c r="J2455" s="24"/>
      <c r="K2455" s="24"/>
      <c r="M2455" s="24"/>
      <c r="N2455" s="24"/>
      <c r="P2455" s="24"/>
    </row>
    <row r="2456" spans="2:16" x14ac:dyDescent="0.25">
      <c r="B2456" s="24"/>
      <c r="E2456" s="24"/>
      <c r="G2456" s="24"/>
      <c r="H2456" s="24"/>
      <c r="J2456" s="24"/>
      <c r="K2456" s="24"/>
      <c r="M2456" s="24"/>
      <c r="N2456" s="24"/>
      <c r="P2456" s="24"/>
    </row>
    <row r="2457" spans="2:16" x14ac:dyDescent="0.25">
      <c r="B2457" s="24"/>
      <c r="E2457" s="24"/>
      <c r="G2457" s="24"/>
      <c r="H2457" s="24"/>
      <c r="J2457" s="24"/>
      <c r="K2457" s="24"/>
      <c r="M2457" s="24"/>
      <c r="N2457" s="24"/>
      <c r="P2457" s="24"/>
    </row>
    <row r="2458" spans="2:16" x14ac:dyDescent="0.25">
      <c r="B2458" s="24"/>
      <c r="E2458" s="24"/>
      <c r="G2458" s="24"/>
      <c r="H2458" s="24"/>
      <c r="J2458" s="24"/>
      <c r="K2458" s="24"/>
      <c r="M2458" s="24"/>
      <c r="N2458" s="24"/>
      <c r="P2458" s="24"/>
    </row>
    <row r="2459" spans="2:16" x14ac:dyDescent="0.25">
      <c r="B2459" s="24"/>
      <c r="E2459" s="24"/>
      <c r="G2459" s="24"/>
      <c r="H2459" s="24"/>
      <c r="J2459" s="24"/>
      <c r="K2459" s="24"/>
      <c r="M2459" s="24"/>
      <c r="N2459" s="24"/>
      <c r="P2459" s="24"/>
    </row>
    <row r="2460" spans="2:16" x14ac:dyDescent="0.25">
      <c r="B2460" s="24"/>
      <c r="E2460" s="24"/>
      <c r="G2460" s="24"/>
      <c r="H2460" s="24"/>
      <c r="J2460" s="24"/>
      <c r="K2460" s="24"/>
      <c r="M2460" s="24"/>
      <c r="N2460" s="24"/>
      <c r="P2460" s="24"/>
    </row>
    <row r="2461" spans="2:16" x14ac:dyDescent="0.25">
      <c r="B2461" s="24"/>
      <c r="E2461" s="24"/>
      <c r="G2461" s="24"/>
      <c r="H2461" s="24"/>
      <c r="J2461" s="24"/>
      <c r="K2461" s="24"/>
      <c r="M2461" s="24"/>
      <c r="N2461" s="24"/>
      <c r="P2461" s="24"/>
    </row>
    <row r="2462" spans="2:16" x14ac:dyDescent="0.25">
      <c r="B2462" s="24"/>
      <c r="E2462" s="24"/>
      <c r="G2462" s="24"/>
      <c r="H2462" s="24"/>
      <c r="J2462" s="24"/>
      <c r="K2462" s="24"/>
      <c r="M2462" s="24"/>
      <c r="N2462" s="24"/>
      <c r="P2462" s="24"/>
    </row>
    <row r="2463" spans="2:16" x14ac:dyDescent="0.25">
      <c r="B2463" s="24"/>
      <c r="E2463" s="24"/>
      <c r="G2463" s="24"/>
      <c r="H2463" s="24"/>
      <c r="J2463" s="24"/>
      <c r="K2463" s="24"/>
      <c r="M2463" s="24"/>
      <c r="N2463" s="24"/>
      <c r="P2463" s="24"/>
    </row>
    <row r="2464" spans="2:16" x14ac:dyDescent="0.25">
      <c r="B2464" s="24"/>
      <c r="E2464" s="24"/>
      <c r="G2464" s="24"/>
      <c r="H2464" s="24"/>
      <c r="J2464" s="24"/>
      <c r="K2464" s="24"/>
      <c r="M2464" s="24"/>
      <c r="N2464" s="24"/>
      <c r="P2464" s="24"/>
    </row>
    <row r="2465" spans="2:16" x14ac:dyDescent="0.25">
      <c r="B2465" s="24"/>
      <c r="E2465" s="24"/>
      <c r="G2465" s="24"/>
      <c r="H2465" s="24"/>
      <c r="J2465" s="24"/>
      <c r="K2465" s="24"/>
      <c r="M2465" s="24"/>
      <c r="N2465" s="24"/>
      <c r="P2465" s="24"/>
    </row>
    <row r="2466" spans="2:16" x14ac:dyDescent="0.25">
      <c r="B2466" s="24"/>
      <c r="E2466" s="24"/>
      <c r="G2466" s="24"/>
      <c r="H2466" s="24"/>
      <c r="J2466" s="24"/>
      <c r="K2466" s="24"/>
      <c r="M2466" s="24"/>
      <c r="N2466" s="24"/>
      <c r="P2466" s="24"/>
    </row>
    <row r="2467" spans="2:16" x14ac:dyDescent="0.25">
      <c r="B2467" s="24"/>
      <c r="E2467" s="24"/>
      <c r="G2467" s="24"/>
      <c r="H2467" s="24"/>
      <c r="J2467" s="24"/>
      <c r="K2467" s="24"/>
      <c r="M2467" s="24"/>
      <c r="N2467" s="24"/>
      <c r="P2467" s="24"/>
    </row>
    <row r="2468" spans="2:16" x14ac:dyDescent="0.25">
      <c r="B2468" s="24"/>
      <c r="E2468" s="24"/>
      <c r="G2468" s="24"/>
      <c r="H2468" s="24"/>
      <c r="J2468" s="24"/>
      <c r="K2468" s="24"/>
      <c r="M2468" s="24"/>
      <c r="N2468" s="24"/>
      <c r="P2468" s="24"/>
    </row>
    <row r="2469" spans="2:16" x14ac:dyDescent="0.25">
      <c r="B2469" s="24"/>
      <c r="E2469" s="24"/>
      <c r="G2469" s="24"/>
      <c r="H2469" s="24"/>
      <c r="J2469" s="24"/>
      <c r="K2469" s="24"/>
      <c r="M2469" s="24"/>
      <c r="N2469" s="24"/>
      <c r="P2469" s="24"/>
    </row>
    <row r="2470" spans="2:16" x14ac:dyDescent="0.25">
      <c r="B2470" s="24"/>
      <c r="E2470" s="24"/>
      <c r="G2470" s="24"/>
      <c r="H2470" s="24"/>
      <c r="J2470" s="24"/>
      <c r="K2470" s="24"/>
      <c r="M2470" s="24"/>
      <c r="N2470" s="24"/>
      <c r="P2470" s="24"/>
    </row>
    <row r="2471" spans="2:16" x14ac:dyDescent="0.25">
      <c r="B2471" s="24"/>
      <c r="E2471" s="24"/>
      <c r="G2471" s="24"/>
      <c r="H2471" s="24"/>
      <c r="J2471" s="24"/>
      <c r="K2471" s="24"/>
      <c r="M2471" s="24"/>
      <c r="N2471" s="24"/>
      <c r="P2471" s="24"/>
    </row>
    <row r="2472" spans="2:16" x14ac:dyDescent="0.25">
      <c r="B2472" s="24"/>
      <c r="E2472" s="24"/>
      <c r="G2472" s="24"/>
      <c r="H2472" s="24"/>
      <c r="J2472" s="24"/>
      <c r="K2472" s="24"/>
      <c r="M2472" s="24"/>
      <c r="N2472" s="24"/>
      <c r="P2472" s="24"/>
    </row>
    <row r="2473" spans="2:16" x14ac:dyDescent="0.25">
      <c r="B2473" s="24"/>
      <c r="E2473" s="24"/>
      <c r="G2473" s="24"/>
      <c r="H2473" s="24"/>
      <c r="J2473" s="24"/>
      <c r="K2473" s="24"/>
      <c r="M2473" s="24"/>
      <c r="N2473" s="24"/>
      <c r="P2473" s="24"/>
    </row>
    <row r="2474" spans="2:16" x14ac:dyDescent="0.25">
      <c r="B2474" s="24"/>
      <c r="E2474" s="24"/>
      <c r="G2474" s="24"/>
      <c r="H2474" s="24"/>
      <c r="J2474" s="24"/>
      <c r="K2474" s="24"/>
      <c r="M2474" s="24"/>
      <c r="N2474" s="24"/>
      <c r="P2474" s="24"/>
    </row>
    <row r="2475" spans="2:16" x14ac:dyDescent="0.25">
      <c r="B2475" s="24"/>
      <c r="E2475" s="24"/>
      <c r="G2475" s="24"/>
      <c r="H2475" s="24"/>
      <c r="J2475" s="24"/>
      <c r="K2475" s="24"/>
      <c r="M2475" s="24"/>
      <c r="N2475" s="24"/>
      <c r="P2475" s="24"/>
    </row>
    <row r="2476" spans="2:16" x14ac:dyDescent="0.25">
      <c r="B2476" s="24"/>
      <c r="E2476" s="24"/>
      <c r="G2476" s="24"/>
      <c r="H2476" s="24"/>
      <c r="J2476" s="24"/>
      <c r="K2476" s="24"/>
      <c r="M2476" s="24"/>
      <c r="N2476" s="24"/>
      <c r="P2476" s="24"/>
    </row>
    <row r="2477" spans="2:16" x14ac:dyDescent="0.25">
      <c r="B2477" s="24"/>
      <c r="E2477" s="24"/>
      <c r="G2477" s="24"/>
      <c r="H2477" s="24"/>
      <c r="J2477" s="24"/>
      <c r="K2477" s="24"/>
      <c r="M2477" s="24"/>
      <c r="N2477" s="24"/>
      <c r="P2477" s="24"/>
    </row>
    <row r="2478" spans="2:16" x14ac:dyDescent="0.25">
      <c r="B2478" s="24"/>
      <c r="E2478" s="24"/>
      <c r="G2478" s="24"/>
      <c r="H2478" s="24"/>
      <c r="J2478" s="24"/>
      <c r="K2478" s="24"/>
      <c r="M2478" s="24"/>
      <c r="N2478" s="24"/>
      <c r="P2478" s="24"/>
    </row>
    <row r="2479" spans="2:16" x14ac:dyDescent="0.25">
      <c r="B2479" s="24"/>
      <c r="E2479" s="24"/>
      <c r="G2479" s="24"/>
      <c r="H2479" s="24"/>
      <c r="J2479" s="24"/>
      <c r="K2479" s="24"/>
      <c r="M2479" s="24"/>
      <c r="N2479" s="24"/>
      <c r="P2479" s="24"/>
    </row>
    <row r="2480" spans="2:16" x14ac:dyDescent="0.25">
      <c r="B2480" s="24"/>
      <c r="E2480" s="24"/>
      <c r="G2480" s="24"/>
      <c r="H2480" s="24"/>
      <c r="J2480" s="24"/>
      <c r="K2480" s="24"/>
      <c r="M2480" s="24"/>
      <c r="N2480" s="24"/>
      <c r="P2480" s="24"/>
    </row>
    <row r="2481" spans="2:16" x14ac:dyDescent="0.25">
      <c r="B2481" s="24"/>
      <c r="E2481" s="24"/>
      <c r="G2481" s="24"/>
      <c r="H2481" s="24"/>
      <c r="J2481" s="24"/>
      <c r="K2481" s="24"/>
      <c r="M2481" s="24"/>
      <c r="N2481" s="24"/>
      <c r="P2481" s="24"/>
    </row>
    <row r="2482" spans="2:16" x14ac:dyDescent="0.25">
      <c r="B2482" s="24"/>
      <c r="E2482" s="24"/>
      <c r="G2482" s="24"/>
      <c r="H2482" s="24"/>
      <c r="J2482" s="24"/>
      <c r="K2482" s="24"/>
      <c r="M2482" s="24"/>
      <c r="N2482" s="24"/>
      <c r="P2482" s="24"/>
    </row>
    <row r="2483" spans="2:16" x14ac:dyDescent="0.25">
      <c r="B2483" s="24"/>
      <c r="E2483" s="24"/>
      <c r="G2483" s="24"/>
      <c r="H2483" s="24"/>
      <c r="J2483" s="24"/>
      <c r="K2483" s="24"/>
      <c r="M2483" s="24"/>
      <c r="N2483" s="24"/>
      <c r="P2483" s="24"/>
    </row>
    <row r="2484" spans="2:16" x14ac:dyDescent="0.25">
      <c r="B2484" s="24"/>
      <c r="E2484" s="24"/>
      <c r="G2484" s="24"/>
      <c r="H2484" s="24"/>
      <c r="J2484" s="24"/>
      <c r="K2484" s="24"/>
      <c r="M2484" s="24"/>
      <c r="N2484" s="24"/>
      <c r="P2484" s="24"/>
    </row>
    <row r="2485" spans="2:16" x14ac:dyDescent="0.25">
      <c r="B2485" s="24"/>
      <c r="E2485" s="24"/>
      <c r="G2485" s="24"/>
      <c r="H2485" s="24"/>
      <c r="J2485" s="24"/>
      <c r="K2485" s="24"/>
      <c r="M2485" s="24"/>
      <c r="N2485" s="24"/>
      <c r="P2485" s="24"/>
    </row>
    <row r="2486" spans="2:16" x14ac:dyDescent="0.25">
      <c r="B2486" s="24"/>
      <c r="E2486" s="24"/>
      <c r="G2486" s="24"/>
      <c r="H2486" s="24"/>
      <c r="J2486" s="24"/>
      <c r="K2486" s="24"/>
      <c r="M2486" s="24"/>
      <c r="N2486" s="24"/>
      <c r="P2486" s="24"/>
    </row>
    <row r="2487" spans="2:16" x14ac:dyDescent="0.25">
      <c r="B2487" s="24"/>
      <c r="E2487" s="24"/>
      <c r="G2487" s="24"/>
      <c r="H2487" s="24"/>
      <c r="J2487" s="24"/>
      <c r="K2487" s="24"/>
      <c r="M2487" s="24"/>
      <c r="N2487" s="24"/>
      <c r="P2487" s="24"/>
    </row>
    <row r="2488" spans="2:16" x14ac:dyDescent="0.25">
      <c r="B2488" s="24"/>
      <c r="E2488" s="24"/>
      <c r="G2488" s="24"/>
      <c r="H2488" s="24"/>
      <c r="J2488" s="24"/>
      <c r="K2488" s="24"/>
      <c r="M2488" s="24"/>
      <c r="N2488" s="24"/>
      <c r="P2488" s="24"/>
    </row>
    <row r="2489" spans="2:16" x14ac:dyDescent="0.25">
      <c r="B2489" s="24"/>
      <c r="E2489" s="24"/>
      <c r="G2489" s="24"/>
      <c r="H2489" s="24"/>
      <c r="J2489" s="24"/>
      <c r="K2489" s="24"/>
      <c r="M2489" s="24"/>
      <c r="N2489" s="24"/>
      <c r="P2489" s="24"/>
    </row>
    <row r="2490" spans="2:16" x14ac:dyDescent="0.25">
      <c r="B2490" s="24"/>
      <c r="E2490" s="24"/>
      <c r="G2490" s="24"/>
      <c r="H2490" s="24"/>
      <c r="J2490" s="24"/>
      <c r="K2490" s="24"/>
      <c r="M2490" s="24"/>
      <c r="N2490" s="24"/>
      <c r="P2490" s="24"/>
    </row>
    <row r="2491" spans="2:16" x14ac:dyDescent="0.25">
      <c r="B2491" s="24"/>
      <c r="E2491" s="24"/>
      <c r="G2491" s="24"/>
      <c r="H2491" s="24"/>
      <c r="J2491" s="24"/>
      <c r="K2491" s="24"/>
      <c r="M2491" s="24"/>
      <c r="N2491" s="24"/>
      <c r="P2491" s="24"/>
    </row>
    <row r="2492" spans="2:16" x14ac:dyDescent="0.25">
      <c r="B2492" s="24"/>
      <c r="E2492" s="24"/>
      <c r="G2492" s="24"/>
      <c r="H2492" s="24"/>
      <c r="J2492" s="24"/>
      <c r="K2492" s="24"/>
      <c r="M2492" s="24"/>
      <c r="N2492" s="24"/>
      <c r="P2492" s="24"/>
    </row>
    <row r="2493" spans="2:16" x14ac:dyDescent="0.25">
      <c r="B2493" s="24"/>
      <c r="E2493" s="24"/>
      <c r="G2493" s="24"/>
      <c r="H2493" s="24"/>
      <c r="J2493" s="24"/>
      <c r="K2493" s="24"/>
      <c r="M2493" s="24"/>
      <c r="N2493" s="24"/>
      <c r="P2493" s="24"/>
    </row>
    <row r="2494" spans="2:16" x14ac:dyDescent="0.25">
      <c r="B2494" s="24"/>
      <c r="E2494" s="24"/>
      <c r="G2494" s="24"/>
      <c r="H2494" s="24"/>
      <c r="J2494" s="24"/>
      <c r="K2494" s="24"/>
      <c r="M2494" s="24"/>
      <c r="N2494" s="24"/>
      <c r="P2494" s="24"/>
    </row>
    <row r="2495" spans="2:16" x14ac:dyDescent="0.25">
      <c r="B2495" s="24"/>
      <c r="E2495" s="24"/>
      <c r="G2495" s="24"/>
      <c r="H2495" s="24"/>
      <c r="J2495" s="24"/>
      <c r="K2495" s="24"/>
      <c r="M2495" s="24"/>
      <c r="N2495" s="24"/>
      <c r="P2495" s="24"/>
    </row>
    <row r="2496" spans="2:16" x14ac:dyDescent="0.25">
      <c r="B2496" s="24"/>
      <c r="E2496" s="24"/>
      <c r="G2496" s="24"/>
      <c r="H2496" s="24"/>
      <c r="J2496" s="24"/>
      <c r="K2496" s="24"/>
      <c r="M2496" s="24"/>
      <c r="N2496" s="24"/>
      <c r="P2496" s="24"/>
    </row>
    <row r="2497" spans="2:16" x14ac:dyDescent="0.25">
      <c r="B2497" s="24"/>
      <c r="E2497" s="24"/>
      <c r="G2497" s="24"/>
      <c r="H2497" s="24"/>
      <c r="J2497" s="24"/>
      <c r="K2497" s="24"/>
      <c r="M2497" s="24"/>
      <c r="N2497" s="24"/>
      <c r="P2497" s="24"/>
    </row>
    <row r="2498" spans="2:16" x14ac:dyDescent="0.25">
      <c r="B2498" s="24"/>
      <c r="E2498" s="24"/>
      <c r="G2498" s="24"/>
      <c r="H2498" s="24"/>
      <c r="J2498" s="24"/>
      <c r="K2498" s="24"/>
      <c r="M2498" s="24"/>
      <c r="N2498" s="24"/>
      <c r="P2498" s="24"/>
    </row>
    <row r="2499" spans="2:16" x14ac:dyDescent="0.25">
      <c r="B2499" s="24"/>
      <c r="E2499" s="24"/>
      <c r="G2499" s="24"/>
      <c r="H2499" s="24"/>
      <c r="J2499" s="24"/>
      <c r="K2499" s="24"/>
      <c r="M2499" s="24"/>
      <c r="N2499" s="24"/>
      <c r="P2499" s="24"/>
    </row>
    <row r="2500" spans="2:16" x14ac:dyDescent="0.25">
      <c r="B2500" s="24"/>
      <c r="E2500" s="24"/>
      <c r="G2500" s="24"/>
      <c r="H2500" s="24"/>
      <c r="J2500" s="24"/>
      <c r="K2500" s="24"/>
      <c r="M2500" s="24"/>
      <c r="N2500" s="24"/>
      <c r="P2500" s="24"/>
    </row>
    <row r="2501" spans="2:16" x14ac:dyDescent="0.25">
      <c r="B2501" s="24"/>
      <c r="E2501" s="24"/>
      <c r="G2501" s="24"/>
      <c r="H2501" s="24"/>
      <c r="J2501" s="24"/>
      <c r="K2501" s="24"/>
      <c r="M2501" s="24"/>
      <c r="N2501" s="24"/>
      <c r="P2501" s="24"/>
    </row>
    <row r="2502" spans="2:16" x14ac:dyDescent="0.25">
      <c r="B2502" s="24"/>
      <c r="E2502" s="24"/>
      <c r="G2502" s="24"/>
      <c r="H2502" s="24"/>
      <c r="J2502" s="24"/>
      <c r="K2502" s="24"/>
      <c r="M2502" s="24"/>
      <c r="N2502" s="24"/>
      <c r="P2502" s="24"/>
    </row>
    <row r="2503" spans="2:16" x14ac:dyDescent="0.25">
      <c r="B2503" s="24"/>
      <c r="E2503" s="24"/>
      <c r="G2503" s="24"/>
      <c r="H2503" s="24"/>
      <c r="J2503" s="24"/>
      <c r="K2503" s="24"/>
      <c r="M2503" s="24"/>
      <c r="N2503" s="24"/>
      <c r="P2503" s="24"/>
    </row>
    <row r="2504" spans="2:16" x14ac:dyDescent="0.25">
      <c r="B2504" s="24"/>
      <c r="E2504" s="24"/>
      <c r="G2504" s="24"/>
      <c r="H2504" s="24"/>
      <c r="J2504" s="24"/>
      <c r="K2504" s="24"/>
      <c r="M2504" s="24"/>
      <c r="N2504" s="24"/>
      <c r="P2504" s="24"/>
    </row>
    <row r="2505" spans="2:16" x14ac:dyDescent="0.25">
      <c r="B2505" s="24"/>
      <c r="E2505" s="24"/>
      <c r="G2505" s="24"/>
      <c r="H2505" s="24"/>
      <c r="J2505" s="24"/>
      <c r="K2505" s="24"/>
      <c r="M2505" s="24"/>
      <c r="N2505" s="24"/>
      <c r="P2505" s="24"/>
    </row>
    <row r="2506" spans="2:16" x14ac:dyDescent="0.25">
      <c r="B2506" s="24"/>
      <c r="E2506" s="24"/>
      <c r="G2506" s="24"/>
      <c r="H2506" s="24"/>
      <c r="J2506" s="24"/>
      <c r="K2506" s="24"/>
      <c r="M2506" s="24"/>
      <c r="N2506" s="24"/>
      <c r="P2506" s="24"/>
    </row>
    <row r="2507" spans="2:16" x14ac:dyDescent="0.25">
      <c r="B2507" s="24"/>
      <c r="E2507" s="24"/>
      <c r="G2507" s="24"/>
      <c r="H2507" s="24"/>
      <c r="J2507" s="24"/>
      <c r="K2507" s="24"/>
      <c r="M2507" s="24"/>
      <c r="N2507" s="24"/>
      <c r="P2507" s="24"/>
    </row>
    <row r="2508" spans="2:16" x14ac:dyDescent="0.25">
      <c r="B2508" s="24"/>
      <c r="E2508" s="24"/>
      <c r="G2508" s="24"/>
      <c r="H2508" s="24"/>
      <c r="J2508" s="24"/>
      <c r="K2508" s="24"/>
      <c r="M2508" s="24"/>
      <c r="N2508" s="24"/>
      <c r="P2508" s="24"/>
    </row>
    <row r="2509" spans="2:16" x14ac:dyDescent="0.25">
      <c r="B2509" s="24"/>
      <c r="E2509" s="24"/>
      <c r="G2509" s="24"/>
      <c r="H2509" s="24"/>
      <c r="J2509" s="24"/>
      <c r="K2509" s="24"/>
      <c r="M2509" s="24"/>
      <c r="N2509" s="24"/>
      <c r="P2509" s="24"/>
    </row>
    <row r="2510" spans="2:16" x14ac:dyDescent="0.25">
      <c r="B2510" s="24"/>
      <c r="E2510" s="24"/>
      <c r="G2510" s="24"/>
      <c r="H2510" s="24"/>
      <c r="J2510" s="24"/>
      <c r="K2510" s="24"/>
      <c r="M2510" s="24"/>
      <c r="N2510" s="24"/>
      <c r="P2510" s="24"/>
    </row>
    <row r="2511" spans="2:16" x14ac:dyDescent="0.25">
      <c r="B2511" s="24"/>
      <c r="E2511" s="24"/>
      <c r="G2511" s="24"/>
      <c r="H2511" s="24"/>
      <c r="J2511" s="24"/>
      <c r="K2511" s="24"/>
      <c r="M2511" s="24"/>
      <c r="N2511" s="24"/>
      <c r="P2511" s="24"/>
    </row>
    <row r="2512" spans="2:16" x14ac:dyDescent="0.25">
      <c r="B2512" s="24"/>
      <c r="E2512" s="24"/>
      <c r="G2512" s="24"/>
      <c r="H2512" s="24"/>
      <c r="J2512" s="24"/>
      <c r="K2512" s="24"/>
      <c r="M2512" s="24"/>
      <c r="N2512" s="24"/>
      <c r="P2512" s="24"/>
    </row>
    <row r="2513" spans="2:16" x14ac:dyDescent="0.25">
      <c r="B2513" s="24"/>
      <c r="E2513" s="24"/>
      <c r="G2513" s="24"/>
      <c r="H2513" s="24"/>
      <c r="J2513" s="24"/>
      <c r="K2513" s="24"/>
      <c r="M2513" s="24"/>
      <c r="N2513" s="24"/>
      <c r="P2513" s="24"/>
    </row>
    <row r="2514" spans="2:16" x14ac:dyDescent="0.25">
      <c r="B2514" s="24"/>
      <c r="E2514" s="24"/>
      <c r="G2514" s="24"/>
      <c r="H2514" s="24"/>
      <c r="J2514" s="24"/>
      <c r="K2514" s="24"/>
      <c r="M2514" s="24"/>
      <c r="N2514" s="24"/>
      <c r="P2514" s="24"/>
    </row>
    <row r="2515" spans="2:16" x14ac:dyDescent="0.25">
      <c r="B2515" s="24"/>
      <c r="E2515" s="24"/>
      <c r="G2515" s="24"/>
      <c r="H2515" s="24"/>
      <c r="J2515" s="24"/>
      <c r="K2515" s="24"/>
      <c r="M2515" s="24"/>
      <c r="N2515" s="24"/>
      <c r="P2515" s="24"/>
    </row>
    <row r="2516" spans="2:16" x14ac:dyDescent="0.25">
      <c r="B2516" s="24"/>
      <c r="E2516" s="24"/>
      <c r="G2516" s="24"/>
      <c r="H2516" s="24"/>
      <c r="J2516" s="24"/>
      <c r="K2516" s="24"/>
      <c r="M2516" s="24"/>
      <c r="N2516" s="24"/>
      <c r="P2516" s="24"/>
    </row>
    <row r="2517" spans="2:16" x14ac:dyDescent="0.25">
      <c r="B2517" s="24"/>
      <c r="E2517" s="24"/>
      <c r="G2517" s="24"/>
      <c r="H2517" s="24"/>
      <c r="J2517" s="24"/>
      <c r="K2517" s="24"/>
      <c r="M2517" s="24"/>
      <c r="N2517" s="24"/>
      <c r="P2517" s="24"/>
    </row>
    <row r="2518" spans="2:16" x14ac:dyDescent="0.25">
      <c r="B2518" s="24"/>
      <c r="E2518" s="24"/>
      <c r="G2518" s="24"/>
      <c r="H2518" s="24"/>
      <c r="J2518" s="24"/>
      <c r="K2518" s="24"/>
      <c r="M2518" s="24"/>
      <c r="N2518" s="24"/>
      <c r="P2518" s="24"/>
    </row>
    <row r="2519" spans="2:16" x14ac:dyDescent="0.25">
      <c r="B2519" s="24"/>
      <c r="E2519" s="24"/>
      <c r="G2519" s="24"/>
      <c r="H2519" s="24"/>
      <c r="J2519" s="24"/>
      <c r="K2519" s="24"/>
      <c r="M2519" s="24"/>
      <c r="N2519" s="24"/>
      <c r="P2519" s="24"/>
    </row>
    <row r="2520" spans="2:16" x14ac:dyDescent="0.25">
      <c r="B2520" s="24"/>
      <c r="E2520" s="24"/>
      <c r="G2520" s="24"/>
      <c r="H2520" s="24"/>
      <c r="J2520" s="24"/>
      <c r="K2520" s="24"/>
      <c r="M2520" s="24"/>
      <c r="N2520" s="24"/>
      <c r="P2520" s="24"/>
    </row>
    <row r="2521" spans="2:16" x14ac:dyDescent="0.25">
      <c r="B2521" s="24"/>
      <c r="E2521" s="24"/>
      <c r="G2521" s="24"/>
      <c r="H2521" s="24"/>
      <c r="J2521" s="24"/>
      <c r="K2521" s="24"/>
      <c r="M2521" s="24"/>
      <c r="N2521" s="24"/>
      <c r="P2521" s="24"/>
    </row>
    <row r="2522" spans="2:16" x14ac:dyDescent="0.25">
      <c r="B2522" s="24"/>
      <c r="E2522" s="24"/>
      <c r="G2522" s="24"/>
      <c r="H2522" s="24"/>
      <c r="J2522" s="24"/>
      <c r="K2522" s="24"/>
      <c r="M2522" s="24"/>
      <c r="N2522" s="24"/>
      <c r="P2522" s="24"/>
    </row>
    <row r="2523" spans="2:16" x14ac:dyDescent="0.25">
      <c r="B2523" s="24"/>
      <c r="E2523" s="24"/>
      <c r="G2523" s="24"/>
      <c r="H2523" s="24"/>
      <c r="J2523" s="24"/>
      <c r="K2523" s="24"/>
      <c r="M2523" s="24"/>
      <c r="N2523" s="24"/>
      <c r="P2523" s="24"/>
    </row>
    <row r="2524" spans="2:16" x14ac:dyDescent="0.25">
      <c r="B2524" s="24"/>
      <c r="E2524" s="24"/>
      <c r="G2524" s="24"/>
      <c r="H2524" s="24"/>
      <c r="J2524" s="24"/>
      <c r="K2524" s="24"/>
      <c r="M2524" s="24"/>
      <c r="N2524" s="24"/>
      <c r="P2524" s="24"/>
    </row>
    <row r="2525" spans="2:16" x14ac:dyDescent="0.25">
      <c r="B2525" s="24"/>
      <c r="E2525" s="24"/>
      <c r="G2525" s="24"/>
      <c r="H2525" s="24"/>
      <c r="J2525" s="24"/>
      <c r="K2525" s="24"/>
      <c r="M2525" s="24"/>
      <c r="N2525" s="24"/>
      <c r="P2525" s="24"/>
    </row>
    <row r="2526" spans="2:16" x14ac:dyDescent="0.25">
      <c r="B2526" s="24"/>
      <c r="E2526" s="24"/>
      <c r="G2526" s="24"/>
      <c r="H2526" s="24"/>
      <c r="J2526" s="24"/>
      <c r="K2526" s="24"/>
      <c r="M2526" s="24"/>
      <c r="N2526" s="24"/>
      <c r="P2526" s="24"/>
    </row>
    <row r="2527" spans="2:16" x14ac:dyDescent="0.25">
      <c r="B2527" s="24"/>
      <c r="E2527" s="24"/>
      <c r="G2527" s="24"/>
      <c r="H2527" s="24"/>
      <c r="J2527" s="24"/>
      <c r="K2527" s="24"/>
      <c r="M2527" s="24"/>
      <c r="N2527" s="24"/>
      <c r="P2527" s="24"/>
    </row>
    <row r="2528" spans="2:16" x14ac:dyDescent="0.25">
      <c r="B2528" s="24"/>
      <c r="E2528" s="24"/>
      <c r="G2528" s="24"/>
      <c r="H2528" s="24"/>
      <c r="J2528" s="24"/>
      <c r="K2528" s="24"/>
      <c r="M2528" s="24"/>
      <c r="N2528" s="24"/>
      <c r="P2528" s="24"/>
    </row>
    <row r="2529" spans="2:16" x14ac:dyDescent="0.25">
      <c r="B2529" s="24"/>
      <c r="E2529" s="24"/>
      <c r="G2529" s="24"/>
      <c r="H2529" s="24"/>
      <c r="J2529" s="24"/>
      <c r="K2529" s="24"/>
      <c r="M2529" s="24"/>
      <c r="N2529" s="24"/>
      <c r="P2529" s="24"/>
    </row>
    <row r="2530" spans="2:16" x14ac:dyDescent="0.25">
      <c r="B2530" s="24"/>
      <c r="E2530" s="24"/>
      <c r="G2530" s="24"/>
      <c r="H2530" s="24"/>
      <c r="J2530" s="24"/>
      <c r="K2530" s="24"/>
      <c r="M2530" s="24"/>
      <c r="N2530" s="24"/>
      <c r="P2530" s="24"/>
    </row>
    <row r="2531" spans="2:16" x14ac:dyDescent="0.25">
      <c r="B2531" s="24"/>
      <c r="E2531" s="24"/>
      <c r="G2531" s="24"/>
      <c r="H2531" s="24"/>
      <c r="J2531" s="24"/>
      <c r="K2531" s="24"/>
      <c r="M2531" s="24"/>
      <c r="N2531" s="24"/>
      <c r="P2531" s="24"/>
    </row>
    <row r="2532" spans="2:16" x14ac:dyDescent="0.25">
      <c r="B2532" s="24"/>
      <c r="E2532" s="24"/>
      <c r="G2532" s="24"/>
      <c r="H2532" s="24"/>
      <c r="J2532" s="24"/>
      <c r="K2532" s="24"/>
      <c r="M2532" s="24"/>
      <c r="N2532" s="24"/>
      <c r="P2532" s="24"/>
    </row>
    <row r="2533" spans="2:16" x14ac:dyDescent="0.25">
      <c r="B2533" s="24"/>
      <c r="E2533" s="24"/>
      <c r="G2533" s="24"/>
      <c r="H2533" s="24"/>
      <c r="J2533" s="24"/>
      <c r="K2533" s="24"/>
      <c r="M2533" s="24"/>
      <c r="N2533" s="24"/>
      <c r="P2533" s="24"/>
    </row>
    <row r="2534" spans="2:16" x14ac:dyDescent="0.25">
      <c r="B2534" s="24"/>
      <c r="E2534" s="24"/>
      <c r="G2534" s="24"/>
      <c r="H2534" s="24"/>
      <c r="J2534" s="24"/>
      <c r="K2534" s="24"/>
      <c r="M2534" s="24"/>
      <c r="N2534" s="24"/>
      <c r="P2534" s="24"/>
    </row>
    <row r="2535" spans="2:16" x14ac:dyDescent="0.25">
      <c r="B2535" s="24"/>
      <c r="E2535" s="24"/>
      <c r="G2535" s="24"/>
      <c r="H2535" s="24"/>
      <c r="J2535" s="24"/>
      <c r="K2535" s="24"/>
      <c r="M2535" s="24"/>
      <c r="N2535" s="24"/>
      <c r="P2535" s="24"/>
    </row>
    <row r="2536" spans="2:16" x14ac:dyDescent="0.25">
      <c r="B2536" s="24"/>
      <c r="E2536" s="24"/>
      <c r="G2536" s="24"/>
      <c r="H2536" s="24"/>
      <c r="J2536" s="24"/>
      <c r="K2536" s="24"/>
      <c r="M2536" s="24"/>
      <c r="N2536" s="24"/>
      <c r="P2536" s="24"/>
    </row>
    <row r="2537" spans="2:16" x14ac:dyDescent="0.25">
      <c r="B2537" s="24"/>
      <c r="E2537" s="24"/>
      <c r="G2537" s="24"/>
      <c r="H2537" s="24"/>
      <c r="J2537" s="24"/>
      <c r="K2537" s="24"/>
      <c r="M2537" s="24"/>
      <c r="N2537" s="24"/>
      <c r="P2537" s="24"/>
    </row>
    <row r="2538" spans="2:16" x14ac:dyDescent="0.25">
      <c r="B2538" s="24"/>
      <c r="E2538" s="24"/>
      <c r="G2538" s="24"/>
      <c r="H2538" s="24"/>
      <c r="J2538" s="24"/>
      <c r="K2538" s="24"/>
      <c r="M2538" s="24"/>
      <c r="N2538" s="24"/>
      <c r="P2538" s="24"/>
    </row>
    <row r="2539" spans="2:16" x14ac:dyDescent="0.25">
      <c r="B2539" s="24"/>
      <c r="E2539" s="24"/>
      <c r="G2539" s="24"/>
      <c r="H2539" s="24"/>
      <c r="J2539" s="24"/>
      <c r="K2539" s="24"/>
      <c r="M2539" s="24"/>
      <c r="N2539" s="24"/>
      <c r="P2539" s="24"/>
    </row>
    <row r="2540" spans="2:16" x14ac:dyDescent="0.25">
      <c r="B2540" s="24"/>
      <c r="E2540" s="24"/>
      <c r="G2540" s="24"/>
      <c r="H2540" s="24"/>
      <c r="J2540" s="24"/>
      <c r="K2540" s="24"/>
      <c r="M2540" s="24"/>
      <c r="N2540" s="24"/>
      <c r="P2540" s="24"/>
    </row>
    <row r="2541" spans="2:16" x14ac:dyDescent="0.25">
      <c r="B2541" s="24"/>
      <c r="E2541" s="24"/>
      <c r="G2541" s="24"/>
      <c r="H2541" s="24"/>
      <c r="J2541" s="24"/>
      <c r="K2541" s="24"/>
      <c r="M2541" s="24"/>
      <c r="N2541" s="24"/>
      <c r="P2541" s="24"/>
    </row>
    <row r="2542" spans="2:16" x14ac:dyDescent="0.25">
      <c r="B2542" s="24"/>
      <c r="E2542" s="24"/>
      <c r="G2542" s="24"/>
      <c r="H2542" s="24"/>
      <c r="J2542" s="24"/>
      <c r="K2542" s="24"/>
      <c r="M2542" s="24"/>
      <c r="N2542" s="24"/>
      <c r="P2542" s="24"/>
    </row>
    <row r="2543" spans="2:16" x14ac:dyDescent="0.25">
      <c r="B2543" s="24"/>
      <c r="E2543" s="24"/>
      <c r="G2543" s="24"/>
      <c r="H2543" s="24"/>
      <c r="J2543" s="24"/>
      <c r="K2543" s="24"/>
      <c r="M2543" s="24"/>
      <c r="N2543" s="24"/>
      <c r="P2543" s="24"/>
    </row>
    <row r="2544" spans="2:16" x14ac:dyDescent="0.25">
      <c r="B2544" s="24"/>
      <c r="E2544" s="24"/>
      <c r="G2544" s="24"/>
      <c r="H2544" s="24"/>
      <c r="J2544" s="24"/>
      <c r="K2544" s="24"/>
      <c r="M2544" s="24"/>
      <c r="N2544" s="24"/>
      <c r="P2544" s="24"/>
    </row>
    <row r="2545" spans="2:16" x14ac:dyDescent="0.25">
      <c r="B2545" s="24"/>
      <c r="E2545" s="24"/>
      <c r="G2545" s="24"/>
      <c r="H2545" s="24"/>
      <c r="J2545" s="24"/>
      <c r="K2545" s="24"/>
      <c r="M2545" s="24"/>
      <c r="N2545" s="24"/>
      <c r="P2545" s="24"/>
    </row>
    <row r="2546" spans="2:16" x14ac:dyDescent="0.25">
      <c r="B2546" s="24"/>
      <c r="E2546" s="24"/>
      <c r="G2546" s="24"/>
      <c r="H2546" s="24"/>
      <c r="J2546" s="24"/>
      <c r="K2546" s="24"/>
      <c r="M2546" s="24"/>
      <c r="N2546" s="24"/>
      <c r="P2546" s="24"/>
    </row>
    <row r="2547" spans="2:16" x14ac:dyDescent="0.25">
      <c r="B2547" s="24"/>
      <c r="E2547" s="24"/>
      <c r="G2547" s="24"/>
      <c r="H2547" s="24"/>
      <c r="J2547" s="24"/>
      <c r="K2547" s="24"/>
      <c r="M2547" s="24"/>
      <c r="N2547" s="24"/>
      <c r="P2547" s="24"/>
    </row>
    <row r="2548" spans="2:16" x14ac:dyDescent="0.25">
      <c r="B2548" s="24"/>
      <c r="E2548" s="24"/>
      <c r="G2548" s="24"/>
      <c r="H2548" s="24"/>
      <c r="J2548" s="24"/>
      <c r="K2548" s="24"/>
      <c r="M2548" s="24"/>
      <c r="N2548" s="24"/>
      <c r="P2548" s="24"/>
    </row>
    <row r="2549" spans="2:16" x14ac:dyDescent="0.25">
      <c r="B2549" s="24"/>
      <c r="E2549" s="24"/>
      <c r="G2549" s="24"/>
      <c r="H2549" s="24"/>
      <c r="J2549" s="24"/>
      <c r="K2549" s="24"/>
      <c r="M2549" s="24"/>
      <c r="N2549" s="24"/>
      <c r="P2549" s="24"/>
    </row>
    <row r="2550" spans="2:16" x14ac:dyDescent="0.25">
      <c r="B2550" s="24"/>
      <c r="E2550" s="24"/>
      <c r="G2550" s="24"/>
      <c r="H2550" s="24"/>
      <c r="J2550" s="24"/>
      <c r="K2550" s="24"/>
      <c r="M2550" s="24"/>
      <c r="N2550" s="24"/>
      <c r="P2550" s="24"/>
    </row>
    <row r="2551" spans="2:16" x14ac:dyDescent="0.25">
      <c r="B2551" s="24"/>
      <c r="E2551" s="24"/>
      <c r="G2551" s="24"/>
      <c r="H2551" s="24"/>
      <c r="J2551" s="24"/>
      <c r="K2551" s="24"/>
      <c r="M2551" s="24"/>
      <c r="N2551" s="24"/>
      <c r="P2551" s="24"/>
    </row>
    <row r="2552" spans="2:16" x14ac:dyDescent="0.25">
      <c r="B2552" s="24"/>
      <c r="E2552" s="24"/>
      <c r="G2552" s="24"/>
      <c r="H2552" s="24"/>
      <c r="J2552" s="24"/>
      <c r="K2552" s="24"/>
      <c r="M2552" s="24"/>
      <c r="N2552" s="24"/>
      <c r="P2552" s="24"/>
    </row>
    <row r="2553" spans="2:16" x14ac:dyDescent="0.25">
      <c r="B2553" s="24"/>
      <c r="E2553" s="24"/>
      <c r="G2553" s="24"/>
      <c r="H2553" s="24"/>
      <c r="J2553" s="24"/>
      <c r="K2553" s="24"/>
      <c r="M2553" s="24"/>
      <c r="N2553" s="24"/>
      <c r="P2553" s="24"/>
    </row>
    <row r="2554" spans="2:16" x14ac:dyDescent="0.25">
      <c r="B2554" s="24"/>
      <c r="E2554" s="24"/>
      <c r="G2554" s="24"/>
      <c r="H2554" s="24"/>
      <c r="J2554" s="24"/>
      <c r="K2554" s="24"/>
      <c r="M2554" s="24"/>
      <c r="N2554" s="24"/>
      <c r="P2554" s="24"/>
    </row>
    <row r="2555" spans="2:16" x14ac:dyDescent="0.25">
      <c r="B2555" s="24"/>
      <c r="E2555" s="24"/>
      <c r="G2555" s="24"/>
      <c r="H2555" s="24"/>
      <c r="J2555" s="24"/>
      <c r="K2555" s="24"/>
      <c r="M2555" s="24"/>
      <c r="N2555" s="24"/>
      <c r="P2555" s="24"/>
    </row>
    <row r="2556" spans="2:16" x14ac:dyDescent="0.25">
      <c r="B2556" s="24"/>
      <c r="E2556" s="24"/>
      <c r="G2556" s="24"/>
      <c r="H2556" s="24"/>
      <c r="J2556" s="24"/>
      <c r="K2556" s="24"/>
      <c r="M2556" s="24"/>
      <c r="N2556" s="24"/>
      <c r="P2556" s="24"/>
    </row>
    <row r="2557" spans="2:16" x14ac:dyDescent="0.25">
      <c r="B2557" s="24"/>
      <c r="E2557" s="24"/>
      <c r="G2557" s="24"/>
      <c r="H2557" s="24"/>
      <c r="J2557" s="24"/>
      <c r="K2557" s="24"/>
      <c r="M2557" s="24"/>
      <c r="N2557" s="24"/>
      <c r="P2557" s="24"/>
    </row>
    <row r="2558" spans="2:16" x14ac:dyDescent="0.25">
      <c r="B2558" s="24"/>
      <c r="E2558" s="24"/>
      <c r="G2558" s="24"/>
      <c r="H2558" s="24"/>
      <c r="J2558" s="24"/>
      <c r="K2558" s="24"/>
      <c r="M2558" s="24"/>
      <c r="N2558" s="24"/>
      <c r="P2558" s="24"/>
    </row>
    <row r="2559" spans="2:16" x14ac:dyDescent="0.25">
      <c r="B2559" s="24"/>
      <c r="E2559" s="24"/>
      <c r="G2559" s="24"/>
      <c r="H2559" s="24"/>
      <c r="J2559" s="24"/>
      <c r="K2559" s="24"/>
      <c r="M2559" s="24"/>
      <c r="N2559" s="24"/>
      <c r="P2559" s="24"/>
    </row>
    <row r="2560" spans="2:16" x14ac:dyDescent="0.25">
      <c r="B2560" s="24"/>
      <c r="E2560" s="24"/>
      <c r="G2560" s="24"/>
      <c r="H2560" s="24"/>
      <c r="J2560" s="24"/>
      <c r="K2560" s="24"/>
      <c r="M2560" s="24"/>
      <c r="N2560" s="24"/>
      <c r="P2560" s="24"/>
    </row>
    <row r="2561" spans="2:16" x14ac:dyDescent="0.25">
      <c r="B2561" s="24"/>
      <c r="E2561" s="24"/>
      <c r="G2561" s="24"/>
      <c r="H2561" s="24"/>
      <c r="J2561" s="24"/>
      <c r="K2561" s="24"/>
      <c r="M2561" s="24"/>
      <c r="N2561" s="24"/>
      <c r="P2561" s="24"/>
    </row>
    <row r="2562" spans="2:16" x14ac:dyDescent="0.25">
      <c r="B2562" s="24"/>
      <c r="E2562" s="24"/>
      <c r="G2562" s="24"/>
      <c r="H2562" s="24"/>
      <c r="J2562" s="24"/>
      <c r="K2562" s="24"/>
      <c r="M2562" s="24"/>
      <c r="N2562" s="24"/>
      <c r="P2562" s="24"/>
    </row>
    <row r="2563" spans="2:16" x14ac:dyDescent="0.25">
      <c r="B2563" s="24"/>
      <c r="E2563" s="24"/>
      <c r="G2563" s="24"/>
      <c r="H2563" s="24"/>
      <c r="J2563" s="24"/>
      <c r="K2563" s="24"/>
      <c r="M2563" s="24"/>
      <c r="N2563" s="24"/>
      <c r="P2563" s="24"/>
    </row>
    <row r="2564" spans="2:16" x14ac:dyDescent="0.25">
      <c r="B2564" s="24"/>
      <c r="E2564" s="24"/>
      <c r="G2564" s="24"/>
      <c r="H2564" s="24"/>
      <c r="J2564" s="24"/>
      <c r="K2564" s="24"/>
      <c r="M2564" s="24"/>
      <c r="N2564" s="24"/>
      <c r="P2564" s="24"/>
    </row>
    <row r="2565" spans="2:16" x14ac:dyDescent="0.25">
      <c r="B2565" s="24"/>
      <c r="E2565" s="24"/>
      <c r="G2565" s="24"/>
      <c r="H2565" s="24"/>
      <c r="J2565" s="24"/>
      <c r="K2565" s="24"/>
      <c r="M2565" s="24"/>
      <c r="N2565" s="24"/>
      <c r="P2565" s="24"/>
    </row>
    <row r="2566" spans="2:16" x14ac:dyDescent="0.25">
      <c r="B2566" s="24"/>
      <c r="E2566" s="24"/>
      <c r="G2566" s="24"/>
      <c r="H2566" s="24"/>
      <c r="J2566" s="24"/>
      <c r="K2566" s="24"/>
      <c r="M2566" s="24"/>
      <c r="N2566" s="24"/>
      <c r="P2566" s="24"/>
    </row>
    <row r="2567" spans="2:16" x14ac:dyDescent="0.25">
      <c r="B2567" s="24"/>
      <c r="E2567" s="24"/>
      <c r="G2567" s="24"/>
      <c r="H2567" s="24"/>
      <c r="J2567" s="24"/>
      <c r="K2567" s="24"/>
      <c r="M2567" s="24"/>
      <c r="N2567" s="24"/>
      <c r="P2567" s="24"/>
    </row>
    <row r="2568" spans="2:16" x14ac:dyDescent="0.25">
      <c r="B2568" s="24"/>
      <c r="E2568" s="24"/>
      <c r="G2568" s="24"/>
      <c r="H2568" s="24"/>
      <c r="J2568" s="24"/>
      <c r="K2568" s="24"/>
      <c r="M2568" s="24"/>
      <c r="N2568" s="24"/>
      <c r="P2568" s="24"/>
    </row>
    <row r="2569" spans="2:16" x14ac:dyDescent="0.25">
      <c r="B2569" s="24"/>
      <c r="E2569" s="24"/>
      <c r="G2569" s="24"/>
      <c r="H2569" s="24"/>
      <c r="J2569" s="24"/>
      <c r="K2569" s="24"/>
      <c r="M2569" s="24"/>
      <c r="N2569" s="24"/>
      <c r="P2569" s="24"/>
    </row>
    <row r="2570" spans="2:16" x14ac:dyDescent="0.25">
      <c r="B2570" s="24"/>
      <c r="E2570" s="24"/>
      <c r="G2570" s="24"/>
      <c r="H2570" s="24"/>
      <c r="J2570" s="24"/>
      <c r="K2570" s="24"/>
      <c r="M2570" s="24"/>
      <c r="N2570" s="24"/>
      <c r="P2570" s="24"/>
    </row>
    <row r="2571" spans="2:16" x14ac:dyDescent="0.25">
      <c r="B2571" s="24"/>
      <c r="E2571" s="24"/>
      <c r="G2571" s="24"/>
      <c r="H2571" s="24"/>
      <c r="J2571" s="24"/>
      <c r="K2571" s="24"/>
      <c r="M2571" s="24"/>
      <c r="N2571" s="24"/>
      <c r="P2571" s="24"/>
    </row>
    <row r="2572" spans="2:16" x14ac:dyDescent="0.25">
      <c r="B2572" s="24"/>
      <c r="E2572" s="24"/>
      <c r="G2572" s="24"/>
      <c r="H2572" s="24"/>
      <c r="J2572" s="24"/>
      <c r="K2572" s="24"/>
      <c r="M2572" s="24"/>
      <c r="N2572" s="24"/>
      <c r="P2572" s="24"/>
    </row>
    <row r="2573" spans="2:16" x14ac:dyDescent="0.25">
      <c r="B2573" s="24"/>
      <c r="E2573" s="24"/>
      <c r="G2573" s="24"/>
      <c r="H2573" s="24"/>
      <c r="J2573" s="24"/>
      <c r="K2573" s="24"/>
      <c r="M2573" s="24"/>
      <c r="N2573" s="24"/>
      <c r="P2573" s="24"/>
    </row>
    <row r="2574" spans="2:16" x14ac:dyDescent="0.25">
      <c r="B2574" s="24"/>
      <c r="E2574" s="24"/>
      <c r="G2574" s="24"/>
      <c r="H2574" s="24"/>
      <c r="J2574" s="24"/>
      <c r="K2574" s="24"/>
      <c r="M2574" s="24"/>
      <c r="N2574" s="24"/>
      <c r="P2574" s="24"/>
    </row>
    <row r="2575" spans="2:16" x14ac:dyDescent="0.25">
      <c r="B2575" s="24"/>
      <c r="E2575" s="24"/>
      <c r="G2575" s="24"/>
      <c r="H2575" s="24"/>
      <c r="J2575" s="24"/>
      <c r="K2575" s="24"/>
      <c r="M2575" s="24"/>
      <c r="N2575" s="24"/>
      <c r="P2575" s="24"/>
    </row>
    <row r="2576" spans="2:16" x14ac:dyDescent="0.25">
      <c r="B2576" s="24"/>
      <c r="E2576" s="24"/>
      <c r="G2576" s="24"/>
      <c r="H2576" s="24"/>
      <c r="J2576" s="24"/>
      <c r="K2576" s="24"/>
      <c r="M2576" s="24"/>
      <c r="N2576" s="24"/>
      <c r="P2576" s="24"/>
    </row>
    <row r="2577" spans="2:16" x14ac:dyDescent="0.25">
      <c r="B2577" s="24"/>
      <c r="E2577" s="24"/>
      <c r="G2577" s="24"/>
      <c r="H2577" s="24"/>
      <c r="J2577" s="24"/>
      <c r="K2577" s="24"/>
      <c r="M2577" s="24"/>
      <c r="N2577" s="24"/>
      <c r="P2577" s="24"/>
    </row>
    <row r="2578" spans="2:16" x14ac:dyDescent="0.25">
      <c r="B2578" s="24"/>
      <c r="E2578" s="24"/>
      <c r="G2578" s="24"/>
      <c r="H2578" s="24"/>
      <c r="J2578" s="24"/>
      <c r="K2578" s="24"/>
      <c r="M2578" s="24"/>
      <c r="N2578" s="24"/>
      <c r="P2578" s="24"/>
    </row>
    <row r="2579" spans="2:16" x14ac:dyDescent="0.25">
      <c r="B2579" s="24"/>
      <c r="E2579" s="24"/>
      <c r="G2579" s="24"/>
      <c r="H2579" s="24"/>
      <c r="J2579" s="24"/>
      <c r="K2579" s="24"/>
      <c r="M2579" s="24"/>
      <c r="N2579" s="24"/>
      <c r="P2579" s="24"/>
    </row>
    <row r="2580" spans="2:16" x14ac:dyDescent="0.25">
      <c r="B2580" s="24"/>
      <c r="E2580" s="24"/>
      <c r="G2580" s="24"/>
      <c r="H2580" s="24"/>
      <c r="J2580" s="24"/>
      <c r="K2580" s="24"/>
      <c r="M2580" s="24"/>
      <c r="N2580" s="24"/>
      <c r="P2580" s="24"/>
    </row>
    <row r="2581" spans="2:16" x14ac:dyDescent="0.25">
      <c r="B2581" s="24"/>
      <c r="E2581" s="24"/>
      <c r="G2581" s="24"/>
      <c r="H2581" s="24"/>
      <c r="J2581" s="24"/>
      <c r="K2581" s="24"/>
      <c r="M2581" s="24"/>
      <c r="N2581" s="24"/>
      <c r="P2581" s="24"/>
    </row>
    <row r="2582" spans="2:16" x14ac:dyDescent="0.25">
      <c r="B2582" s="24"/>
      <c r="E2582" s="24"/>
      <c r="G2582" s="24"/>
      <c r="H2582" s="24"/>
      <c r="J2582" s="24"/>
      <c r="K2582" s="24"/>
      <c r="M2582" s="24"/>
      <c r="N2582" s="24"/>
      <c r="P2582" s="24"/>
    </row>
    <row r="2583" spans="2:16" x14ac:dyDescent="0.25">
      <c r="B2583" s="24"/>
      <c r="E2583" s="24"/>
      <c r="G2583" s="24"/>
      <c r="H2583" s="24"/>
      <c r="J2583" s="24"/>
      <c r="K2583" s="24"/>
      <c r="M2583" s="24"/>
      <c r="N2583" s="24"/>
      <c r="P2583" s="24"/>
    </row>
    <row r="2584" spans="2:16" x14ac:dyDescent="0.25">
      <c r="B2584" s="24"/>
      <c r="E2584" s="24"/>
      <c r="G2584" s="24"/>
      <c r="H2584" s="24"/>
      <c r="J2584" s="24"/>
      <c r="K2584" s="24"/>
      <c r="M2584" s="24"/>
      <c r="N2584" s="24"/>
      <c r="P2584" s="24"/>
    </row>
    <row r="2585" spans="2:16" x14ac:dyDescent="0.25">
      <c r="B2585" s="24"/>
      <c r="E2585" s="24"/>
      <c r="G2585" s="24"/>
      <c r="H2585" s="24"/>
      <c r="J2585" s="24"/>
      <c r="K2585" s="24"/>
      <c r="M2585" s="24"/>
      <c r="N2585" s="24"/>
      <c r="P2585" s="24"/>
    </row>
    <row r="2586" spans="2:16" x14ac:dyDescent="0.25">
      <c r="B2586" s="24"/>
      <c r="E2586" s="24"/>
      <c r="G2586" s="24"/>
      <c r="H2586" s="24"/>
      <c r="J2586" s="24"/>
      <c r="K2586" s="24"/>
      <c r="M2586" s="24"/>
      <c r="N2586" s="24"/>
      <c r="P2586" s="24"/>
    </row>
    <row r="2587" spans="2:16" x14ac:dyDescent="0.25">
      <c r="B2587" s="24"/>
      <c r="E2587" s="24"/>
      <c r="G2587" s="24"/>
      <c r="H2587" s="24"/>
      <c r="J2587" s="24"/>
      <c r="K2587" s="24"/>
      <c r="M2587" s="24"/>
      <c r="N2587" s="24"/>
      <c r="P2587" s="24"/>
    </row>
    <row r="2588" spans="2:16" x14ac:dyDescent="0.25">
      <c r="B2588" s="24"/>
      <c r="E2588" s="24"/>
      <c r="G2588" s="24"/>
      <c r="H2588" s="24"/>
      <c r="J2588" s="24"/>
      <c r="K2588" s="24"/>
      <c r="M2588" s="24"/>
      <c r="N2588" s="24"/>
      <c r="P2588" s="24"/>
    </row>
    <row r="2589" spans="2:16" x14ac:dyDescent="0.25">
      <c r="B2589" s="24"/>
      <c r="E2589" s="24"/>
      <c r="G2589" s="24"/>
      <c r="H2589" s="24"/>
      <c r="J2589" s="24"/>
      <c r="K2589" s="24"/>
      <c r="M2589" s="24"/>
      <c r="N2589" s="24"/>
      <c r="P2589" s="24"/>
    </row>
    <row r="2590" spans="2:16" x14ac:dyDescent="0.25">
      <c r="B2590" s="24"/>
      <c r="E2590" s="24"/>
      <c r="G2590" s="24"/>
      <c r="H2590" s="24"/>
      <c r="J2590" s="24"/>
      <c r="K2590" s="24"/>
      <c r="M2590" s="24"/>
      <c r="N2590" s="24"/>
      <c r="P2590" s="24"/>
    </row>
    <row r="2591" spans="2:16" x14ac:dyDescent="0.25">
      <c r="B2591" s="24"/>
      <c r="E2591" s="24"/>
      <c r="G2591" s="24"/>
      <c r="H2591" s="24"/>
      <c r="J2591" s="24"/>
      <c r="K2591" s="24"/>
      <c r="M2591" s="24"/>
      <c r="N2591" s="24"/>
      <c r="P2591" s="24"/>
    </row>
    <row r="2592" spans="2:16" x14ac:dyDescent="0.25">
      <c r="B2592" s="24"/>
      <c r="E2592" s="24"/>
      <c r="G2592" s="24"/>
      <c r="H2592" s="24"/>
      <c r="J2592" s="24"/>
      <c r="K2592" s="24"/>
      <c r="M2592" s="24"/>
      <c r="N2592" s="24"/>
      <c r="P2592" s="24"/>
    </row>
    <row r="2593" spans="2:16" x14ac:dyDescent="0.25">
      <c r="B2593" s="24"/>
      <c r="E2593" s="24"/>
      <c r="G2593" s="24"/>
      <c r="H2593" s="24"/>
      <c r="J2593" s="24"/>
      <c r="K2593" s="24"/>
      <c r="M2593" s="24"/>
      <c r="N2593" s="24"/>
      <c r="P2593" s="24"/>
    </row>
    <row r="2594" spans="2:16" x14ac:dyDescent="0.25">
      <c r="B2594" s="24"/>
      <c r="E2594" s="24"/>
      <c r="G2594" s="24"/>
      <c r="H2594" s="24"/>
      <c r="J2594" s="24"/>
      <c r="K2594" s="24"/>
      <c r="M2594" s="24"/>
      <c r="N2594" s="24"/>
      <c r="P2594" s="24"/>
    </row>
    <row r="2595" spans="2:16" x14ac:dyDescent="0.25">
      <c r="B2595" s="24"/>
      <c r="E2595" s="24"/>
      <c r="G2595" s="24"/>
      <c r="H2595" s="24"/>
      <c r="J2595" s="24"/>
      <c r="K2595" s="24"/>
      <c r="M2595" s="24"/>
      <c r="N2595" s="24"/>
      <c r="P2595" s="24"/>
    </row>
    <row r="2596" spans="2:16" x14ac:dyDescent="0.25">
      <c r="B2596" s="24"/>
      <c r="E2596" s="24"/>
      <c r="G2596" s="24"/>
      <c r="H2596" s="24"/>
      <c r="J2596" s="24"/>
      <c r="K2596" s="24"/>
      <c r="M2596" s="24"/>
      <c r="N2596" s="24"/>
      <c r="P2596" s="24"/>
    </row>
    <row r="2597" spans="2:16" x14ac:dyDescent="0.25">
      <c r="B2597" s="24"/>
      <c r="E2597" s="24"/>
      <c r="G2597" s="24"/>
      <c r="H2597" s="24"/>
      <c r="J2597" s="24"/>
      <c r="K2597" s="24"/>
      <c r="M2597" s="24"/>
      <c r="N2597" s="24"/>
      <c r="P2597" s="24"/>
    </row>
    <row r="2598" spans="2:16" x14ac:dyDescent="0.25">
      <c r="B2598" s="24"/>
      <c r="E2598" s="24"/>
      <c r="G2598" s="24"/>
      <c r="H2598" s="24"/>
      <c r="J2598" s="24"/>
      <c r="K2598" s="24"/>
      <c r="M2598" s="24"/>
      <c r="N2598" s="24"/>
      <c r="P2598" s="24"/>
    </row>
    <row r="2599" spans="2:16" x14ac:dyDescent="0.25">
      <c r="B2599" s="24"/>
      <c r="E2599" s="24"/>
      <c r="G2599" s="24"/>
      <c r="H2599" s="24"/>
      <c r="J2599" s="24"/>
      <c r="K2599" s="24"/>
      <c r="M2599" s="24"/>
      <c r="N2599" s="24"/>
      <c r="P2599" s="24"/>
    </row>
    <row r="2600" spans="2:16" x14ac:dyDescent="0.25">
      <c r="B2600" s="24"/>
      <c r="E2600" s="24"/>
      <c r="G2600" s="24"/>
      <c r="H2600" s="24"/>
      <c r="J2600" s="24"/>
      <c r="K2600" s="24"/>
      <c r="M2600" s="24"/>
      <c r="N2600" s="24"/>
      <c r="P2600" s="24"/>
    </row>
    <row r="2601" spans="2:16" x14ac:dyDescent="0.25">
      <c r="B2601" s="24"/>
      <c r="E2601" s="24"/>
      <c r="G2601" s="24"/>
      <c r="H2601" s="24"/>
      <c r="J2601" s="24"/>
      <c r="K2601" s="24"/>
      <c r="M2601" s="24"/>
      <c r="N2601" s="24"/>
      <c r="P2601" s="24"/>
    </row>
    <row r="2602" spans="2:16" x14ac:dyDescent="0.25">
      <c r="B2602" s="24"/>
      <c r="E2602" s="24"/>
      <c r="G2602" s="24"/>
      <c r="H2602" s="24"/>
      <c r="J2602" s="24"/>
      <c r="K2602" s="24"/>
      <c r="M2602" s="24"/>
      <c r="N2602" s="24"/>
      <c r="P2602" s="24"/>
    </row>
    <row r="2603" spans="2:16" x14ac:dyDescent="0.25">
      <c r="B2603" s="24"/>
      <c r="E2603" s="24"/>
      <c r="G2603" s="24"/>
      <c r="H2603" s="24"/>
      <c r="J2603" s="24"/>
      <c r="K2603" s="24"/>
      <c r="M2603" s="24"/>
      <c r="N2603" s="24"/>
      <c r="P2603" s="24"/>
    </row>
    <row r="2604" spans="2:16" x14ac:dyDescent="0.25">
      <c r="B2604" s="24"/>
      <c r="E2604" s="24"/>
      <c r="G2604" s="24"/>
      <c r="H2604" s="24"/>
      <c r="J2604" s="24"/>
      <c r="K2604" s="24"/>
      <c r="M2604" s="24"/>
      <c r="N2604" s="24"/>
      <c r="P2604" s="24"/>
    </row>
    <row r="2605" spans="2:16" x14ac:dyDescent="0.25">
      <c r="B2605" s="24"/>
      <c r="E2605" s="24"/>
      <c r="G2605" s="24"/>
      <c r="H2605" s="24"/>
      <c r="J2605" s="24"/>
      <c r="K2605" s="24"/>
      <c r="M2605" s="24"/>
      <c r="N2605" s="24"/>
      <c r="P2605" s="24"/>
    </row>
    <row r="2606" spans="2:16" x14ac:dyDescent="0.25">
      <c r="B2606" s="24"/>
      <c r="E2606" s="24"/>
      <c r="G2606" s="24"/>
      <c r="H2606" s="24"/>
      <c r="J2606" s="24"/>
      <c r="K2606" s="24"/>
      <c r="M2606" s="24"/>
      <c r="N2606" s="24"/>
      <c r="P2606" s="24"/>
    </row>
    <row r="2607" spans="2:16" x14ac:dyDescent="0.25">
      <c r="B2607" s="24"/>
      <c r="E2607" s="24"/>
      <c r="G2607" s="24"/>
      <c r="H2607" s="24"/>
      <c r="J2607" s="24"/>
      <c r="K2607" s="24"/>
      <c r="M2607" s="24"/>
      <c r="N2607" s="24"/>
      <c r="P2607" s="24"/>
    </row>
    <row r="2608" spans="2:16" x14ac:dyDescent="0.25">
      <c r="B2608" s="24"/>
      <c r="E2608" s="24"/>
      <c r="G2608" s="24"/>
      <c r="H2608" s="24"/>
      <c r="J2608" s="24"/>
      <c r="K2608" s="24"/>
      <c r="M2608" s="24"/>
      <c r="N2608" s="24"/>
      <c r="P2608" s="24"/>
    </row>
    <row r="2609" spans="2:16" x14ac:dyDescent="0.25">
      <c r="B2609" s="24"/>
      <c r="E2609" s="24"/>
      <c r="G2609" s="24"/>
      <c r="H2609" s="24"/>
      <c r="J2609" s="24"/>
      <c r="K2609" s="24"/>
      <c r="M2609" s="24"/>
      <c r="N2609" s="24"/>
      <c r="P2609" s="24"/>
    </row>
    <row r="2610" spans="2:16" x14ac:dyDescent="0.25">
      <c r="B2610" s="24"/>
      <c r="E2610" s="24"/>
      <c r="G2610" s="24"/>
      <c r="H2610" s="24"/>
      <c r="J2610" s="24"/>
      <c r="K2610" s="24"/>
      <c r="M2610" s="24"/>
      <c r="N2610" s="24"/>
      <c r="P2610" s="24"/>
    </row>
    <row r="2611" spans="2:16" x14ac:dyDescent="0.25">
      <c r="B2611" s="24"/>
      <c r="E2611" s="24"/>
      <c r="G2611" s="24"/>
      <c r="H2611" s="24"/>
      <c r="J2611" s="24"/>
      <c r="K2611" s="24"/>
      <c r="M2611" s="24"/>
      <c r="N2611" s="24"/>
      <c r="P2611" s="24"/>
    </row>
    <row r="2612" spans="2:16" x14ac:dyDescent="0.25">
      <c r="B2612" s="24"/>
      <c r="E2612" s="24"/>
      <c r="G2612" s="24"/>
      <c r="H2612" s="24"/>
      <c r="J2612" s="24"/>
      <c r="K2612" s="24"/>
      <c r="M2612" s="24"/>
      <c r="N2612" s="24"/>
      <c r="P2612" s="24"/>
    </row>
    <row r="2613" spans="2:16" x14ac:dyDescent="0.25">
      <c r="B2613" s="24"/>
      <c r="E2613" s="24"/>
      <c r="G2613" s="24"/>
      <c r="H2613" s="24"/>
      <c r="J2613" s="24"/>
      <c r="K2613" s="24"/>
      <c r="M2613" s="24"/>
      <c r="N2613" s="24"/>
      <c r="P2613" s="24"/>
    </row>
    <row r="2614" spans="2:16" x14ac:dyDescent="0.25">
      <c r="B2614" s="24"/>
      <c r="E2614" s="24"/>
      <c r="G2614" s="24"/>
      <c r="H2614" s="24"/>
      <c r="J2614" s="24"/>
      <c r="K2614" s="24"/>
      <c r="M2614" s="24"/>
      <c r="N2614" s="24"/>
      <c r="P2614" s="24"/>
    </row>
    <row r="2615" spans="2:16" x14ac:dyDescent="0.25">
      <c r="B2615" s="24"/>
      <c r="E2615" s="24"/>
      <c r="G2615" s="24"/>
      <c r="H2615" s="24"/>
      <c r="J2615" s="24"/>
      <c r="K2615" s="24"/>
      <c r="M2615" s="24"/>
      <c r="N2615" s="24"/>
      <c r="P2615" s="24"/>
    </row>
    <row r="2616" spans="2:16" x14ac:dyDescent="0.25">
      <c r="B2616" s="24"/>
      <c r="E2616" s="24"/>
      <c r="G2616" s="24"/>
      <c r="H2616" s="24"/>
      <c r="J2616" s="24"/>
      <c r="K2616" s="24"/>
      <c r="M2616" s="24"/>
      <c r="N2616" s="24"/>
      <c r="P2616" s="24"/>
    </row>
    <row r="2617" spans="2:16" x14ac:dyDescent="0.25">
      <c r="B2617" s="24"/>
      <c r="E2617" s="24"/>
      <c r="G2617" s="24"/>
      <c r="H2617" s="24"/>
      <c r="J2617" s="24"/>
      <c r="K2617" s="24"/>
      <c r="M2617" s="24"/>
      <c r="N2617" s="24"/>
      <c r="P2617" s="24"/>
    </row>
    <row r="2618" spans="2:16" x14ac:dyDescent="0.25">
      <c r="B2618" s="24"/>
      <c r="E2618" s="24"/>
      <c r="G2618" s="24"/>
      <c r="H2618" s="24"/>
      <c r="J2618" s="24"/>
      <c r="K2618" s="24"/>
      <c r="M2618" s="24"/>
      <c r="N2618" s="24"/>
      <c r="P2618" s="24"/>
    </row>
    <row r="2619" spans="2:16" x14ac:dyDescent="0.25">
      <c r="B2619" s="24"/>
      <c r="E2619" s="24"/>
      <c r="G2619" s="24"/>
      <c r="H2619" s="24"/>
      <c r="J2619" s="24"/>
      <c r="K2619" s="24"/>
      <c r="M2619" s="24"/>
      <c r="N2619" s="24"/>
      <c r="P2619" s="24"/>
    </row>
    <row r="2620" spans="2:16" x14ac:dyDescent="0.25">
      <c r="B2620" s="24"/>
      <c r="E2620" s="24"/>
      <c r="G2620" s="24"/>
      <c r="H2620" s="24"/>
      <c r="J2620" s="24"/>
      <c r="K2620" s="24"/>
      <c r="M2620" s="24"/>
      <c r="N2620" s="24"/>
      <c r="P2620" s="24"/>
    </row>
    <row r="2621" spans="2:16" x14ac:dyDescent="0.25">
      <c r="B2621" s="24"/>
      <c r="E2621" s="24"/>
      <c r="G2621" s="24"/>
      <c r="H2621" s="24"/>
      <c r="J2621" s="24"/>
      <c r="K2621" s="24"/>
      <c r="M2621" s="24"/>
      <c r="N2621" s="24"/>
      <c r="P2621" s="24"/>
    </row>
    <row r="2622" spans="2:16" x14ac:dyDescent="0.25">
      <c r="B2622" s="24"/>
      <c r="E2622" s="24"/>
      <c r="G2622" s="24"/>
      <c r="H2622" s="24"/>
      <c r="J2622" s="24"/>
      <c r="K2622" s="24"/>
      <c r="M2622" s="24"/>
      <c r="N2622" s="24"/>
      <c r="P2622" s="24"/>
    </row>
    <row r="2623" spans="2:16" x14ac:dyDescent="0.25">
      <c r="B2623" s="24"/>
      <c r="E2623" s="24"/>
      <c r="G2623" s="24"/>
      <c r="H2623" s="24"/>
      <c r="J2623" s="24"/>
      <c r="K2623" s="24"/>
      <c r="M2623" s="24"/>
      <c r="N2623" s="24"/>
      <c r="P2623" s="24"/>
    </row>
    <row r="2624" spans="2:16" x14ac:dyDescent="0.25">
      <c r="B2624" s="24"/>
      <c r="E2624" s="24"/>
      <c r="G2624" s="24"/>
      <c r="H2624" s="24"/>
      <c r="J2624" s="24"/>
      <c r="K2624" s="24"/>
      <c r="M2624" s="24"/>
      <c r="N2624" s="24"/>
      <c r="P2624" s="24"/>
    </row>
    <row r="2625" spans="2:16" x14ac:dyDescent="0.25">
      <c r="B2625" s="24"/>
      <c r="E2625" s="24"/>
      <c r="G2625" s="24"/>
      <c r="H2625" s="24"/>
      <c r="J2625" s="24"/>
      <c r="K2625" s="24"/>
      <c r="M2625" s="24"/>
      <c r="N2625" s="24"/>
      <c r="P2625" s="24"/>
    </row>
    <row r="2626" spans="2:16" x14ac:dyDescent="0.25">
      <c r="B2626" s="24"/>
      <c r="E2626" s="24"/>
      <c r="G2626" s="24"/>
      <c r="H2626" s="24"/>
      <c r="J2626" s="24"/>
      <c r="K2626" s="24"/>
      <c r="M2626" s="24"/>
      <c r="N2626" s="24"/>
      <c r="P2626" s="24"/>
    </row>
    <row r="2627" spans="2:16" x14ac:dyDescent="0.25">
      <c r="B2627" s="24"/>
      <c r="E2627" s="24"/>
      <c r="G2627" s="24"/>
      <c r="H2627" s="24"/>
      <c r="J2627" s="24"/>
      <c r="K2627" s="24"/>
      <c r="M2627" s="24"/>
      <c r="N2627" s="24"/>
      <c r="P2627" s="24"/>
    </row>
    <row r="2628" spans="2:16" x14ac:dyDescent="0.25">
      <c r="B2628" s="24"/>
      <c r="E2628" s="24"/>
      <c r="G2628" s="24"/>
      <c r="H2628" s="24"/>
      <c r="J2628" s="24"/>
      <c r="K2628" s="24"/>
      <c r="M2628" s="24"/>
      <c r="N2628" s="24"/>
      <c r="P2628" s="24"/>
    </row>
    <row r="2629" spans="2:16" x14ac:dyDescent="0.25">
      <c r="B2629" s="24"/>
      <c r="E2629" s="24"/>
      <c r="G2629" s="24"/>
      <c r="H2629" s="24"/>
      <c r="J2629" s="24"/>
      <c r="K2629" s="24"/>
      <c r="M2629" s="24"/>
      <c r="N2629" s="24"/>
      <c r="P2629" s="24"/>
    </row>
    <row r="2630" spans="2:16" x14ac:dyDescent="0.25">
      <c r="B2630" s="24"/>
      <c r="E2630" s="24"/>
      <c r="G2630" s="24"/>
      <c r="H2630" s="24"/>
      <c r="J2630" s="24"/>
      <c r="K2630" s="24"/>
      <c r="M2630" s="24"/>
      <c r="N2630" s="24"/>
      <c r="P2630" s="24"/>
    </row>
    <row r="2631" spans="2:16" x14ac:dyDescent="0.25">
      <c r="B2631" s="24"/>
      <c r="E2631" s="24"/>
      <c r="G2631" s="24"/>
      <c r="H2631" s="24"/>
      <c r="J2631" s="24"/>
      <c r="K2631" s="24"/>
      <c r="M2631" s="24"/>
      <c r="N2631" s="24"/>
      <c r="P2631" s="24"/>
    </row>
    <row r="2632" spans="2:16" x14ac:dyDescent="0.25">
      <c r="B2632" s="24"/>
      <c r="E2632" s="24"/>
      <c r="G2632" s="24"/>
      <c r="H2632" s="24"/>
      <c r="J2632" s="24"/>
      <c r="K2632" s="24"/>
      <c r="M2632" s="24"/>
      <c r="N2632" s="24"/>
      <c r="P2632" s="24"/>
    </row>
    <row r="2633" spans="2:16" x14ac:dyDescent="0.25">
      <c r="B2633" s="24"/>
      <c r="E2633" s="24"/>
      <c r="G2633" s="24"/>
      <c r="H2633" s="24"/>
      <c r="J2633" s="24"/>
      <c r="K2633" s="24"/>
      <c r="M2633" s="24"/>
      <c r="N2633" s="24"/>
      <c r="P2633" s="24"/>
    </row>
    <row r="2634" spans="2:16" x14ac:dyDescent="0.25">
      <c r="B2634" s="24"/>
      <c r="E2634" s="24"/>
      <c r="G2634" s="24"/>
      <c r="H2634" s="24"/>
      <c r="J2634" s="24"/>
      <c r="K2634" s="24"/>
      <c r="M2634" s="24"/>
      <c r="N2634" s="24"/>
      <c r="P2634" s="24"/>
    </row>
    <row r="2635" spans="2:16" x14ac:dyDescent="0.25">
      <c r="B2635" s="24"/>
      <c r="E2635" s="24"/>
      <c r="G2635" s="24"/>
      <c r="H2635" s="24"/>
      <c r="J2635" s="24"/>
      <c r="K2635" s="24"/>
      <c r="M2635" s="24"/>
      <c r="N2635" s="24"/>
      <c r="P2635" s="24"/>
    </row>
    <row r="2636" spans="2:16" x14ac:dyDescent="0.25">
      <c r="B2636" s="24"/>
      <c r="E2636" s="24"/>
      <c r="G2636" s="24"/>
      <c r="H2636" s="24"/>
      <c r="J2636" s="24"/>
      <c r="K2636" s="24"/>
      <c r="M2636" s="24"/>
      <c r="N2636" s="24"/>
      <c r="P2636" s="24"/>
    </row>
    <row r="2637" spans="2:16" x14ac:dyDescent="0.25">
      <c r="B2637" s="24"/>
      <c r="E2637" s="24"/>
      <c r="G2637" s="24"/>
      <c r="H2637" s="24"/>
      <c r="J2637" s="24"/>
      <c r="K2637" s="24"/>
      <c r="M2637" s="24"/>
      <c r="N2637" s="24"/>
      <c r="P2637" s="24"/>
    </row>
    <row r="2638" spans="2:16" x14ac:dyDescent="0.25">
      <c r="B2638" s="24"/>
      <c r="E2638" s="24"/>
      <c r="G2638" s="24"/>
      <c r="H2638" s="24"/>
      <c r="J2638" s="24"/>
      <c r="K2638" s="24"/>
      <c r="M2638" s="24"/>
      <c r="N2638" s="24"/>
      <c r="P2638" s="24"/>
    </row>
    <row r="2639" spans="2:16" x14ac:dyDescent="0.25">
      <c r="B2639" s="24"/>
      <c r="E2639" s="24"/>
      <c r="G2639" s="24"/>
      <c r="H2639" s="24"/>
      <c r="J2639" s="24"/>
      <c r="K2639" s="24"/>
      <c r="M2639" s="24"/>
      <c r="N2639" s="24"/>
      <c r="P2639" s="24"/>
    </row>
    <row r="2640" spans="2:16" x14ac:dyDescent="0.25">
      <c r="B2640" s="24"/>
      <c r="E2640" s="24"/>
      <c r="G2640" s="24"/>
      <c r="H2640" s="24"/>
      <c r="J2640" s="24"/>
      <c r="K2640" s="24"/>
      <c r="M2640" s="24"/>
      <c r="N2640" s="24"/>
      <c r="P2640" s="24"/>
    </row>
    <row r="2641" spans="2:16" x14ac:dyDescent="0.25">
      <c r="B2641" s="24"/>
      <c r="E2641" s="24"/>
      <c r="G2641" s="24"/>
      <c r="H2641" s="24"/>
      <c r="J2641" s="24"/>
      <c r="K2641" s="24"/>
      <c r="M2641" s="24"/>
      <c r="N2641" s="24"/>
      <c r="P2641" s="24"/>
    </row>
    <row r="2642" spans="2:16" x14ac:dyDescent="0.25">
      <c r="B2642" s="24"/>
      <c r="E2642" s="24"/>
      <c r="G2642" s="24"/>
      <c r="H2642" s="24"/>
      <c r="J2642" s="24"/>
      <c r="K2642" s="24"/>
      <c r="M2642" s="24"/>
      <c r="N2642" s="24"/>
      <c r="P2642" s="24"/>
    </row>
    <row r="2643" spans="2:16" x14ac:dyDescent="0.25">
      <c r="B2643" s="24"/>
      <c r="E2643" s="24"/>
      <c r="G2643" s="24"/>
      <c r="H2643" s="24"/>
      <c r="J2643" s="24"/>
      <c r="K2643" s="24"/>
      <c r="M2643" s="24"/>
      <c r="N2643" s="24"/>
      <c r="P2643" s="24"/>
    </row>
    <row r="2644" spans="2:16" x14ac:dyDescent="0.25">
      <c r="B2644" s="24"/>
      <c r="E2644" s="24"/>
      <c r="G2644" s="24"/>
      <c r="H2644" s="24"/>
      <c r="J2644" s="24"/>
      <c r="K2644" s="24"/>
      <c r="M2644" s="24"/>
      <c r="N2644" s="24"/>
      <c r="P2644" s="24"/>
    </row>
    <row r="2645" spans="2:16" x14ac:dyDescent="0.25">
      <c r="B2645" s="24"/>
      <c r="E2645" s="24"/>
      <c r="G2645" s="24"/>
      <c r="H2645" s="24"/>
      <c r="J2645" s="24"/>
      <c r="K2645" s="24"/>
      <c r="M2645" s="24"/>
      <c r="N2645" s="24"/>
      <c r="P2645" s="24"/>
    </row>
    <row r="2646" spans="2:16" x14ac:dyDescent="0.25">
      <c r="B2646" s="24"/>
      <c r="E2646" s="24"/>
      <c r="G2646" s="24"/>
      <c r="H2646" s="24"/>
      <c r="J2646" s="24"/>
      <c r="K2646" s="24"/>
      <c r="M2646" s="24"/>
      <c r="N2646" s="24"/>
      <c r="P2646" s="24"/>
    </row>
    <row r="2647" spans="2:16" x14ac:dyDescent="0.25">
      <c r="B2647" s="24"/>
      <c r="E2647" s="24"/>
      <c r="G2647" s="24"/>
      <c r="H2647" s="24"/>
      <c r="J2647" s="24"/>
      <c r="K2647" s="24"/>
      <c r="M2647" s="24"/>
      <c r="N2647" s="24"/>
      <c r="P2647" s="24"/>
    </row>
    <row r="2648" spans="2:16" x14ac:dyDescent="0.25">
      <c r="B2648" s="24"/>
      <c r="E2648" s="24"/>
      <c r="G2648" s="24"/>
      <c r="H2648" s="24"/>
      <c r="J2648" s="24"/>
      <c r="K2648" s="24"/>
      <c r="M2648" s="24"/>
      <c r="N2648" s="24"/>
      <c r="P2648" s="24"/>
    </row>
    <row r="2649" spans="2:16" x14ac:dyDescent="0.25">
      <c r="B2649" s="24"/>
      <c r="E2649" s="24"/>
      <c r="G2649" s="24"/>
      <c r="H2649" s="24"/>
      <c r="J2649" s="24"/>
      <c r="K2649" s="24"/>
      <c r="M2649" s="24"/>
      <c r="N2649" s="24"/>
      <c r="P2649" s="24"/>
    </row>
    <row r="2650" spans="2:16" x14ac:dyDescent="0.25">
      <c r="B2650" s="24"/>
      <c r="E2650" s="24"/>
      <c r="G2650" s="24"/>
      <c r="H2650" s="24"/>
      <c r="J2650" s="24"/>
      <c r="K2650" s="24"/>
      <c r="M2650" s="24"/>
      <c r="N2650" s="24"/>
      <c r="P2650" s="24"/>
    </row>
    <row r="2651" spans="2:16" x14ac:dyDescent="0.25">
      <c r="B2651" s="24"/>
      <c r="E2651" s="24"/>
      <c r="G2651" s="24"/>
      <c r="H2651" s="24"/>
      <c r="J2651" s="24"/>
      <c r="K2651" s="24"/>
      <c r="M2651" s="24"/>
      <c r="N2651" s="24"/>
      <c r="P2651" s="24"/>
    </row>
    <row r="2652" spans="2:16" x14ac:dyDescent="0.25">
      <c r="B2652" s="24"/>
      <c r="E2652" s="24"/>
      <c r="G2652" s="24"/>
      <c r="H2652" s="24"/>
      <c r="J2652" s="24"/>
      <c r="K2652" s="24"/>
      <c r="M2652" s="24"/>
      <c r="N2652" s="24"/>
      <c r="P2652" s="24"/>
    </row>
    <row r="2653" spans="2:16" x14ac:dyDescent="0.25">
      <c r="B2653" s="24"/>
      <c r="E2653" s="24"/>
      <c r="G2653" s="24"/>
      <c r="H2653" s="24"/>
      <c r="J2653" s="24"/>
      <c r="K2653" s="24"/>
      <c r="M2653" s="24"/>
      <c r="N2653" s="24"/>
      <c r="P2653" s="24"/>
    </row>
    <row r="2654" spans="2:16" x14ac:dyDescent="0.25">
      <c r="B2654" s="24"/>
      <c r="E2654" s="24"/>
      <c r="G2654" s="24"/>
      <c r="H2654" s="24"/>
      <c r="J2654" s="24"/>
      <c r="K2654" s="24"/>
      <c r="M2654" s="24"/>
      <c r="N2654" s="24"/>
      <c r="P2654" s="24"/>
    </row>
    <row r="2655" spans="2:16" x14ac:dyDescent="0.25">
      <c r="B2655" s="24"/>
      <c r="E2655" s="24"/>
      <c r="G2655" s="24"/>
      <c r="H2655" s="24"/>
      <c r="J2655" s="24"/>
      <c r="K2655" s="24"/>
      <c r="M2655" s="24"/>
      <c r="N2655" s="24"/>
      <c r="P2655" s="24"/>
    </row>
    <row r="2656" spans="2:16" x14ac:dyDescent="0.25">
      <c r="B2656" s="24"/>
      <c r="E2656" s="24"/>
      <c r="G2656" s="24"/>
      <c r="H2656" s="24"/>
      <c r="J2656" s="24"/>
      <c r="K2656" s="24"/>
      <c r="M2656" s="24"/>
      <c r="N2656" s="24"/>
      <c r="P2656" s="24"/>
    </row>
    <row r="2657" spans="2:16" x14ac:dyDescent="0.25">
      <c r="B2657" s="24"/>
      <c r="E2657" s="24"/>
      <c r="G2657" s="24"/>
      <c r="H2657" s="24"/>
      <c r="J2657" s="24"/>
      <c r="K2657" s="24"/>
      <c r="M2657" s="24"/>
      <c r="N2657" s="24"/>
      <c r="P2657" s="24"/>
    </row>
    <row r="2658" spans="2:16" x14ac:dyDescent="0.25">
      <c r="B2658" s="24"/>
      <c r="E2658" s="24"/>
      <c r="G2658" s="24"/>
      <c r="H2658" s="24"/>
      <c r="J2658" s="24"/>
      <c r="K2658" s="24"/>
      <c r="M2658" s="24"/>
      <c r="N2658" s="24"/>
      <c r="P2658" s="24"/>
    </row>
    <row r="2659" spans="2:16" x14ac:dyDescent="0.25">
      <c r="B2659" s="24"/>
      <c r="E2659" s="24"/>
      <c r="G2659" s="24"/>
      <c r="H2659" s="24"/>
      <c r="J2659" s="24"/>
      <c r="K2659" s="24"/>
      <c r="M2659" s="24"/>
      <c r="N2659" s="24"/>
      <c r="P2659" s="24"/>
    </row>
    <row r="2660" spans="2:16" x14ac:dyDescent="0.25">
      <c r="B2660" s="24"/>
      <c r="E2660" s="24"/>
      <c r="G2660" s="24"/>
      <c r="H2660" s="24"/>
      <c r="J2660" s="24"/>
      <c r="K2660" s="24"/>
      <c r="M2660" s="24"/>
      <c r="N2660" s="24"/>
      <c r="P2660" s="24"/>
    </row>
    <row r="2661" spans="2:16" x14ac:dyDescent="0.25">
      <c r="B2661" s="24"/>
      <c r="E2661" s="24"/>
      <c r="G2661" s="24"/>
      <c r="H2661" s="24"/>
      <c r="J2661" s="24"/>
      <c r="K2661" s="24"/>
      <c r="M2661" s="24"/>
      <c r="N2661" s="24"/>
      <c r="P2661" s="24"/>
    </row>
    <row r="2662" spans="2:16" x14ac:dyDescent="0.25">
      <c r="B2662" s="24"/>
      <c r="E2662" s="24"/>
      <c r="G2662" s="24"/>
      <c r="H2662" s="24"/>
      <c r="J2662" s="24"/>
      <c r="K2662" s="24"/>
      <c r="M2662" s="24"/>
      <c r="N2662" s="24"/>
      <c r="P2662" s="24"/>
    </row>
    <row r="2663" spans="2:16" x14ac:dyDescent="0.25">
      <c r="B2663" s="24"/>
      <c r="E2663" s="24"/>
      <c r="G2663" s="24"/>
      <c r="H2663" s="24"/>
      <c r="J2663" s="24"/>
      <c r="K2663" s="24"/>
      <c r="M2663" s="24"/>
      <c r="N2663" s="24"/>
      <c r="P2663" s="24"/>
    </row>
    <row r="2664" spans="2:16" x14ac:dyDescent="0.25">
      <c r="B2664" s="24"/>
      <c r="E2664" s="24"/>
      <c r="G2664" s="24"/>
      <c r="H2664" s="24"/>
      <c r="J2664" s="24"/>
      <c r="K2664" s="24"/>
      <c r="M2664" s="24"/>
      <c r="N2664" s="24"/>
      <c r="P2664" s="24"/>
    </row>
    <row r="2665" spans="2:16" x14ac:dyDescent="0.25">
      <c r="B2665" s="24"/>
      <c r="E2665" s="24"/>
      <c r="G2665" s="24"/>
      <c r="H2665" s="24"/>
      <c r="J2665" s="24"/>
      <c r="K2665" s="24"/>
      <c r="M2665" s="24"/>
      <c r="N2665" s="24"/>
      <c r="P2665" s="24"/>
    </row>
    <row r="2666" spans="2:16" x14ac:dyDescent="0.25">
      <c r="B2666" s="24"/>
      <c r="E2666" s="24"/>
      <c r="G2666" s="24"/>
      <c r="H2666" s="24"/>
      <c r="J2666" s="24"/>
      <c r="K2666" s="24"/>
      <c r="M2666" s="24"/>
      <c r="N2666" s="24"/>
      <c r="P2666" s="24"/>
    </row>
    <row r="2667" spans="2:16" x14ac:dyDescent="0.25">
      <c r="B2667" s="24"/>
      <c r="E2667" s="24"/>
      <c r="G2667" s="24"/>
      <c r="H2667" s="24"/>
      <c r="J2667" s="24"/>
      <c r="K2667" s="24"/>
      <c r="M2667" s="24"/>
      <c r="N2667" s="24"/>
      <c r="P2667" s="24"/>
    </row>
    <row r="2668" spans="2:16" x14ac:dyDescent="0.25">
      <c r="B2668" s="24"/>
      <c r="E2668" s="24"/>
      <c r="G2668" s="24"/>
      <c r="H2668" s="24"/>
      <c r="J2668" s="24"/>
      <c r="K2668" s="24"/>
      <c r="M2668" s="24"/>
      <c r="N2668" s="24"/>
      <c r="P2668" s="24"/>
    </row>
    <row r="2669" spans="2:16" x14ac:dyDescent="0.25">
      <c r="B2669" s="24"/>
      <c r="E2669" s="24"/>
      <c r="G2669" s="24"/>
      <c r="H2669" s="24"/>
      <c r="J2669" s="24"/>
      <c r="K2669" s="24"/>
      <c r="M2669" s="24"/>
      <c r="N2669" s="24"/>
      <c r="P2669" s="24"/>
    </row>
    <row r="2670" spans="2:16" x14ac:dyDescent="0.25">
      <c r="B2670" s="24"/>
      <c r="E2670" s="24"/>
      <c r="G2670" s="24"/>
      <c r="H2670" s="24"/>
      <c r="J2670" s="24"/>
      <c r="K2670" s="24"/>
      <c r="M2670" s="24"/>
      <c r="N2670" s="24"/>
      <c r="P2670" s="24"/>
    </row>
    <row r="2671" spans="2:16" x14ac:dyDescent="0.25">
      <c r="B2671" s="24"/>
      <c r="E2671" s="24"/>
      <c r="G2671" s="24"/>
      <c r="H2671" s="24"/>
      <c r="J2671" s="24"/>
      <c r="K2671" s="24"/>
      <c r="M2671" s="24"/>
      <c r="N2671" s="24"/>
      <c r="P2671" s="24"/>
    </row>
    <row r="2672" spans="2:16" x14ac:dyDescent="0.25">
      <c r="B2672" s="24"/>
      <c r="E2672" s="24"/>
      <c r="G2672" s="24"/>
      <c r="H2672" s="24"/>
      <c r="J2672" s="24"/>
      <c r="K2672" s="24"/>
      <c r="M2672" s="24"/>
      <c r="N2672" s="24"/>
      <c r="P2672" s="24"/>
    </row>
    <row r="2673" spans="2:16" x14ac:dyDescent="0.25">
      <c r="B2673" s="24"/>
      <c r="E2673" s="24"/>
      <c r="G2673" s="24"/>
      <c r="H2673" s="24"/>
      <c r="J2673" s="24"/>
      <c r="K2673" s="24"/>
      <c r="M2673" s="24"/>
      <c r="N2673" s="24"/>
      <c r="P2673" s="24"/>
    </row>
    <row r="2674" spans="2:16" x14ac:dyDescent="0.25">
      <c r="B2674" s="24"/>
      <c r="E2674" s="24"/>
      <c r="G2674" s="24"/>
      <c r="H2674" s="24"/>
      <c r="J2674" s="24"/>
      <c r="K2674" s="24"/>
      <c r="M2674" s="24"/>
      <c r="N2674" s="24"/>
      <c r="P2674" s="24"/>
    </row>
    <row r="2675" spans="2:16" x14ac:dyDescent="0.25">
      <c r="B2675" s="24"/>
      <c r="E2675" s="24"/>
      <c r="G2675" s="24"/>
      <c r="H2675" s="24"/>
      <c r="J2675" s="24"/>
      <c r="K2675" s="24"/>
      <c r="M2675" s="24"/>
      <c r="N2675" s="24"/>
      <c r="P2675" s="24"/>
    </row>
    <row r="2676" spans="2:16" x14ac:dyDescent="0.25">
      <c r="B2676" s="24"/>
      <c r="E2676" s="24"/>
      <c r="G2676" s="24"/>
      <c r="H2676" s="24"/>
      <c r="J2676" s="24"/>
      <c r="K2676" s="24"/>
      <c r="M2676" s="24"/>
      <c r="N2676" s="24"/>
      <c r="P2676" s="24"/>
    </row>
    <row r="2677" spans="2:16" x14ac:dyDescent="0.25">
      <c r="B2677" s="24"/>
      <c r="E2677" s="24"/>
      <c r="G2677" s="24"/>
      <c r="H2677" s="24"/>
      <c r="J2677" s="24"/>
      <c r="K2677" s="24"/>
      <c r="M2677" s="24"/>
      <c r="N2677" s="24"/>
      <c r="P2677" s="24"/>
    </row>
    <row r="2678" spans="2:16" x14ac:dyDescent="0.25">
      <c r="B2678" s="24"/>
      <c r="E2678" s="24"/>
      <c r="G2678" s="24"/>
      <c r="H2678" s="24"/>
      <c r="J2678" s="24"/>
      <c r="K2678" s="24"/>
      <c r="M2678" s="24"/>
      <c r="N2678" s="24"/>
      <c r="P2678" s="24"/>
    </row>
    <row r="2679" spans="2:16" x14ac:dyDescent="0.25">
      <c r="B2679" s="24"/>
      <c r="E2679" s="24"/>
      <c r="G2679" s="24"/>
      <c r="H2679" s="24"/>
      <c r="J2679" s="24"/>
      <c r="K2679" s="24"/>
      <c r="M2679" s="24"/>
      <c r="N2679" s="24"/>
      <c r="P2679" s="24"/>
    </row>
    <row r="2680" spans="2:16" x14ac:dyDescent="0.25">
      <c r="B2680" s="24"/>
      <c r="E2680" s="24"/>
      <c r="G2680" s="24"/>
      <c r="H2680" s="24"/>
      <c r="J2680" s="24"/>
      <c r="K2680" s="24"/>
      <c r="M2680" s="24"/>
      <c r="N2680" s="24"/>
      <c r="P2680" s="24"/>
    </row>
    <row r="2681" spans="2:16" x14ac:dyDescent="0.25">
      <c r="B2681" s="24"/>
      <c r="E2681" s="24"/>
      <c r="G2681" s="24"/>
      <c r="H2681" s="24"/>
      <c r="J2681" s="24"/>
      <c r="K2681" s="24"/>
      <c r="M2681" s="24"/>
      <c r="N2681" s="24"/>
      <c r="P2681" s="24"/>
    </row>
    <row r="2682" spans="2:16" x14ac:dyDescent="0.25">
      <c r="B2682" s="24"/>
      <c r="E2682" s="24"/>
      <c r="G2682" s="24"/>
      <c r="H2682" s="24"/>
      <c r="J2682" s="24"/>
      <c r="K2682" s="24"/>
      <c r="M2682" s="24"/>
      <c r="N2682" s="24"/>
      <c r="P2682" s="24"/>
    </row>
    <row r="2683" spans="2:16" x14ac:dyDescent="0.25">
      <c r="B2683" s="24"/>
      <c r="E2683" s="24"/>
      <c r="G2683" s="24"/>
      <c r="H2683" s="24"/>
      <c r="J2683" s="24"/>
      <c r="K2683" s="24"/>
      <c r="M2683" s="24"/>
      <c r="N2683" s="24"/>
      <c r="P2683" s="24"/>
    </row>
    <row r="2684" spans="2:16" x14ac:dyDescent="0.25">
      <c r="B2684" s="24"/>
      <c r="E2684" s="24"/>
      <c r="G2684" s="24"/>
      <c r="H2684" s="24"/>
      <c r="J2684" s="24"/>
      <c r="K2684" s="24"/>
      <c r="M2684" s="24"/>
      <c r="N2684" s="24"/>
      <c r="P2684" s="24"/>
    </row>
    <row r="2685" spans="2:16" x14ac:dyDescent="0.25">
      <c r="B2685" s="24"/>
      <c r="E2685" s="24"/>
      <c r="G2685" s="24"/>
      <c r="H2685" s="24"/>
      <c r="J2685" s="24"/>
      <c r="K2685" s="24"/>
      <c r="M2685" s="24"/>
      <c r="N2685" s="24"/>
      <c r="P2685" s="24"/>
    </row>
    <row r="2686" spans="2:16" x14ac:dyDescent="0.25">
      <c r="B2686" s="24"/>
      <c r="E2686" s="24"/>
      <c r="G2686" s="24"/>
      <c r="H2686" s="24"/>
      <c r="J2686" s="24"/>
      <c r="K2686" s="24"/>
      <c r="M2686" s="24"/>
      <c r="N2686" s="24"/>
      <c r="P2686" s="24"/>
    </row>
    <row r="2687" spans="2:16" x14ac:dyDescent="0.25">
      <c r="B2687" s="24"/>
      <c r="E2687" s="24"/>
      <c r="G2687" s="24"/>
      <c r="H2687" s="24"/>
      <c r="J2687" s="24"/>
      <c r="K2687" s="24"/>
      <c r="M2687" s="24"/>
      <c r="N2687" s="24"/>
      <c r="P2687" s="24"/>
    </row>
    <row r="2688" spans="2:16" x14ac:dyDescent="0.25">
      <c r="B2688" s="24"/>
      <c r="E2688" s="24"/>
      <c r="G2688" s="24"/>
      <c r="H2688" s="24"/>
      <c r="J2688" s="24"/>
      <c r="K2688" s="24"/>
      <c r="M2688" s="24"/>
      <c r="N2688" s="24"/>
      <c r="P2688" s="24"/>
    </row>
    <row r="2689" spans="2:16" x14ac:dyDescent="0.25">
      <c r="B2689" s="24"/>
      <c r="E2689" s="24"/>
      <c r="G2689" s="24"/>
      <c r="H2689" s="24"/>
      <c r="J2689" s="24"/>
      <c r="K2689" s="24"/>
      <c r="M2689" s="24"/>
      <c r="N2689" s="24"/>
      <c r="P2689" s="24"/>
    </row>
    <row r="2690" spans="2:16" x14ac:dyDescent="0.25">
      <c r="B2690" s="24"/>
      <c r="E2690" s="24"/>
      <c r="G2690" s="24"/>
      <c r="H2690" s="24"/>
      <c r="J2690" s="24"/>
      <c r="K2690" s="24"/>
      <c r="M2690" s="24"/>
      <c r="N2690" s="24"/>
      <c r="P2690" s="24"/>
    </row>
    <row r="2691" spans="2:16" x14ac:dyDescent="0.25">
      <c r="B2691" s="24"/>
      <c r="E2691" s="24"/>
      <c r="G2691" s="24"/>
      <c r="H2691" s="24"/>
      <c r="J2691" s="24"/>
      <c r="K2691" s="24"/>
      <c r="M2691" s="24"/>
      <c r="N2691" s="24"/>
      <c r="P2691" s="24"/>
    </row>
    <row r="2692" spans="2:16" x14ac:dyDescent="0.25">
      <c r="B2692" s="24"/>
      <c r="E2692" s="24"/>
      <c r="G2692" s="24"/>
      <c r="H2692" s="24"/>
      <c r="J2692" s="24"/>
      <c r="K2692" s="24"/>
      <c r="M2692" s="24"/>
      <c r="N2692" s="24"/>
      <c r="P2692" s="24"/>
    </row>
    <row r="2693" spans="2:16" x14ac:dyDescent="0.25">
      <c r="B2693" s="24"/>
      <c r="E2693" s="24"/>
      <c r="G2693" s="24"/>
      <c r="H2693" s="24"/>
      <c r="J2693" s="24"/>
      <c r="K2693" s="24"/>
      <c r="M2693" s="24"/>
      <c r="N2693" s="24"/>
      <c r="P2693" s="24"/>
    </row>
    <row r="2694" spans="2:16" x14ac:dyDescent="0.25">
      <c r="B2694" s="24"/>
      <c r="E2694" s="24"/>
      <c r="G2694" s="24"/>
      <c r="H2694" s="24"/>
      <c r="J2694" s="24"/>
      <c r="K2694" s="24"/>
      <c r="M2694" s="24"/>
      <c r="N2694" s="24"/>
      <c r="P2694" s="24"/>
    </row>
    <row r="2695" spans="2:16" x14ac:dyDescent="0.25">
      <c r="B2695" s="24"/>
      <c r="E2695" s="24"/>
      <c r="G2695" s="24"/>
      <c r="H2695" s="24"/>
      <c r="J2695" s="24"/>
      <c r="K2695" s="24"/>
      <c r="M2695" s="24"/>
      <c r="N2695" s="24"/>
      <c r="P2695" s="24"/>
    </row>
    <row r="2696" spans="2:16" x14ac:dyDescent="0.25">
      <c r="B2696" s="24"/>
      <c r="E2696" s="24"/>
      <c r="G2696" s="24"/>
      <c r="H2696" s="24"/>
      <c r="J2696" s="24"/>
      <c r="K2696" s="24"/>
      <c r="M2696" s="24"/>
      <c r="N2696" s="24"/>
      <c r="P2696" s="24"/>
    </row>
    <row r="2697" spans="2:16" x14ac:dyDescent="0.25">
      <c r="B2697" s="24"/>
      <c r="E2697" s="24"/>
      <c r="G2697" s="24"/>
      <c r="H2697" s="24"/>
      <c r="J2697" s="24"/>
      <c r="K2697" s="24"/>
      <c r="M2697" s="24"/>
      <c r="N2697" s="24"/>
      <c r="P2697" s="24"/>
    </row>
    <row r="2698" spans="2:16" x14ac:dyDescent="0.25">
      <c r="B2698" s="24"/>
      <c r="E2698" s="24"/>
      <c r="G2698" s="24"/>
      <c r="H2698" s="24"/>
      <c r="J2698" s="24"/>
      <c r="K2698" s="24"/>
      <c r="M2698" s="24"/>
      <c r="N2698" s="24"/>
      <c r="P2698" s="24"/>
    </row>
    <row r="2699" spans="2:16" x14ac:dyDescent="0.25">
      <c r="B2699" s="24"/>
      <c r="E2699" s="24"/>
      <c r="G2699" s="24"/>
      <c r="H2699" s="24"/>
      <c r="J2699" s="24"/>
      <c r="K2699" s="24"/>
      <c r="M2699" s="24"/>
      <c r="N2699" s="24"/>
      <c r="P2699" s="24"/>
    </row>
    <row r="2700" spans="2:16" x14ac:dyDescent="0.25">
      <c r="B2700" s="24"/>
      <c r="E2700" s="24"/>
      <c r="G2700" s="24"/>
      <c r="H2700" s="24"/>
      <c r="J2700" s="24"/>
      <c r="K2700" s="24"/>
      <c r="M2700" s="24"/>
      <c r="N2700" s="24"/>
      <c r="P2700" s="24"/>
    </row>
    <row r="2701" spans="2:16" x14ac:dyDescent="0.25">
      <c r="B2701" s="24"/>
      <c r="E2701" s="24"/>
      <c r="G2701" s="24"/>
      <c r="H2701" s="24"/>
      <c r="J2701" s="24"/>
      <c r="K2701" s="24"/>
      <c r="M2701" s="24"/>
      <c r="N2701" s="24"/>
      <c r="P2701" s="24"/>
    </row>
    <row r="2702" spans="2:16" x14ac:dyDescent="0.25">
      <c r="B2702" s="24"/>
      <c r="E2702" s="24"/>
      <c r="G2702" s="24"/>
      <c r="H2702" s="24"/>
      <c r="J2702" s="24"/>
      <c r="K2702" s="24"/>
      <c r="M2702" s="24"/>
      <c r="N2702" s="24"/>
      <c r="P2702" s="24"/>
    </row>
    <row r="2703" spans="2:16" x14ac:dyDescent="0.25">
      <c r="B2703" s="24"/>
      <c r="E2703" s="24"/>
      <c r="G2703" s="24"/>
      <c r="H2703" s="24"/>
      <c r="J2703" s="24"/>
      <c r="K2703" s="24"/>
      <c r="M2703" s="24"/>
      <c r="N2703" s="24"/>
      <c r="P2703" s="24"/>
    </row>
    <row r="2704" spans="2:16" x14ac:dyDescent="0.25">
      <c r="B2704" s="24"/>
      <c r="E2704" s="24"/>
      <c r="G2704" s="24"/>
      <c r="H2704" s="24"/>
      <c r="J2704" s="24"/>
      <c r="K2704" s="24"/>
      <c r="M2704" s="24"/>
      <c r="N2704" s="24"/>
      <c r="P2704" s="24"/>
    </row>
    <row r="2705" spans="2:16" x14ac:dyDescent="0.25">
      <c r="B2705" s="24"/>
      <c r="E2705" s="24"/>
      <c r="G2705" s="24"/>
      <c r="H2705" s="24"/>
      <c r="J2705" s="24"/>
      <c r="K2705" s="24"/>
      <c r="M2705" s="24"/>
      <c r="N2705" s="24"/>
      <c r="P2705" s="24"/>
    </row>
    <row r="2706" spans="2:16" x14ac:dyDescent="0.25">
      <c r="B2706" s="24"/>
      <c r="E2706" s="24"/>
      <c r="G2706" s="24"/>
      <c r="H2706" s="24"/>
      <c r="J2706" s="24"/>
      <c r="K2706" s="24"/>
      <c r="M2706" s="24"/>
      <c r="N2706" s="24"/>
      <c r="P2706" s="24"/>
    </row>
    <row r="2707" spans="2:16" x14ac:dyDescent="0.25">
      <c r="B2707" s="24"/>
      <c r="E2707" s="24"/>
      <c r="G2707" s="24"/>
      <c r="H2707" s="24"/>
      <c r="J2707" s="24"/>
      <c r="K2707" s="24"/>
      <c r="M2707" s="24"/>
      <c r="N2707" s="24"/>
      <c r="P2707" s="24"/>
    </row>
    <row r="2708" spans="2:16" x14ac:dyDescent="0.25">
      <c r="B2708" s="24"/>
      <c r="E2708" s="24"/>
      <c r="G2708" s="24"/>
      <c r="H2708" s="24"/>
      <c r="J2708" s="24"/>
      <c r="K2708" s="24"/>
      <c r="M2708" s="24"/>
      <c r="N2708" s="24"/>
      <c r="P2708" s="24"/>
    </row>
    <row r="2709" spans="2:16" x14ac:dyDescent="0.25">
      <c r="B2709" s="24"/>
      <c r="E2709" s="24"/>
      <c r="G2709" s="24"/>
      <c r="H2709" s="24"/>
      <c r="J2709" s="24"/>
      <c r="K2709" s="24"/>
      <c r="M2709" s="24"/>
      <c r="N2709" s="24"/>
      <c r="P2709" s="24"/>
    </row>
    <row r="2710" spans="2:16" x14ac:dyDescent="0.25">
      <c r="B2710" s="24"/>
      <c r="E2710" s="24"/>
      <c r="G2710" s="24"/>
      <c r="H2710" s="24"/>
      <c r="J2710" s="24"/>
      <c r="K2710" s="24"/>
      <c r="M2710" s="24"/>
      <c r="N2710" s="24"/>
      <c r="P2710" s="24"/>
    </row>
    <row r="2711" spans="2:16" x14ac:dyDescent="0.25">
      <c r="B2711" s="24"/>
      <c r="E2711" s="24"/>
      <c r="G2711" s="24"/>
      <c r="H2711" s="24"/>
      <c r="J2711" s="24"/>
      <c r="K2711" s="24"/>
      <c r="M2711" s="24"/>
      <c r="N2711" s="24"/>
      <c r="P2711" s="24"/>
    </row>
    <row r="2712" spans="2:16" x14ac:dyDescent="0.25">
      <c r="B2712" s="24"/>
      <c r="E2712" s="24"/>
      <c r="G2712" s="24"/>
      <c r="H2712" s="24"/>
      <c r="J2712" s="24"/>
      <c r="K2712" s="24"/>
      <c r="M2712" s="24"/>
      <c r="N2712" s="24"/>
      <c r="P2712" s="24"/>
    </row>
    <row r="2713" spans="2:16" x14ac:dyDescent="0.25">
      <c r="B2713" s="24"/>
      <c r="E2713" s="24"/>
      <c r="G2713" s="24"/>
      <c r="H2713" s="24"/>
      <c r="J2713" s="24"/>
      <c r="K2713" s="24"/>
      <c r="M2713" s="24"/>
      <c r="N2713" s="24"/>
      <c r="P2713" s="24"/>
    </row>
    <row r="2714" spans="2:16" x14ac:dyDescent="0.25">
      <c r="B2714" s="24"/>
      <c r="E2714" s="24"/>
      <c r="G2714" s="24"/>
      <c r="H2714" s="24"/>
      <c r="J2714" s="24"/>
      <c r="K2714" s="24"/>
      <c r="M2714" s="24"/>
      <c r="N2714" s="24"/>
      <c r="P2714" s="24"/>
    </row>
    <row r="2715" spans="2:16" x14ac:dyDescent="0.25">
      <c r="B2715" s="24"/>
      <c r="E2715" s="24"/>
      <c r="G2715" s="24"/>
      <c r="H2715" s="24"/>
      <c r="J2715" s="24"/>
      <c r="K2715" s="24"/>
      <c r="M2715" s="24"/>
      <c r="N2715" s="24"/>
      <c r="P2715" s="24"/>
    </row>
    <row r="2716" spans="2:16" x14ac:dyDescent="0.25">
      <c r="B2716" s="24"/>
      <c r="E2716" s="24"/>
      <c r="G2716" s="24"/>
      <c r="H2716" s="24"/>
      <c r="J2716" s="24"/>
      <c r="K2716" s="24"/>
      <c r="M2716" s="24"/>
      <c r="N2716" s="24"/>
      <c r="P2716" s="24"/>
    </row>
    <row r="2717" spans="2:16" x14ac:dyDescent="0.25">
      <c r="B2717" s="24"/>
      <c r="E2717" s="24"/>
      <c r="G2717" s="24"/>
      <c r="H2717" s="24"/>
      <c r="J2717" s="24"/>
      <c r="K2717" s="24"/>
      <c r="M2717" s="24"/>
      <c r="N2717" s="24"/>
      <c r="P2717" s="24"/>
    </row>
    <row r="2718" spans="2:16" x14ac:dyDescent="0.25">
      <c r="B2718" s="24"/>
      <c r="E2718" s="24"/>
      <c r="G2718" s="24"/>
      <c r="H2718" s="24"/>
      <c r="J2718" s="24"/>
      <c r="K2718" s="24"/>
      <c r="M2718" s="24"/>
      <c r="N2718" s="24"/>
      <c r="P2718" s="24"/>
    </row>
    <row r="2719" spans="2:16" x14ac:dyDescent="0.25">
      <c r="B2719" s="24"/>
      <c r="E2719" s="24"/>
      <c r="G2719" s="24"/>
      <c r="H2719" s="24"/>
      <c r="J2719" s="24"/>
      <c r="K2719" s="24"/>
      <c r="M2719" s="24"/>
      <c r="N2719" s="24"/>
      <c r="P2719" s="24"/>
    </row>
    <row r="2720" spans="2:16" x14ac:dyDescent="0.25">
      <c r="B2720" s="24"/>
      <c r="E2720" s="24"/>
      <c r="G2720" s="24"/>
      <c r="H2720" s="24"/>
      <c r="J2720" s="24"/>
      <c r="K2720" s="24"/>
      <c r="M2720" s="24"/>
      <c r="N2720" s="24"/>
      <c r="P2720" s="24"/>
    </row>
    <row r="2721" spans="2:16" x14ac:dyDescent="0.25">
      <c r="B2721" s="24"/>
      <c r="E2721" s="24"/>
      <c r="G2721" s="24"/>
      <c r="H2721" s="24"/>
      <c r="J2721" s="24"/>
      <c r="K2721" s="24"/>
      <c r="M2721" s="24"/>
      <c r="N2721" s="24"/>
      <c r="P2721" s="24"/>
    </row>
    <row r="2722" spans="2:16" x14ac:dyDescent="0.25">
      <c r="B2722" s="24"/>
      <c r="E2722" s="24"/>
      <c r="G2722" s="24"/>
      <c r="H2722" s="24"/>
      <c r="J2722" s="24"/>
      <c r="K2722" s="24"/>
      <c r="M2722" s="24"/>
      <c r="N2722" s="24"/>
      <c r="P2722" s="24"/>
    </row>
    <row r="2723" spans="2:16" x14ac:dyDescent="0.25">
      <c r="B2723" s="24"/>
      <c r="E2723" s="24"/>
      <c r="G2723" s="24"/>
      <c r="H2723" s="24"/>
      <c r="J2723" s="24"/>
      <c r="K2723" s="24"/>
      <c r="M2723" s="24"/>
      <c r="N2723" s="24"/>
      <c r="P2723" s="24"/>
    </row>
    <row r="2724" spans="2:16" x14ac:dyDescent="0.25">
      <c r="B2724" s="24"/>
      <c r="E2724" s="24"/>
      <c r="G2724" s="24"/>
      <c r="H2724" s="24"/>
      <c r="J2724" s="24"/>
      <c r="K2724" s="24"/>
      <c r="M2724" s="24"/>
      <c r="N2724" s="24"/>
      <c r="P2724" s="24"/>
    </row>
    <row r="2725" spans="2:16" x14ac:dyDescent="0.25">
      <c r="B2725" s="24"/>
      <c r="E2725" s="24"/>
      <c r="G2725" s="24"/>
      <c r="H2725" s="24"/>
      <c r="J2725" s="24"/>
      <c r="K2725" s="24"/>
      <c r="M2725" s="24"/>
      <c r="N2725" s="24"/>
      <c r="P2725" s="24"/>
    </row>
    <row r="2726" spans="2:16" x14ac:dyDescent="0.25">
      <c r="B2726" s="24"/>
      <c r="E2726" s="24"/>
      <c r="G2726" s="24"/>
      <c r="H2726" s="24"/>
      <c r="J2726" s="24"/>
      <c r="K2726" s="24"/>
      <c r="M2726" s="24"/>
      <c r="N2726" s="24"/>
      <c r="P2726" s="24"/>
    </row>
    <row r="2727" spans="2:16" x14ac:dyDescent="0.25">
      <c r="B2727" s="24"/>
      <c r="E2727" s="24"/>
      <c r="G2727" s="24"/>
      <c r="H2727" s="24"/>
      <c r="J2727" s="24"/>
      <c r="K2727" s="24"/>
      <c r="M2727" s="24"/>
      <c r="N2727" s="24"/>
      <c r="P2727" s="24"/>
    </row>
    <row r="2728" spans="2:16" x14ac:dyDescent="0.25">
      <c r="B2728" s="24"/>
      <c r="E2728" s="24"/>
      <c r="G2728" s="24"/>
      <c r="H2728" s="24"/>
      <c r="J2728" s="24"/>
      <c r="K2728" s="24"/>
      <c r="M2728" s="24"/>
      <c r="N2728" s="24"/>
      <c r="P2728" s="24"/>
    </row>
    <row r="2729" spans="2:16" x14ac:dyDescent="0.25">
      <c r="B2729" s="24"/>
      <c r="E2729" s="24"/>
      <c r="G2729" s="24"/>
      <c r="H2729" s="24"/>
      <c r="J2729" s="24"/>
      <c r="K2729" s="24"/>
      <c r="M2729" s="24"/>
      <c r="N2729" s="24"/>
      <c r="P2729" s="24"/>
    </row>
    <row r="2730" spans="2:16" x14ac:dyDescent="0.25">
      <c r="B2730" s="24"/>
      <c r="E2730" s="24"/>
      <c r="G2730" s="24"/>
      <c r="H2730" s="24"/>
      <c r="J2730" s="24"/>
      <c r="K2730" s="24"/>
      <c r="M2730" s="24"/>
      <c r="N2730" s="24"/>
      <c r="P2730" s="24"/>
    </row>
    <row r="2731" spans="2:16" x14ac:dyDescent="0.25">
      <c r="B2731" s="24"/>
      <c r="E2731" s="24"/>
      <c r="G2731" s="24"/>
      <c r="H2731" s="24"/>
      <c r="J2731" s="24"/>
      <c r="K2731" s="24"/>
      <c r="M2731" s="24"/>
      <c r="N2731" s="24"/>
      <c r="P2731" s="24"/>
    </row>
    <row r="2732" spans="2:16" x14ac:dyDescent="0.25">
      <c r="B2732" s="24"/>
      <c r="E2732" s="24"/>
      <c r="G2732" s="24"/>
      <c r="H2732" s="24"/>
      <c r="J2732" s="24"/>
      <c r="K2732" s="24"/>
      <c r="M2732" s="24"/>
      <c r="N2732" s="24"/>
      <c r="P2732" s="24"/>
    </row>
    <row r="2733" spans="2:16" x14ac:dyDescent="0.25">
      <c r="B2733" s="24"/>
      <c r="E2733" s="24"/>
      <c r="G2733" s="24"/>
      <c r="H2733" s="24"/>
      <c r="J2733" s="24"/>
      <c r="K2733" s="24"/>
      <c r="M2733" s="24"/>
      <c r="N2733" s="24"/>
      <c r="P2733" s="24"/>
    </row>
    <row r="2734" spans="2:16" x14ac:dyDescent="0.25">
      <c r="B2734" s="24"/>
      <c r="E2734" s="24"/>
      <c r="G2734" s="24"/>
      <c r="H2734" s="24"/>
      <c r="J2734" s="24"/>
      <c r="K2734" s="24"/>
      <c r="M2734" s="24"/>
      <c r="N2734" s="24"/>
      <c r="P2734" s="24"/>
    </row>
    <row r="2735" spans="2:16" x14ac:dyDescent="0.25">
      <c r="B2735" s="24"/>
      <c r="E2735" s="24"/>
      <c r="G2735" s="24"/>
      <c r="H2735" s="24"/>
      <c r="J2735" s="24"/>
      <c r="K2735" s="24"/>
      <c r="M2735" s="24"/>
      <c r="N2735" s="24"/>
      <c r="P2735" s="24"/>
    </row>
    <row r="2736" spans="2:16" x14ac:dyDescent="0.25">
      <c r="B2736" s="24"/>
      <c r="E2736" s="24"/>
      <c r="G2736" s="24"/>
      <c r="H2736" s="24"/>
      <c r="J2736" s="24"/>
      <c r="K2736" s="24"/>
      <c r="M2736" s="24"/>
      <c r="N2736" s="24"/>
      <c r="P2736" s="24"/>
    </row>
    <row r="2737" spans="2:16" x14ac:dyDescent="0.25">
      <c r="B2737" s="24"/>
      <c r="E2737" s="24"/>
      <c r="G2737" s="24"/>
      <c r="H2737" s="24"/>
      <c r="J2737" s="24"/>
      <c r="K2737" s="24"/>
      <c r="M2737" s="24"/>
      <c r="N2737" s="24"/>
      <c r="P2737" s="24"/>
    </row>
    <row r="2738" spans="2:16" x14ac:dyDescent="0.25">
      <c r="B2738" s="24"/>
      <c r="E2738" s="24"/>
      <c r="G2738" s="24"/>
      <c r="H2738" s="24"/>
      <c r="J2738" s="24"/>
      <c r="K2738" s="24"/>
      <c r="M2738" s="24"/>
      <c r="N2738" s="24"/>
      <c r="P2738" s="24"/>
    </row>
    <row r="2739" spans="2:16" x14ac:dyDescent="0.25">
      <c r="B2739" s="24"/>
      <c r="E2739" s="24"/>
      <c r="G2739" s="24"/>
      <c r="H2739" s="24"/>
      <c r="J2739" s="24"/>
      <c r="K2739" s="24"/>
      <c r="M2739" s="24"/>
      <c r="N2739" s="24"/>
      <c r="P2739" s="24"/>
    </row>
    <row r="2740" spans="2:16" x14ac:dyDescent="0.25">
      <c r="B2740" s="24"/>
      <c r="E2740" s="24"/>
      <c r="G2740" s="24"/>
      <c r="H2740" s="24"/>
      <c r="J2740" s="24"/>
      <c r="K2740" s="24"/>
      <c r="M2740" s="24"/>
      <c r="N2740" s="24"/>
      <c r="P2740" s="24"/>
    </row>
    <row r="2741" spans="2:16" x14ac:dyDescent="0.25">
      <c r="B2741" s="24"/>
      <c r="E2741" s="24"/>
      <c r="G2741" s="24"/>
      <c r="H2741" s="24"/>
      <c r="J2741" s="24"/>
      <c r="K2741" s="24"/>
      <c r="M2741" s="24"/>
      <c r="N2741" s="24"/>
      <c r="P2741" s="24"/>
    </row>
    <row r="2742" spans="2:16" x14ac:dyDescent="0.25">
      <c r="B2742" s="24"/>
      <c r="E2742" s="24"/>
      <c r="G2742" s="24"/>
      <c r="H2742" s="24"/>
      <c r="J2742" s="24"/>
      <c r="K2742" s="24"/>
      <c r="M2742" s="24"/>
      <c r="N2742" s="24"/>
      <c r="P2742" s="24"/>
    </row>
    <row r="2743" spans="2:16" x14ac:dyDescent="0.25">
      <c r="B2743" s="24"/>
      <c r="E2743" s="24"/>
      <c r="G2743" s="24"/>
      <c r="H2743" s="24"/>
      <c r="J2743" s="24"/>
      <c r="K2743" s="24"/>
      <c r="M2743" s="24"/>
      <c r="N2743" s="24"/>
      <c r="P2743" s="24"/>
    </row>
    <row r="2744" spans="2:16" x14ac:dyDescent="0.25">
      <c r="B2744" s="24"/>
      <c r="E2744" s="24"/>
      <c r="G2744" s="24"/>
      <c r="H2744" s="24"/>
      <c r="J2744" s="24"/>
      <c r="K2744" s="24"/>
      <c r="M2744" s="24"/>
      <c r="N2744" s="24"/>
      <c r="P2744" s="24"/>
    </row>
    <row r="2745" spans="2:16" x14ac:dyDescent="0.25">
      <c r="B2745" s="24"/>
      <c r="E2745" s="24"/>
      <c r="G2745" s="24"/>
      <c r="H2745" s="24"/>
      <c r="J2745" s="24"/>
      <c r="K2745" s="24"/>
      <c r="M2745" s="24"/>
      <c r="N2745" s="24"/>
      <c r="P2745" s="24"/>
    </row>
    <row r="2746" spans="2:16" x14ac:dyDescent="0.25">
      <c r="B2746" s="24"/>
      <c r="E2746" s="24"/>
      <c r="G2746" s="24"/>
      <c r="H2746" s="24"/>
      <c r="J2746" s="24"/>
      <c r="K2746" s="24"/>
      <c r="M2746" s="24"/>
      <c r="N2746" s="24"/>
      <c r="P2746" s="24"/>
    </row>
    <row r="2747" spans="2:16" x14ac:dyDescent="0.25">
      <c r="B2747" s="24"/>
      <c r="E2747" s="24"/>
      <c r="G2747" s="24"/>
      <c r="H2747" s="24"/>
      <c r="J2747" s="24"/>
      <c r="K2747" s="24"/>
      <c r="M2747" s="24"/>
      <c r="N2747" s="24"/>
      <c r="P2747" s="24"/>
    </row>
    <row r="2748" spans="2:16" x14ac:dyDescent="0.25">
      <c r="B2748" s="24"/>
      <c r="E2748" s="24"/>
      <c r="G2748" s="24"/>
      <c r="H2748" s="24"/>
      <c r="J2748" s="24"/>
      <c r="K2748" s="24"/>
      <c r="M2748" s="24"/>
      <c r="N2748" s="24"/>
      <c r="P2748" s="24"/>
    </row>
    <row r="2749" spans="2:16" x14ac:dyDescent="0.25">
      <c r="B2749" s="24"/>
      <c r="E2749" s="24"/>
      <c r="G2749" s="24"/>
      <c r="H2749" s="24"/>
      <c r="J2749" s="24"/>
      <c r="K2749" s="24"/>
      <c r="M2749" s="24"/>
      <c r="N2749" s="24"/>
      <c r="P2749" s="24"/>
    </row>
    <row r="2750" spans="2:16" x14ac:dyDescent="0.25">
      <c r="B2750" s="24"/>
      <c r="E2750" s="24"/>
      <c r="G2750" s="24"/>
      <c r="H2750" s="24"/>
      <c r="J2750" s="24"/>
      <c r="K2750" s="24"/>
      <c r="M2750" s="24"/>
      <c r="N2750" s="24"/>
      <c r="P2750" s="24"/>
    </row>
    <row r="2751" spans="2:16" x14ac:dyDescent="0.25">
      <c r="B2751" s="24"/>
      <c r="E2751" s="24"/>
      <c r="G2751" s="24"/>
      <c r="H2751" s="24"/>
      <c r="J2751" s="24"/>
      <c r="K2751" s="24"/>
      <c r="M2751" s="24"/>
      <c r="N2751" s="24"/>
      <c r="P2751" s="24"/>
    </row>
    <row r="2752" spans="2:16" x14ac:dyDescent="0.25">
      <c r="B2752" s="24"/>
      <c r="E2752" s="24"/>
      <c r="G2752" s="24"/>
      <c r="H2752" s="24"/>
      <c r="J2752" s="24"/>
      <c r="K2752" s="24"/>
      <c r="M2752" s="24"/>
      <c r="N2752" s="24"/>
      <c r="P2752" s="24"/>
    </row>
    <row r="2753" spans="2:16" x14ac:dyDescent="0.25">
      <c r="B2753" s="24"/>
      <c r="E2753" s="24"/>
      <c r="G2753" s="24"/>
      <c r="H2753" s="24"/>
      <c r="J2753" s="24"/>
      <c r="K2753" s="24"/>
      <c r="M2753" s="24"/>
      <c r="N2753" s="24"/>
      <c r="P2753" s="24"/>
    </row>
    <row r="2754" spans="2:16" x14ac:dyDescent="0.25">
      <c r="B2754" s="24"/>
      <c r="E2754" s="24"/>
      <c r="G2754" s="24"/>
      <c r="H2754" s="24"/>
      <c r="J2754" s="24"/>
      <c r="K2754" s="24"/>
      <c r="M2754" s="24"/>
      <c r="N2754" s="24"/>
      <c r="P2754" s="24"/>
    </row>
    <row r="2755" spans="2:16" x14ac:dyDescent="0.25">
      <c r="B2755" s="24"/>
      <c r="E2755" s="24"/>
      <c r="G2755" s="24"/>
      <c r="H2755" s="24"/>
      <c r="J2755" s="24"/>
      <c r="K2755" s="24"/>
      <c r="M2755" s="24"/>
      <c r="N2755" s="24"/>
      <c r="P2755" s="24"/>
    </row>
    <row r="2756" spans="2:16" x14ac:dyDescent="0.25">
      <c r="B2756" s="24"/>
      <c r="E2756" s="24"/>
      <c r="G2756" s="24"/>
      <c r="H2756" s="24"/>
      <c r="J2756" s="24"/>
      <c r="K2756" s="24"/>
      <c r="M2756" s="24"/>
      <c r="N2756" s="24"/>
      <c r="P2756" s="24"/>
    </row>
    <row r="2757" spans="2:16" x14ac:dyDescent="0.25">
      <c r="B2757" s="24"/>
      <c r="E2757" s="24"/>
      <c r="G2757" s="24"/>
      <c r="H2757" s="24"/>
      <c r="J2757" s="24"/>
      <c r="K2757" s="24"/>
      <c r="M2757" s="24"/>
      <c r="N2757" s="24"/>
      <c r="P2757" s="24"/>
    </row>
    <row r="2758" spans="2:16" x14ac:dyDescent="0.25">
      <c r="B2758" s="24"/>
      <c r="E2758" s="24"/>
      <c r="G2758" s="24"/>
      <c r="H2758" s="24"/>
      <c r="J2758" s="24"/>
      <c r="K2758" s="24"/>
      <c r="M2758" s="24"/>
      <c r="N2758" s="24"/>
      <c r="P2758" s="24"/>
    </row>
    <row r="2759" spans="2:16" x14ac:dyDescent="0.25">
      <c r="B2759" s="24"/>
      <c r="E2759" s="24"/>
      <c r="G2759" s="24"/>
      <c r="H2759" s="24"/>
      <c r="J2759" s="24"/>
      <c r="K2759" s="24"/>
      <c r="M2759" s="24"/>
      <c r="N2759" s="24"/>
      <c r="P2759" s="24"/>
    </row>
    <row r="2760" spans="2:16" x14ac:dyDescent="0.25">
      <c r="B2760" s="24"/>
      <c r="E2760" s="24"/>
      <c r="G2760" s="24"/>
      <c r="H2760" s="24"/>
      <c r="J2760" s="24"/>
      <c r="K2760" s="24"/>
      <c r="M2760" s="24"/>
      <c r="N2760" s="24"/>
      <c r="P2760" s="24"/>
    </row>
    <row r="2761" spans="2:16" x14ac:dyDescent="0.25">
      <c r="B2761" s="24"/>
      <c r="E2761" s="24"/>
      <c r="G2761" s="24"/>
      <c r="H2761" s="24"/>
      <c r="J2761" s="24"/>
      <c r="K2761" s="24"/>
      <c r="M2761" s="24"/>
      <c r="N2761" s="24"/>
      <c r="P2761" s="24"/>
    </row>
    <row r="2762" spans="2:16" x14ac:dyDescent="0.25">
      <c r="B2762" s="24"/>
      <c r="E2762" s="24"/>
      <c r="G2762" s="24"/>
      <c r="H2762" s="24"/>
      <c r="J2762" s="24"/>
      <c r="K2762" s="24"/>
      <c r="M2762" s="24"/>
      <c r="N2762" s="24"/>
      <c r="P2762" s="24"/>
    </row>
    <row r="2763" spans="2:16" x14ac:dyDescent="0.25">
      <c r="B2763" s="24"/>
      <c r="E2763" s="24"/>
      <c r="G2763" s="24"/>
      <c r="H2763" s="24"/>
      <c r="J2763" s="24"/>
      <c r="K2763" s="24"/>
      <c r="M2763" s="24"/>
      <c r="N2763" s="24"/>
      <c r="P2763" s="24"/>
    </row>
    <row r="2764" spans="2:16" x14ac:dyDescent="0.25">
      <c r="B2764" s="24"/>
      <c r="E2764" s="24"/>
      <c r="G2764" s="24"/>
      <c r="H2764" s="24"/>
      <c r="J2764" s="24"/>
      <c r="K2764" s="24"/>
      <c r="M2764" s="24"/>
      <c r="N2764" s="24"/>
      <c r="P2764" s="24"/>
    </row>
    <row r="2765" spans="2:16" x14ac:dyDescent="0.25">
      <c r="B2765" s="24"/>
      <c r="E2765" s="24"/>
      <c r="G2765" s="24"/>
      <c r="H2765" s="24"/>
      <c r="J2765" s="24"/>
      <c r="K2765" s="24"/>
      <c r="M2765" s="24"/>
      <c r="N2765" s="24"/>
      <c r="P2765" s="24"/>
    </row>
    <row r="2766" spans="2:16" x14ac:dyDescent="0.25">
      <c r="B2766" s="24"/>
      <c r="E2766" s="24"/>
      <c r="G2766" s="24"/>
      <c r="H2766" s="24"/>
      <c r="J2766" s="24"/>
      <c r="K2766" s="24"/>
      <c r="M2766" s="24"/>
      <c r="N2766" s="24"/>
      <c r="P2766" s="24"/>
    </row>
    <row r="2767" spans="2:16" x14ac:dyDescent="0.25">
      <c r="B2767" s="24"/>
      <c r="E2767" s="24"/>
      <c r="G2767" s="24"/>
      <c r="H2767" s="24"/>
      <c r="J2767" s="24"/>
      <c r="K2767" s="24"/>
      <c r="M2767" s="24"/>
      <c r="N2767" s="24"/>
      <c r="P2767" s="24"/>
    </row>
    <row r="2768" spans="2:16" x14ac:dyDescent="0.25">
      <c r="B2768" s="24"/>
      <c r="E2768" s="24"/>
      <c r="G2768" s="24"/>
      <c r="H2768" s="24"/>
      <c r="J2768" s="24"/>
      <c r="K2768" s="24"/>
      <c r="M2768" s="24"/>
      <c r="N2768" s="24"/>
      <c r="P2768" s="24"/>
    </row>
    <row r="2769" spans="2:16" x14ac:dyDescent="0.25">
      <c r="B2769" s="24"/>
      <c r="E2769" s="24"/>
      <c r="G2769" s="24"/>
      <c r="H2769" s="24"/>
      <c r="J2769" s="24"/>
      <c r="K2769" s="24"/>
      <c r="M2769" s="24"/>
      <c r="N2769" s="24"/>
      <c r="P2769" s="24"/>
    </row>
    <row r="2770" spans="2:16" x14ac:dyDescent="0.25">
      <c r="B2770" s="24"/>
      <c r="E2770" s="24"/>
      <c r="G2770" s="24"/>
      <c r="H2770" s="24"/>
      <c r="J2770" s="24"/>
      <c r="K2770" s="24"/>
      <c r="M2770" s="24"/>
      <c r="N2770" s="24"/>
      <c r="P2770" s="24"/>
    </row>
    <row r="2771" spans="2:16" x14ac:dyDescent="0.25">
      <c r="B2771" s="24"/>
      <c r="E2771" s="24"/>
      <c r="G2771" s="24"/>
      <c r="H2771" s="24"/>
      <c r="J2771" s="24"/>
      <c r="K2771" s="24"/>
      <c r="M2771" s="24"/>
      <c r="N2771" s="24"/>
      <c r="P2771" s="24"/>
    </row>
    <row r="2772" spans="2:16" x14ac:dyDescent="0.25">
      <c r="B2772" s="24"/>
      <c r="E2772" s="24"/>
      <c r="G2772" s="24"/>
      <c r="H2772" s="24"/>
      <c r="J2772" s="24"/>
      <c r="K2772" s="24"/>
      <c r="M2772" s="24"/>
      <c r="N2772" s="24"/>
      <c r="P2772" s="24"/>
    </row>
    <row r="2773" spans="2:16" x14ac:dyDescent="0.25">
      <c r="B2773" s="24"/>
      <c r="E2773" s="24"/>
      <c r="G2773" s="24"/>
      <c r="H2773" s="24"/>
      <c r="J2773" s="24"/>
      <c r="K2773" s="24"/>
      <c r="M2773" s="24"/>
      <c r="N2773" s="24"/>
      <c r="P2773" s="24"/>
    </row>
    <row r="2774" spans="2:16" x14ac:dyDescent="0.25">
      <c r="B2774" s="24"/>
      <c r="E2774" s="24"/>
      <c r="G2774" s="24"/>
      <c r="H2774" s="24"/>
      <c r="J2774" s="24"/>
      <c r="K2774" s="24"/>
      <c r="M2774" s="24"/>
      <c r="N2774" s="24"/>
      <c r="P2774" s="24"/>
    </row>
    <row r="2775" spans="2:16" x14ac:dyDescent="0.25">
      <c r="B2775" s="24"/>
      <c r="E2775" s="24"/>
      <c r="G2775" s="24"/>
      <c r="H2775" s="24"/>
      <c r="J2775" s="24"/>
      <c r="K2775" s="24"/>
      <c r="M2775" s="24"/>
      <c r="N2775" s="24"/>
      <c r="P2775" s="24"/>
    </row>
    <row r="2776" spans="2:16" x14ac:dyDescent="0.25">
      <c r="B2776" s="24"/>
      <c r="E2776" s="24"/>
      <c r="G2776" s="24"/>
      <c r="H2776" s="24"/>
      <c r="J2776" s="24"/>
      <c r="K2776" s="24"/>
      <c r="M2776" s="24"/>
      <c r="N2776" s="24"/>
      <c r="P2776" s="24"/>
    </row>
    <row r="2777" spans="2:16" x14ac:dyDescent="0.25">
      <c r="B2777" s="24"/>
      <c r="E2777" s="24"/>
      <c r="G2777" s="24"/>
      <c r="H2777" s="24"/>
      <c r="J2777" s="24"/>
      <c r="K2777" s="24"/>
      <c r="M2777" s="24"/>
      <c r="N2777" s="24"/>
      <c r="P2777" s="24"/>
    </row>
    <row r="2778" spans="2:16" x14ac:dyDescent="0.25">
      <c r="B2778" s="24"/>
      <c r="E2778" s="24"/>
      <c r="G2778" s="24"/>
      <c r="H2778" s="24"/>
      <c r="J2778" s="24"/>
      <c r="K2778" s="24"/>
      <c r="M2778" s="24"/>
      <c r="N2778" s="24"/>
      <c r="P2778" s="24"/>
    </row>
    <row r="2779" spans="2:16" x14ac:dyDescent="0.25">
      <c r="B2779" s="24"/>
      <c r="E2779" s="24"/>
      <c r="G2779" s="24"/>
      <c r="H2779" s="24"/>
      <c r="J2779" s="24"/>
      <c r="K2779" s="24"/>
      <c r="M2779" s="24"/>
      <c r="N2779" s="24"/>
      <c r="P2779" s="24"/>
    </row>
    <row r="2780" spans="2:16" x14ac:dyDescent="0.25">
      <c r="B2780" s="24"/>
      <c r="E2780" s="24"/>
      <c r="G2780" s="24"/>
      <c r="H2780" s="24"/>
      <c r="J2780" s="24"/>
      <c r="K2780" s="24"/>
      <c r="M2780" s="24"/>
      <c r="N2780" s="24"/>
      <c r="P2780" s="24"/>
    </row>
    <row r="2781" spans="2:16" x14ac:dyDescent="0.25">
      <c r="B2781" s="24"/>
      <c r="E2781" s="24"/>
      <c r="G2781" s="24"/>
      <c r="H2781" s="24"/>
      <c r="J2781" s="24"/>
      <c r="K2781" s="24"/>
      <c r="M2781" s="24"/>
      <c r="N2781" s="24"/>
      <c r="P2781" s="24"/>
    </row>
    <row r="2782" spans="2:16" x14ac:dyDescent="0.25">
      <c r="B2782" s="24"/>
      <c r="E2782" s="24"/>
      <c r="G2782" s="24"/>
      <c r="H2782" s="24"/>
      <c r="J2782" s="24"/>
      <c r="K2782" s="24"/>
      <c r="M2782" s="24"/>
      <c r="N2782" s="24"/>
      <c r="P2782" s="24"/>
    </row>
    <row r="2783" spans="2:16" x14ac:dyDescent="0.25">
      <c r="B2783" s="24"/>
      <c r="E2783" s="24"/>
      <c r="G2783" s="24"/>
      <c r="H2783" s="24"/>
      <c r="J2783" s="24"/>
      <c r="K2783" s="24"/>
      <c r="M2783" s="24"/>
      <c r="N2783" s="24"/>
      <c r="P2783" s="24"/>
    </row>
    <row r="2784" spans="2:16" x14ac:dyDescent="0.25">
      <c r="B2784" s="24"/>
      <c r="E2784" s="24"/>
      <c r="G2784" s="24"/>
      <c r="H2784" s="24"/>
      <c r="J2784" s="24"/>
      <c r="K2784" s="24"/>
      <c r="M2784" s="24"/>
      <c r="N2784" s="24"/>
      <c r="P2784" s="24"/>
    </row>
    <row r="2785" spans="2:16" x14ac:dyDescent="0.25">
      <c r="B2785" s="24"/>
      <c r="E2785" s="24"/>
      <c r="G2785" s="24"/>
      <c r="H2785" s="24"/>
      <c r="J2785" s="24"/>
      <c r="K2785" s="24"/>
      <c r="M2785" s="24"/>
      <c r="N2785" s="24"/>
      <c r="P2785" s="24"/>
    </row>
    <row r="2786" spans="2:16" x14ac:dyDescent="0.25">
      <c r="B2786" s="24"/>
      <c r="E2786" s="24"/>
      <c r="G2786" s="24"/>
      <c r="H2786" s="24"/>
      <c r="J2786" s="24"/>
      <c r="K2786" s="24"/>
      <c r="M2786" s="24"/>
      <c r="N2786" s="24"/>
      <c r="P2786" s="24"/>
    </row>
    <row r="2787" spans="2:16" x14ac:dyDescent="0.25">
      <c r="B2787" s="24"/>
      <c r="E2787" s="24"/>
      <c r="G2787" s="24"/>
      <c r="H2787" s="24"/>
      <c r="J2787" s="24"/>
      <c r="K2787" s="24"/>
      <c r="M2787" s="24"/>
      <c r="N2787" s="24"/>
      <c r="P2787" s="24"/>
    </row>
    <row r="2788" spans="2:16" x14ac:dyDescent="0.25">
      <c r="B2788" s="24"/>
      <c r="E2788" s="24"/>
      <c r="G2788" s="24"/>
      <c r="H2788" s="24"/>
      <c r="J2788" s="24"/>
      <c r="K2788" s="24"/>
      <c r="M2788" s="24"/>
      <c r="N2788" s="24"/>
      <c r="P2788" s="24"/>
    </row>
    <row r="2789" spans="2:16" x14ac:dyDescent="0.25">
      <c r="B2789" s="24"/>
      <c r="E2789" s="24"/>
      <c r="G2789" s="24"/>
      <c r="H2789" s="24"/>
      <c r="J2789" s="24"/>
      <c r="K2789" s="24"/>
      <c r="M2789" s="24"/>
      <c r="N2789" s="24"/>
      <c r="P2789" s="24"/>
    </row>
    <row r="2790" spans="2:16" x14ac:dyDescent="0.25">
      <c r="B2790" s="24"/>
      <c r="E2790" s="24"/>
      <c r="G2790" s="24"/>
      <c r="H2790" s="24"/>
      <c r="J2790" s="24"/>
      <c r="K2790" s="24"/>
      <c r="M2790" s="24"/>
      <c r="N2790" s="24"/>
      <c r="P2790" s="24"/>
    </row>
    <row r="2791" spans="2:16" x14ac:dyDescent="0.25">
      <c r="B2791" s="24"/>
      <c r="E2791" s="24"/>
      <c r="G2791" s="24"/>
      <c r="H2791" s="24"/>
      <c r="J2791" s="24"/>
      <c r="K2791" s="24"/>
      <c r="M2791" s="24"/>
      <c r="N2791" s="24"/>
      <c r="P2791" s="24"/>
    </row>
    <row r="2792" spans="2:16" x14ac:dyDescent="0.25">
      <c r="B2792" s="24"/>
      <c r="E2792" s="24"/>
      <c r="G2792" s="24"/>
      <c r="H2792" s="24"/>
      <c r="J2792" s="24"/>
      <c r="K2792" s="24"/>
      <c r="M2792" s="24"/>
      <c r="N2792" s="24"/>
      <c r="P2792" s="24"/>
    </row>
    <row r="2793" spans="2:16" x14ac:dyDescent="0.25">
      <c r="B2793" s="24"/>
      <c r="E2793" s="24"/>
      <c r="G2793" s="24"/>
      <c r="H2793" s="24"/>
      <c r="J2793" s="24"/>
      <c r="K2793" s="24"/>
      <c r="M2793" s="24"/>
      <c r="N2793" s="24"/>
      <c r="P2793" s="24"/>
    </row>
    <row r="2794" spans="2:16" x14ac:dyDescent="0.25">
      <c r="B2794" s="24"/>
      <c r="E2794" s="24"/>
      <c r="G2794" s="24"/>
      <c r="H2794" s="24"/>
      <c r="J2794" s="24"/>
      <c r="K2794" s="24"/>
      <c r="M2794" s="24"/>
      <c r="N2794" s="24"/>
      <c r="P2794" s="24"/>
    </row>
    <row r="2795" spans="2:16" x14ac:dyDescent="0.25">
      <c r="B2795" s="24"/>
      <c r="E2795" s="24"/>
      <c r="G2795" s="24"/>
      <c r="H2795" s="24"/>
      <c r="J2795" s="24"/>
      <c r="K2795" s="24"/>
      <c r="M2795" s="24"/>
      <c r="N2795" s="24"/>
      <c r="P2795" s="24"/>
    </row>
    <row r="2796" spans="2:16" x14ac:dyDescent="0.25">
      <c r="B2796" s="24"/>
      <c r="E2796" s="24"/>
      <c r="G2796" s="24"/>
      <c r="H2796" s="24"/>
      <c r="J2796" s="24"/>
      <c r="K2796" s="24"/>
      <c r="M2796" s="24"/>
      <c r="N2796" s="24"/>
      <c r="P2796" s="24"/>
    </row>
    <row r="2797" spans="2:16" x14ac:dyDescent="0.25">
      <c r="B2797" s="24"/>
      <c r="E2797" s="24"/>
      <c r="G2797" s="24"/>
      <c r="H2797" s="24"/>
      <c r="J2797" s="24"/>
      <c r="K2797" s="24"/>
      <c r="M2797" s="24"/>
      <c r="N2797" s="24"/>
      <c r="P2797" s="24"/>
    </row>
    <row r="2798" spans="2:16" x14ac:dyDescent="0.25">
      <c r="B2798" s="24"/>
      <c r="E2798" s="24"/>
      <c r="G2798" s="24"/>
      <c r="H2798" s="24"/>
      <c r="J2798" s="24"/>
      <c r="K2798" s="24"/>
      <c r="M2798" s="24"/>
      <c r="N2798" s="24"/>
      <c r="P2798" s="24"/>
    </row>
    <row r="2799" spans="2:16" x14ac:dyDescent="0.25">
      <c r="B2799" s="24"/>
      <c r="E2799" s="24"/>
      <c r="G2799" s="24"/>
      <c r="H2799" s="24"/>
      <c r="J2799" s="24"/>
      <c r="K2799" s="24"/>
      <c r="M2799" s="24"/>
      <c r="N2799" s="24"/>
      <c r="P2799" s="24"/>
    </row>
    <row r="2800" spans="2:16" x14ac:dyDescent="0.25">
      <c r="B2800" s="24"/>
      <c r="E2800" s="24"/>
      <c r="G2800" s="24"/>
      <c r="H2800" s="24"/>
      <c r="J2800" s="24"/>
      <c r="K2800" s="24"/>
      <c r="M2800" s="24"/>
      <c r="N2800" s="24"/>
      <c r="P2800" s="24"/>
    </row>
    <row r="2801" spans="2:16" x14ac:dyDescent="0.25">
      <c r="B2801" s="24"/>
      <c r="E2801" s="24"/>
      <c r="G2801" s="24"/>
      <c r="H2801" s="24"/>
      <c r="J2801" s="24"/>
      <c r="K2801" s="24"/>
      <c r="M2801" s="24"/>
      <c r="N2801" s="24"/>
      <c r="P2801" s="24"/>
    </row>
    <row r="2802" spans="2:16" x14ac:dyDescent="0.25">
      <c r="B2802" s="24"/>
      <c r="E2802" s="24"/>
      <c r="G2802" s="24"/>
      <c r="H2802" s="24"/>
      <c r="J2802" s="24"/>
      <c r="K2802" s="24"/>
      <c r="M2802" s="24"/>
      <c r="N2802" s="24"/>
      <c r="P2802" s="24"/>
    </row>
    <row r="2803" spans="2:16" x14ac:dyDescent="0.25">
      <c r="B2803" s="24"/>
      <c r="E2803" s="24"/>
      <c r="G2803" s="24"/>
      <c r="H2803" s="24"/>
      <c r="J2803" s="24"/>
      <c r="K2803" s="24"/>
      <c r="M2803" s="24"/>
      <c r="N2803" s="24"/>
      <c r="P2803" s="24"/>
    </row>
    <row r="2804" spans="2:16" x14ac:dyDescent="0.25">
      <c r="B2804" s="24"/>
      <c r="E2804" s="24"/>
      <c r="G2804" s="24"/>
      <c r="H2804" s="24"/>
      <c r="J2804" s="24"/>
      <c r="K2804" s="24"/>
      <c r="M2804" s="24"/>
      <c r="N2804" s="24"/>
      <c r="P2804" s="24"/>
    </row>
    <row r="2805" spans="2:16" x14ac:dyDescent="0.25">
      <c r="B2805" s="24"/>
      <c r="E2805" s="24"/>
      <c r="G2805" s="24"/>
      <c r="H2805" s="24"/>
      <c r="J2805" s="24"/>
      <c r="K2805" s="24"/>
      <c r="M2805" s="24"/>
      <c r="N2805" s="24"/>
      <c r="P2805" s="24"/>
    </row>
    <row r="2806" spans="2:16" x14ac:dyDescent="0.25">
      <c r="B2806" s="24"/>
      <c r="E2806" s="24"/>
      <c r="G2806" s="24"/>
      <c r="H2806" s="24"/>
      <c r="J2806" s="24"/>
      <c r="K2806" s="24"/>
      <c r="M2806" s="24"/>
      <c r="N2806" s="24"/>
      <c r="P2806" s="24"/>
    </row>
    <row r="2807" spans="2:16" x14ac:dyDescent="0.25">
      <c r="B2807" s="24"/>
      <c r="E2807" s="24"/>
      <c r="G2807" s="24"/>
      <c r="H2807" s="24"/>
      <c r="J2807" s="24"/>
      <c r="K2807" s="24"/>
      <c r="M2807" s="24"/>
      <c r="N2807" s="24"/>
      <c r="P2807" s="24"/>
    </row>
    <row r="2808" spans="2:16" x14ac:dyDescent="0.25">
      <c r="B2808" s="24"/>
      <c r="E2808" s="24"/>
      <c r="G2808" s="24"/>
      <c r="H2808" s="24"/>
      <c r="J2808" s="24"/>
      <c r="K2808" s="24"/>
      <c r="M2808" s="24"/>
      <c r="N2808" s="24"/>
      <c r="P2808" s="24"/>
    </row>
    <row r="2809" spans="2:16" x14ac:dyDescent="0.25">
      <c r="B2809" s="24"/>
      <c r="E2809" s="24"/>
      <c r="G2809" s="24"/>
      <c r="H2809" s="24"/>
      <c r="J2809" s="24"/>
      <c r="K2809" s="24"/>
      <c r="M2809" s="24"/>
      <c r="N2809" s="24"/>
      <c r="P2809" s="24"/>
    </row>
    <row r="2810" spans="2:16" x14ac:dyDescent="0.25">
      <c r="B2810" s="24"/>
      <c r="E2810" s="24"/>
      <c r="G2810" s="24"/>
      <c r="H2810" s="24"/>
      <c r="J2810" s="24"/>
      <c r="K2810" s="24"/>
      <c r="M2810" s="24"/>
      <c r="N2810" s="24"/>
      <c r="P2810" s="24"/>
    </row>
    <row r="2811" spans="2:16" x14ac:dyDescent="0.25">
      <c r="B2811" s="24"/>
      <c r="E2811" s="24"/>
      <c r="G2811" s="24"/>
      <c r="H2811" s="24"/>
      <c r="J2811" s="24"/>
      <c r="K2811" s="24"/>
      <c r="M2811" s="24"/>
      <c r="N2811" s="24"/>
      <c r="P2811" s="24"/>
    </row>
    <row r="2812" spans="2:16" x14ac:dyDescent="0.25">
      <c r="B2812" s="24"/>
      <c r="E2812" s="24"/>
      <c r="G2812" s="24"/>
      <c r="H2812" s="24"/>
      <c r="J2812" s="24"/>
      <c r="K2812" s="24"/>
      <c r="M2812" s="24"/>
      <c r="N2812" s="24"/>
      <c r="P2812" s="24"/>
    </row>
    <row r="2813" spans="2:16" x14ac:dyDescent="0.25">
      <c r="B2813" s="24"/>
      <c r="E2813" s="24"/>
      <c r="G2813" s="24"/>
      <c r="H2813" s="24"/>
      <c r="J2813" s="24"/>
      <c r="K2813" s="24"/>
      <c r="M2813" s="24"/>
      <c r="N2813" s="24"/>
      <c r="P2813" s="24"/>
    </row>
    <row r="2814" spans="2:16" x14ac:dyDescent="0.25">
      <c r="B2814" s="24"/>
      <c r="E2814" s="24"/>
      <c r="G2814" s="24"/>
      <c r="H2814" s="24"/>
      <c r="J2814" s="24"/>
      <c r="K2814" s="24"/>
      <c r="M2814" s="24"/>
      <c r="N2814" s="24"/>
      <c r="P2814" s="24"/>
    </row>
    <row r="2815" spans="2:16" x14ac:dyDescent="0.25">
      <c r="B2815" s="24"/>
      <c r="E2815" s="24"/>
      <c r="G2815" s="24"/>
      <c r="H2815" s="24"/>
      <c r="J2815" s="24"/>
      <c r="K2815" s="24"/>
      <c r="M2815" s="24"/>
      <c r="N2815" s="24"/>
      <c r="P2815" s="24"/>
    </row>
    <row r="2816" spans="2:16" x14ac:dyDescent="0.25">
      <c r="B2816" s="24"/>
      <c r="E2816" s="24"/>
      <c r="G2816" s="24"/>
      <c r="H2816" s="24"/>
      <c r="J2816" s="24"/>
      <c r="K2816" s="24"/>
      <c r="M2816" s="24"/>
      <c r="N2816" s="24"/>
      <c r="P2816" s="24"/>
    </row>
    <row r="2817" spans="2:16" x14ac:dyDescent="0.25">
      <c r="B2817" s="24"/>
      <c r="E2817" s="24"/>
      <c r="G2817" s="24"/>
      <c r="H2817" s="24"/>
      <c r="J2817" s="24"/>
      <c r="K2817" s="24"/>
      <c r="M2817" s="24"/>
      <c r="N2817" s="24"/>
      <c r="P2817" s="24"/>
    </row>
    <row r="2818" spans="2:16" x14ac:dyDescent="0.25">
      <c r="B2818" s="24"/>
      <c r="E2818" s="24"/>
      <c r="G2818" s="24"/>
      <c r="H2818" s="24"/>
      <c r="J2818" s="24"/>
      <c r="K2818" s="24"/>
      <c r="M2818" s="24"/>
      <c r="N2818" s="24"/>
      <c r="P2818" s="24"/>
    </row>
    <row r="2819" spans="2:16" x14ac:dyDescent="0.25">
      <c r="B2819" s="24"/>
      <c r="E2819" s="24"/>
      <c r="G2819" s="24"/>
      <c r="H2819" s="24"/>
      <c r="J2819" s="24"/>
      <c r="K2819" s="24"/>
      <c r="M2819" s="24"/>
      <c r="N2819" s="24"/>
      <c r="P2819" s="24"/>
    </row>
    <row r="2820" spans="2:16" x14ac:dyDescent="0.25">
      <c r="B2820" s="24"/>
      <c r="E2820" s="24"/>
      <c r="G2820" s="24"/>
      <c r="H2820" s="24"/>
      <c r="J2820" s="24"/>
      <c r="K2820" s="24"/>
      <c r="M2820" s="24"/>
      <c r="N2820" s="24"/>
      <c r="P2820" s="24"/>
    </row>
    <row r="2821" spans="2:16" x14ac:dyDescent="0.25">
      <c r="B2821" s="24"/>
      <c r="E2821" s="24"/>
      <c r="G2821" s="24"/>
      <c r="H2821" s="24"/>
      <c r="J2821" s="24"/>
      <c r="K2821" s="24"/>
      <c r="M2821" s="24"/>
      <c r="N2821" s="24"/>
      <c r="P2821" s="24"/>
    </row>
    <row r="2822" spans="2:16" x14ac:dyDescent="0.25">
      <c r="B2822" s="24"/>
      <c r="E2822" s="24"/>
      <c r="G2822" s="24"/>
      <c r="H2822" s="24"/>
      <c r="J2822" s="24"/>
      <c r="K2822" s="24"/>
      <c r="M2822" s="24"/>
      <c r="N2822" s="24"/>
      <c r="P2822" s="24"/>
    </row>
    <row r="2823" spans="2:16" x14ac:dyDescent="0.25">
      <c r="B2823" s="24"/>
      <c r="E2823" s="24"/>
      <c r="G2823" s="24"/>
      <c r="H2823" s="24"/>
      <c r="J2823" s="24"/>
      <c r="K2823" s="24"/>
      <c r="M2823" s="24"/>
      <c r="N2823" s="24"/>
      <c r="P2823" s="24"/>
    </row>
    <row r="2824" spans="2:16" x14ac:dyDescent="0.25">
      <c r="B2824" s="24"/>
      <c r="E2824" s="24"/>
      <c r="G2824" s="24"/>
      <c r="H2824" s="24"/>
      <c r="J2824" s="24"/>
      <c r="K2824" s="24"/>
      <c r="M2824" s="24"/>
      <c r="N2824" s="24"/>
      <c r="P2824" s="24"/>
    </row>
    <row r="2825" spans="2:16" x14ac:dyDescent="0.25">
      <c r="B2825" s="24"/>
      <c r="E2825" s="24"/>
      <c r="G2825" s="24"/>
      <c r="H2825" s="24"/>
      <c r="J2825" s="24"/>
      <c r="K2825" s="24"/>
      <c r="M2825" s="24"/>
      <c r="N2825" s="24"/>
      <c r="P2825" s="24"/>
    </row>
    <row r="2826" spans="2:16" x14ac:dyDescent="0.25">
      <c r="B2826" s="24"/>
      <c r="E2826" s="24"/>
      <c r="G2826" s="24"/>
      <c r="H2826" s="24"/>
      <c r="J2826" s="24"/>
      <c r="K2826" s="24"/>
      <c r="M2826" s="24"/>
      <c r="N2826" s="24"/>
      <c r="P2826" s="24"/>
    </row>
    <row r="2827" spans="2:16" x14ac:dyDescent="0.25">
      <c r="B2827" s="24"/>
      <c r="E2827" s="24"/>
      <c r="G2827" s="24"/>
      <c r="H2827" s="24"/>
      <c r="J2827" s="24"/>
      <c r="K2827" s="24"/>
      <c r="M2827" s="24"/>
      <c r="N2827" s="24"/>
      <c r="P2827" s="24"/>
    </row>
    <row r="2828" spans="2:16" x14ac:dyDescent="0.25">
      <c r="B2828" s="24"/>
      <c r="E2828" s="24"/>
      <c r="G2828" s="24"/>
      <c r="H2828" s="24"/>
      <c r="J2828" s="24"/>
      <c r="K2828" s="24"/>
      <c r="M2828" s="24"/>
      <c r="N2828" s="24"/>
      <c r="P2828" s="24"/>
    </row>
    <row r="2829" spans="2:16" x14ac:dyDescent="0.25">
      <c r="B2829" s="24"/>
      <c r="E2829" s="24"/>
      <c r="G2829" s="24"/>
      <c r="H2829" s="24"/>
      <c r="J2829" s="24"/>
      <c r="K2829" s="24"/>
      <c r="M2829" s="24"/>
      <c r="N2829" s="24"/>
      <c r="P2829" s="24"/>
    </row>
    <row r="2830" spans="2:16" x14ac:dyDescent="0.25">
      <c r="B2830" s="24"/>
      <c r="E2830" s="24"/>
      <c r="G2830" s="24"/>
      <c r="H2830" s="24"/>
      <c r="J2830" s="24"/>
      <c r="K2830" s="24"/>
      <c r="M2830" s="24"/>
      <c r="N2830" s="24"/>
      <c r="P2830" s="24"/>
    </row>
    <row r="2831" spans="2:16" x14ac:dyDescent="0.25">
      <c r="B2831" s="24"/>
      <c r="E2831" s="24"/>
      <c r="G2831" s="24"/>
      <c r="H2831" s="24"/>
      <c r="J2831" s="24"/>
      <c r="K2831" s="24"/>
      <c r="M2831" s="24"/>
      <c r="N2831" s="24"/>
      <c r="P2831" s="24"/>
    </row>
    <row r="2832" spans="2:16" x14ac:dyDescent="0.25">
      <c r="B2832" s="24"/>
      <c r="E2832" s="24"/>
      <c r="G2832" s="24"/>
      <c r="H2832" s="24"/>
      <c r="J2832" s="24"/>
      <c r="K2832" s="24"/>
      <c r="M2832" s="24"/>
      <c r="N2832" s="24"/>
      <c r="P2832" s="24"/>
    </row>
    <row r="2833" spans="2:16" x14ac:dyDescent="0.25">
      <c r="B2833" s="24"/>
      <c r="E2833" s="24"/>
      <c r="G2833" s="24"/>
      <c r="H2833" s="24"/>
      <c r="J2833" s="24"/>
      <c r="K2833" s="24"/>
      <c r="M2833" s="24"/>
      <c r="N2833" s="24"/>
      <c r="P2833" s="24"/>
    </row>
    <row r="2834" spans="2:16" x14ac:dyDescent="0.25">
      <c r="B2834" s="24"/>
      <c r="E2834" s="24"/>
      <c r="G2834" s="24"/>
      <c r="H2834" s="24"/>
      <c r="J2834" s="24"/>
      <c r="K2834" s="24"/>
      <c r="M2834" s="24"/>
      <c r="N2834" s="24"/>
      <c r="P2834" s="24"/>
    </row>
    <row r="2835" spans="2:16" x14ac:dyDescent="0.25">
      <c r="B2835" s="24"/>
      <c r="E2835" s="24"/>
      <c r="G2835" s="24"/>
      <c r="H2835" s="24"/>
      <c r="J2835" s="24"/>
      <c r="K2835" s="24"/>
      <c r="M2835" s="24"/>
      <c r="N2835" s="24"/>
      <c r="P2835" s="24"/>
    </row>
    <row r="2836" spans="2:16" x14ac:dyDescent="0.25">
      <c r="B2836" s="24"/>
      <c r="E2836" s="24"/>
      <c r="G2836" s="24"/>
      <c r="H2836" s="24"/>
      <c r="J2836" s="24"/>
      <c r="K2836" s="24"/>
      <c r="M2836" s="24"/>
      <c r="N2836" s="24"/>
      <c r="P2836" s="24"/>
    </row>
    <row r="2837" spans="2:16" x14ac:dyDescent="0.25">
      <c r="B2837" s="24"/>
      <c r="E2837" s="24"/>
      <c r="G2837" s="24"/>
      <c r="H2837" s="24"/>
      <c r="J2837" s="24"/>
      <c r="K2837" s="24"/>
      <c r="M2837" s="24"/>
      <c r="N2837" s="24"/>
      <c r="P2837" s="24"/>
    </row>
    <row r="2838" spans="2:16" x14ac:dyDescent="0.25">
      <c r="B2838" s="24"/>
      <c r="E2838" s="24"/>
      <c r="G2838" s="24"/>
      <c r="H2838" s="24"/>
      <c r="J2838" s="24"/>
      <c r="K2838" s="24"/>
      <c r="M2838" s="24"/>
      <c r="N2838" s="24"/>
      <c r="P2838" s="24"/>
    </row>
    <row r="2839" spans="2:16" x14ac:dyDescent="0.25">
      <c r="B2839" s="24"/>
      <c r="E2839" s="24"/>
      <c r="G2839" s="24"/>
      <c r="H2839" s="24"/>
      <c r="J2839" s="24"/>
      <c r="K2839" s="24"/>
      <c r="M2839" s="24"/>
      <c r="N2839" s="24"/>
      <c r="P2839" s="24"/>
    </row>
    <row r="2840" spans="2:16" x14ac:dyDescent="0.25">
      <c r="B2840" s="24"/>
      <c r="E2840" s="24"/>
      <c r="G2840" s="24"/>
      <c r="H2840" s="24"/>
      <c r="J2840" s="24"/>
      <c r="K2840" s="24"/>
      <c r="M2840" s="24"/>
      <c r="N2840" s="24"/>
      <c r="P2840" s="24"/>
    </row>
    <row r="2841" spans="2:16" x14ac:dyDescent="0.25">
      <c r="B2841" s="24"/>
      <c r="E2841" s="24"/>
      <c r="G2841" s="24"/>
      <c r="H2841" s="24"/>
      <c r="J2841" s="24"/>
      <c r="K2841" s="24"/>
      <c r="M2841" s="24"/>
      <c r="N2841" s="24"/>
      <c r="P2841" s="24"/>
    </row>
    <row r="2842" spans="2:16" x14ac:dyDescent="0.25">
      <c r="B2842" s="24"/>
      <c r="E2842" s="24"/>
      <c r="G2842" s="24"/>
      <c r="H2842" s="24"/>
      <c r="J2842" s="24"/>
      <c r="K2842" s="24"/>
      <c r="M2842" s="24"/>
      <c r="N2842" s="24"/>
      <c r="P2842" s="24"/>
    </row>
    <row r="2843" spans="2:16" x14ac:dyDescent="0.25">
      <c r="B2843" s="24"/>
      <c r="E2843" s="24"/>
      <c r="G2843" s="24"/>
      <c r="H2843" s="24"/>
      <c r="J2843" s="24"/>
      <c r="K2843" s="24"/>
      <c r="M2843" s="24"/>
      <c r="N2843" s="24"/>
      <c r="P2843" s="24"/>
    </row>
    <row r="2844" spans="2:16" x14ac:dyDescent="0.25">
      <c r="B2844" s="24"/>
      <c r="E2844" s="24"/>
      <c r="G2844" s="24"/>
      <c r="H2844" s="24"/>
      <c r="J2844" s="24"/>
      <c r="K2844" s="24"/>
      <c r="M2844" s="24"/>
      <c r="N2844" s="24"/>
      <c r="P2844" s="24"/>
    </row>
    <row r="2845" spans="2:16" x14ac:dyDescent="0.25">
      <c r="B2845" s="24"/>
      <c r="E2845" s="24"/>
      <c r="G2845" s="24"/>
      <c r="H2845" s="24"/>
      <c r="J2845" s="24"/>
      <c r="K2845" s="24"/>
      <c r="M2845" s="24"/>
      <c r="N2845" s="24"/>
      <c r="P2845" s="24"/>
    </row>
    <row r="2846" spans="2:16" x14ac:dyDescent="0.25">
      <c r="B2846" s="24"/>
      <c r="E2846" s="24"/>
      <c r="G2846" s="24"/>
      <c r="H2846" s="24"/>
      <c r="J2846" s="24"/>
      <c r="K2846" s="24"/>
      <c r="M2846" s="24"/>
      <c r="N2846" s="24"/>
      <c r="P2846" s="24"/>
    </row>
    <row r="2847" spans="2:16" x14ac:dyDescent="0.25">
      <c r="B2847" s="24"/>
      <c r="E2847" s="24"/>
      <c r="G2847" s="24"/>
      <c r="H2847" s="24"/>
      <c r="J2847" s="24"/>
      <c r="K2847" s="24"/>
      <c r="M2847" s="24"/>
      <c r="N2847" s="24"/>
      <c r="P2847" s="24"/>
    </row>
    <row r="2848" spans="2:16" x14ac:dyDescent="0.25">
      <c r="B2848" s="24"/>
      <c r="E2848" s="24"/>
      <c r="G2848" s="24"/>
      <c r="H2848" s="24"/>
      <c r="J2848" s="24"/>
      <c r="K2848" s="24"/>
      <c r="M2848" s="24"/>
      <c r="N2848" s="24"/>
      <c r="P2848" s="24"/>
    </row>
    <row r="2849" spans="2:16" x14ac:dyDescent="0.25">
      <c r="B2849" s="24"/>
      <c r="E2849" s="24"/>
      <c r="G2849" s="24"/>
      <c r="H2849" s="24"/>
      <c r="J2849" s="24"/>
      <c r="K2849" s="24"/>
      <c r="M2849" s="24"/>
      <c r="N2849" s="24"/>
      <c r="P2849" s="24"/>
    </row>
    <row r="2850" spans="2:16" x14ac:dyDescent="0.25">
      <c r="B2850" s="24"/>
      <c r="E2850" s="24"/>
      <c r="G2850" s="24"/>
      <c r="H2850" s="24"/>
      <c r="J2850" s="24"/>
      <c r="K2850" s="24"/>
      <c r="M2850" s="24"/>
      <c r="N2850" s="24"/>
      <c r="P2850" s="24"/>
    </row>
    <row r="2851" spans="2:16" x14ac:dyDescent="0.25">
      <c r="B2851" s="24"/>
      <c r="E2851" s="24"/>
      <c r="G2851" s="24"/>
      <c r="H2851" s="24"/>
      <c r="J2851" s="24"/>
      <c r="K2851" s="24"/>
      <c r="M2851" s="24"/>
      <c r="N2851" s="24"/>
      <c r="P2851" s="24"/>
    </row>
    <row r="2852" spans="2:16" x14ac:dyDescent="0.25">
      <c r="B2852" s="24"/>
      <c r="E2852" s="24"/>
      <c r="G2852" s="24"/>
      <c r="H2852" s="24"/>
      <c r="J2852" s="24"/>
      <c r="K2852" s="24"/>
      <c r="M2852" s="24"/>
      <c r="N2852" s="24"/>
      <c r="P2852" s="24"/>
    </row>
    <row r="2853" spans="2:16" x14ac:dyDescent="0.25">
      <c r="B2853" s="24"/>
      <c r="E2853" s="24"/>
      <c r="G2853" s="24"/>
      <c r="H2853" s="24"/>
      <c r="J2853" s="24"/>
      <c r="K2853" s="24"/>
      <c r="M2853" s="24"/>
      <c r="N2853" s="24"/>
      <c r="P2853" s="24"/>
    </row>
    <row r="2854" spans="2:16" x14ac:dyDescent="0.25">
      <c r="B2854" s="24"/>
      <c r="E2854" s="24"/>
      <c r="G2854" s="24"/>
      <c r="H2854" s="24"/>
      <c r="J2854" s="24"/>
      <c r="K2854" s="24"/>
      <c r="M2854" s="24"/>
      <c r="N2854" s="24"/>
      <c r="P2854" s="24"/>
    </row>
    <row r="2855" spans="2:16" x14ac:dyDescent="0.25">
      <c r="B2855" s="24"/>
      <c r="E2855" s="24"/>
      <c r="G2855" s="24"/>
      <c r="H2855" s="24"/>
      <c r="J2855" s="24"/>
      <c r="K2855" s="24"/>
      <c r="M2855" s="24"/>
      <c r="N2855" s="24"/>
      <c r="P2855" s="24"/>
    </row>
    <row r="2856" spans="2:16" x14ac:dyDescent="0.25">
      <c r="B2856" s="24"/>
      <c r="E2856" s="24"/>
      <c r="G2856" s="24"/>
      <c r="H2856" s="24"/>
      <c r="J2856" s="24"/>
      <c r="K2856" s="24"/>
      <c r="M2856" s="24"/>
      <c r="N2856" s="24"/>
      <c r="P2856" s="24"/>
    </row>
    <row r="2857" spans="2:16" x14ac:dyDescent="0.25">
      <c r="B2857" s="24"/>
      <c r="E2857" s="24"/>
      <c r="G2857" s="24"/>
      <c r="H2857" s="24"/>
      <c r="J2857" s="24"/>
      <c r="K2857" s="24"/>
      <c r="M2857" s="24"/>
      <c r="N2857" s="24"/>
      <c r="P2857" s="24"/>
    </row>
    <row r="2858" spans="2:16" x14ac:dyDescent="0.25">
      <c r="B2858" s="24"/>
      <c r="E2858" s="24"/>
      <c r="G2858" s="24"/>
      <c r="H2858" s="24"/>
      <c r="J2858" s="24"/>
      <c r="K2858" s="24"/>
      <c r="M2858" s="24"/>
      <c r="N2858" s="24"/>
      <c r="P2858" s="24"/>
    </row>
    <row r="2859" spans="2:16" x14ac:dyDescent="0.25">
      <c r="B2859" s="24"/>
      <c r="E2859" s="24"/>
      <c r="G2859" s="24"/>
      <c r="H2859" s="24"/>
      <c r="J2859" s="24"/>
      <c r="K2859" s="24"/>
      <c r="M2859" s="24"/>
      <c r="N2859" s="24"/>
      <c r="P2859" s="24"/>
    </row>
    <row r="2860" spans="2:16" x14ac:dyDescent="0.25">
      <c r="B2860" s="24"/>
      <c r="E2860" s="24"/>
      <c r="G2860" s="24"/>
      <c r="H2860" s="24"/>
      <c r="J2860" s="24"/>
      <c r="K2860" s="24"/>
      <c r="M2860" s="24"/>
      <c r="N2860" s="24"/>
      <c r="P2860" s="24"/>
    </row>
    <row r="2861" spans="2:16" x14ac:dyDescent="0.25">
      <c r="B2861" s="24"/>
      <c r="E2861" s="24"/>
      <c r="G2861" s="24"/>
      <c r="H2861" s="24"/>
      <c r="J2861" s="24"/>
      <c r="K2861" s="24"/>
      <c r="M2861" s="24"/>
      <c r="N2861" s="24"/>
      <c r="P2861" s="24"/>
    </row>
    <row r="2862" spans="2:16" x14ac:dyDescent="0.25">
      <c r="B2862" s="24"/>
      <c r="E2862" s="24"/>
      <c r="G2862" s="24"/>
      <c r="H2862" s="24"/>
      <c r="J2862" s="24"/>
      <c r="K2862" s="24"/>
      <c r="M2862" s="24"/>
      <c r="N2862" s="24"/>
      <c r="P2862" s="24"/>
    </row>
    <row r="2863" spans="2:16" x14ac:dyDescent="0.25">
      <c r="B2863" s="24"/>
      <c r="E2863" s="24"/>
      <c r="G2863" s="24"/>
      <c r="H2863" s="24"/>
      <c r="J2863" s="24"/>
      <c r="K2863" s="24"/>
      <c r="M2863" s="24"/>
      <c r="N2863" s="24"/>
      <c r="P2863" s="24"/>
    </row>
    <row r="2864" spans="2:16" x14ac:dyDescent="0.25">
      <c r="B2864" s="24"/>
      <c r="E2864" s="24"/>
      <c r="G2864" s="24"/>
      <c r="H2864" s="24"/>
      <c r="J2864" s="24"/>
      <c r="K2864" s="24"/>
      <c r="M2864" s="24"/>
      <c r="N2864" s="24"/>
      <c r="P2864" s="24"/>
    </row>
    <row r="2865" spans="2:16" x14ac:dyDescent="0.25">
      <c r="B2865" s="24"/>
      <c r="E2865" s="24"/>
      <c r="G2865" s="24"/>
      <c r="H2865" s="24"/>
      <c r="J2865" s="24"/>
      <c r="K2865" s="24"/>
      <c r="M2865" s="24"/>
      <c r="N2865" s="24"/>
      <c r="P2865" s="24"/>
    </row>
    <row r="2866" spans="2:16" x14ac:dyDescent="0.25">
      <c r="B2866" s="24"/>
      <c r="E2866" s="24"/>
      <c r="G2866" s="24"/>
      <c r="H2866" s="24"/>
      <c r="J2866" s="24"/>
      <c r="K2866" s="24"/>
      <c r="M2866" s="24"/>
      <c r="N2866" s="24"/>
      <c r="P2866" s="24"/>
    </row>
    <row r="2867" spans="2:16" x14ac:dyDescent="0.25">
      <c r="B2867" s="24"/>
      <c r="E2867" s="24"/>
      <c r="G2867" s="24"/>
      <c r="H2867" s="24"/>
      <c r="J2867" s="24"/>
      <c r="K2867" s="24"/>
      <c r="M2867" s="24"/>
      <c r="N2867" s="24"/>
      <c r="P2867" s="24"/>
    </row>
    <row r="2868" spans="2:16" x14ac:dyDescent="0.25">
      <c r="B2868" s="24"/>
      <c r="E2868" s="24"/>
      <c r="G2868" s="24"/>
      <c r="H2868" s="24"/>
      <c r="J2868" s="24"/>
      <c r="K2868" s="24"/>
      <c r="M2868" s="24"/>
      <c r="N2868" s="24"/>
      <c r="P2868" s="24"/>
    </row>
    <row r="2869" spans="2:16" x14ac:dyDescent="0.25">
      <c r="B2869" s="24"/>
      <c r="E2869" s="24"/>
      <c r="G2869" s="24"/>
      <c r="H2869" s="24"/>
      <c r="J2869" s="24"/>
      <c r="K2869" s="24"/>
      <c r="M2869" s="24"/>
      <c r="N2869" s="24"/>
      <c r="P2869" s="24"/>
    </row>
    <row r="2870" spans="2:16" x14ac:dyDescent="0.25">
      <c r="B2870" s="24"/>
      <c r="E2870" s="24"/>
      <c r="G2870" s="24"/>
      <c r="H2870" s="24"/>
      <c r="J2870" s="24"/>
      <c r="K2870" s="24"/>
      <c r="M2870" s="24"/>
      <c r="N2870" s="24"/>
      <c r="P2870" s="24"/>
    </row>
    <row r="2871" spans="2:16" x14ac:dyDescent="0.25">
      <c r="B2871" s="24"/>
      <c r="E2871" s="24"/>
      <c r="G2871" s="24"/>
      <c r="H2871" s="24"/>
      <c r="J2871" s="24"/>
      <c r="K2871" s="24"/>
      <c r="M2871" s="24"/>
      <c r="N2871" s="24"/>
      <c r="P2871" s="24"/>
    </row>
    <row r="2872" spans="2:16" x14ac:dyDescent="0.25">
      <c r="B2872" s="24"/>
      <c r="E2872" s="24"/>
      <c r="G2872" s="24"/>
      <c r="H2872" s="24"/>
      <c r="J2872" s="24"/>
      <c r="K2872" s="24"/>
      <c r="M2872" s="24"/>
      <c r="N2872" s="24"/>
      <c r="P2872" s="24"/>
    </row>
    <row r="2873" spans="2:16" x14ac:dyDescent="0.25">
      <c r="B2873" s="24"/>
      <c r="E2873" s="24"/>
      <c r="G2873" s="24"/>
      <c r="H2873" s="24"/>
      <c r="J2873" s="24"/>
      <c r="K2873" s="24"/>
      <c r="M2873" s="24"/>
      <c r="N2873" s="24"/>
      <c r="P2873" s="24"/>
    </row>
    <row r="2874" spans="2:16" x14ac:dyDescent="0.25">
      <c r="B2874" s="24"/>
      <c r="E2874" s="24"/>
      <c r="G2874" s="24"/>
      <c r="H2874" s="24"/>
      <c r="J2874" s="24"/>
      <c r="K2874" s="24"/>
      <c r="M2874" s="24"/>
      <c r="N2874" s="24"/>
      <c r="P2874" s="24"/>
    </row>
    <row r="2875" spans="2:16" x14ac:dyDescent="0.25">
      <c r="B2875" s="24"/>
      <c r="E2875" s="24"/>
      <c r="G2875" s="24"/>
      <c r="H2875" s="24"/>
      <c r="J2875" s="24"/>
      <c r="K2875" s="24"/>
      <c r="M2875" s="24"/>
      <c r="N2875" s="24"/>
      <c r="P2875" s="24"/>
    </row>
    <row r="2876" spans="2:16" x14ac:dyDescent="0.25">
      <c r="B2876" s="24"/>
      <c r="E2876" s="24"/>
      <c r="G2876" s="24"/>
      <c r="H2876" s="24"/>
      <c r="J2876" s="24"/>
      <c r="K2876" s="24"/>
      <c r="M2876" s="24"/>
      <c r="N2876" s="24"/>
      <c r="P2876" s="24"/>
    </row>
    <row r="2877" spans="2:16" x14ac:dyDescent="0.25">
      <c r="B2877" s="24"/>
      <c r="E2877" s="24"/>
      <c r="G2877" s="24"/>
      <c r="H2877" s="24"/>
      <c r="J2877" s="24"/>
      <c r="K2877" s="24"/>
      <c r="M2877" s="24"/>
      <c r="N2877" s="24"/>
      <c r="P2877" s="24"/>
    </row>
    <row r="2878" spans="2:16" x14ac:dyDescent="0.25">
      <c r="B2878" s="24"/>
      <c r="E2878" s="24"/>
      <c r="G2878" s="24"/>
      <c r="H2878" s="24"/>
      <c r="J2878" s="24"/>
      <c r="K2878" s="24"/>
      <c r="M2878" s="24"/>
      <c r="N2878" s="24"/>
      <c r="P2878" s="24"/>
    </row>
    <row r="2879" spans="2:16" x14ac:dyDescent="0.25">
      <c r="B2879" s="24"/>
      <c r="E2879" s="24"/>
      <c r="G2879" s="24"/>
      <c r="H2879" s="24"/>
      <c r="J2879" s="24"/>
      <c r="K2879" s="24"/>
      <c r="M2879" s="24"/>
      <c r="N2879" s="24"/>
      <c r="P2879" s="24"/>
    </row>
    <row r="2880" spans="2:16" x14ac:dyDescent="0.25">
      <c r="B2880" s="24"/>
      <c r="E2880" s="24"/>
      <c r="G2880" s="24"/>
      <c r="H2880" s="24"/>
      <c r="J2880" s="24"/>
      <c r="K2880" s="24"/>
      <c r="M2880" s="24"/>
      <c r="N2880" s="24"/>
      <c r="P2880" s="24"/>
    </row>
    <row r="2881" spans="2:16" x14ac:dyDescent="0.25">
      <c r="B2881" s="24"/>
      <c r="E2881" s="24"/>
      <c r="G2881" s="24"/>
      <c r="H2881" s="24"/>
      <c r="J2881" s="24"/>
      <c r="K2881" s="24"/>
      <c r="M2881" s="24"/>
      <c r="N2881" s="24"/>
      <c r="P2881" s="24"/>
    </row>
    <row r="2882" spans="2:16" x14ac:dyDescent="0.25">
      <c r="B2882" s="24"/>
      <c r="E2882" s="24"/>
      <c r="G2882" s="24"/>
      <c r="H2882" s="24"/>
      <c r="J2882" s="24"/>
      <c r="K2882" s="24"/>
      <c r="M2882" s="24"/>
      <c r="N2882" s="24"/>
      <c r="P2882" s="24"/>
    </row>
    <row r="2883" spans="2:16" x14ac:dyDescent="0.25">
      <c r="B2883" s="24"/>
      <c r="E2883" s="24"/>
      <c r="G2883" s="24"/>
      <c r="H2883" s="24"/>
      <c r="J2883" s="24"/>
      <c r="K2883" s="24"/>
      <c r="M2883" s="24"/>
      <c r="N2883" s="24"/>
      <c r="P2883" s="24"/>
    </row>
    <row r="2884" spans="2:16" x14ac:dyDescent="0.25">
      <c r="B2884" s="24"/>
      <c r="E2884" s="24"/>
      <c r="G2884" s="24"/>
      <c r="H2884" s="24"/>
      <c r="J2884" s="24"/>
      <c r="K2884" s="24"/>
      <c r="M2884" s="24"/>
      <c r="N2884" s="24"/>
      <c r="P2884" s="24"/>
    </row>
    <row r="2885" spans="2:16" x14ac:dyDescent="0.25">
      <c r="B2885" s="24"/>
      <c r="E2885" s="24"/>
      <c r="G2885" s="24"/>
      <c r="H2885" s="24"/>
      <c r="J2885" s="24"/>
      <c r="K2885" s="24"/>
      <c r="M2885" s="24"/>
      <c r="N2885" s="24"/>
      <c r="P2885" s="24"/>
    </row>
    <row r="2886" spans="2:16" x14ac:dyDescent="0.25">
      <c r="B2886" s="24"/>
      <c r="E2886" s="24"/>
      <c r="G2886" s="24"/>
      <c r="H2886" s="24"/>
      <c r="J2886" s="24"/>
      <c r="K2886" s="24"/>
      <c r="M2886" s="24"/>
      <c r="N2886" s="24"/>
      <c r="P2886" s="24"/>
    </row>
    <row r="2887" spans="2:16" x14ac:dyDescent="0.25">
      <c r="B2887" s="24"/>
      <c r="E2887" s="24"/>
      <c r="G2887" s="24"/>
      <c r="H2887" s="24"/>
      <c r="J2887" s="24"/>
      <c r="K2887" s="24"/>
      <c r="M2887" s="24"/>
      <c r="N2887" s="24"/>
      <c r="P2887" s="24"/>
    </row>
    <row r="2888" spans="2:16" x14ac:dyDescent="0.25">
      <c r="B2888" s="24"/>
      <c r="E2888" s="24"/>
      <c r="G2888" s="24"/>
      <c r="H2888" s="24"/>
      <c r="J2888" s="24"/>
      <c r="K2888" s="24"/>
      <c r="M2888" s="24"/>
      <c r="N2888" s="24"/>
      <c r="P2888" s="24"/>
    </row>
    <row r="2889" spans="2:16" x14ac:dyDescent="0.25">
      <c r="B2889" s="24"/>
      <c r="E2889" s="24"/>
      <c r="G2889" s="24"/>
      <c r="H2889" s="24"/>
      <c r="J2889" s="24"/>
      <c r="K2889" s="24"/>
      <c r="M2889" s="24"/>
      <c r="N2889" s="24"/>
      <c r="P2889" s="24"/>
    </row>
    <row r="2890" spans="2:16" x14ac:dyDescent="0.25">
      <c r="B2890" s="24"/>
      <c r="E2890" s="24"/>
      <c r="G2890" s="24"/>
      <c r="H2890" s="24"/>
      <c r="J2890" s="24"/>
      <c r="K2890" s="24"/>
      <c r="M2890" s="24"/>
      <c r="N2890" s="24"/>
      <c r="P2890" s="24"/>
    </row>
    <row r="2891" spans="2:16" x14ac:dyDescent="0.25">
      <c r="B2891" s="24"/>
      <c r="E2891" s="24"/>
      <c r="G2891" s="24"/>
      <c r="H2891" s="24"/>
      <c r="J2891" s="24"/>
      <c r="K2891" s="24"/>
      <c r="M2891" s="24"/>
      <c r="N2891" s="24"/>
      <c r="P2891" s="24"/>
    </row>
    <row r="2892" spans="2:16" x14ac:dyDescent="0.25">
      <c r="B2892" s="24"/>
      <c r="E2892" s="24"/>
      <c r="G2892" s="24"/>
      <c r="H2892" s="24"/>
      <c r="J2892" s="24"/>
      <c r="K2892" s="24"/>
      <c r="M2892" s="24"/>
      <c r="N2892" s="24"/>
      <c r="P2892" s="24"/>
    </row>
    <row r="2893" spans="2:16" x14ac:dyDescent="0.25">
      <c r="B2893" s="24"/>
      <c r="E2893" s="24"/>
      <c r="G2893" s="24"/>
      <c r="H2893" s="24"/>
      <c r="J2893" s="24"/>
      <c r="K2893" s="24"/>
      <c r="M2893" s="24"/>
      <c r="N2893" s="24"/>
      <c r="P2893" s="24"/>
    </row>
    <row r="2894" spans="2:16" x14ac:dyDescent="0.25">
      <c r="B2894" s="24"/>
      <c r="E2894" s="24"/>
      <c r="G2894" s="24"/>
      <c r="H2894" s="24"/>
      <c r="J2894" s="24"/>
      <c r="K2894" s="24"/>
      <c r="M2894" s="24"/>
      <c r="N2894" s="24"/>
      <c r="P2894" s="24"/>
    </row>
    <row r="2895" spans="2:16" x14ac:dyDescent="0.25">
      <c r="B2895" s="24"/>
      <c r="E2895" s="24"/>
      <c r="G2895" s="24"/>
      <c r="H2895" s="24"/>
      <c r="J2895" s="24"/>
      <c r="K2895" s="24"/>
      <c r="M2895" s="24"/>
      <c r="N2895" s="24"/>
      <c r="P2895" s="24"/>
    </row>
    <row r="2896" spans="2:16" x14ac:dyDescent="0.25">
      <c r="B2896" s="24"/>
      <c r="E2896" s="24"/>
      <c r="G2896" s="24"/>
      <c r="H2896" s="24"/>
      <c r="J2896" s="24"/>
      <c r="K2896" s="24"/>
      <c r="M2896" s="24"/>
      <c r="N2896" s="24"/>
      <c r="P2896" s="24"/>
    </row>
    <row r="2897" spans="2:16" x14ac:dyDescent="0.25">
      <c r="B2897" s="24"/>
      <c r="E2897" s="24"/>
      <c r="G2897" s="24"/>
      <c r="H2897" s="24"/>
      <c r="J2897" s="24"/>
      <c r="K2897" s="24"/>
      <c r="M2897" s="24"/>
      <c r="N2897" s="24"/>
      <c r="P2897" s="24"/>
    </row>
    <row r="2898" spans="2:16" x14ac:dyDescent="0.25">
      <c r="B2898" s="24"/>
      <c r="E2898" s="24"/>
      <c r="G2898" s="24"/>
      <c r="H2898" s="24"/>
      <c r="J2898" s="24"/>
      <c r="K2898" s="24"/>
      <c r="M2898" s="24"/>
      <c r="N2898" s="24"/>
      <c r="P2898" s="24"/>
    </row>
    <row r="2899" spans="2:16" x14ac:dyDescent="0.25">
      <c r="B2899" s="24"/>
      <c r="E2899" s="24"/>
      <c r="G2899" s="24"/>
      <c r="H2899" s="24"/>
      <c r="J2899" s="24"/>
      <c r="K2899" s="24"/>
      <c r="M2899" s="24"/>
      <c r="N2899" s="24"/>
      <c r="P2899" s="24"/>
    </row>
    <row r="2900" spans="2:16" x14ac:dyDescent="0.25">
      <c r="B2900" s="24"/>
      <c r="E2900" s="24"/>
      <c r="G2900" s="24"/>
      <c r="H2900" s="24"/>
      <c r="J2900" s="24"/>
      <c r="K2900" s="24"/>
      <c r="M2900" s="24"/>
      <c r="N2900" s="24"/>
      <c r="P2900" s="24"/>
    </row>
    <row r="2901" spans="2:16" x14ac:dyDescent="0.25">
      <c r="B2901" s="24"/>
      <c r="E2901" s="24"/>
      <c r="G2901" s="24"/>
      <c r="H2901" s="24"/>
      <c r="J2901" s="24"/>
      <c r="K2901" s="24"/>
      <c r="M2901" s="24"/>
      <c r="N2901" s="24"/>
      <c r="P2901" s="24"/>
    </row>
    <row r="2902" spans="2:16" x14ac:dyDescent="0.25">
      <c r="B2902" s="24"/>
      <c r="E2902" s="24"/>
      <c r="G2902" s="24"/>
      <c r="H2902" s="24"/>
      <c r="J2902" s="24"/>
      <c r="K2902" s="24"/>
      <c r="M2902" s="24"/>
      <c r="N2902" s="24"/>
      <c r="P2902" s="24"/>
    </row>
    <row r="2903" spans="2:16" x14ac:dyDescent="0.25">
      <c r="B2903" s="24"/>
      <c r="E2903" s="24"/>
      <c r="G2903" s="24"/>
      <c r="H2903" s="24"/>
      <c r="J2903" s="24"/>
      <c r="K2903" s="24"/>
      <c r="M2903" s="24"/>
      <c r="N2903" s="24"/>
      <c r="P2903" s="24"/>
    </row>
    <row r="2904" spans="2:16" x14ac:dyDescent="0.25">
      <c r="B2904" s="24"/>
      <c r="E2904" s="24"/>
      <c r="G2904" s="24"/>
      <c r="H2904" s="24"/>
      <c r="J2904" s="24"/>
      <c r="K2904" s="24"/>
      <c r="M2904" s="24"/>
      <c r="N2904" s="24"/>
      <c r="P2904" s="24"/>
    </row>
    <row r="2905" spans="2:16" x14ac:dyDescent="0.25">
      <c r="B2905" s="24"/>
      <c r="E2905" s="24"/>
      <c r="G2905" s="24"/>
      <c r="H2905" s="24"/>
      <c r="J2905" s="24"/>
      <c r="K2905" s="24"/>
      <c r="M2905" s="24"/>
      <c r="N2905" s="24"/>
      <c r="P2905" s="24"/>
    </row>
    <row r="2906" spans="2:16" x14ac:dyDescent="0.25">
      <c r="B2906" s="24"/>
      <c r="E2906" s="24"/>
      <c r="G2906" s="24"/>
      <c r="H2906" s="24"/>
      <c r="J2906" s="24"/>
      <c r="K2906" s="24"/>
      <c r="M2906" s="24"/>
      <c r="N2906" s="24"/>
      <c r="P2906" s="24"/>
    </row>
    <row r="2907" spans="2:16" x14ac:dyDescent="0.25">
      <c r="B2907" s="24"/>
      <c r="E2907" s="24"/>
      <c r="G2907" s="24"/>
      <c r="H2907" s="24"/>
      <c r="J2907" s="24"/>
      <c r="K2907" s="24"/>
      <c r="M2907" s="24"/>
      <c r="N2907" s="24"/>
      <c r="P2907" s="24"/>
    </row>
    <row r="2908" spans="2:16" x14ac:dyDescent="0.25">
      <c r="B2908" s="24"/>
      <c r="E2908" s="24"/>
      <c r="G2908" s="24"/>
      <c r="H2908" s="24"/>
      <c r="J2908" s="24"/>
      <c r="K2908" s="24"/>
      <c r="M2908" s="24"/>
      <c r="N2908" s="24"/>
      <c r="P2908" s="24"/>
    </row>
    <row r="2909" spans="2:16" x14ac:dyDescent="0.25">
      <c r="B2909" s="24"/>
      <c r="E2909" s="24"/>
      <c r="G2909" s="24"/>
      <c r="H2909" s="24"/>
      <c r="J2909" s="24"/>
      <c r="K2909" s="24"/>
      <c r="M2909" s="24"/>
      <c r="N2909" s="24"/>
      <c r="P2909" s="24"/>
    </row>
    <row r="2910" spans="2:16" x14ac:dyDescent="0.25">
      <c r="B2910" s="24"/>
      <c r="E2910" s="24"/>
      <c r="G2910" s="24"/>
      <c r="H2910" s="24"/>
      <c r="J2910" s="24"/>
      <c r="K2910" s="24"/>
      <c r="M2910" s="24"/>
      <c r="N2910" s="24"/>
      <c r="P2910" s="24"/>
    </row>
    <row r="2911" spans="2:16" x14ac:dyDescent="0.25">
      <c r="B2911" s="24"/>
      <c r="E2911" s="24"/>
      <c r="G2911" s="24"/>
      <c r="H2911" s="24"/>
      <c r="J2911" s="24"/>
      <c r="K2911" s="24"/>
      <c r="M2911" s="24"/>
      <c r="N2911" s="24"/>
      <c r="P2911" s="24"/>
    </row>
    <row r="2912" spans="2:16" x14ac:dyDescent="0.25">
      <c r="B2912" s="24"/>
      <c r="E2912" s="24"/>
      <c r="G2912" s="24"/>
      <c r="H2912" s="24"/>
      <c r="J2912" s="24"/>
      <c r="K2912" s="24"/>
      <c r="M2912" s="24"/>
      <c r="N2912" s="24"/>
      <c r="P2912" s="24"/>
    </row>
    <row r="2913" spans="2:16" x14ac:dyDescent="0.25">
      <c r="B2913" s="24"/>
      <c r="E2913" s="24"/>
      <c r="G2913" s="24"/>
      <c r="H2913" s="24"/>
      <c r="J2913" s="24"/>
      <c r="K2913" s="24"/>
      <c r="M2913" s="24"/>
      <c r="N2913" s="24"/>
      <c r="P2913" s="24"/>
    </row>
    <row r="2914" spans="2:16" x14ac:dyDescent="0.25">
      <c r="B2914" s="24"/>
      <c r="E2914" s="24"/>
      <c r="G2914" s="24"/>
      <c r="H2914" s="24"/>
      <c r="J2914" s="24"/>
      <c r="K2914" s="24"/>
      <c r="M2914" s="24"/>
      <c r="N2914" s="24"/>
      <c r="P2914" s="24"/>
    </row>
    <row r="2915" spans="2:16" x14ac:dyDescent="0.25">
      <c r="B2915" s="24"/>
      <c r="E2915" s="24"/>
      <c r="G2915" s="24"/>
      <c r="H2915" s="24"/>
      <c r="J2915" s="24"/>
      <c r="K2915" s="24"/>
      <c r="M2915" s="24"/>
      <c r="N2915" s="24"/>
      <c r="P2915" s="24"/>
    </row>
    <row r="2916" spans="2:16" x14ac:dyDescent="0.25">
      <c r="B2916" s="24"/>
      <c r="E2916" s="24"/>
      <c r="G2916" s="24"/>
      <c r="H2916" s="24"/>
      <c r="J2916" s="24"/>
      <c r="K2916" s="24"/>
      <c r="M2916" s="24"/>
      <c r="N2916" s="24"/>
      <c r="P2916" s="24"/>
    </row>
    <row r="2917" spans="2:16" x14ac:dyDescent="0.25">
      <c r="B2917" s="24"/>
      <c r="E2917" s="24"/>
      <c r="G2917" s="24"/>
      <c r="H2917" s="24"/>
      <c r="J2917" s="24"/>
      <c r="K2917" s="24"/>
      <c r="M2917" s="24"/>
      <c r="N2917" s="24"/>
      <c r="P2917" s="24"/>
    </row>
    <row r="2918" spans="2:16" x14ac:dyDescent="0.25">
      <c r="B2918" s="24"/>
      <c r="E2918" s="24"/>
      <c r="G2918" s="24"/>
      <c r="H2918" s="24"/>
      <c r="J2918" s="24"/>
      <c r="K2918" s="24"/>
      <c r="M2918" s="24"/>
      <c r="N2918" s="24"/>
      <c r="P2918" s="24"/>
    </row>
    <row r="2919" spans="2:16" x14ac:dyDescent="0.25">
      <c r="B2919" s="24"/>
      <c r="E2919" s="24"/>
      <c r="G2919" s="24"/>
      <c r="H2919" s="24"/>
      <c r="J2919" s="24"/>
      <c r="K2919" s="24"/>
      <c r="M2919" s="24"/>
      <c r="N2919" s="24"/>
      <c r="P2919" s="24"/>
    </row>
    <row r="2920" spans="2:16" x14ac:dyDescent="0.25">
      <c r="B2920" s="24"/>
      <c r="E2920" s="24"/>
      <c r="G2920" s="24"/>
      <c r="H2920" s="24"/>
      <c r="J2920" s="24"/>
      <c r="K2920" s="24"/>
      <c r="M2920" s="24"/>
      <c r="N2920" s="24"/>
      <c r="P2920" s="24"/>
    </row>
    <row r="2921" spans="2:16" x14ac:dyDescent="0.25">
      <c r="B2921" s="24"/>
      <c r="E2921" s="24"/>
      <c r="G2921" s="24"/>
      <c r="H2921" s="24"/>
      <c r="J2921" s="24"/>
      <c r="K2921" s="24"/>
      <c r="M2921" s="24"/>
      <c r="N2921" s="24"/>
      <c r="P2921" s="24"/>
    </row>
    <row r="2922" spans="2:16" x14ac:dyDescent="0.25">
      <c r="B2922" s="24"/>
      <c r="E2922" s="24"/>
      <c r="G2922" s="24"/>
      <c r="H2922" s="24"/>
      <c r="J2922" s="24"/>
      <c r="K2922" s="24"/>
      <c r="M2922" s="24"/>
      <c r="N2922" s="24"/>
      <c r="P2922" s="24"/>
    </row>
    <row r="2923" spans="2:16" x14ac:dyDescent="0.25">
      <c r="B2923" s="24"/>
      <c r="E2923" s="24"/>
      <c r="G2923" s="24"/>
      <c r="H2923" s="24"/>
      <c r="J2923" s="24"/>
      <c r="K2923" s="24"/>
      <c r="M2923" s="24"/>
      <c r="N2923" s="24"/>
      <c r="P2923" s="24"/>
    </row>
    <row r="2924" spans="2:16" x14ac:dyDescent="0.25">
      <c r="B2924" s="24"/>
      <c r="E2924" s="24"/>
      <c r="G2924" s="24"/>
      <c r="H2924" s="24"/>
      <c r="J2924" s="24"/>
      <c r="K2924" s="24"/>
      <c r="M2924" s="24"/>
      <c r="N2924" s="24"/>
      <c r="P2924" s="24"/>
    </row>
    <row r="2925" spans="2:16" x14ac:dyDescent="0.25">
      <c r="B2925" s="24"/>
      <c r="E2925" s="24"/>
      <c r="G2925" s="24"/>
      <c r="H2925" s="24"/>
      <c r="J2925" s="24"/>
      <c r="K2925" s="24"/>
      <c r="M2925" s="24"/>
      <c r="N2925" s="24"/>
      <c r="P2925" s="24"/>
    </row>
    <row r="2926" spans="2:16" x14ac:dyDescent="0.25">
      <c r="B2926" s="24"/>
      <c r="E2926" s="24"/>
      <c r="G2926" s="24"/>
      <c r="H2926" s="24"/>
      <c r="J2926" s="24"/>
      <c r="K2926" s="24"/>
      <c r="M2926" s="24"/>
      <c r="N2926" s="24"/>
      <c r="P2926" s="24"/>
    </row>
    <row r="2927" spans="2:16" x14ac:dyDescent="0.25">
      <c r="B2927" s="24"/>
      <c r="E2927" s="24"/>
      <c r="G2927" s="24"/>
      <c r="H2927" s="24"/>
      <c r="J2927" s="24"/>
      <c r="K2927" s="24"/>
      <c r="M2927" s="24"/>
      <c r="N2927" s="24"/>
      <c r="P2927" s="24"/>
    </row>
    <row r="2928" spans="2:16" x14ac:dyDescent="0.25">
      <c r="B2928" s="24"/>
      <c r="E2928" s="24"/>
      <c r="G2928" s="24"/>
      <c r="H2928" s="24"/>
      <c r="J2928" s="24"/>
      <c r="K2928" s="24"/>
      <c r="M2928" s="24"/>
      <c r="N2928" s="24"/>
      <c r="P2928" s="24"/>
    </row>
    <row r="2929" spans="2:16" x14ac:dyDescent="0.25">
      <c r="B2929" s="24"/>
      <c r="E2929" s="24"/>
      <c r="G2929" s="24"/>
      <c r="H2929" s="24"/>
      <c r="J2929" s="24"/>
      <c r="K2929" s="24"/>
      <c r="M2929" s="24"/>
      <c r="N2929" s="24"/>
      <c r="P2929" s="24"/>
    </row>
    <row r="2930" spans="2:16" x14ac:dyDescent="0.25">
      <c r="B2930" s="24"/>
      <c r="E2930" s="24"/>
      <c r="G2930" s="24"/>
      <c r="H2930" s="24"/>
      <c r="J2930" s="24"/>
      <c r="K2930" s="24"/>
      <c r="M2930" s="24"/>
      <c r="N2930" s="24"/>
      <c r="P2930" s="24"/>
    </row>
    <row r="2931" spans="2:16" x14ac:dyDescent="0.25">
      <c r="B2931" s="24"/>
      <c r="E2931" s="24"/>
      <c r="G2931" s="24"/>
      <c r="H2931" s="24"/>
      <c r="J2931" s="24"/>
      <c r="K2931" s="24"/>
      <c r="M2931" s="24"/>
      <c r="N2931" s="24"/>
      <c r="P2931" s="24"/>
    </row>
    <row r="2932" spans="2:16" x14ac:dyDescent="0.25">
      <c r="B2932" s="24"/>
      <c r="E2932" s="24"/>
      <c r="G2932" s="24"/>
      <c r="H2932" s="24"/>
      <c r="J2932" s="24"/>
      <c r="K2932" s="24"/>
      <c r="M2932" s="24"/>
      <c r="N2932" s="24"/>
      <c r="P2932" s="24"/>
    </row>
    <row r="2933" spans="2:16" x14ac:dyDescent="0.25">
      <c r="B2933" s="24"/>
      <c r="E2933" s="24"/>
      <c r="G2933" s="24"/>
      <c r="H2933" s="24"/>
      <c r="J2933" s="24"/>
      <c r="K2933" s="24"/>
      <c r="M2933" s="24"/>
      <c r="N2933" s="24"/>
      <c r="P2933" s="24"/>
    </row>
    <row r="2934" spans="2:16" x14ac:dyDescent="0.25">
      <c r="B2934" s="24"/>
      <c r="E2934" s="24"/>
      <c r="G2934" s="24"/>
      <c r="H2934" s="24"/>
      <c r="J2934" s="24"/>
      <c r="K2934" s="24"/>
      <c r="M2934" s="24"/>
      <c r="N2934" s="24"/>
      <c r="P2934" s="24"/>
    </row>
    <row r="2935" spans="2:16" x14ac:dyDescent="0.25">
      <c r="B2935" s="24"/>
      <c r="E2935" s="24"/>
      <c r="G2935" s="24"/>
      <c r="H2935" s="24"/>
      <c r="J2935" s="24"/>
      <c r="K2935" s="24"/>
      <c r="M2935" s="24"/>
      <c r="N2935" s="24"/>
      <c r="P2935" s="24"/>
    </row>
    <row r="2936" spans="2:16" x14ac:dyDescent="0.25">
      <c r="B2936" s="24"/>
      <c r="E2936" s="24"/>
      <c r="G2936" s="24"/>
      <c r="H2936" s="24"/>
      <c r="J2936" s="24"/>
      <c r="K2936" s="24"/>
      <c r="M2936" s="24"/>
      <c r="N2936" s="24"/>
      <c r="P2936" s="24"/>
    </row>
    <row r="2937" spans="2:16" x14ac:dyDescent="0.25">
      <c r="B2937" s="24"/>
      <c r="E2937" s="24"/>
      <c r="G2937" s="24"/>
      <c r="H2937" s="24"/>
      <c r="J2937" s="24"/>
      <c r="K2937" s="24"/>
      <c r="M2937" s="24"/>
      <c r="N2937" s="24"/>
      <c r="P2937" s="24"/>
    </row>
    <row r="2938" spans="2:16" x14ac:dyDescent="0.25">
      <c r="B2938" s="24"/>
      <c r="E2938" s="24"/>
      <c r="G2938" s="24"/>
      <c r="H2938" s="24"/>
      <c r="J2938" s="24"/>
      <c r="K2938" s="24"/>
      <c r="M2938" s="24"/>
      <c r="N2938" s="24"/>
      <c r="P2938" s="24"/>
    </row>
    <row r="2939" spans="2:16" x14ac:dyDescent="0.25">
      <c r="B2939" s="24"/>
      <c r="E2939" s="24"/>
      <c r="G2939" s="24"/>
      <c r="H2939" s="24"/>
      <c r="J2939" s="24"/>
      <c r="K2939" s="24"/>
      <c r="M2939" s="24"/>
      <c r="N2939" s="24"/>
      <c r="P2939" s="24"/>
    </row>
    <row r="2940" spans="2:16" x14ac:dyDescent="0.25">
      <c r="B2940" s="24"/>
      <c r="E2940" s="24"/>
      <c r="G2940" s="24"/>
      <c r="H2940" s="24"/>
      <c r="J2940" s="24"/>
      <c r="K2940" s="24"/>
      <c r="M2940" s="24"/>
      <c r="N2940" s="24"/>
      <c r="P2940" s="24"/>
    </row>
    <row r="2941" spans="2:16" x14ac:dyDescent="0.25">
      <c r="B2941" s="24"/>
      <c r="E2941" s="24"/>
      <c r="G2941" s="24"/>
      <c r="H2941" s="24"/>
      <c r="J2941" s="24"/>
      <c r="K2941" s="24"/>
      <c r="M2941" s="24"/>
      <c r="N2941" s="24"/>
      <c r="P2941" s="24"/>
    </row>
    <row r="2942" spans="2:16" x14ac:dyDescent="0.25">
      <c r="B2942" s="24"/>
      <c r="E2942" s="24"/>
      <c r="G2942" s="24"/>
      <c r="H2942" s="24"/>
      <c r="J2942" s="24"/>
      <c r="K2942" s="24"/>
      <c r="M2942" s="24"/>
      <c r="N2942" s="24"/>
      <c r="P2942" s="24"/>
    </row>
    <row r="2943" spans="2:16" x14ac:dyDescent="0.25">
      <c r="B2943" s="24"/>
      <c r="E2943" s="24"/>
      <c r="G2943" s="24"/>
      <c r="H2943" s="24"/>
      <c r="J2943" s="24"/>
      <c r="K2943" s="24"/>
      <c r="M2943" s="24"/>
      <c r="N2943" s="24"/>
      <c r="P2943" s="24"/>
    </row>
    <row r="2944" spans="2:16" x14ac:dyDescent="0.25">
      <c r="B2944" s="24"/>
      <c r="E2944" s="24"/>
      <c r="G2944" s="24"/>
      <c r="H2944" s="24"/>
      <c r="J2944" s="24"/>
      <c r="K2944" s="24"/>
      <c r="M2944" s="24"/>
      <c r="N2944" s="24"/>
      <c r="P2944" s="24"/>
    </row>
    <row r="2945" spans="2:16" x14ac:dyDescent="0.25">
      <c r="B2945" s="24"/>
      <c r="E2945" s="24"/>
      <c r="G2945" s="24"/>
      <c r="H2945" s="24"/>
      <c r="J2945" s="24"/>
      <c r="K2945" s="24"/>
      <c r="M2945" s="24"/>
      <c r="N2945" s="24"/>
      <c r="P2945" s="24"/>
    </row>
    <row r="2946" spans="2:16" x14ac:dyDescent="0.25">
      <c r="B2946" s="24"/>
      <c r="E2946" s="24"/>
      <c r="G2946" s="24"/>
      <c r="H2946" s="24"/>
      <c r="J2946" s="24"/>
      <c r="K2946" s="24"/>
      <c r="M2946" s="24"/>
      <c r="N2946" s="24"/>
      <c r="P2946" s="24"/>
    </row>
    <row r="2947" spans="2:16" x14ac:dyDescent="0.25">
      <c r="B2947" s="24"/>
      <c r="E2947" s="24"/>
      <c r="G2947" s="24"/>
      <c r="H2947" s="24"/>
      <c r="J2947" s="24"/>
      <c r="K2947" s="24"/>
      <c r="M2947" s="24"/>
      <c r="N2947" s="24"/>
      <c r="P2947" s="24"/>
    </row>
    <row r="2948" spans="2:16" x14ac:dyDescent="0.25">
      <c r="B2948" s="24"/>
      <c r="E2948" s="24"/>
      <c r="G2948" s="24"/>
      <c r="H2948" s="24"/>
      <c r="J2948" s="24"/>
      <c r="K2948" s="24"/>
      <c r="M2948" s="24"/>
      <c r="N2948" s="24"/>
      <c r="P2948" s="24"/>
    </row>
    <row r="2949" spans="2:16" x14ac:dyDescent="0.25">
      <c r="B2949" s="24"/>
      <c r="E2949" s="24"/>
      <c r="G2949" s="24"/>
      <c r="H2949" s="24"/>
      <c r="J2949" s="24"/>
      <c r="K2949" s="24"/>
      <c r="M2949" s="24"/>
      <c r="N2949" s="24"/>
      <c r="P2949" s="24"/>
    </row>
    <row r="2950" spans="2:16" x14ac:dyDescent="0.25">
      <c r="B2950" s="24"/>
      <c r="E2950" s="24"/>
      <c r="G2950" s="24"/>
      <c r="H2950" s="24"/>
      <c r="J2950" s="24"/>
      <c r="K2950" s="24"/>
      <c r="M2950" s="24"/>
      <c r="N2950" s="24"/>
      <c r="P2950" s="24"/>
    </row>
    <row r="2951" spans="2:16" x14ac:dyDescent="0.25">
      <c r="B2951" s="24"/>
      <c r="E2951" s="24"/>
      <c r="G2951" s="24"/>
      <c r="H2951" s="24"/>
      <c r="J2951" s="24"/>
      <c r="K2951" s="24"/>
      <c r="M2951" s="24"/>
      <c r="N2951" s="24"/>
      <c r="P2951" s="24"/>
    </row>
    <row r="2952" spans="2:16" x14ac:dyDescent="0.25">
      <c r="B2952" s="24"/>
      <c r="E2952" s="24"/>
      <c r="G2952" s="24"/>
      <c r="H2952" s="24"/>
      <c r="J2952" s="24"/>
      <c r="K2952" s="24"/>
      <c r="M2952" s="24"/>
      <c r="N2952" s="24"/>
      <c r="P2952" s="24"/>
    </row>
    <row r="2953" spans="2:16" x14ac:dyDescent="0.25">
      <c r="B2953" s="24"/>
      <c r="E2953" s="24"/>
      <c r="G2953" s="24"/>
      <c r="H2953" s="24"/>
      <c r="J2953" s="24"/>
      <c r="K2953" s="24"/>
      <c r="M2953" s="24"/>
      <c r="N2953" s="24"/>
      <c r="P2953" s="24"/>
    </row>
    <row r="2954" spans="2:16" x14ac:dyDescent="0.25">
      <c r="B2954" s="24"/>
      <c r="E2954" s="24"/>
      <c r="G2954" s="24"/>
      <c r="H2954" s="24"/>
      <c r="J2954" s="24"/>
      <c r="K2954" s="24"/>
      <c r="M2954" s="24"/>
      <c r="N2954" s="24"/>
      <c r="P2954" s="24"/>
    </row>
    <row r="2955" spans="2:16" x14ac:dyDescent="0.25">
      <c r="B2955" s="24"/>
      <c r="E2955" s="24"/>
      <c r="G2955" s="24"/>
      <c r="H2955" s="24"/>
      <c r="J2955" s="24"/>
      <c r="K2955" s="24"/>
      <c r="M2955" s="24"/>
      <c r="N2955" s="24"/>
      <c r="P2955" s="24"/>
    </row>
    <row r="2956" spans="2:16" x14ac:dyDescent="0.25">
      <c r="B2956" s="24"/>
      <c r="E2956" s="24"/>
      <c r="G2956" s="24"/>
      <c r="H2956" s="24"/>
      <c r="J2956" s="24"/>
      <c r="K2956" s="24"/>
      <c r="M2956" s="24"/>
      <c r="N2956" s="24"/>
      <c r="P2956" s="24"/>
    </row>
    <row r="2957" spans="2:16" x14ac:dyDescent="0.25">
      <c r="B2957" s="24"/>
      <c r="E2957" s="24"/>
      <c r="G2957" s="24"/>
      <c r="H2957" s="24"/>
      <c r="J2957" s="24"/>
      <c r="K2957" s="24"/>
      <c r="M2957" s="24"/>
      <c r="N2957" s="24"/>
      <c r="P2957" s="24"/>
    </row>
    <row r="2958" spans="2:16" x14ac:dyDescent="0.25">
      <c r="B2958" s="24"/>
      <c r="E2958" s="24"/>
      <c r="G2958" s="24"/>
      <c r="H2958" s="24"/>
      <c r="J2958" s="24"/>
      <c r="K2958" s="24"/>
      <c r="M2958" s="24"/>
      <c r="N2958" s="24"/>
      <c r="P2958" s="24"/>
    </row>
    <row r="2959" spans="2:16" x14ac:dyDescent="0.25">
      <c r="B2959" s="24"/>
      <c r="E2959" s="24"/>
      <c r="G2959" s="24"/>
      <c r="H2959" s="24"/>
      <c r="J2959" s="24"/>
      <c r="K2959" s="24"/>
      <c r="M2959" s="24"/>
      <c r="N2959" s="24"/>
      <c r="P2959" s="24"/>
    </row>
    <row r="2960" spans="2:16" x14ac:dyDescent="0.25">
      <c r="B2960" s="24"/>
      <c r="E2960" s="24"/>
      <c r="G2960" s="24"/>
      <c r="H2960" s="24"/>
      <c r="J2960" s="24"/>
      <c r="K2960" s="24"/>
      <c r="M2960" s="24"/>
      <c r="N2960" s="24"/>
      <c r="P2960" s="24"/>
    </row>
    <row r="2961" spans="2:16" x14ac:dyDescent="0.25">
      <c r="B2961" s="24"/>
      <c r="E2961" s="24"/>
      <c r="G2961" s="24"/>
      <c r="H2961" s="24"/>
      <c r="J2961" s="24"/>
      <c r="K2961" s="24"/>
      <c r="M2961" s="24"/>
      <c r="N2961" s="24"/>
      <c r="P2961" s="24"/>
    </row>
    <row r="2962" spans="2:16" x14ac:dyDescent="0.25">
      <c r="B2962" s="24"/>
      <c r="E2962" s="24"/>
      <c r="G2962" s="24"/>
      <c r="H2962" s="24"/>
      <c r="J2962" s="24"/>
      <c r="K2962" s="24"/>
      <c r="M2962" s="24"/>
      <c r="N2962" s="24"/>
      <c r="P2962" s="24"/>
    </row>
    <row r="2963" spans="2:16" x14ac:dyDescent="0.25">
      <c r="B2963" s="24"/>
      <c r="E2963" s="24"/>
      <c r="G2963" s="24"/>
      <c r="H2963" s="24"/>
      <c r="J2963" s="24"/>
      <c r="K2963" s="24"/>
      <c r="M2963" s="24"/>
      <c r="N2963" s="24"/>
      <c r="P2963" s="24"/>
    </row>
    <row r="2964" spans="2:16" x14ac:dyDescent="0.25">
      <c r="B2964" s="24"/>
      <c r="E2964" s="24"/>
      <c r="G2964" s="24"/>
      <c r="H2964" s="24"/>
      <c r="J2964" s="24"/>
      <c r="K2964" s="24"/>
      <c r="M2964" s="24"/>
      <c r="N2964" s="24"/>
      <c r="P2964" s="24"/>
    </row>
    <row r="2965" spans="2:16" x14ac:dyDescent="0.25">
      <c r="B2965" s="24"/>
      <c r="E2965" s="24"/>
      <c r="G2965" s="24"/>
      <c r="H2965" s="24"/>
      <c r="J2965" s="24"/>
      <c r="K2965" s="24"/>
      <c r="M2965" s="24"/>
      <c r="N2965" s="24"/>
      <c r="P2965" s="24"/>
    </row>
    <row r="2966" spans="2:16" x14ac:dyDescent="0.25">
      <c r="B2966" s="24"/>
      <c r="E2966" s="24"/>
      <c r="G2966" s="24"/>
      <c r="H2966" s="24"/>
      <c r="J2966" s="24"/>
      <c r="K2966" s="24"/>
      <c r="M2966" s="24"/>
      <c r="N2966" s="24"/>
      <c r="P2966" s="24"/>
    </row>
    <row r="2967" spans="2:16" x14ac:dyDescent="0.25">
      <c r="B2967" s="24"/>
      <c r="E2967" s="24"/>
      <c r="G2967" s="24"/>
      <c r="H2967" s="24"/>
      <c r="J2967" s="24"/>
      <c r="K2967" s="24"/>
      <c r="M2967" s="24"/>
      <c r="N2967" s="24"/>
      <c r="P2967" s="24"/>
    </row>
    <row r="2968" spans="2:16" x14ac:dyDescent="0.25">
      <c r="B2968" s="24"/>
      <c r="E2968" s="24"/>
      <c r="G2968" s="24"/>
      <c r="H2968" s="24"/>
      <c r="J2968" s="24"/>
      <c r="K2968" s="24"/>
      <c r="M2968" s="24"/>
      <c r="N2968" s="24"/>
      <c r="P2968" s="24"/>
    </row>
    <row r="2969" spans="2:16" x14ac:dyDescent="0.25">
      <c r="B2969" s="24"/>
      <c r="E2969" s="24"/>
      <c r="G2969" s="24"/>
      <c r="H2969" s="24"/>
      <c r="J2969" s="24"/>
      <c r="K2969" s="24"/>
      <c r="M2969" s="24"/>
      <c r="N2969" s="24"/>
      <c r="P2969" s="24"/>
    </row>
    <row r="2970" spans="2:16" x14ac:dyDescent="0.25">
      <c r="B2970" s="24"/>
      <c r="E2970" s="24"/>
      <c r="G2970" s="24"/>
      <c r="H2970" s="24"/>
      <c r="J2970" s="24"/>
      <c r="K2970" s="24"/>
      <c r="M2970" s="24"/>
      <c r="N2970" s="24"/>
      <c r="P2970" s="24"/>
    </row>
    <row r="2971" spans="2:16" x14ac:dyDescent="0.25">
      <c r="B2971" s="24"/>
      <c r="E2971" s="24"/>
      <c r="G2971" s="24"/>
      <c r="H2971" s="24"/>
      <c r="J2971" s="24"/>
      <c r="K2971" s="24"/>
      <c r="M2971" s="24"/>
      <c r="N2971" s="24"/>
      <c r="P2971" s="24"/>
    </row>
    <row r="2972" spans="2:16" x14ac:dyDescent="0.25">
      <c r="B2972" s="24"/>
      <c r="E2972" s="24"/>
      <c r="G2972" s="24"/>
      <c r="H2972" s="24"/>
      <c r="J2972" s="24"/>
      <c r="K2972" s="24"/>
      <c r="M2972" s="24"/>
      <c r="N2972" s="24"/>
      <c r="P2972" s="24"/>
    </row>
    <row r="2973" spans="2:16" x14ac:dyDescent="0.25">
      <c r="B2973" s="24"/>
      <c r="E2973" s="24"/>
      <c r="G2973" s="24"/>
      <c r="H2973" s="24"/>
      <c r="J2973" s="24"/>
      <c r="K2973" s="24"/>
      <c r="M2973" s="24"/>
      <c r="N2973" s="24"/>
      <c r="P2973" s="24"/>
    </row>
    <row r="2974" spans="2:16" x14ac:dyDescent="0.25">
      <c r="B2974" s="24"/>
      <c r="E2974" s="24"/>
      <c r="G2974" s="24"/>
      <c r="H2974" s="24"/>
      <c r="J2974" s="24"/>
      <c r="K2974" s="24"/>
      <c r="M2974" s="24"/>
      <c r="N2974" s="24"/>
      <c r="P2974" s="24"/>
    </row>
    <row r="2975" spans="2:16" x14ac:dyDescent="0.25">
      <c r="B2975" s="24"/>
      <c r="E2975" s="24"/>
      <c r="G2975" s="24"/>
      <c r="H2975" s="24"/>
      <c r="J2975" s="24"/>
      <c r="K2975" s="24"/>
      <c r="M2975" s="24"/>
      <c r="N2975" s="24"/>
      <c r="P2975" s="24"/>
    </row>
    <row r="2976" spans="2:16" x14ac:dyDescent="0.25">
      <c r="B2976" s="24"/>
      <c r="E2976" s="24"/>
      <c r="G2976" s="24"/>
      <c r="H2976" s="24"/>
      <c r="J2976" s="24"/>
      <c r="K2976" s="24"/>
      <c r="M2976" s="24"/>
      <c r="N2976" s="24"/>
      <c r="P2976" s="24"/>
    </row>
    <row r="2977" spans="2:16" x14ac:dyDescent="0.25">
      <c r="B2977" s="24"/>
      <c r="E2977" s="24"/>
      <c r="G2977" s="24"/>
      <c r="H2977" s="24"/>
      <c r="J2977" s="24"/>
      <c r="K2977" s="24"/>
      <c r="M2977" s="24"/>
      <c r="N2977" s="24"/>
      <c r="P2977" s="24"/>
    </row>
    <row r="2978" spans="2:16" x14ac:dyDescent="0.25">
      <c r="B2978" s="24"/>
      <c r="E2978" s="24"/>
      <c r="G2978" s="24"/>
      <c r="H2978" s="24"/>
      <c r="J2978" s="24"/>
      <c r="K2978" s="24"/>
      <c r="M2978" s="24"/>
      <c r="N2978" s="24"/>
      <c r="P2978" s="24"/>
    </row>
    <row r="2979" spans="2:16" x14ac:dyDescent="0.25">
      <c r="B2979" s="24"/>
      <c r="E2979" s="24"/>
      <c r="G2979" s="24"/>
      <c r="H2979" s="24"/>
      <c r="J2979" s="24"/>
      <c r="K2979" s="24"/>
      <c r="M2979" s="24"/>
      <c r="N2979" s="24"/>
      <c r="P2979" s="24"/>
    </row>
    <row r="2980" spans="2:16" x14ac:dyDescent="0.25">
      <c r="B2980" s="24"/>
      <c r="E2980" s="24"/>
      <c r="G2980" s="24"/>
      <c r="H2980" s="24"/>
      <c r="J2980" s="24"/>
      <c r="K2980" s="24"/>
      <c r="M2980" s="24"/>
      <c r="N2980" s="24"/>
      <c r="P2980" s="24"/>
    </row>
    <row r="2981" spans="2:16" x14ac:dyDescent="0.25">
      <c r="B2981" s="24"/>
      <c r="E2981" s="24"/>
      <c r="G2981" s="24"/>
      <c r="H2981" s="24"/>
      <c r="J2981" s="24"/>
      <c r="K2981" s="24"/>
      <c r="M2981" s="24"/>
      <c r="N2981" s="24"/>
      <c r="P2981" s="24"/>
    </row>
    <row r="2982" spans="2:16" x14ac:dyDescent="0.25">
      <c r="B2982" s="24"/>
      <c r="E2982" s="24"/>
      <c r="G2982" s="24"/>
      <c r="H2982" s="24"/>
      <c r="J2982" s="24"/>
      <c r="K2982" s="24"/>
      <c r="M2982" s="24"/>
      <c r="N2982" s="24"/>
      <c r="P2982" s="24"/>
    </row>
    <row r="2983" spans="2:16" x14ac:dyDescent="0.25">
      <c r="B2983" s="24"/>
      <c r="E2983" s="24"/>
      <c r="G2983" s="24"/>
      <c r="H2983" s="24"/>
      <c r="J2983" s="24"/>
      <c r="K2983" s="24"/>
      <c r="M2983" s="24"/>
      <c r="N2983" s="24"/>
      <c r="P2983" s="24"/>
    </row>
    <row r="2984" spans="2:16" x14ac:dyDescent="0.25">
      <c r="B2984" s="24"/>
      <c r="E2984" s="24"/>
      <c r="G2984" s="24"/>
      <c r="H2984" s="24"/>
      <c r="J2984" s="24"/>
      <c r="K2984" s="24"/>
      <c r="M2984" s="24"/>
      <c r="N2984" s="24"/>
      <c r="P2984" s="24"/>
    </row>
    <row r="2985" spans="2:16" x14ac:dyDescent="0.25">
      <c r="B2985" s="24"/>
      <c r="E2985" s="24"/>
      <c r="G2985" s="24"/>
      <c r="H2985" s="24"/>
      <c r="J2985" s="24"/>
      <c r="K2985" s="24"/>
      <c r="M2985" s="24"/>
      <c r="N2985" s="24"/>
      <c r="P2985" s="24"/>
    </row>
    <row r="2986" spans="2:16" x14ac:dyDescent="0.25">
      <c r="B2986" s="24"/>
      <c r="E2986" s="24"/>
      <c r="G2986" s="24"/>
      <c r="H2986" s="24"/>
      <c r="J2986" s="24"/>
      <c r="K2986" s="24"/>
      <c r="M2986" s="24"/>
      <c r="N2986" s="24"/>
      <c r="P2986" s="24"/>
    </row>
    <row r="2987" spans="2:16" x14ac:dyDescent="0.25">
      <c r="B2987" s="24"/>
      <c r="E2987" s="24"/>
      <c r="G2987" s="24"/>
      <c r="H2987" s="24"/>
      <c r="J2987" s="24"/>
      <c r="K2987" s="24"/>
      <c r="M2987" s="24"/>
      <c r="N2987" s="24"/>
      <c r="P2987" s="24"/>
    </row>
    <row r="2988" spans="2:16" x14ac:dyDescent="0.25">
      <c r="B2988" s="24"/>
      <c r="E2988" s="24"/>
      <c r="G2988" s="24"/>
      <c r="H2988" s="24"/>
      <c r="J2988" s="24"/>
      <c r="K2988" s="24"/>
      <c r="M2988" s="24"/>
      <c r="N2988" s="24"/>
      <c r="P2988" s="24"/>
    </row>
    <row r="2989" spans="2:16" x14ac:dyDescent="0.25">
      <c r="B2989" s="24"/>
      <c r="E2989" s="24"/>
      <c r="G2989" s="24"/>
      <c r="H2989" s="24"/>
      <c r="J2989" s="24"/>
      <c r="K2989" s="24"/>
      <c r="M2989" s="24"/>
      <c r="N2989" s="24"/>
      <c r="P2989" s="24"/>
    </row>
    <row r="2990" spans="2:16" x14ac:dyDescent="0.25">
      <c r="B2990" s="24"/>
      <c r="E2990" s="24"/>
      <c r="G2990" s="24"/>
      <c r="H2990" s="24"/>
      <c r="J2990" s="24"/>
      <c r="K2990" s="24"/>
      <c r="M2990" s="24"/>
      <c r="N2990" s="24"/>
      <c r="P2990" s="24"/>
    </row>
    <row r="2991" spans="2:16" x14ac:dyDescent="0.25">
      <c r="B2991" s="24"/>
      <c r="E2991" s="24"/>
      <c r="G2991" s="24"/>
      <c r="H2991" s="24"/>
      <c r="J2991" s="24"/>
      <c r="K2991" s="24"/>
      <c r="M2991" s="24"/>
      <c r="N2991" s="24"/>
      <c r="P2991" s="24"/>
    </row>
    <row r="2992" spans="2:16" x14ac:dyDescent="0.25">
      <c r="B2992" s="24"/>
      <c r="E2992" s="24"/>
      <c r="G2992" s="24"/>
      <c r="H2992" s="24"/>
      <c r="J2992" s="24"/>
      <c r="K2992" s="24"/>
      <c r="M2992" s="24"/>
      <c r="N2992" s="24"/>
      <c r="P2992" s="24"/>
    </row>
    <row r="2993" spans="2:16" x14ac:dyDescent="0.25">
      <c r="B2993" s="24"/>
      <c r="E2993" s="24"/>
      <c r="G2993" s="24"/>
      <c r="H2993" s="24"/>
      <c r="J2993" s="24"/>
      <c r="K2993" s="24"/>
      <c r="M2993" s="24"/>
      <c r="N2993" s="24"/>
      <c r="P2993" s="24"/>
    </row>
    <row r="2994" spans="2:16" x14ac:dyDescent="0.25">
      <c r="B2994" s="24"/>
      <c r="E2994" s="24"/>
      <c r="G2994" s="24"/>
      <c r="H2994" s="24"/>
      <c r="J2994" s="24"/>
      <c r="K2994" s="24"/>
      <c r="M2994" s="24"/>
      <c r="N2994" s="24"/>
      <c r="P2994" s="24"/>
    </row>
    <row r="2995" spans="2:16" x14ac:dyDescent="0.25">
      <c r="B2995" s="24"/>
      <c r="E2995" s="24"/>
      <c r="G2995" s="24"/>
      <c r="H2995" s="24"/>
      <c r="J2995" s="24"/>
      <c r="K2995" s="24"/>
      <c r="M2995" s="24"/>
      <c r="N2995" s="24"/>
      <c r="P2995" s="24"/>
    </row>
    <row r="2996" spans="2:16" x14ac:dyDescent="0.25">
      <c r="B2996" s="24"/>
      <c r="E2996" s="24"/>
      <c r="G2996" s="24"/>
      <c r="H2996" s="24"/>
      <c r="J2996" s="24"/>
      <c r="K2996" s="24"/>
      <c r="M2996" s="24"/>
      <c r="N2996" s="24"/>
      <c r="P2996" s="24"/>
    </row>
    <row r="2997" spans="2:16" x14ac:dyDescent="0.25">
      <c r="B2997" s="24"/>
      <c r="E2997" s="24"/>
      <c r="G2997" s="24"/>
      <c r="H2997" s="24"/>
      <c r="J2997" s="24"/>
      <c r="K2997" s="24"/>
      <c r="M2997" s="24"/>
      <c r="N2997" s="24"/>
      <c r="P2997" s="24"/>
    </row>
    <row r="2998" spans="2:16" x14ac:dyDescent="0.25">
      <c r="B2998" s="24"/>
      <c r="E2998" s="24"/>
      <c r="G2998" s="24"/>
      <c r="H2998" s="24"/>
      <c r="J2998" s="24"/>
      <c r="K2998" s="24"/>
      <c r="M2998" s="24"/>
      <c r="N2998" s="24"/>
      <c r="P2998" s="24"/>
    </row>
    <row r="2999" spans="2:16" x14ac:dyDescent="0.25">
      <c r="B2999" s="24"/>
      <c r="E2999" s="24"/>
      <c r="G2999" s="24"/>
      <c r="H2999" s="24"/>
      <c r="J2999" s="24"/>
      <c r="K2999" s="24"/>
      <c r="M2999" s="24"/>
      <c r="N2999" s="24"/>
      <c r="P2999" s="24"/>
    </row>
    <row r="3000" spans="2:16" x14ac:dyDescent="0.25">
      <c r="B3000" s="24"/>
      <c r="E3000" s="24"/>
      <c r="G3000" s="24"/>
      <c r="H3000" s="24"/>
      <c r="J3000" s="24"/>
      <c r="K3000" s="24"/>
      <c r="M3000" s="24"/>
      <c r="N3000" s="24"/>
      <c r="P3000" s="24"/>
    </row>
    <row r="3001" spans="2:16" x14ac:dyDescent="0.25">
      <c r="B3001" s="24"/>
      <c r="E3001" s="24"/>
      <c r="G3001" s="24"/>
      <c r="H3001" s="24"/>
      <c r="J3001" s="24"/>
      <c r="K3001" s="24"/>
      <c r="M3001" s="24"/>
      <c r="N3001" s="24"/>
      <c r="P3001" s="24"/>
    </row>
    <row r="3002" spans="2:16" x14ac:dyDescent="0.25">
      <c r="B3002" s="24"/>
      <c r="E3002" s="24"/>
      <c r="G3002" s="24"/>
      <c r="H3002" s="24"/>
      <c r="J3002" s="24"/>
      <c r="K3002" s="24"/>
      <c r="M3002" s="24"/>
      <c r="N3002" s="24"/>
      <c r="P3002" s="24"/>
    </row>
    <row r="3003" spans="2:16" x14ac:dyDescent="0.25">
      <c r="B3003" s="24"/>
      <c r="E3003" s="24"/>
      <c r="G3003" s="24"/>
      <c r="H3003" s="24"/>
      <c r="J3003" s="24"/>
      <c r="K3003" s="24"/>
      <c r="M3003" s="24"/>
      <c r="N3003" s="24"/>
      <c r="P3003" s="24"/>
    </row>
    <row r="3004" spans="2:16" x14ac:dyDescent="0.25">
      <c r="B3004" s="24"/>
      <c r="E3004" s="24"/>
      <c r="G3004" s="24"/>
      <c r="H3004" s="24"/>
      <c r="J3004" s="24"/>
      <c r="K3004" s="24"/>
      <c r="M3004" s="24"/>
      <c r="N3004" s="24"/>
      <c r="P3004" s="24"/>
    </row>
    <row r="3005" spans="2:16" x14ac:dyDescent="0.25">
      <c r="B3005" s="24"/>
      <c r="E3005" s="24"/>
      <c r="G3005" s="24"/>
      <c r="H3005" s="24"/>
      <c r="J3005" s="24"/>
      <c r="K3005" s="24"/>
      <c r="M3005" s="24"/>
      <c r="N3005" s="24"/>
      <c r="P3005" s="24"/>
    </row>
    <row r="3006" spans="2:16" x14ac:dyDescent="0.25">
      <c r="B3006" s="24"/>
      <c r="E3006" s="24"/>
      <c r="G3006" s="24"/>
      <c r="H3006" s="24"/>
      <c r="J3006" s="24"/>
      <c r="K3006" s="24"/>
      <c r="M3006" s="24"/>
      <c r="N3006" s="24"/>
      <c r="P3006" s="24"/>
    </row>
    <row r="3007" spans="2:16" x14ac:dyDescent="0.25">
      <c r="B3007" s="24"/>
      <c r="E3007" s="24"/>
      <c r="G3007" s="24"/>
      <c r="H3007" s="24"/>
      <c r="J3007" s="24"/>
      <c r="K3007" s="24"/>
      <c r="M3007" s="24"/>
      <c r="N3007" s="24"/>
      <c r="P3007" s="24"/>
    </row>
    <row r="3008" spans="2:16" x14ac:dyDescent="0.25">
      <c r="B3008" s="24"/>
      <c r="E3008" s="24"/>
      <c r="G3008" s="24"/>
      <c r="H3008" s="24"/>
      <c r="J3008" s="24"/>
      <c r="K3008" s="24"/>
      <c r="M3008" s="24"/>
      <c r="N3008" s="24"/>
      <c r="P3008" s="24"/>
    </row>
    <row r="3009" spans="2:16" x14ac:dyDescent="0.25">
      <c r="B3009" s="24"/>
      <c r="E3009" s="24"/>
      <c r="G3009" s="24"/>
      <c r="H3009" s="24"/>
      <c r="J3009" s="24"/>
      <c r="K3009" s="24"/>
      <c r="M3009" s="24"/>
      <c r="N3009" s="24"/>
      <c r="P3009" s="24"/>
    </row>
    <row r="3010" spans="2:16" x14ac:dyDescent="0.25">
      <c r="B3010" s="24"/>
      <c r="E3010" s="24"/>
      <c r="G3010" s="24"/>
      <c r="H3010" s="24"/>
      <c r="J3010" s="24"/>
      <c r="K3010" s="24"/>
      <c r="M3010" s="24"/>
      <c r="N3010" s="24"/>
      <c r="P3010" s="24"/>
    </row>
    <row r="3011" spans="2:16" x14ac:dyDescent="0.25">
      <c r="B3011" s="24"/>
      <c r="E3011" s="24"/>
      <c r="G3011" s="24"/>
      <c r="H3011" s="24"/>
      <c r="J3011" s="24"/>
      <c r="K3011" s="24"/>
      <c r="M3011" s="24"/>
      <c r="N3011" s="24"/>
      <c r="P3011" s="24"/>
    </row>
    <row r="3012" spans="2:16" x14ac:dyDescent="0.25">
      <c r="B3012" s="24"/>
      <c r="E3012" s="24"/>
      <c r="G3012" s="24"/>
      <c r="H3012" s="24"/>
      <c r="J3012" s="24"/>
      <c r="K3012" s="24"/>
      <c r="M3012" s="24"/>
      <c r="N3012" s="24"/>
      <c r="P3012" s="24"/>
    </row>
    <row r="3013" spans="2:16" x14ac:dyDescent="0.25">
      <c r="B3013" s="24"/>
      <c r="E3013" s="24"/>
      <c r="G3013" s="24"/>
      <c r="H3013" s="24"/>
      <c r="J3013" s="24"/>
      <c r="K3013" s="24"/>
      <c r="M3013" s="24"/>
      <c r="N3013" s="24"/>
      <c r="P3013" s="24"/>
    </row>
    <row r="3014" spans="2:16" x14ac:dyDescent="0.25">
      <c r="B3014" s="24"/>
      <c r="E3014" s="24"/>
      <c r="G3014" s="24"/>
      <c r="H3014" s="24"/>
      <c r="J3014" s="24"/>
      <c r="K3014" s="24"/>
      <c r="M3014" s="24"/>
      <c r="N3014" s="24"/>
      <c r="P3014" s="24"/>
    </row>
    <row r="3015" spans="2:16" x14ac:dyDescent="0.25">
      <c r="B3015" s="24"/>
      <c r="E3015" s="24"/>
      <c r="G3015" s="24"/>
      <c r="H3015" s="24"/>
      <c r="J3015" s="24"/>
      <c r="K3015" s="24"/>
      <c r="M3015" s="24"/>
      <c r="N3015" s="24"/>
      <c r="P3015" s="24"/>
    </row>
    <row r="3016" spans="2:16" x14ac:dyDescent="0.25">
      <c r="B3016" s="24"/>
      <c r="E3016" s="24"/>
      <c r="G3016" s="24"/>
      <c r="H3016" s="24"/>
      <c r="J3016" s="24"/>
      <c r="K3016" s="24"/>
      <c r="M3016" s="24"/>
      <c r="N3016" s="24"/>
      <c r="P3016" s="24"/>
    </row>
    <row r="3017" spans="2:16" x14ac:dyDescent="0.25">
      <c r="B3017" s="24"/>
      <c r="E3017" s="24"/>
      <c r="G3017" s="24"/>
      <c r="H3017" s="24"/>
      <c r="J3017" s="24"/>
      <c r="K3017" s="24"/>
      <c r="M3017" s="24"/>
      <c r="N3017" s="24"/>
      <c r="P3017" s="24"/>
    </row>
    <row r="3018" spans="2:16" x14ac:dyDescent="0.25">
      <c r="B3018" s="24"/>
      <c r="E3018" s="24"/>
      <c r="G3018" s="24"/>
      <c r="H3018" s="24"/>
      <c r="J3018" s="24"/>
      <c r="K3018" s="24"/>
      <c r="M3018" s="24"/>
      <c r="N3018" s="24"/>
      <c r="P3018" s="24"/>
    </row>
    <row r="3019" spans="2:16" x14ac:dyDescent="0.25">
      <c r="B3019" s="24"/>
      <c r="E3019" s="24"/>
      <c r="G3019" s="24"/>
      <c r="H3019" s="24"/>
      <c r="J3019" s="24"/>
      <c r="K3019" s="24"/>
      <c r="M3019" s="24"/>
      <c r="N3019" s="24"/>
      <c r="P3019" s="24"/>
    </row>
    <row r="3020" spans="2:16" x14ac:dyDescent="0.25">
      <c r="B3020" s="24"/>
      <c r="E3020" s="24"/>
      <c r="G3020" s="24"/>
      <c r="H3020" s="24"/>
      <c r="J3020" s="24"/>
      <c r="K3020" s="24"/>
      <c r="M3020" s="24"/>
      <c r="N3020" s="24"/>
      <c r="P3020" s="24"/>
    </row>
    <row r="3021" spans="2:16" x14ac:dyDescent="0.25">
      <c r="B3021" s="24"/>
      <c r="E3021" s="24"/>
      <c r="G3021" s="24"/>
      <c r="H3021" s="24"/>
      <c r="J3021" s="24"/>
      <c r="K3021" s="24"/>
      <c r="M3021" s="24"/>
      <c r="N3021" s="24"/>
      <c r="P3021" s="24"/>
    </row>
    <row r="3022" spans="2:16" x14ac:dyDescent="0.25">
      <c r="B3022" s="24"/>
      <c r="E3022" s="24"/>
      <c r="G3022" s="24"/>
      <c r="H3022" s="24"/>
      <c r="J3022" s="24"/>
      <c r="K3022" s="24"/>
      <c r="M3022" s="24"/>
      <c r="N3022" s="24"/>
      <c r="P3022" s="24"/>
    </row>
    <row r="3023" spans="2:16" x14ac:dyDescent="0.25">
      <c r="B3023" s="24"/>
      <c r="E3023" s="24"/>
      <c r="G3023" s="24"/>
      <c r="H3023" s="24"/>
      <c r="J3023" s="24"/>
      <c r="K3023" s="24"/>
      <c r="M3023" s="24"/>
      <c r="N3023" s="24"/>
      <c r="P3023" s="24"/>
    </row>
    <row r="3024" spans="2:16" x14ac:dyDescent="0.25">
      <c r="B3024" s="24"/>
      <c r="E3024" s="24"/>
      <c r="G3024" s="24"/>
      <c r="H3024" s="24"/>
      <c r="J3024" s="24"/>
      <c r="K3024" s="24"/>
      <c r="M3024" s="24"/>
      <c r="N3024" s="24"/>
      <c r="P3024" s="24"/>
    </row>
    <row r="3025" spans="2:16" x14ac:dyDescent="0.25">
      <c r="B3025" s="24"/>
      <c r="E3025" s="24"/>
      <c r="G3025" s="24"/>
      <c r="H3025" s="24"/>
      <c r="J3025" s="24"/>
      <c r="K3025" s="24"/>
      <c r="M3025" s="24"/>
      <c r="N3025" s="24"/>
      <c r="P3025" s="24"/>
    </row>
    <row r="3026" spans="2:16" x14ac:dyDescent="0.25">
      <c r="B3026" s="24"/>
      <c r="E3026" s="24"/>
      <c r="G3026" s="24"/>
      <c r="H3026" s="24"/>
      <c r="J3026" s="24"/>
      <c r="K3026" s="24"/>
      <c r="M3026" s="24"/>
      <c r="N3026" s="24"/>
      <c r="P3026" s="24"/>
    </row>
    <row r="3027" spans="2:16" x14ac:dyDescent="0.25">
      <c r="B3027" s="24"/>
      <c r="E3027" s="24"/>
      <c r="G3027" s="24"/>
      <c r="H3027" s="24"/>
      <c r="J3027" s="24"/>
      <c r="K3027" s="24"/>
      <c r="M3027" s="24"/>
      <c r="N3027" s="24"/>
      <c r="P3027" s="24"/>
    </row>
    <row r="3028" spans="2:16" x14ac:dyDescent="0.25">
      <c r="B3028" s="24"/>
      <c r="E3028" s="24"/>
      <c r="G3028" s="24"/>
      <c r="H3028" s="24"/>
      <c r="J3028" s="24"/>
      <c r="K3028" s="24"/>
      <c r="M3028" s="24"/>
      <c r="N3028" s="24"/>
      <c r="P3028" s="24"/>
    </row>
    <row r="3029" spans="2:16" x14ac:dyDescent="0.25">
      <c r="B3029" s="24"/>
      <c r="E3029" s="24"/>
      <c r="G3029" s="24"/>
      <c r="H3029" s="24"/>
      <c r="J3029" s="24"/>
      <c r="K3029" s="24"/>
      <c r="M3029" s="24"/>
      <c r="N3029" s="24"/>
      <c r="P3029" s="24"/>
    </row>
    <row r="3030" spans="2:16" x14ac:dyDescent="0.25">
      <c r="B3030" s="24"/>
      <c r="E3030" s="24"/>
      <c r="G3030" s="24"/>
      <c r="H3030" s="24"/>
      <c r="J3030" s="24"/>
      <c r="K3030" s="24"/>
      <c r="M3030" s="24"/>
      <c r="N3030" s="24"/>
      <c r="P3030" s="24"/>
    </row>
    <row r="3031" spans="2:16" x14ac:dyDescent="0.25">
      <c r="B3031" s="24"/>
      <c r="E3031" s="24"/>
      <c r="G3031" s="24"/>
      <c r="H3031" s="24"/>
      <c r="J3031" s="24"/>
      <c r="K3031" s="24"/>
      <c r="M3031" s="24"/>
      <c r="N3031" s="24"/>
      <c r="P3031" s="24"/>
    </row>
    <row r="3032" spans="2:16" x14ac:dyDescent="0.25">
      <c r="B3032" s="24"/>
      <c r="E3032" s="24"/>
      <c r="G3032" s="24"/>
      <c r="H3032" s="24"/>
      <c r="J3032" s="24"/>
      <c r="K3032" s="24"/>
      <c r="M3032" s="24"/>
      <c r="N3032" s="24"/>
      <c r="P3032" s="24"/>
    </row>
    <row r="3033" spans="2:16" x14ac:dyDescent="0.25">
      <c r="B3033" s="24"/>
      <c r="E3033" s="24"/>
      <c r="G3033" s="24"/>
      <c r="H3033" s="24"/>
      <c r="J3033" s="24"/>
      <c r="K3033" s="24"/>
      <c r="M3033" s="24"/>
      <c r="N3033" s="24"/>
      <c r="P3033" s="24"/>
    </row>
    <row r="3034" spans="2:16" x14ac:dyDescent="0.25">
      <c r="B3034" s="24"/>
      <c r="E3034" s="24"/>
      <c r="G3034" s="24"/>
      <c r="H3034" s="24"/>
      <c r="J3034" s="24"/>
      <c r="K3034" s="24"/>
      <c r="M3034" s="24"/>
      <c r="N3034" s="24"/>
      <c r="P3034" s="24"/>
    </row>
    <row r="3035" spans="2:16" x14ac:dyDescent="0.25">
      <c r="B3035" s="24"/>
      <c r="E3035" s="24"/>
      <c r="G3035" s="24"/>
      <c r="H3035" s="24"/>
      <c r="J3035" s="24"/>
      <c r="K3035" s="24"/>
      <c r="M3035" s="24"/>
      <c r="N3035" s="24"/>
      <c r="P3035" s="24"/>
    </row>
    <row r="3036" spans="2:16" x14ac:dyDescent="0.25">
      <c r="B3036" s="24"/>
      <c r="E3036" s="24"/>
      <c r="G3036" s="24"/>
      <c r="H3036" s="24"/>
      <c r="J3036" s="24"/>
      <c r="K3036" s="24"/>
      <c r="M3036" s="24"/>
      <c r="N3036" s="24"/>
      <c r="P3036" s="24"/>
    </row>
    <row r="3037" spans="2:16" x14ac:dyDescent="0.25">
      <c r="B3037" s="24"/>
      <c r="E3037" s="24"/>
      <c r="G3037" s="24"/>
      <c r="H3037" s="24"/>
      <c r="J3037" s="24"/>
      <c r="K3037" s="24"/>
      <c r="M3037" s="24"/>
      <c r="N3037" s="24"/>
      <c r="P3037" s="24"/>
    </row>
    <row r="3038" spans="2:16" x14ac:dyDescent="0.25">
      <c r="B3038" s="24"/>
      <c r="E3038" s="24"/>
      <c r="G3038" s="24"/>
      <c r="H3038" s="24"/>
      <c r="J3038" s="24"/>
      <c r="K3038" s="24"/>
      <c r="M3038" s="24"/>
      <c r="N3038" s="24"/>
      <c r="P3038" s="24"/>
    </row>
    <row r="3039" spans="2:16" x14ac:dyDescent="0.25">
      <c r="B3039" s="24"/>
      <c r="E3039" s="24"/>
      <c r="G3039" s="24"/>
      <c r="H3039" s="24"/>
      <c r="J3039" s="24"/>
      <c r="K3039" s="24"/>
      <c r="M3039" s="24"/>
      <c r="N3039" s="24"/>
      <c r="P3039" s="24"/>
    </row>
    <row r="3040" spans="2:16" x14ac:dyDescent="0.25">
      <c r="B3040" s="24"/>
      <c r="E3040" s="24"/>
      <c r="G3040" s="24"/>
      <c r="H3040" s="24"/>
      <c r="J3040" s="24"/>
      <c r="K3040" s="24"/>
      <c r="M3040" s="24"/>
      <c r="N3040" s="24"/>
      <c r="P3040" s="24"/>
    </row>
    <row r="3041" spans="2:16" x14ac:dyDescent="0.25">
      <c r="B3041" s="24"/>
      <c r="E3041" s="24"/>
      <c r="G3041" s="24"/>
      <c r="H3041" s="24"/>
      <c r="J3041" s="24"/>
      <c r="K3041" s="24"/>
      <c r="M3041" s="24"/>
      <c r="N3041" s="24"/>
      <c r="P3041" s="24"/>
    </row>
    <row r="3042" spans="2:16" x14ac:dyDescent="0.25">
      <c r="B3042" s="24"/>
      <c r="E3042" s="24"/>
      <c r="G3042" s="24"/>
      <c r="H3042" s="24"/>
      <c r="J3042" s="24"/>
      <c r="K3042" s="24"/>
      <c r="M3042" s="24"/>
      <c r="N3042" s="24"/>
      <c r="P3042" s="24"/>
    </row>
    <row r="3043" spans="2:16" x14ac:dyDescent="0.25">
      <c r="B3043" s="24"/>
      <c r="E3043" s="24"/>
      <c r="G3043" s="24"/>
      <c r="H3043" s="24"/>
      <c r="J3043" s="24"/>
      <c r="K3043" s="24"/>
      <c r="M3043" s="24"/>
      <c r="N3043" s="24"/>
      <c r="P3043" s="24"/>
    </row>
    <row r="3044" spans="2:16" x14ac:dyDescent="0.25">
      <c r="B3044" s="24"/>
      <c r="E3044" s="24"/>
      <c r="G3044" s="24"/>
      <c r="H3044" s="24"/>
      <c r="J3044" s="24"/>
      <c r="K3044" s="24"/>
      <c r="M3044" s="24"/>
      <c r="N3044" s="24"/>
      <c r="P3044" s="24"/>
    </row>
    <row r="3045" spans="2:16" x14ac:dyDescent="0.25">
      <c r="B3045" s="24"/>
      <c r="E3045" s="24"/>
      <c r="G3045" s="24"/>
      <c r="H3045" s="24"/>
      <c r="J3045" s="24"/>
      <c r="K3045" s="24"/>
      <c r="M3045" s="24"/>
      <c r="N3045" s="24"/>
      <c r="P3045" s="24"/>
    </row>
    <row r="3046" spans="2:16" x14ac:dyDescent="0.25">
      <c r="B3046" s="24"/>
      <c r="E3046" s="24"/>
      <c r="G3046" s="24"/>
      <c r="H3046" s="24"/>
      <c r="J3046" s="24"/>
      <c r="K3046" s="24"/>
      <c r="M3046" s="24"/>
      <c r="N3046" s="24"/>
      <c r="P3046" s="24"/>
    </row>
    <row r="3047" spans="2:16" x14ac:dyDescent="0.25">
      <c r="B3047" s="24"/>
      <c r="E3047" s="24"/>
      <c r="G3047" s="24"/>
      <c r="H3047" s="24"/>
      <c r="J3047" s="24"/>
      <c r="K3047" s="24"/>
      <c r="M3047" s="24"/>
      <c r="N3047" s="24"/>
      <c r="P3047" s="24"/>
    </row>
    <row r="3048" spans="2:16" x14ac:dyDescent="0.25">
      <c r="B3048" s="24"/>
      <c r="E3048" s="24"/>
      <c r="G3048" s="24"/>
      <c r="H3048" s="24"/>
      <c r="J3048" s="24"/>
      <c r="K3048" s="24"/>
      <c r="M3048" s="24"/>
      <c r="N3048" s="24"/>
      <c r="P3048" s="24"/>
    </row>
    <row r="3049" spans="2:16" x14ac:dyDescent="0.25">
      <c r="B3049" s="24"/>
      <c r="E3049" s="24"/>
      <c r="G3049" s="24"/>
      <c r="H3049" s="24"/>
      <c r="J3049" s="24"/>
      <c r="K3049" s="24"/>
      <c r="M3049" s="24"/>
      <c r="N3049" s="24"/>
      <c r="P3049" s="24"/>
    </row>
    <row r="3050" spans="2:16" x14ac:dyDescent="0.25">
      <c r="B3050" s="24"/>
      <c r="E3050" s="24"/>
      <c r="G3050" s="24"/>
      <c r="H3050" s="24"/>
      <c r="J3050" s="24"/>
      <c r="K3050" s="24"/>
      <c r="M3050" s="24"/>
      <c r="N3050" s="24"/>
      <c r="P3050" s="24"/>
    </row>
    <row r="3051" spans="2:16" x14ac:dyDescent="0.25">
      <c r="B3051" s="24"/>
      <c r="E3051" s="24"/>
      <c r="G3051" s="24"/>
      <c r="H3051" s="24"/>
      <c r="J3051" s="24"/>
      <c r="K3051" s="24"/>
      <c r="M3051" s="24"/>
      <c r="N3051" s="24"/>
      <c r="P3051" s="24"/>
    </row>
    <row r="3052" spans="2:16" x14ac:dyDescent="0.25">
      <c r="B3052" s="24"/>
      <c r="E3052" s="24"/>
      <c r="G3052" s="24"/>
      <c r="H3052" s="24"/>
      <c r="J3052" s="24"/>
      <c r="K3052" s="24"/>
      <c r="M3052" s="24"/>
      <c r="N3052" s="24"/>
      <c r="P3052" s="24"/>
    </row>
    <row r="3053" spans="2:16" x14ac:dyDescent="0.25">
      <c r="B3053" s="24"/>
      <c r="E3053" s="24"/>
      <c r="G3053" s="24"/>
      <c r="H3053" s="24"/>
      <c r="J3053" s="24"/>
      <c r="K3053" s="24"/>
      <c r="M3053" s="24"/>
      <c r="N3053" s="24"/>
      <c r="P3053" s="24"/>
    </row>
    <row r="3054" spans="2:16" x14ac:dyDescent="0.25">
      <c r="B3054" s="24"/>
      <c r="E3054" s="24"/>
      <c r="G3054" s="24"/>
      <c r="H3054" s="24"/>
      <c r="J3054" s="24"/>
      <c r="K3054" s="24"/>
      <c r="M3054" s="24"/>
      <c r="N3054" s="24"/>
      <c r="P3054" s="24"/>
    </row>
    <row r="3055" spans="2:16" x14ac:dyDescent="0.25">
      <c r="B3055" s="24"/>
      <c r="E3055" s="24"/>
      <c r="G3055" s="24"/>
      <c r="H3055" s="24"/>
      <c r="J3055" s="24"/>
      <c r="K3055" s="24"/>
      <c r="M3055" s="24"/>
      <c r="N3055" s="24"/>
      <c r="P3055" s="24"/>
    </row>
    <row r="3056" spans="2:16" x14ac:dyDescent="0.25">
      <c r="B3056" s="24"/>
      <c r="E3056" s="24"/>
      <c r="G3056" s="24"/>
      <c r="H3056" s="24"/>
      <c r="J3056" s="24"/>
      <c r="K3056" s="24"/>
      <c r="M3056" s="24"/>
      <c r="N3056" s="24"/>
      <c r="P3056" s="24"/>
    </row>
    <row r="3057" spans="2:16" x14ac:dyDescent="0.25">
      <c r="B3057" s="24"/>
      <c r="E3057" s="24"/>
      <c r="G3057" s="24"/>
      <c r="H3057" s="24"/>
      <c r="J3057" s="24"/>
      <c r="K3057" s="24"/>
      <c r="M3057" s="24"/>
      <c r="N3057" s="24"/>
      <c r="P3057" s="24"/>
    </row>
    <row r="3058" spans="2:16" x14ac:dyDescent="0.25">
      <c r="B3058" s="24"/>
      <c r="E3058" s="24"/>
      <c r="G3058" s="24"/>
      <c r="H3058" s="24"/>
      <c r="J3058" s="24"/>
      <c r="K3058" s="24"/>
      <c r="M3058" s="24"/>
      <c r="N3058" s="24"/>
      <c r="P3058" s="24"/>
    </row>
    <row r="3059" spans="2:16" x14ac:dyDescent="0.25">
      <c r="B3059" s="24"/>
      <c r="E3059" s="24"/>
      <c r="G3059" s="24"/>
      <c r="H3059" s="24"/>
      <c r="J3059" s="24"/>
      <c r="K3059" s="24"/>
      <c r="M3059" s="24"/>
      <c r="N3059" s="24"/>
      <c r="P3059" s="24"/>
    </row>
    <row r="3060" spans="2:16" x14ac:dyDescent="0.25">
      <c r="B3060" s="24"/>
      <c r="E3060" s="24"/>
      <c r="G3060" s="24"/>
      <c r="H3060" s="24"/>
      <c r="J3060" s="24"/>
      <c r="K3060" s="24"/>
      <c r="M3060" s="24"/>
      <c r="N3060" s="24"/>
      <c r="P3060" s="24"/>
    </row>
    <row r="3061" spans="2:16" x14ac:dyDescent="0.25">
      <c r="B3061" s="24"/>
      <c r="E3061" s="24"/>
      <c r="G3061" s="24"/>
      <c r="H3061" s="24"/>
      <c r="J3061" s="24"/>
      <c r="K3061" s="24"/>
      <c r="M3061" s="24"/>
      <c r="N3061" s="24"/>
      <c r="P3061" s="24"/>
    </row>
    <row r="3062" spans="2:16" x14ac:dyDescent="0.25">
      <c r="B3062" s="24"/>
      <c r="E3062" s="24"/>
      <c r="G3062" s="24"/>
      <c r="H3062" s="24"/>
      <c r="J3062" s="24"/>
      <c r="K3062" s="24"/>
      <c r="M3062" s="24"/>
      <c r="N3062" s="24"/>
      <c r="P3062" s="24"/>
    </row>
    <row r="3063" spans="2:16" x14ac:dyDescent="0.25">
      <c r="B3063" s="24"/>
      <c r="E3063" s="24"/>
      <c r="G3063" s="24"/>
      <c r="H3063" s="24"/>
      <c r="J3063" s="24"/>
      <c r="K3063" s="24"/>
      <c r="M3063" s="24"/>
      <c r="N3063" s="24"/>
      <c r="P3063" s="24"/>
    </row>
    <row r="3064" spans="2:16" x14ac:dyDescent="0.25">
      <c r="B3064" s="24"/>
      <c r="E3064" s="24"/>
      <c r="G3064" s="24"/>
      <c r="H3064" s="24"/>
      <c r="J3064" s="24"/>
      <c r="K3064" s="24"/>
      <c r="M3064" s="24"/>
      <c r="N3064" s="24"/>
      <c r="P3064" s="24"/>
    </row>
    <row r="3065" spans="2:16" x14ac:dyDescent="0.25">
      <c r="B3065" s="24"/>
      <c r="E3065" s="24"/>
      <c r="G3065" s="24"/>
      <c r="H3065" s="24"/>
      <c r="J3065" s="24"/>
      <c r="K3065" s="24"/>
      <c r="M3065" s="24"/>
      <c r="N3065" s="24"/>
      <c r="P3065" s="24"/>
    </row>
    <row r="3066" spans="2:16" x14ac:dyDescent="0.25">
      <c r="B3066" s="24"/>
      <c r="E3066" s="24"/>
      <c r="G3066" s="24"/>
      <c r="H3066" s="24"/>
      <c r="J3066" s="24"/>
      <c r="K3066" s="24"/>
      <c r="M3066" s="24"/>
      <c r="N3066" s="24"/>
      <c r="P3066" s="24"/>
    </row>
    <row r="3067" spans="2:16" x14ac:dyDescent="0.25">
      <c r="B3067" s="24"/>
      <c r="E3067" s="24"/>
      <c r="G3067" s="24"/>
      <c r="H3067" s="24"/>
      <c r="J3067" s="24"/>
      <c r="K3067" s="24"/>
      <c r="M3067" s="24"/>
      <c r="N3067" s="24"/>
      <c r="P3067" s="24"/>
    </row>
    <row r="3068" spans="2:16" x14ac:dyDescent="0.25">
      <c r="B3068" s="24"/>
      <c r="E3068" s="24"/>
      <c r="G3068" s="24"/>
      <c r="H3068" s="24"/>
      <c r="J3068" s="24"/>
      <c r="K3068" s="24"/>
      <c r="M3068" s="24"/>
      <c r="N3068" s="24"/>
      <c r="P3068" s="24"/>
    </row>
    <row r="3069" spans="2:16" x14ac:dyDescent="0.25">
      <c r="B3069" s="24"/>
      <c r="E3069" s="24"/>
      <c r="G3069" s="24"/>
      <c r="H3069" s="24"/>
      <c r="J3069" s="24"/>
      <c r="K3069" s="24"/>
      <c r="M3069" s="24"/>
      <c r="N3069" s="24"/>
      <c r="P3069" s="24"/>
    </row>
    <row r="3070" spans="2:16" x14ac:dyDescent="0.25">
      <c r="B3070" s="24"/>
      <c r="E3070" s="24"/>
      <c r="G3070" s="24"/>
      <c r="H3070" s="24"/>
      <c r="J3070" s="24"/>
      <c r="K3070" s="24"/>
      <c r="M3070" s="24"/>
      <c r="N3070" s="24"/>
      <c r="P3070" s="24"/>
    </row>
    <row r="3071" spans="2:16" x14ac:dyDescent="0.25">
      <c r="B3071" s="24"/>
      <c r="E3071" s="24"/>
      <c r="G3071" s="24"/>
      <c r="H3071" s="24"/>
      <c r="J3071" s="24"/>
      <c r="K3071" s="24"/>
      <c r="M3071" s="24"/>
      <c r="N3071" s="24"/>
      <c r="P3071" s="24"/>
    </row>
    <row r="3072" spans="2:16" x14ac:dyDescent="0.25">
      <c r="B3072" s="24"/>
      <c r="E3072" s="24"/>
      <c r="G3072" s="24"/>
      <c r="H3072" s="24"/>
      <c r="J3072" s="24"/>
      <c r="K3072" s="24"/>
      <c r="M3072" s="24"/>
      <c r="N3072" s="24"/>
      <c r="P3072" s="24"/>
    </row>
    <row r="3073" spans="2:16" x14ac:dyDescent="0.25">
      <c r="B3073" s="24"/>
      <c r="E3073" s="24"/>
      <c r="G3073" s="24"/>
      <c r="H3073" s="24"/>
      <c r="J3073" s="24"/>
      <c r="K3073" s="24"/>
      <c r="M3073" s="24"/>
      <c r="N3073" s="24"/>
      <c r="P3073" s="24"/>
    </row>
    <row r="3074" spans="2:16" x14ac:dyDescent="0.25">
      <c r="B3074" s="24"/>
      <c r="E3074" s="24"/>
      <c r="G3074" s="24"/>
      <c r="H3074" s="24"/>
      <c r="J3074" s="24"/>
      <c r="K3074" s="24"/>
      <c r="M3074" s="24"/>
      <c r="N3074" s="24"/>
      <c r="P3074" s="24"/>
    </row>
    <row r="3075" spans="2:16" x14ac:dyDescent="0.25">
      <c r="B3075" s="24"/>
      <c r="E3075" s="24"/>
      <c r="G3075" s="24"/>
      <c r="H3075" s="24"/>
      <c r="J3075" s="24"/>
      <c r="K3075" s="24"/>
      <c r="M3075" s="24"/>
      <c r="N3075" s="24"/>
      <c r="P3075" s="24"/>
    </row>
    <row r="3076" spans="2:16" x14ac:dyDescent="0.25">
      <c r="B3076" s="24"/>
      <c r="E3076" s="24"/>
      <c r="G3076" s="24"/>
      <c r="H3076" s="24"/>
      <c r="J3076" s="24"/>
      <c r="K3076" s="24"/>
      <c r="M3076" s="24"/>
      <c r="N3076" s="24"/>
      <c r="P3076" s="24"/>
    </row>
    <row r="3077" spans="2:16" x14ac:dyDescent="0.25">
      <c r="B3077" s="24"/>
      <c r="E3077" s="24"/>
      <c r="G3077" s="24"/>
      <c r="H3077" s="24"/>
      <c r="J3077" s="24"/>
      <c r="K3077" s="24"/>
      <c r="M3077" s="24"/>
      <c r="N3077" s="24"/>
      <c r="P3077" s="24"/>
    </row>
    <row r="3078" spans="2:16" x14ac:dyDescent="0.25">
      <c r="B3078" s="24"/>
      <c r="E3078" s="24"/>
      <c r="G3078" s="24"/>
      <c r="H3078" s="24"/>
      <c r="J3078" s="24"/>
      <c r="K3078" s="24"/>
      <c r="M3078" s="24"/>
      <c r="N3078" s="24"/>
      <c r="P3078" s="24"/>
    </row>
    <row r="3079" spans="2:16" x14ac:dyDescent="0.25">
      <c r="B3079" s="24"/>
      <c r="E3079" s="24"/>
      <c r="G3079" s="24"/>
      <c r="H3079" s="24"/>
      <c r="J3079" s="24"/>
      <c r="K3079" s="24"/>
      <c r="M3079" s="24"/>
      <c r="N3079" s="24"/>
      <c r="P3079" s="24"/>
    </row>
    <row r="3080" spans="2:16" x14ac:dyDescent="0.25">
      <c r="B3080" s="24"/>
      <c r="E3080" s="24"/>
      <c r="G3080" s="24"/>
      <c r="H3080" s="24"/>
      <c r="J3080" s="24"/>
      <c r="K3080" s="24"/>
      <c r="M3080" s="24"/>
      <c r="N3080" s="24"/>
      <c r="P3080" s="24"/>
    </row>
    <row r="3081" spans="2:16" x14ac:dyDescent="0.25">
      <c r="B3081" s="24"/>
      <c r="E3081" s="24"/>
      <c r="G3081" s="24"/>
      <c r="H3081" s="24"/>
      <c r="J3081" s="24"/>
      <c r="K3081" s="24"/>
      <c r="M3081" s="24"/>
      <c r="N3081" s="24"/>
      <c r="P3081" s="24"/>
    </row>
    <row r="3082" spans="2:16" x14ac:dyDescent="0.25">
      <c r="B3082" s="24"/>
      <c r="E3082" s="24"/>
      <c r="G3082" s="24"/>
      <c r="H3082" s="24"/>
      <c r="J3082" s="24"/>
      <c r="K3082" s="24"/>
      <c r="M3082" s="24"/>
      <c r="N3082" s="24"/>
      <c r="P3082" s="24"/>
    </row>
    <row r="3083" spans="2:16" x14ac:dyDescent="0.25">
      <c r="B3083" s="24"/>
      <c r="E3083" s="24"/>
      <c r="G3083" s="24"/>
      <c r="H3083" s="24"/>
      <c r="J3083" s="24"/>
      <c r="K3083" s="24"/>
      <c r="M3083" s="24"/>
      <c r="N3083" s="24"/>
      <c r="P3083" s="24"/>
    </row>
    <row r="3084" spans="2:16" x14ac:dyDescent="0.25">
      <c r="B3084" s="24"/>
      <c r="E3084" s="24"/>
      <c r="G3084" s="24"/>
      <c r="H3084" s="24"/>
      <c r="J3084" s="24"/>
      <c r="K3084" s="24"/>
      <c r="M3084" s="24"/>
      <c r="N3084" s="24"/>
      <c r="P3084" s="24"/>
    </row>
    <row r="3085" spans="2:16" x14ac:dyDescent="0.25">
      <c r="B3085" s="24"/>
      <c r="E3085" s="24"/>
      <c r="G3085" s="24"/>
      <c r="H3085" s="24"/>
      <c r="J3085" s="24"/>
      <c r="K3085" s="24"/>
      <c r="M3085" s="24"/>
      <c r="N3085" s="24"/>
      <c r="P3085" s="24"/>
    </row>
    <row r="3086" spans="2:16" x14ac:dyDescent="0.25">
      <c r="B3086" s="24"/>
      <c r="E3086" s="24"/>
      <c r="G3086" s="24"/>
      <c r="H3086" s="24"/>
      <c r="J3086" s="24"/>
      <c r="K3086" s="24"/>
      <c r="M3086" s="24"/>
      <c r="N3086" s="24"/>
      <c r="P3086" s="24"/>
    </row>
    <row r="3087" spans="2:16" x14ac:dyDescent="0.25">
      <c r="B3087" s="24"/>
      <c r="E3087" s="24"/>
      <c r="G3087" s="24"/>
      <c r="H3087" s="24"/>
      <c r="J3087" s="24"/>
      <c r="K3087" s="24"/>
      <c r="M3087" s="24"/>
      <c r="N3087" s="24"/>
      <c r="P3087" s="24"/>
    </row>
    <row r="3088" spans="2:16" x14ac:dyDescent="0.25">
      <c r="B3088" s="24"/>
      <c r="E3088" s="24"/>
      <c r="G3088" s="24"/>
      <c r="H3088" s="24"/>
      <c r="J3088" s="24"/>
      <c r="K3088" s="24"/>
      <c r="M3088" s="24"/>
      <c r="N3088" s="24"/>
      <c r="P3088" s="24"/>
    </row>
    <row r="3089" spans="2:16" x14ac:dyDescent="0.25">
      <c r="B3089" s="24"/>
      <c r="E3089" s="24"/>
      <c r="G3089" s="24"/>
      <c r="H3089" s="24"/>
      <c r="J3089" s="24"/>
      <c r="K3089" s="24"/>
      <c r="M3089" s="24"/>
      <c r="N3089" s="24"/>
      <c r="P3089" s="24"/>
    </row>
    <row r="3090" spans="2:16" x14ac:dyDescent="0.25">
      <c r="B3090" s="24"/>
      <c r="E3090" s="24"/>
      <c r="G3090" s="24"/>
      <c r="H3090" s="24"/>
      <c r="J3090" s="24"/>
      <c r="K3090" s="24"/>
      <c r="M3090" s="24"/>
      <c r="N3090" s="24"/>
      <c r="P3090" s="24"/>
    </row>
    <row r="3091" spans="2:16" x14ac:dyDescent="0.25">
      <c r="B3091" s="24"/>
      <c r="E3091" s="24"/>
      <c r="G3091" s="24"/>
      <c r="H3091" s="24"/>
      <c r="J3091" s="24"/>
      <c r="K3091" s="24"/>
      <c r="M3091" s="24"/>
      <c r="N3091" s="24"/>
      <c r="P3091" s="24"/>
    </row>
    <row r="3092" spans="2:16" x14ac:dyDescent="0.25">
      <c r="B3092" s="24"/>
      <c r="E3092" s="24"/>
      <c r="G3092" s="24"/>
      <c r="H3092" s="24"/>
      <c r="J3092" s="24"/>
      <c r="K3092" s="24"/>
      <c r="M3092" s="24"/>
      <c r="N3092" s="24"/>
      <c r="P3092" s="24"/>
    </row>
    <row r="3093" spans="2:16" x14ac:dyDescent="0.25">
      <c r="B3093" s="24"/>
      <c r="E3093" s="24"/>
      <c r="G3093" s="24"/>
      <c r="H3093" s="24"/>
      <c r="J3093" s="24"/>
      <c r="K3093" s="24"/>
      <c r="M3093" s="24"/>
      <c r="N3093" s="24"/>
      <c r="P3093" s="24"/>
    </row>
    <row r="3094" spans="2:16" x14ac:dyDescent="0.25">
      <c r="B3094" s="24"/>
      <c r="E3094" s="24"/>
      <c r="G3094" s="24"/>
      <c r="H3094" s="24"/>
      <c r="J3094" s="24"/>
      <c r="K3094" s="24"/>
      <c r="M3094" s="24"/>
      <c r="N3094" s="24"/>
      <c r="P3094" s="24"/>
    </row>
    <row r="3095" spans="2:16" x14ac:dyDescent="0.25">
      <c r="B3095" s="24"/>
      <c r="E3095" s="24"/>
      <c r="G3095" s="24"/>
      <c r="H3095" s="24"/>
      <c r="J3095" s="24"/>
      <c r="K3095" s="24"/>
      <c r="M3095" s="24"/>
      <c r="N3095" s="24"/>
      <c r="P3095" s="24"/>
    </row>
    <row r="3096" spans="2:16" x14ac:dyDescent="0.25">
      <c r="B3096" s="24"/>
      <c r="E3096" s="24"/>
      <c r="G3096" s="24"/>
      <c r="H3096" s="24"/>
      <c r="J3096" s="24"/>
      <c r="K3096" s="24"/>
      <c r="M3096" s="24"/>
      <c r="N3096" s="24"/>
      <c r="P3096" s="24"/>
    </row>
    <row r="3097" spans="2:16" x14ac:dyDescent="0.25">
      <c r="B3097" s="24"/>
      <c r="E3097" s="24"/>
      <c r="G3097" s="24"/>
      <c r="H3097" s="24"/>
      <c r="J3097" s="24"/>
      <c r="K3097" s="24"/>
      <c r="M3097" s="24"/>
      <c r="N3097" s="24"/>
      <c r="P3097" s="24"/>
    </row>
    <row r="3098" spans="2:16" x14ac:dyDescent="0.25">
      <c r="B3098" s="24"/>
      <c r="E3098" s="24"/>
      <c r="G3098" s="24"/>
      <c r="H3098" s="24"/>
      <c r="J3098" s="24"/>
      <c r="K3098" s="24"/>
      <c r="M3098" s="24"/>
      <c r="N3098" s="24"/>
      <c r="P3098" s="24"/>
    </row>
    <row r="3099" spans="2:16" x14ac:dyDescent="0.25">
      <c r="B3099" s="24"/>
      <c r="E3099" s="24"/>
      <c r="G3099" s="24"/>
      <c r="H3099" s="24"/>
      <c r="J3099" s="24"/>
      <c r="K3099" s="24"/>
      <c r="M3099" s="24"/>
      <c r="N3099" s="24"/>
      <c r="P3099" s="24"/>
    </row>
    <row r="3100" spans="2:16" x14ac:dyDescent="0.25">
      <c r="B3100" s="24"/>
      <c r="E3100" s="24"/>
      <c r="G3100" s="24"/>
      <c r="H3100" s="24"/>
      <c r="J3100" s="24"/>
      <c r="K3100" s="24"/>
      <c r="M3100" s="24"/>
      <c r="N3100" s="24"/>
      <c r="P3100" s="24"/>
    </row>
    <row r="3101" spans="2:16" x14ac:dyDescent="0.25">
      <c r="B3101" s="24"/>
      <c r="E3101" s="24"/>
      <c r="G3101" s="24"/>
      <c r="H3101" s="24"/>
      <c r="J3101" s="24"/>
      <c r="K3101" s="24"/>
      <c r="M3101" s="24"/>
      <c r="N3101" s="24"/>
      <c r="P3101" s="24"/>
    </row>
    <row r="3102" spans="2:16" x14ac:dyDescent="0.25">
      <c r="B3102" s="24"/>
      <c r="E3102" s="24"/>
      <c r="G3102" s="24"/>
      <c r="H3102" s="24"/>
      <c r="J3102" s="24"/>
      <c r="K3102" s="24"/>
      <c r="M3102" s="24"/>
      <c r="N3102" s="24"/>
      <c r="P3102" s="24"/>
    </row>
    <row r="3103" spans="2:16" x14ac:dyDescent="0.25">
      <c r="B3103" s="24"/>
      <c r="E3103" s="24"/>
      <c r="G3103" s="24"/>
      <c r="H3103" s="24"/>
      <c r="J3103" s="24"/>
      <c r="K3103" s="24"/>
      <c r="M3103" s="24"/>
      <c r="N3103" s="24"/>
      <c r="P3103" s="24"/>
    </row>
    <row r="3104" spans="2:16" x14ac:dyDescent="0.25">
      <c r="B3104" s="24"/>
      <c r="E3104" s="24"/>
      <c r="G3104" s="24"/>
      <c r="H3104" s="24"/>
      <c r="J3104" s="24"/>
      <c r="K3104" s="24"/>
      <c r="M3104" s="24"/>
      <c r="N3104" s="24"/>
      <c r="P3104" s="24"/>
    </row>
    <row r="3105" spans="2:16" x14ac:dyDescent="0.25">
      <c r="B3105" s="24"/>
      <c r="E3105" s="24"/>
      <c r="G3105" s="24"/>
      <c r="H3105" s="24"/>
      <c r="J3105" s="24"/>
      <c r="K3105" s="24"/>
      <c r="M3105" s="24"/>
      <c r="N3105" s="24"/>
      <c r="P3105" s="24"/>
    </row>
    <row r="3106" spans="2:16" x14ac:dyDescent="0.25">
      <c r="B3106" s="24"/>
      <c r="E3106" s="24"/>
      <c r="G3106" s="24"/>
      <c r="H3106" s="24"/>
      <c r="J3106" s="24"/>
      <c r="K3106" s="24"/>
      <c r="M3106" s="24"/>
      <c r="N3106" s="24"/>
      <c r="P3106" s="24"/>
    </row>
    <row r="3107" spans="2:16" x14ac:dyDescent="0.25">
      <c r="B3107" s="24"/>
      <c r="E3107" s="24"/>
      <c r="G3107" s="24"/>
      <c r="H3107" s="24"/>
      <c r="J3107" s="24"/>
      <c r="K3107" s="24"/>
      <c r="M3107" s="24"/>
      <c r="N3107" s="24"/>
      <c r="P3107" s="24"/>
    </row>
    <row r="3108" spans="2:16" x14ac:dyDescent="0.25">
      <c r="B3108" s="24"/>
      <c r="E3108" s="24"/>
      <c r="G3108" s="24"/>
      <c r="H3108" s="24"/>
      <c r="J3108" s="24"/>
      <c r="K3108" s="24"/>
      <c r="M3108" s="24"/>
      <c r="N3108" s="24"/>
      <c r="P3108" s="24"/>
    </row>
    <row r="3109" spans="2:16" x14ac:dyDescent="0.25">
      <c r="B3109" s="24"/>
      <c r="E3109" s="24"/>
      <c r="G3109" s="24"/>
      <c r="H3109" s="24"/>
      <c r="J3109" s="24"/>
      <c r="K3109" s="24"/>
      <c r="M3109" s="24"/>
      <c r="N3109" s="24"/>
      <c r="P3109" s="24"/>
    </row>
    <row r="3110" spans="2:16" x14ac:dyDescent="0.25">
      <c r="B3110" s="24"/>
      <c r="E3110" s="24"/>
      <c r="G3110" s="24"/>
      <c r="H3110" s="24"/>
      <c r="J3110" s="24"/>
      <c r="K3110" s="24"/>
      <c r="M3110" s="24"/>
      <c r="N3110" s="24"/>
      <c r="P3110" s="24"/>
    </row>
    <row r="3111" spans="2:16" x14ac:dyDescent="0.25">
      <c r="B3111" s="24"/>
      <c r="E3111" s="24"/>
      <c r="G3111" s="24"/>
      <c r="H3111" s="24"/>
      <c r="J3111" s="24"/>
      <c r="K3111" s="24"/>
      <c r="M3111" s="24"/>
      <c r="N3111" s="24"/>
      <c r="P3111" s="24"/>
    </row>
    <row r="3112" spans="2:16" x14ac:dyDescent="0.25">
      <c r="B3112" s="24"/>
      <c r="E3112" s="24"/>
      <c r="G3112" s="24"/>
      <c r="H3112" s="24"/>
      <c r="J3112" s="24"/>
      <c r="K3112" s="24"/>
      <c r="M3112" s="24"/>
      <c r="N3112" s="24"/>
      <c r="P3112" s="24"/>
    </row>
    <row r="3113" spans="2:16" x14ac:dyDescent="0.25">
      <c r="B3113" s="24"/>
      <c r="E3113" s="24"/>
      <c r="G3113" s="24"/>
      <c r="H3113" s="24"/>
      <c r="J3113" s="24"/>
      <c r="K3113" s="24"/>
      <c r="M3113" s="24"/>
      <c r="N3113" s="24"/>
      <c r="P3113" s="24"/>
    </row>
    <row r="3114" spans="2:16" x14ac:dyDescent="0.25">
      <c r="B3114" s="24"/>
      <c r="E3114" s="24"/>
      <c r="G3114" s="24"/>
      <c r="H3114" s="24"/>
      <c r="J3114" s="24"/>
      <c r="K3114" s="24"/>
      <c r="M3114" s="24"/>
      <c r="N3114" s="24"/>
      <c r="P3114" s="24"/>
    </row>
    <row r="3115" spans="2:16" x14ac:dyDescent="0.25">
      <c r="B3115" s="24"/>
      <c r="E3115" s="24"/>
      <c r="G3115" s="24"/>
      <c r="H3115" s="24"/>
      <c r="J3115" s="24"/>
      <c r="K3115" s="24"/>
      <c r="M3115" s="24"/>
      <c r="N3115" s="24"/>
      <c r="P3115" s="24"/>
    </row>
    <row r="3116" spans="2:16" x14ac:dyDescent="0.25">
      <c r="B3116" s="24"/>
      <c r="E3116" s="24"/>
      <c r="G3116" s="24"/>
      <c r="H3116" s="24"/>
      <c r="J3116" s="24"/>
      <c r="K3116" s="24"/>
      <c r="M3116" s="24"/>
      <c r="N3116" s="24"/>
      <c r="P3116" s="24"/>
    </row>
    <row r="3117" spans="2:16" x14ac:dyDescent="0.25">
      <c r="B3117" s="24"/>
      <c r="E3117" s="24"/>
      <c r="G3117" s="24"/>
      <c r="H3117" s="24"/>
      <c r="J3117" s="24"/>
      <c r="K3117" s="24"/>
      <c r="M3117" s="24"/>
      <c r="N3117" s="24"/>
      <c r="P3117" s="24"/>
    </row>
    <row r="3118" spans="2:16" x14ac:dyDescent="0.25">
      <c r="B3118" s="24"/>
      <c r="E3118" s="24"/>
      <c r="G3118" s="24"/>
      <c r="H3118" s="24"/>
      <c r="J3118" s="24"/>
      <c r="K3118" s="24"/>
      <c r="M3118" s="24"/>
      <c r="N3118" s="24"/>
      <c r="P3118" s="24"/>
    </row>
    <row r="3119" spans="2:16" x14ac:dyDescent="0.25">
      <c r="B3119" s="24"/>
      <c r="E3119" s="24"/>
      <c r="G3119" s="24"/>
      <c r="H3119" s="24"/>
      <c r="J3119" s="24"/>
      <c r="K3119" s="24"/>
      <c r="M3119" s="24"/>
      <c r="N3119" s="24"/>
      <c r="P3119" s="24"/>
    </row>
    <row r="3120" spans="2:16" x14ac:dyDescent="0.25">
      <c r="B3120" s="24"/>
      <c r="E3120" s="24"/>
      <c r="G3120" s="24"/>
      <c r="H3120" s="24"/>
      <c r="J3120" s="24"/>
      <c r="K3120" s="24"/>
      <c r="M3120" s="24"/>
      <c r="N3120" s="24"/>
      <c r="P3120" s="24"/>
    </row>
    <row r="3121" spans="2:16" x14ac:dyDescent="0.25">
      <c r="B3121" s="24"/>
      <c r="E3121" s="24"/>
      <c r="G3121" s="24"/>
      <c r="H3121" s="24"/>
      <c r="J3121" s="24"/>
      <c r="K3121" s="24"/>
      <c r="M3121" s="24"/>
      <c r="N3121" s="24"/>
      <c r="P3121" s="24"/>
    </row>
    <row r="3122" spans="2:16" x14ac:dyDescent="0.25">
      <c r="B3122" s="24"/>
      <c r="E3122" s="24"/>
      <c r="G3122" s="24"/>
      <c r="H3122" s="24"/>
      <c r="J3122" s="24"/>
      <c r="K3122" s="24"/>
      <c r="M3122" s="24"/>
      <c r="N3122" s="24"/>
      <c r="P3122" s="24"/>
    </row>
    <row r="3123" spans="2:16" x14ac:dyDescent="0.25">
      <c r="B3123" s="24"/>
      <c r="E3123" s="24"/>
      <c r="G3123" s="24"/>
      <c r="H3123" s="24"/>
      <c r="J3123" s="24"/>
      <c r="K3123" s="24"/>
      <c r="M3123" s="24"/>
      <c r="N3123" s="24"/>
      <c r="P3123" s="24"/>
    </row>
    <row r="3124" spans="2:16" x14ac:dyDescent="0.25">
      <c r="B3124" s="24"/>
      <c r="E3124" s="24"/>
      <c r="G3124" s="24"/>
      <c r="H3124" s="24"/>
      <c r="J3124" s="24"/>
      <c r="K3124" s="24"/>
      <c r="M3124" s="24"/>
      <c r="N3124" s="24"/>
      <c r="P3124" s="24"/>
    </row>
    <row r="3125" spans="2:16" x14ac:dyDescent="0.25">
      <c r="B3125" s="24"/>
      <c r="E3125" s="24"/>
      <c r="G3125" s="24"/>
      <c r="H3125" s="24"/>
      <c r="J3125" s="24"/>
      <c r="K3125" s="24"/>
      <c r="M3125" s="24"/>
      <c r="N3125" s="24"/>
      <c r="P3125" s="24"/>
    </row>
    <row r="3126" spans="2:16" x14ac:dyDescent="0.25">
      <c r="B3126" s="24"/>
      <c r="E3126" s="24"/>
      <c r="G3126" s="24"/>
      <c r="H3126" s="24"/>
      <c r="J3126" s="24"/>
      <c r="K3126" s="24"/>
      <c r="M3126" s="24"/>
      <c r="N3126" s="24"/>
      <c r="P3126" s="24"/>
    </row>
    <row r="3127" spans="2:16" x14ac:dyDescent="0.25">
      <c r="B3127" s="24"/>
      <c r="E3127" s="24"/>
      <c r="G3127" s="24"/>
      <c r="H3127" s="24"/>
      <c r="J3127" s="24"/>
      <c r="K3127" s="24"/>
      <c r="M3127" s="24"/>
      <c r="N3127" s="24"/>
      <c r="P3127" s="24"/>
    </row>
    <row r="3128" spans="2:16" x14ac:dyDescent="0.25">
      <c r="B3128" s="24"/>
      <c r="E3128" s="24"/>
      <c r="G3128" s="24"/>
      <c r="H3128" s="24"/>
      <c r="J3128" s="24"/>
      <c r="K3128" s="24"/>
      <c r="M3128" s="24"/>
      <c r="N3128" s="24"/>
      <c r="P3128" s="24"/>
    </row>
    <row r="3129" spans="2:16" x14ac:dyDescent="0.25">
      <c r="B3129" s="24"/>
      <c r="E3129" s="24"/>
      <c r="G3129" s="24"/>
      <c r="H3129" s="24"/>
      <c r="J3129" s="24"/>
      <c r="K3129" s="24"/>
      <c r="M3129" s="24"/>
      <c r="N3129" s="24"/>
      <c r="P3129" s="24"/>
    </row>
    <row r="3130" spans="2:16" x14ac:dyDescent="0.25">
      <c r="B3130" s="24"/>
      <c r="E3130" s="24"/>
      <c r="G3130" s="24"/>
      <c r="H3130" s="24"/>
      <c r="J3130" s="24"/>
      <c r="K3130" s="24"/>
      <c r="M3130" s="24"/>
      <c r="N3130" s="24"/>
      <c r="P3130" s="24"/>
    </row>
    <row r="3131" spans="2:16" x14ac:dyDescent="0.25">
      <c r="B3131" s="24"/>
      <c r="E3131" s="24"/>
      <c r="G3131" s="24"/>
      <c r="H3131" s="24"/>
      <c r="J3131" s="24"/>
      <c r="K3131" s="24"/>
      <c r="M3131" s="24"/>
      <c r="N3131" s="24"/>
      <c r="P3131" s="24"/>
    </row>
    <row r="3132" spans="2:16" x14ac:dyDescent="0.25">
      <c r="B3132" s="24"/>
      <c r="E3132" s="24"/>
      <c r="G3132" s="24"/>
      <c r="H3132" s="24"/>
      <c r="J3132" s="24"/>
      <c r="K3132" s="24"/>
      <c r="M3132" s="24"/>
      <c r="N3132" s="24"/>
      <c r="P3132" s="24"/>
    </row>
    <row r="3133" spans="2:16" x14ac:dyDescent="0.25">
      <c r="B3133" s="24"/>
      <c r="E3133" s="24"/>
      <c r="G3133" s="24"/>
      <c r="H3133" s="24"/>
      <c r="J3133" s="24"/>
      <c r="K3133" s="24"/>
      <c r="M3133" s="24"/>
      <c r="N3133" s="24"/>
      <c r="P3133" s="24"/>
    </row>
    <row r="3134" spans="2:16" x14ac:dyDescent="0.25">
      <c r="B3134" s="24"/>
      <c r="E3134" s="24"/>
      <c r="G3134" s="24"/>
      <c r="H3134" s="24"/>
      <c r="J3134" s="24"/>
      <c r="K3134" s="24"/>
      <c r="M3134" s="24"/>
      <c r="N3134" s="24"/>
      <c r="P3134" s="24"/>
    </row>
    <row r="3135" spans="2:16" x14ac:dyDescent="0.25">
      <c r="B3135" s="24"/>
      <c r="E3135" s="24"/>
      <c r="G3135" s="24"/>
      <c r="H3135" s="24"/>
      <c r="J3135" s="24"/>
      <c r="K3135" s="24"/>
      <c r="M3135" s="24"/>
      <c r="N3135" s="24"/>
      <c r="P3135" s="24"/>
    </row>
    <row r="3136" spans="2:16" x14ac:dyDescent="0.25">
      <c r="B3136" s="24"/>
      <c r="E3136" s="24"/>
      <c r="G3136" s="24"/>
      <c r="H3136" s="24"/>
      <c r="J3136" s="24"/>
      <c r="K3136" s="24"/>
      <c r="M3136" s="24"/>
      <c r="N3136" s="24"/>
      <c r="P3136" s="24"/>
    </row>
    <row r="3137" spans="2:16" x14ac:dyDescent="0.25">
      <c r="B3137" s="24"/>
      <c r="E3137" s="24"/>
      <c r="G3137" s="24"/>
      <c r="H3137" s="24"/>
      <c r="J3137" s="24"/>
      <c r="K3137" s="24"/>
      <c r="M3137" s="24"/>
      <c r="N3137" s="24"/>
      <c r="P3137" s="24"/>
    </row>
    <row r="3138" spans="2:16" x14ac:dyDescent="0.25">
      <c r="B3138" s="24"/>
      <c r="E3138" s="24"/>
      <c r="G3138" s="24"/>
      <c r="H3138" s="24"/>
      <c r="J3138" s="24"/>
      <c r="K3138" s="24"/>
      <c r="M3138" s="24"/>
      <c r="N3138" s="24"/>
      <c r="P3138" s="24"/>
    </row>
    <row r="3139" spans="2:16" x14ac:dyDescent="0.25">
      <c r="B3139" s="24"/>
      <c r="E3139" s="24"/>
      <c r="G3139" s="24"/>
      <c r="H3139" s="24"/>
      <c r="J3139" s="24"/>
      <c r="K3139" s="24"/>
      <c r="M3139" s="24"/>
      <c r="N3139" s="24"/>
      <c r="P3139" s="24"/>
    </row>
    <row r="3140" spans="2:16" x14ac:dyDescent="0.25">
      <c r="B3140" s="24"/>
      <c r="E3140" s="24"/>
      <c r="G3140" s="24"/>
      <c r="H3140" s="24"/>
      <c r="J3140" s="24"/>
      <c r="K3140" s="24"/>
      <c r="M3140" s="24"/>
      <c r="N3140" s="24"/>
      <c r="P3140" s="24"/>
    </row>
    <row r="3141" spans="2:16" x14ac:dyDescent="0.25">
      <c r="B3141" s="24"/>
      <c r="E3141" s="24"/>
      <c r="G3141" s="24"/>
      <c r="H3141" s="24"/>
      <c r="J3141" s="24"/>
      <c r="K3141" s="24"/>
      <c r="M3141" s="24"/>
      <c r="N3141" s="24"/>
      <c r="P3141" s="24"/>
    </row>
    <row r="3142" spans="2:16" x14ac:dyDescent="0.25">
      <c r="B3142" s="24"/>
      <c r="E3142" s="24"/>
      <c r="G3142" s="24"/>
      <c r="H3142" s="24"/>
      <c r="J3142" s="24"/>
      <c r="K3142" s="24"/>
      <c r="M3142" s="24"/>
      <c r="N3142" s="24"/>
      <c r="P3142" s="24"/>
    </row>
    <row r="3143" spans="2:16" x14ac:dyDescent="0.25">
      <c r="B3143" s="24"/>
      <c r="E3143" s="24"/>
      <c r="G3143" s="24"/>
      <c r="H3143" s="24"/>
      <c r="J3143" s="24"/>
      <c r="K3143" s="24"/>
      <c r="M3143" s="24"/>
      <c r="N3143" s="24"/>
      <c r="P3143" s="24"/>
    </row>
    <row r="3144" spans="2:16" x14ac:dyDescent="0.25">
      <c r="B3144" s="24"/>
      <c r="E3144" s="24"/>
      <c r="G3144" s="24"/>
      <c r="H3144" s="24"/>
      <c r="J3144" s="24"/>
      <c r="K3144" s="24"/>
      <c r="M3144" s="24"/>
      <c r="N3144" s="24"/>
      <c r="P3144" s="24"/>
    </row>
    <row r="3145" spans="2:16" x14ac:dyDescent="0.25">
      <c r="B3145" s="24"/>
      <c r="E3145" s="24"/>
      <c r="G3145" s="24"/>
      <c r="H3145" s="24"/>
      <c r="J3145" s="24"/>
      <c r="K3145" s="24"/>
      <c r="M3145" s="24"/>
      <c r="N3145" s="24"/>
      <c r="P3145" s="24"/>
    </row>
    <row r="3146" spans="2:16" x14ac:dyDescent="0.25">
      <c r="B3146" s="24"/>
      <c r="E3146" s="24"/>
      <c r="G3146" s="24"/>
      <c r="H3146" s="24"/>
      <c r="J3146" s="24"/>
      <c r="K3146" s="24"/>
      <c r="M3146" s="24"/>
      <c r="N3146" s="24"/>
      <c r="P3146" s="24"/>
    </row>
    <row r="3147" spans="2:16" x14ac:dyDescent="0.25">
      <c r="B3147" s="24"/>
      <c r="E3147" s="24"/>
      <c r="G3147" s="24"/>
      <c r="H3147" s="24"/>
      <c r="J3147" s="24"/>
      <c r="K3147" s="24"/>
      <c r="M3147" s="24"/>
      <c r="N3147" s="24"/>
      <c r="P3147" s="24"/>
    </row>
    <row r="3148" spans="2:16" x14ac:dyDescent="0.25">
      <c r="B3148" s="24"/>
      <c r="E3148" s="24"/>
      <c r="G3148" s="24"/>
      <c r="H3148" s="24"/>
      <c r="J3148" s="24"/>
      <c r="K3148" s="24"/>
      <c r="M3148" s="24"/>
      <c r="N3148" s="24"/>
      <c r="P3148" s="24"/>
    </row>
    <row r="3149" spans="2:16" x14ac:dyDescent="0.25">
      <c r="B3149" s="24"/>
      <c r="E3149" s="24"/>
      <c r="G3149" s="24"/>
      <c r="H3149" s="24"/>
      <c r="J3149" s="24"/>
      <c r="K3149" s="24"/>
      <c r="M3149" s="24"/>
      <c r="N3149" s="24"/>
      <c r="P3149" s="24"/>
    </row>
    <row r="3150" spans="2:16" x14ac:dyDescent="0.25">
      <c r="B3150" s="24"/>
      <c r="E3150" s="24"/>
      <c r="G3150" s="24"/>
      <c r="H3150" s="24"/>
      <c r="J3150" s="24"/>
      <c r="K3150" s="24"/>
      <c r="M3150" s="24"/>
      <c r="N3150" s="24"/>
      <c r="P3150" s="24"/>
    </row>
    <row r="3151" spans="2:16" x14ac:dyDescent="0.25">
      <c r="B3151" s="24"/>
      <c r="E3151" s="24"/>
      <c r="G3151" s="24"/>
      <c r="H3151" s="24"/>
      <c r="J3151" s="24"/>
      <c r="K3151" s="24"/>
      <c r="M3151" s="24"/>
      <c r="N3151" s="24"/>
      <c r="P3151" s="24"/>
    </row>
    <row r="3152" spans="2:16" x14ac:dyDescent="0.25">
      <c r="B3152" s="24"/>
      <c r="E3152" s="24"/>
      <c r="G3152" s="24"/>
      <c r="H3152" s="24"/>
      <c r="J3152" s="24"/>
      <c r="K3152" s="24"/>
      <c r="M3152" s="24"/>
      <c r="N3152" s="24"/>
      <c r="P3152" s="24"/>
    </row>
    <row r="3153" spans="2:16" x14ac:dyDescent="0.25">
      <c r="B3153" s="24"/>
      <c r="E3153" s="24"/>
      <c r="G3153" s="24"/>
      <c r="H3153" s="24"/>
      <c r="J3153" s="24"/>
      <c r="K3153" s="24"/>
      <c r="M3153" s="24"/>
      <c r="N3153" s="24"/>
      <c r="P3153" s="24"/>
    </row>
    <row r="3154" spans="2:16" x14ac:dyDescent="0.25">
      <c r="B3154" s="24"/>
      <c r="E3154" s="24"/>
      <c r="G3154" s="24"/>
      <c r="H3154" s="24"/>
      <c r="J3154" s="24"/>
      <c r="K3154" s="24"/>
      <c r="M3154" s="24"/>
      <c r="N3154" s="24"/>
      <c r="P3154" s="24"/>
    </row>
    <row r="3155" spans="2:16" x14ac:dyDescent="0.25">
      <c r="B3155" s="24"/>
      <c r="E3155" s="24"/>
      <c r="G3155" s="24"/>
      <c r="H3155" s="24"/>
      <c r="J3155" s="24"/>
      <c r="K3155" s="24"/>
      <c r="M3155" s="24"/>
      <c r="N3155" s="24"/>
      <c r="P3155" s="24"/>
    </row>
    <row r="3156" spans="2:16" x14ac:dyDescent="0.25">
      <c r="B3156" s="24"/>
      <c r="E3156" s="24"/>
      <c r="G3156" s="24"/>
      <c r="H3156" s="24"/>
      <c r="J3156" s="24"/>
      <c r="K3156" s="24"/>
      <c r="M3156" s="24"/>
      <c r="N3156" s="24"/>
      <c r="P3156" s="24"/>
    </row>
    <row r="3157" spans="2:16" x14ac:dyDescent="0.25">
      <c r="B3157" s="24"/>
      <c r="E3157" s="24"/>
      <c r="G3157" s="24"/>
      <c r="H3157" s="24"/>
      <c r="J3157" s="24"/>
      <c r="K3157" s="24"/>
      <c r="M3157" s="24"/>
      <c r="N3157" s="24"/>
      <c r="P3157" s="24"/>
    </row>
    <row r="3158" spans="2:16" x14ac:dyDescent="0.25">
      <c r="B3158" s="24"/>
      <c r="E3158" s="24"/>
      <c r="G3158" s="24"/>
      <c r="H3158" s="24"/>
      <c r="J3158" s="24"/>
      <c r="K3158" s="24"/>
      <c r="M3158" s="24"/>
      <c r="N3158" s="24"/>
      <c r="P3158" s="24"/>
    </row>
    <row r="3159" spans="2:16" x14ac:dyDescent="0.25">
      <c r="B3159" s="24"/>
      <c r="E3159" s="24"/>
      <c r="G3159" s="24"/>
      <c r="H3159" s="24"/>
      <c r="J3159" s="24"/>
      <c r="K3159" s="24"/>
      <c r="M3159" s="24"/>
      <c r="N3159" s="24"/>
      <c r="P3159" s="24"/>
    </row>
    <row r="3160" spans="2:16" x14ac:dyDescent="0.25">
      <c r="B3160" s="24"/>
      <c r="E3160" s="24"/>
      <c r="G3160" s="24"/>
      <c r="H3160" s="24"/>
      <c r="J3160" s="24"/>
      <c r="K3160" s="24"/>
      <c r="M3160" s="24"/>
      <c r="N3160" s="24"/>
      <c r="P3160" s="24"/>
    </row>
    <row r="3161" spans="2:16" x14ac:dyDescent="0.25">
      <c r="B3161" s="24"/>
      <c r="E3161" s="24"/>
      <c r="G3161" s="24"/>
      <c r="H3161" s="24"/>
      <c r="J3161" s="24"/>
      <c r="K3161" s="24"/>
      <c r="M3161" s="24"/>
      <c r="N3161" s="24"/>
      <c r="P3161" s="24"/>
    </row>
    <row r="3162" spans="2:16" x14ac:dyDescent="0.25">
      <c r="B3162" s="24"/>
      <c r="E3162" s="24"/>
      <c r="G3162" s="24"/>
      <c r="H3162" s="24"/>
      <c r="J3162" s="24"/>
      <c r="K3162" s="24"/>
      <c r="M3162" s="24"/>
      <c r="N3162" s="24"/>
      <c r="P3162" s="24"/>
    </row>
    <row r="3163" spans="2:16" x14ac:dyDescent="0.25">
      <c r="B3163" s="24"/>
      <c r="E3163" s="24"/>
      <c r="G3163" s="24"/>
      <c r="H3163" s="24"/>
      <c r="J3163" s="24"/>
      <c r="K3163" s="24"/>
      <c r="M3163" s="24"/>
      <c r="N3163" s="24"/>
      <c r="P3163" s="24"/>
    </row>
    <row r="3164" spans="2:16" x14ac:dyDescent="0.25">
      <c r="B3164" s="24"/>
      <c r="E3164" s="24"/>
      <c r="G3164" s="24"/>
      <c r="H3164" s="24"/>
      <c r="J3164" s="24"/>
      <c r="K3164" s="24"/>
      <c r="M3164" s="24"/>
      <c r="N3164" s="24"/>
      <c r="P3164" s="24"/>
    </row>
    <row r="3165" spans="2:16" x14ac:dyDescent="0.25">
      <c r="B3165" s="24"/>
      <c r="E3165" s="24"/>
      <c r="G3165" s="24"/>
      <c r="H3165" s="24"/>
      <c r="J3165" s="24"/>
      <c r="K3165" s="24"/>
      <c r="M3165" s="24"/>
      <c r="N3165" s="24"/>
      <c r="P3165" s="24"/>
    </row>
    <row r="3166" spans="2:16" x14ac:dyDescent="0.25">
      <c r="B3166" s="24"/>
      <c r="E3166" s="24"/>
      <c r="G3166" s="24"/>
      <c r="H3166" s="24"/>
      <c r="J3166" s="24"/>
      <c r="K3166" s="24"/>
      <c r="M3166" s="24"/>
      <c r="N3166" s="24"/>
      <c r="P3166" s="24"/>
    </row>
    <row r="3167" spans="2:16" x14ac:dyDescent="0.25">
      <c r="B3167" s="24"/>
      <c r="E3167" s="24"/>
      <c r="G3167" s="24"/>
      <c r="H3167" s="24"/>
      <c r="J3167" s="24"/>
      <c r="K3167" s="24"/>
      <c r="M3167" s="24"/>
      <c r="N3167" s="24"/>
      <c r="P3167" s="24"/>
    </row>
    <row r="3168" spans="2:16" x14ac:dyDescent="0.25">
      <c r="B3168" s="24"/>
      <c r="E3168" s="24"/>
      <c r="G3168" s="24"/>
      <c r="H3168" s="24"/>
      <c r="J3168" s="24"/>
      <c r="K3168" s="24"/>
      <c r="M3168" s="24"/>
      <c r="N3168" s="24"/>
      <c r="P3168" s="24"/>
    </row>
    <row r="3169" spans="2:16" x14ac:dyDescent="0.25">
      <c r="B3169" s="24"/>
      <c r="E3169" s="24"/>
      <c r="G3169" s="24"/>
      <c r="H3169" s="24"/>
      <c r="J3169" s="24"/>
      <c r="K3169" s="24"/>
      <c r="M3169" s="24"/>
      <c r="N3169" s="24"/>
      <c r="P3169" s="24"/>
    </row>
    <row r="3170" spans="2:16" x14ac:dyDescent="0.25">
      <c r="B3170" s="24"/>
      <c r="E3170" s="24"/>
      <c r="G3170" s="24"/>
      <c r="H3170" s="24"/>
      <c r="J3170" s="24"/>
      <c r="K3170" s="24"/>
      <c r="M3170" s="24"/>
      <c r="N3170" s="24"/>
      <c r="P3170" s="24"/>
    </row>
    <row r="3171" spans="2:16" x14ac:dyDescent="0.25">
      <c r="B3171" s="24"/>
      <c r="E3171" s="24"/>
      <c r="G3171" s="24"/>
      <c r="H3171" s="24"/>
      <c r="J3171" s="24"/>
      <c r="K3171" s="24"/>
      <c r="M3171" s="24"/>
      <c r="N3171" s="24"/>
      <c r="P3171" s="24"/>
    </row>
    <row r="3172" spans="2:16" x14ac:dyDescent="0.25">
      <c r="B3172" s="24"/>
      <c r="E3172" s="24"/>
      <c r="G3172" s="24"/>
      <c r="H3172" s="24"/>
      <c r="J3172" s="24"/>
      <c r="K3172" s="24"/>
      <c r="M3172" s="24"/>
      <c r="N3172" s="24"/>
      <c r="P3172" s="24"/>
    </row>
    <row r="3173" spans="2:16" x14ac:dyDescent="0.25">
      <c r="B3173" s="24"/>
      <c r="E3173" s="24"/>
      <c r="G3173" s="24"/>
      <c r="H3173" s="24"/>
      <c r="J3173" s="24"/>
      <c r="K3173" s="24"/>
      <c r="M3173" s="24"/>
      <c r="N3173" s="24"/>
      <c r="P3173" s="24"/>
    </row>
    <row r="3174" spans="2:16" x14ac:dyDescent="0.25">
      <c r="B3174" s="24"/>
      <c r="E3174" s="24"/>
      <c r="G3174" s="24"/>
      <c r="H3174" s="24"/>
      <c r="J3174" s="24"/>
      <c r="K3174" s="24"/>
      <c r="M3174" s="24"/>
      <c r="N3174" s="24"/>
      <c r="P3174" s="24"/>
    </row>
    <row r="3175" spans="2:16" x14ac:dyDescent="0.25">
      <c r="B3175" s="24"/>
      <c r="E3175" s="24"/>
      <c r="G3175" s="24"/>
      <c r="H3175" s="24"/>
      <c r="J3175" s="24"/>
      <c r="K3175" s="24"/>
      <c r="M3175" s="24"/>
      <c r="N3175" s="24"/>
      <c r="P3175" s="24"/>
    </row>
    <row r="3176" spans="2:16" x14ac:dyDescent="0.25">
      <c r="B3176" s="24"/>
      <c r="E3176" s="24"/>
      <c r="G3176" s="24"/>
      <c r="H3176" s="24"/>
      <c r="J3176" s="24"/>
      <c r="K3176" s="24"/>
      <c r="M3176" s="24"/>
      <c r="N3176" s="24"/>
      <c r="P3176" s="24"/>
    </row>
    <row r="3177" spans="2:16" x14ac:dyDescent="0.25">
      <c r="B3177" s="24"/>
      <c r="E3177" s="24"/>
      <c r="G3177" s="24"/>
      <c r="H3177" s="24"/>
      <c r="J3177" s="24"/>
      <c r="K3177" s="24"/>
      <c r="M3177" s="24"/>
      <c r="N3177" s="24"/>
      <c r="P3177" s="24"/>
    </row>
    <row r="3178" spans="2:16" x14ac:dyDescent="0.25">
      <c r="B3178" s="24"/>
      <c r="E3178" s="24"/>
      <c r="G3178" s="24"/>
      <c r="H3178" s="24"/>
      <c r="J3178" s="24"/>
      <c r="K3178" s="24"/>
      <c r="M3178" s="24"/>
      <c r="N3178" s="24"/>
      <c r="P3178" s="24"/>
    </row>
    <row r="3179" spans="2:16" x14ac:dyDescent="0.25">
      <c r="B3179" s="24"/>
      <c r="E3179" s="24"/>
      <c r="G3179" s="24"/>
      <c r="H3179" s="24"/>
      <c r="J3179" s="24"/>
      <c r="K3179" s="24"/>
      <c r="M3179" s="24"/>
      <c r="N3179" s="24"/>
      <c r="P3179" s="24"/>
    </row>
    <row r="3180" spans="2:16" x14ac:dyDescent="0.25">
      <c r="B3180" s="24"/>
      <c r="E3180" s="24"/>
      <c r="G3180" s="24"/>
      <c r="H3180" s="24"/>
      <c r="J3180" s="24"/>
      <c r="K3180" s="24"/>
      <c r="M3180" s="24"/>
      <c r="N3180" s="24"/>
      <c r="P3180" s="24"/>
    </row>
    <row r="3181" spans="2:16" x14ac:dyDescent="0.25">
      <c r="B3181" s="24"/>
      <c r="E3181" s="24"/>
      <c r="G3181" s="24"/>
      <c r="H3181" s="24"/>
      <c r="J3181" s="24"/>
      <c r="K3181" s="24"/>
      <c r="M3181" s="24"/>
      <c r="N3181" s="24"/>
      <c r="P3181" s="24"/>
    </row>
    <row r="3182" spans="2:16" x14ac:dyDescent="0.25">
      <c r="B3182" s="24"/>
      <c r="E3182" s="24"/>
      <c r="G3182" s="24"/>
      <c r="H3182" s="24"/>
      <c r="J3182" s="24"/>
      <c r="K3182" s="24"/>
      <c r="M3182" s="24"/>
      <c r="N3182" s="24"/>
      <c r="P3182" s="24"/>
    </row>
    <row r="3183" spans="2:16" x14ac:dyDescent="0.25">
      <c r="B3183" s="24"/>
      <c r="E3183" s="24"/>
      <c r="G3183" s="24"/>
      <c r="H3183" s="24"/>
      <c r="J3183" s="24"/>
      <c r="K3183" s="24"/>
      <c r="M3183" s="24"/>
      <c r="N3183" s="24"/>
      <c r="P3183" s="24"/>
    </row>
    <row r="3184" spans="2:16" x14ac:dyDescent="0.25">
      <c r="B3184" s="24"/>
      <c r="E3184" s="24"/>
      <c r="G3184" s="24"/>
      <c r="H3184" s="24"/>
      <c r="J3184" s="24"/>
      <c r="K3184" s="24"/>
      <c r="M3184" s="24"/>
      <c r="N3184" s="24"/>
      <c r="P3184" s="24"/>
    </row>
    <row r="3185" spans="2:16" x14ac:dyDescent="0.25">
      <c r="B3185" s="24"/>
      <c r="E3185" s="24"/>
      <c r="G3185" s="24"/>
      <c r="H3185" s="24"/>
      <c r="J3185" s="24"/>
      <c r="K3185" s="24"/>
      <c r="M3185" s="24"/>
      <c r="N3185" s="24"/>
      <c r="P3185" s="24"/>
    </row>
    <row r="3186" spans="2:16" x14ac:dyDescent="0.25">
      <c r="B3186" s="24"/>
      <c r="E3186" s="24"/>
      <c r="G3186" s="24"/>
      <c r="H3186" s="24"/>
      <c r="J3186" s="24"/>
      <c r="K3186" s="24"/>
      <c r="M3186" s="24"/>
      <c r="N3186" s="24"/>
      <c r="P3186" s="24"/>
    </row>
    <row r="3187" spans="2:16" x14ac:dyDescent="0.25">
      <c r="B3187" s="24"/>
      <c r="E3187" s="24"/>
      <c r="G3187" s="24"/>
      <c r="H3187" s="24"/>
      <c r="J3187" s="24"/>
      <c r="K3187" s="24"/>
      <c r="M3187" s="24"/>
      <c r="N3187" s="24"/>
      <c r="P3187" s="24"/>
    </row>
    <row r="3188" spans="2:16" x14ac:dyDescent="0.25">
      <c r="B3188" s="24"/>
      <c r="E3188" s="24"/>
      <c r="G3188" s="24"/>
      <c r="H3188" s="24"/>
      <c r="J3188" s="24"/>
      <c r="K3188" s="24"/>
      <c r="M3188" s="24"/>
      <c r="N3188" s="24"/>
      <c r="P3188" s="24"/>
    </row>
    <row r="3189" spans="2:16" x14ac:dyDescent="0.25">
      <c r="B3189" s="24"/>
      <c r="E3189" s="24"/>
      <c r="G3189" s="24"/>
      <c r="H3189" s="24"/>
      <c r="J3189" s="24"/>
      <c r="K3189" s="24"/>
      <c r="M3189" s="24"/>
      <c r="N3189" s="24"/>
      <c r="P3189" s="24"/>
    </row>
    <row r="3190" spans="2:16" x14ac:dyDescent="0.25">
      <c r="B3190" s="24"/>
      <c r="E3190" s="24"/>
      <c r="G3190" s="24"/>
      <c r="H3190" s="24"/>
      <c r="J3190" s="24"/>
      <c r="K3190" s="24"/>
      <c r="M3190" s="24"/>
      <c r="N3190" s="24"/>
      <c r="P3190" s="24"/>
    </row>
    <row r="3191" spans="2:16" x14ac:dyDescent="0.25">
      <c r="B3191" s="24"/>
      <c r="E3191" s="24"/>
      <c r="G3191" s="24"/>
      <c r="H3191" s="24"/>
      <c r="J3191" s="24"/>
      <c r="K3191" s="24"/>
      <c r="M3191" s="24"/>
      <c r="N3191" s="24"/>
      <c r="P3191" s="24"/>
    </row>
    <row r="3192" spans="2:16" x14ac:dyDescent="0.25">
      <c r="B3192" s="24"/>
      <c r="E3192" s="24"/>
      <c r="G3192" s="24"/>
      <c r="H3192" s="24"/>
      <c r="J3192" s="24"/>
      <c r="K3192" s="24"/>
      <c r="M3192" s="24"/>
      <c r="N3192" s="24"/>
      <c r="P3192" s="24"/>
    </row>
    <row r="3193" spans="2:16" x14ac:dyDescent="0.25">
      <c r="B3193" s="24"/>
      <c r="E3193" s="24"/>
      <c r="G3193" s="24"/>
      <c r="H3193" s="24"/>
      <c r="J3193" s="24"/>
      <c r="K3193" s="24"/>
      <c r="M3193" s="24"/>
      <c r="N3193" s="24"/>
      <c r="P3193" s="24"/>
    </row>
    <row r="3194" spans="2:16" x14ac:dyDescent="0.25">
      <c r="B3194" s="24"/>
      <c r="E3194" s="24"/>
      <c r="G3194" s="24"/>
      <c r="H3194" s="24"/>
      <c r="J3194" s="24"/>
      <c r="K3194" s="24"/>
      <c r="M3194" s="24"/>
      <c r="N3194" s="24"/>
      <c r="P3194" s="24"/>
    </row>
    <row r="3195" spans="2:16" x14ac:dyDescent="0.25">
      <c r="B3195" s="24"/>
      <c r="E3195" s="24"/>
      <c r="G3195" s="24"/>
      <c r="H3195" s="24"/>
      <c r="J3195" s="24"/>
      <c r="K3195" s="24"/>
      <c r="M3195" s="24"/>
      <c r="N3195" s="24"/>
      <c r="P3195" s="24"/>
    </row>
    <row r="3196" spans="2:16" x14ac:dyDescent="0.25">
      <c r="B3196" s="24"/>
      <c r="E3196" s="24"/>
      <c r="G3196" s="24"/>
      <c r="H3196" s="24"/>
      <c r="J3196" s="24"/>
      <c r="K3196" s="24"/>
      <c r="M3196" s="24"/>
      <c r="N3196" s="24"/>
      <c r="P3196" s="24"/>
    </row>
    <row r="3197" spans="2:16" x14ac:dyDescent="0.25">
      <c r="B3197" s="24"/>
      <c r="E3197" s="24"/>
      <c r="G3197" s="24"/>
      <c r="H3197" s="24"/>
      <c r="J3197" s="24"/>
      <c r="K3197" s="24"/>
      <c r="M3197" s="24"/>
      <c r="N3197" s="24"/>
      <c r="P3197" s="24"/>
    </row>
    <row r="3198" spans="2:16" x14ac:dyDescent="0.25">
      <c r="B3198" s="24"/>
      <c r="E3198" s="24"/>
      <c r="G3198" s="24"/>
      <c r="H3198" s="24"/>
      <c r="J3198" s="24"/>
      <c r="K3198" s="24"/>
      <c r="M3198" s="24"/>
      <c r="N3198" s="24"/>
      <c r="P3198" s="24"/>
    </row>
    <row r="3199" spans="2:16" x14ac:dyDescent="0.25">
      <c r="B3199" s="24"/>
      <c r="E3199" s="24"/>
      <c r="G3199" s="24"/>
      <c r="H3199" s="24"/>
      <c r="J3199" s="24"/>
      <c r="K3199" s="24"/>
      <c r="M3199" s="24"/>
      <c r="N3199" s="24"/>
      <c r="P3199" s="24"/>
    </row>
    <row r="3200" spans="2:16" x14ac:dyDescent="0.25">
      <c r="B3200" s="24"/>
      <c r="E3200" s="24"/>
      <c r="G3200" s="24"/>
      <c r="H3200" s="24"/>
      <c r="J3200" s="24"/>
      <c r="K3200" s="24"/>
      <c r="M3200" s="24"/>
      <c r="N3200" s="24"/>
      <c r="P3200" s="24"/>
    </row>
    <row r="3201" spans="2:16" x14ac:dyDescent="0.25">
      <c r="B3201" s="24"/>
      <c r="E3201" s="24"/>
      <c r="G3201" s="24"/>
      <c r="H3201" s="24"/>
      <c r="J3201" s="24"/>
      <c r="K3201" s="24"/>
      <c r="M3201" s="24"/>
      <c r="N3201" s="24"/>
      <c r="P3201" s="24"/>
    </row>
    <row r="3202" spans="2:16" x14ac:dyDescent="0.25">
      <c r="B3202" s="24"/>
      <c r="E3202" s="24"/>
      <c r="G3202" s="24"/>
      <c r="H3202" s="24"/>
      <c r="J3202" s="24"/>
      <c r="K3202" s="24"/>
      <c r="M3202" s="24"/>
      <c r="N3202" s="24"/>
      <c r="P3202" s="24"/>
    </row>
    <row r="3203" spans="2:16" x14ac:dyDescent="0.25">
      <c r="B3203" s="24"/>
      <c r="E3203" s="24"/>
      <c r="G3203" s="24"/>
      <c r="H3203" s="24"/>
      <c r="J3203" s="24"/>
      <c r="K3203" s="24"/>
      <c r="M3203" s="24"/>
      <c r="N3203" s="24"/>
      <c r="P3203" s="24"/>
    </row>
    <row r="3204" spans="2:16" x14ac:dyDescent="0.25">
      <c r="B3204" s="24"/>
      <c r="E3204" s="24"/>
      <c r="G3204" s="24"/>
      <c r="H3204" s="24"/>
      <c r="J3204" s="24"/>
      <c r="K3204" s="24"/>
      <c r="M3204" s="24"/>
      <c r="N3204" s="24"/>
      <c r="P3204" s="24"/>
    </row>
    <row r="3205" spans="2:16" x14ac:dyDescent="0.25">
      <c r="B3205" s="24"/>
      <c r="E3205" s="24"/>
      <c r="G3205" s="24"/>
      <c r="H3205" s="24"/>
      <c r="J3205" s="24"/>
      <c r="K3205" s="24"/>
      <c r="M3205" s="24"/>
      <c r="N3205" s="24"/>
      <c r="P3205" s="24"/>
    </row>
    <row r="3206" spans="2:16" x14ac:dyDescent="0.25">
      <c r="B3206" s="24"/>
      <c r="E3206" s="24"/>
      <c r="G3206" s="24"/>
      <c r="H3206" s="24"/>
      <c r="J3206" s="24"/>
      <c r="K3206" s="24"/>
      <c r="M3206" s="24"/>
      <c r="N3206" s="24"/>
      <c r="P3206" s="24"/>
    </row>
    <row r="3207" spans="2:16" x14ac:dyDescent="0.25">
      <c r="B3207" s="24"/>
      <c r="E3207" s="24"/>
      <c r="G3207" s="24"/>
      <c r="H3207" s="24"/>
      <c r="J3207" s="24"/>
      <c r="K3207" s="24"/>
      <c r="M3207" s="24"/>
      <c r="N3207" s="24"/>
      <c r="P3207" s="24"/>
    </row>
    <row r="3208" spans="2:16" x14ac:dyDescent="0.25">
      <c r="B3208" s="24"/>
      <c r="E3208" s="24"/>
      <c r="G3208" s="24"/>
      <c r="H3208" s="24"/>
      <c r="J3208" s="24"/>
      <c r="K3208" s="24"/>
      <c r="M3208" s="24"/>
      <c r="N3208" s="24"/>
      <c r="P3208" s="24"/>
    </row>
    <row r="3209" spans="2:16" x14ac:dyDescent="0.25">
      <c r="B3209" s="24"/>
      <c r="E3209" s="24"/>
      <c r="G3209" s="24"/>
      <c r="H3209" s="24"/>
      <c r="J3209" s="24"/>
      <c r="K3209" s="24"/>
      <c r="M3209" s="24"/>
      <c r="N3209" s="24"/>
      <c r="P3209" s="24"/>
    </row>
    <row r="3210" spans="2:16" x14ac:dyDescent="0.25">
      <c r="B3210" s="24"/>
      <c r="E3210" s="24"/>
      <c r="G3210" s="24"/>
      <c r="H3210" s="24"/>
      <c r="J3210" s="24"/>
      <c r="K3210" s="24"/>
      <c r="M3210" s="24"/>
      <c r="N3210" s="24"/>
      <c r="P3210" s="24"/>
    </row>
    <row r="3211" spans="2:16" x14ac:dyDescent="0.25">
      <c r="B3211" s="24"/>
      <c r="E3211" s="24"/>
      <c r="G3211" s="24"/>
      <c r="H3211" s="24"/>
      <c r="J3211" s="24"/>
      <c r="K3211" s="24"/>
      <c r="M3211" s="24"/>
      <c r="N3211" s="24"/>
      <c r="P3211" s="24"/>
    </row>
    <row r="3212" spans="2:16" x14ac:dyDescent="0.25">
      <c r="B3212" s="24"/>
      <c r="E3212" s="24"/>
      <c r="G3212" s="24"/>
      <c r="H3212" s="24"/>
      <c r="J3212" s="24"/>
      <c r="K3212" s="24"/>
      <c r="M3212" s="24"/>
      <c r="N3212" s="24"/>
      <c r="P3212" s="24"/>
    </row>
    <row r="3213" spans="2:16" x14ac:dyDescent="0.25">
      <c r="B3213" s="24"/>
      <c r="E3213" s="24"/>
      <c r="G3213" s="24"/>
      <c r="H3213" s="24"/>
      <c r="J3213" s="24"/>
      <c r="K3213" s="24"/>
      <c r="M3213" s="24"/>
      <c r="N3213" s="24"/>
      <c r="P3213" s="24"/>
    </row>
    <row r="3214" spans="2:16" x14ac:dyDescent="0.25">
      <c r="B3214" s="24"/>
      <c r="E3214" s="24"/>
      <c r="G3214" s="24"/>
      <c r="H3214" s="24"/>
      <c r="J3214" s="24"/>
      <c r="K3214" s="24"/>
      <c r="M3214" s="24"/>
      <c r="N3214" s="24"/>
      <c r="P3214" s="24"/>
    </row>
    <row r="3215" spans="2:16" x14ac:dyDescent="0.25">
      <c r="B3215" s="24"/>
      <c r="E3215" s="24"/>
      <c r="G3215" s="24"/>
      <c r="H3215" s="24"/>
      <c r="J3215" s="24"/>
      <c r="K3215" s="24"/>
      <c r="M3215" s="24"/>
      <c r="N3215" s="24"/>
      <c r="P3215" s="24"/>
    </row>
    <row r="3216" spans="2:16" x14ac:dyDescent="0.25">
      <c r="B3216" s="24"/>
      <c r="E3216" s="24"/>
      <c r="G3216" s="24"/>
      <c r="H3216" s="24"/>
      <c r="J3216" s="24"/>
      <c r="K3216" s="24"/>
      <c r="M3216" s="24"/>
      <c r="N3216" s="24"/>
      <c r="P3216" s="24"/>
    </row>
    <row r="3217" spans="2:16" x14ac:dyDescent="0.25">
      <c r="B3217" s="24"/>
      <c r="E3217" s="24"/>
      <c r="G3217" s="24"/>
      <c r="H3217" s="24"/>
      <c r="J3217" s="24"/>
      <c r="K3217" s="24"/>
      <c r="M3217" s="24"/>
      <c r="N3217" s="24"/>
      <c r="P3217" s="24"/>
    </row>
    <row r="3218" spans="2:16" x14ac:dyDescent="0.25">
      <c r="B3218" s="24"/>
      <c r="E3218" s="24"/>
      <c r="G3218" s="24"/>
      <c r="H3218" s="24"/>
      <c r="J3218" s="24"/>
      <c r="K3218" s="24"/>
      <c r="M3218" s="24"/>
      <c r="N3218" s="24"/>
      <c r="P3218" s="24"/>
    </row>
    <row r="3219" spans="2:16" x14ac:dyDescent="0.25">
      <c r="B3219" s="24"/>
      <c r="E3219" s="24"/>
      <c r="G3219" s="24"/>
      <c r="H3219" s="24"/>
      <c r="J3219" s="24"/>
      <c r="K3219" s="24"/>
      <c r="M3219" s="24"/>
      <c r="N3219" s="24"/>
      <c r="P3219" s="24"/>
    </row>
    <row r="3220" spans="2:16" x14ac:dyDescent="0.25">
      <c r="B3220" s="24"/>
      <c r="E3220" s="24"/>
      <c r="G3220" s="24"/>
      <c r="H3220" s="24"/>
      <c r="J3220" s="24"/>
      <c r="K3220" s="24"/>
      <c r="M3220" s="24"/>
      <c r="N3220" s="24"/>
      <c r="P3220" s="24"/>
    </row>
    <row r="3221" spans="2:16" x14ac:dyDescent="0.25">
      <c r="B3221" s="24"/>
      <c r="E3221" s="24"/>
      <c r="G3221" s="24"/>
      <c r="H3221" s="24"/>
      <c r="J3221" s="24"/>
      <c r="K3221" s="24"/>
      <c r="M3221" s="24"/>
      <c r="N3221" s="24"/>
      <c r="P3221" s="24"/>
    </row>
    <row r="3222" spans="2:16" x14ac:dyDescent="0.25">
      <c r="B3222" s="24"/>
      <c r="E3222" s="24"/>
      <c r="G3222" s="24"/>
      <c r="H3222" s="24"/>
      <c r="J3222" s="24"/>
      <c r="K3222" s="24"/>
      <c r="M3222" s="24"/>
      <c r="N3222" s="24"/>
      <c r="P3222" s="24"/>
    </row>
    <row r="3223" spans="2:16" x14ac:dyDescent="0.25">
      <c r="B3223" s="24"/>
      <c r="E3223" s="24"/>
      <c r="G3223" s="24"/>
      <c r="H3223" s="24"/>
      <c r="J3223" s="24"/>
      <c r="K3223" s="24"/>
      <c r="M3223" s="24"/>
      <c r="N3223" s="24"/>
      <c r="P3223" s="24"/>
    </row>
    <row r="3224" spans="2:16" x14ac:dyDescent="0.25">
      <c r="B3224" s="24"/>
      <c r="E3224" s="24"/>
      <c r="G3224" s="24"/>
      <c r="H3224" s="24"/>
      <c r="J3224" s="24"/>
      <c r="K3224" s="24"/>
      <c r="M3224" s="24"/>
      <c r="N3224" s="24"/>
      <c r="P3224" s="24"/>
    </row>
    <row r="3225" spans="2:16" x14ac:dyDescent="0.25">
      <c r="B3225" s="24"/>
      <c r="E3225" s="24"/>
      <c r="G3225" s="24"/>
      <c r="H3225" s="24"/>
      <c r="J3225" s="24"/>
      <c r="K3225" s="24"/>
      <c r="M3225" s="24"/>
      <c r="N3225" s="24"/>
      <c r="P3225" s="24"/>
    </row>
    <row r="3226" spans="2:16" x14ac:dyDescent="0.25">
      <c r="B3226" s="24"/>
      <c r="E3226" s="24"/>
      <c r="G3226" s="24"/>
      <c r="H3226" s="24"/>
      <c r="J3226" s="24"/>
      <c r="K3226" s="24"/>
      <c r="M3226" s="24"/>
      <c r="N3226" s="24"/>
      <c r="P3226" s="24"/>
    </row>
    <row r="3227" spans="2:16" x14ac:dyDescent="0.25">
      <c r="B3227" s="24"/>
      <c r="E3227" s="24"/>
      <c r="G3227" s="24"/>
      <c r="H3227" s="24"/>
      <c r="J3227" s="24"/>
      <c r="K3227" s="24"/>
      <c r="M3227" s="24"/>
      <c r="N3227" s="24"/>
      <c r="P3227" s="24"/>
    </row>
    <row r="3228" spans="2:16" x14ac:dyDescent="0.25">
      <c r="B3228" s="24"/>
      <c r="E3228" s="24"/>
      <c r="G3228" s="24"/>
      <c r="H3228" s="24"/>
      <c r="J3228" s="24"/>
      <c r="K3228" s="24"/>
      <c r="M3228" s="24"/>
      <c r="N3228" s="24"/>
      <c r="P3228" s="24"/>
    </row>
    <row r="3229" spans="2:16" x14ac:dyDescent="0.25">
      <c r="B3229" s="24"/>
      <c r="E3229" s="24"/>
      <c r="G3229" s="24"/>
      <c r="H3229" s="24"/>
      <c r="J3229" s="24"/>
      <c r="K3229" s="24"/>
      <c r="M3229" s="24"/>
      <c r="N3229" s="24"/>
      <c r="P3229" s="24"/>
    </row>
    <row r="3230" spans="2:16" x14ac:dyDescent="0.25">
      <c r="B3230" s="24"/>
      <c r="E3230" s="24"/>
      <c r="G3230" s="24"/>
      <c r="H3230" s="24"/>
      <c r="J3230" s="24"/>
      <c r="K3230" s="24"/>
      <c r="M3230" s="24"/>
      <c r="N3230" s="24"/>
      <c r="P3230" s="24"/>
    </row>
    <row r="3231" spans="2:16" x14ac:dyDescent="0.25">
      <c r="B3231" s="24"/>
      <c r="E3231" s="24"/>
      <c r="G3231" s="24"/>
      <c r="H3231" s="24"/>
      <c r="J3231" s="24"/>
      <c r="K3231" s="24"/>
      <c r="M3231" s="24"/>
      <c r="N3231" s="24"/>
      <c r="P3231" s="24"/>
    </row>
    <row r="3232" spans="2:16" x14ac:dyDescent="0.25">
      <c r="B3232" s="24"/>
      <c r="E3232" s="24"/>
      <c r="G3232" s="24"/>
      <c r="H3232" s="24"/>
      <c r="J3232" s="24"/>
      <c r="K3232" s="24"/>
      <c r="M3232" s="24"/>
      <c r="N3232" s="24"/>
      <c r="P3232" s="24"/>
    </row>
    <row r="3233" spans="2:16" x14ac:dyDescent="0.25">
      <c r="B3233" s="24"/>
      <c r="E3233" s="24"/>
      <c r="G3233" s="24"/>
      <c r="H3233" s="24"/>
      <c r="J3233" s="24"/>
      <c r="K3233" s="24"/>
      <c r="M3233" s="24"/>
      <c r="N3233" s="24"/>
      <c r="P3233" s="24"/>
    </row>
    <row r="3234" spans="2:16" x14ac:dyDescent="0.25">
      <c r="B3234" s="24"/>
      <c r="E3234" s="24"/>
      <c r="G3234" s="24"/>
      <c r="H3234" s="24"/>
      <c r="J3234" s="24"/>
      <c r="K3234" s="24"/>
      <c r="M3234" s="24"/>
      <c r="N3234" s="24"/>
      <c r="P3234" s="24"/>
    </row>
    <row r="3235" spans="2:16" x14ac:dyDescent="0.25">
      <c r="B3235" s="24"/>
      <c r="E3235" s="24"/>
      <c r="G3235" s="24"/>
      <c r="H3235" s="24"/>
      <c r="J3235" s="24"/>
      <c r="K3235" s="24"/>
      <c r="M3235" s="24"/>
      <c r="N3235" s="24"/>
      <c r="P3235" s="24"/>
    </row>
    <row r="3236" spans="2:16" x14ac:dyDescent="0.25">
      <c r="B3236" s="24"/>
      <c r="E3236" s="24"/>
      <c r="G3236" s="24"/>
      <c r="H3236" s="24"/>
      <c r="J3236" s="24"/>
      <c r="K3236" s="24"/>
      <c r="M3236" s="24"/>
      <c r="N3236" s="24"/>
      <c r="P3236" s="24"/>
    </row>
    <row r="3237" spans="2:16" x14ac:dyDescent="0.25">
      <c r="B3237" s="24"/>
      <c r="E3237" s="24"/>
      <c r="G3237" s="24"/>
      <c r="H3237" s="24"/>
      <c r="J3237" s="24"/>
      <c r="K3237" s="24"/>
      <c r="M3237" s="24"/>
      <c r="N3237" s="24"/>
      <c r="P3237" s="24"/>
    </row>
    <row r="3238" spans="2:16" x14ac:dyDescent="0.25">
      <c r="B3238" s="24"/>
      <c r="E3238" s="24"/>
      <c r="G3238" s="24"/>
      <c r="H3238" s="24"/>
      <c r="J3238" s="24"/>
      <c r="K3238" s="24"/>
      <c r="M3238" s="24"/>
      <c r="N3238" s="24"/>
      <c r="P3238" s="24"/>
    </row>
    <row r="3239" spans="2:16" x14ac:dyDescent="0.25">
      <c r="B3239" s="24"/>
      <c r="E3239" s="24"/>
      <c r="G3239" s="24"/>
      <c r="H3239" s="24"/>
      <c r="J3239" s="24"/>
      <c r="K3239" s="24"/>
      <c r="M3239" s="24"/>
      <c r="N3239" s="24"/>
      <c r="P3239" s="24"/>
    </row>
    <row r="3240" spans="2:16" x14ac:dyDescent="0.25">
      <c r="B3240" s="24"/>
      <c r="E3240" s="24"/>
      <c r="G3240" s="24"/>
      <c r="H3240" s="24"/>
      <c r="J3240" s="24"/>
      <c r="K3240" s="24"/>
      <c r="M3240" s="24"/>
      <c r="N3240" s="24"/>
      <c r="P3240" s="24"/>
    </row>
    <row r="3241" spans="2:16" x14ac:dyDescent="0.25">
      <c r="B3241" s="24"/>
      <c r="E3241" s="24"/>
      <c r="G3241" s="24"/>
      <c r="H3241" s="24"/>
      <c r="J3241" s="24"/>
      <c r="K3241" s="24"/>
      <c r="M3241" s="24"/>
      <c r="N3241" s="24"/>
      <c r="P3241" s="24"/>
    </row>
    <row r="3242" spans="2:16" x14ac:dyDescent="0.25">
      <c r="B3242" s="24"/>
      <c r="E3242" s="24"/>
      <c r="G3242" s="24"/>
      <c r="H3242" s="24"/>
      <c r="J3242" s="24"/>
      <c r="K3242" s="24"/>
      <c r="M3242" s="24"/>
      <c r="N3242" s="24"/>
      <c r="P3242" s="24"/>
    </row>
    <row r="3243" spans="2:16" x14ac:dyDescent="0.25">
      <c r="B3243" s="24"/>
      <c r="E3243" s="24"/>
      <c r="G3243" s="24"/>
      <c r="H3243" s="24"/>
      <c r="J3243" s="24"/>
      <c r="K3243" s="24"/>
      <c r="M3243" s="24"/>
      <c r="N3243" s="24"/>
      <c r="P3243" s="24"/>
    </row>
    <row r="3244" spans="2:16" x14ac:dyDescent="0.25">
      <c r="B3244" s="24"/>
      <c r="E3244" s="24"/>
      <c r="G3244" s="24"/>
      <c r="H3244" s="24"/>
      <c r="J3244" s="24"/>
      <c r="K3244" s="24"/>
      <c r="M3244" s="24"/>
      <c r="N3244" s="24"/>
      <c r="P3244" s="24"/>
    </row>
    <row r="3245" spans="2:16" x14ac:dyDescent="0.25">
      <c r="B3245" s="24"/>
      <c r="E3245" s="24"/>
      <c r="G3245" s="24"/>
      <c r="H3245" s="24"/>
      <c r="J3245" s="24"/>
      <c r="K3245" s="24"/>
      <c r="M3245" s="24"/>
      <c r="N3245" s="24"/>
      <c r="P3245" s="24"/>
    </row>
    <row r="3246" spans="2:16" x14ac:dyDescent="0.25">
      <c r="B3246" s="24"/>
      <c r="E3246" s="24"/>
      <c r="G3246" s="24"/>
      <c r="H3246" s="24"/>
      <c r="J3246" s="24"/>
      <c r="K3246" s="24"/>
      <c r="M3246" s="24"/>
      <c r="N3246" s="24"/>
      <c r="P3246" s="24"/>
    </row>
    <row r="3247" spans="2:16" x14ac:dyDescent="0.25">
      <c r="B3247" s="24"/>
      <c r="E3247" s="24"/>
      <c r="G3247" s="24"/>
      <c r="H3247" s="24"/>
      <c r="J3247" s="24"/>
      <c r="K3247" s="24"/>
      <c r="M3247" s="24"/>
      <c r="N3247" s="24"/>
      <c r="P3247" s="24"/>
    </row>
    <row r="3248" spans="2:16" x14ac:dyDescent="0.25">
      <c r="B3248" s="24"/>
      <c r="E3248" s="24"/>
      <c r="G3248" s="24"/>
      <c r="H3248" s="24"/>
      <c r="J3248" s="24"/>
      <c r="K3248" s="24"/>
      <c r="M3248" s="24"/>
      <c r="N3248" s="24"/>
      <c r="P3248" s="24"/>
    </row>
    <row r="3249" spans="2:16" x14ac:dyDescent="0.25">
      <c r="B3249" s="24"/>
      <c r="E3249" s="24"/>
      <c r="G3249" s="24"/>
      <c r="H3249" s="24"/>
      <c r="J3249" s="24"/>
      <c r="K3249" s="24"/>
      <c r="M3249" s="24"/>
      <c r="N3249" s="24"/>
      <c r="P3249" s="24"/>
    </row>
    <row r="3250" spans="2:16" x14ac:dyDescent="0.25">
      <c r="B3250" s="24"/>
      <c r="E3250" s="24"/>
      <c r="G3250" s="24"/>
      <c r="H3250" s="24"/>
      <c r="J3250" s="24"/>
      <c r="K3250" s="24"/>
      <c r="M3250" s="24"/>
      <c r="N3250" s="24"/>
      <c r="P3250" s="24"/>
    </row>
    <row r="3251" spans="2:16" x14ac:dyDescent="0.25">
      <c r="B3251" s="24"/>
      <c r="E3251" s="24"/>
      <c r="G3251" s="24"/>
      <c r="H3251" s="24"/>
      <c r="J3251" s="24"/>
      <c r="K3251" s="24"/>
      <c r="M3251" s="24"/>
      <c r="N3251" s="24"/>
      <c r="P3251" s="24"/>
    </row>
    <row r="3252" spans="2:16" x14ac:dyDescent="0.25">
      <c r="B3252" s="24"/>
      <c r="E3252" s="24"/>
      <c r="G3252" s="24"/>
      <c r="H3252" s="24"/>
      <c r="J3252" s="24"/>
      <c r="K3252" s="24"/>
      <c r="M3252" s="24"/>
      <c r="N3252" s="24"/>
      <c r="P3252" s="24"/>
    </row>
    <row r="3253" spans="2:16" x14ac:dyDescent="0.25">
      <c r="B3253" s="24"/>
      <c r="E3253" s="24"/>
      <c r="G3253" s="24"/>
      <c r="H3253" s="24"/>
      <c r="J3253" s="24"/>
      <c r="K3253" s="24"/>
      <c r="M3253" s="24"/>
      <c r="N3253" s="24"/>
      <c r="P3253" s="24"/>
    </row>
    <row r="3254" spans="2:16" x14ac:dyDescent="0.25">
      <c r="B3254" s="24"/>
      <c r="E3254" s="24"/>
      <c r="G3254" s="24"/>
      <c r="H3254" s="24"/>
      <c r="J3254" s="24"/>
      <c r="K3254" s="24"/>
      <c r="M3254" s="24"/>
      <c r="N3254" s="24"/>
      <c r="P3254" s="24"/>
    </row>
    <row r="3255" spans="2:16" x14ac:dyDescent="0.25">
      <c r="B3255" s="24"/>
      <c r="E3255" s="24"/>
      <c r="G3255" s="24"/>
      <c r="H3255" s="24"/>
      <c r="J3255" s="24"/>
      <c r="K3255" s="24"/>
      <c r="M3255" s="24"/>
      <c r="N3255" s="24"/>
      <c r="P3255" s="24"/>
    </row>
    <row r="3256" spans="2:16" x14ac:dyDescent="0.25">
      <c r="B3256" s="24"/>
      <c r="E3256" s="24"/>
      <c r="G3256" s="24"/>
      <c r="H3256" s="24"/>
      <c r="J3256" s="24"/>
      <c r="K3256" s="24"/>
      <c r="M3256" s="24"/>
      <c r="N3256" s="24"/>
      <c r="P3256" s="24"/>
    </row>
    <row r="3257" spans="2:16" x14ac:dyDescent="0.25">
      <c r="B3257" s="24"/>
      <c r="E3257" s="24"/>
      <c r="G3257" s="24"/>
      <c r="H3257" s="24"/>
      <c r="J3257" s="24"/>
      <c r="K3257" s="24"/>
      <c r="M3257" s="24"/>
      <c r="N3257" s="24"/>
      <c r="P3257" s="24"/>
    </row>
    <row r="3258" spans="2:16" x14ac:dyDescent="0.25">
      <c r="B3258" s="24"/>
      <c r="E3258" s="24"/>
      <c r="G3258" s="24"/>
      <c r="H3258" s="24"/>
      <c r="J3258" s="24"/>
      <c r="K3258" s="24"/>
      <c r="M3258" s="24"/>
      <c r="N3258" s="24"/>
      <c r="P3258" s="24"/>
    </row>
    <row r="3259" spans="2:16" x14ac:dyDescent="0.25">
      <c r="B3259" s="24"/>
      <c r="E3259" s="24"/>
      <c r="G3259" s="24"/>
      <c r="H3259" s="24"/>
      <c r="J3259" s="24"/>
      <c r="K3259" s="24"/>
      <c r="M3259" s="24"/>
      <c r="N3259" s="24"/>
      <c r="P3259" s="24"/>
    </row>
    <row r="3260" spans="2:16" x14ac:dyDescent="0.25">
      <c r="B3260" s="24"/>
      <c r="E3260" s="24"/>
      <c r="G3260" s="24"/>
      <c r="H3260" s="24"/>
      <c r="J3260" s="24"/>
      <c r="K3260" s="24"/>
      <c r="M3260" s="24"/>
      <c r="N3260" s="24"/>
      <c r="P3260" s="24"/>
    </row>
    <row r="3261" spans="2:16" x14ac:dyDescent="0.25">
      <c r="B3261" s="24"/>
      <c r="E3261" s="24"/>
      <c r="G3261" s="24"/>
      <c r="H3261" s="24"/>
      <c r="J3261" s="24"/>
      <c r="K3261" s="24"/>
      <c r="M3261" s="24"/>
      <c r="N3261" s="24"/>
      <c r="P3261" s="24"/>
    </row>
    <row r="3262" spans="2:16" x14ac:dyDescent="0.25">
      <c r="B3262" s="24"/>
      <c r="E3262" s="24"/>
      <c r="G3262" s="24"/>
      <c r="H3262" s="24"/>
      <c r="J3262" s="24"/>
      <c r="K3262" s="24"/>
      <c r="M3262" s="24"/>
      <c r="N3262" s="24"/>
      <c r="P3262" s="24"/>
    </row>
    <row r="3263" spans="2:16" x14ac:dyDescent="0.25">
      <c r="B3263" s="24"/>
      <c r="E3263" s="24"/>
      <c r="G3263" s="24"/>
      <c r="H3263" s="24"/>
      <c r="J3263" s="24"/>
      <c r="K3263" s="24"/>
      <c r="M3263" s="24"/>
      <c r="N3263" s="24"/>
      <c r="P3263" s="24"/>
    </row>
    <row r="3264" spans="2:16" x14ac:dyDescent="0.25">
      <c r="B3264" s="24"/>
      <c r="E3264" s="24"/>
      <c r="G3264" s="24"/>
      <c r="H3264" s="24"/>
      <c r="J3264" s="24"/>
      <c r="K3264" s="24"/>
      <c r="M3264" s="24"/>
      <c r="N3264" s="24"/>
      <c r="P3264" s="24"/>
    </row>
    <row r="3265" spans="2:16" x14ac:dyDescent="0.25">
      <c r="B3265" s="24"/>
      <c r="E3265" s="24"/>
      <c r="G3265" s="24"/>
      <c r="H3265" s="24"/>
      <c r="J3265" s="24"/>
      <c r="K3265" s="24"/>
      <c r="M3265" s="24"/>
      <c r="N3265" s="24"/>
      <c r="P3265" s="24"/>
    </row>
    <row r="3266" spans="2:16" x14ac:dyDescent="0.25">
      <c r="B3266" s="24"/>
      <c r="E3266" s="24"/>
      <c r="G3266" s="24"/>
      <c r="H3266" s="24"/>
      <c r="J3266" s="24"/>
      <c r="K3266" s="24"/>
      <c r="M3266" s="24"/>
      <c r="N3266" s="24"/>
      <c r="P3266" s="24"/>
    </row>
    <row r="3267" spans="2:16" x14ac:dyDescent="0.25">
      <c r="B3267" s="24"/>
      <c r="E3267" s="24"/>
      <c r="G3267" s="24"/>
      <c r="H3267" s="24"/>
      <c r="J3267" s="24"/>
      <c r="K3267" s="24"/>
      <c r="M3267" s="24"/>
      <c r="N3267" s="24"/>
      <c r="P3267" s="24"/>
    </row>
    <row r="3268" spans="2:16" x14ac:dyDescent="0.25">
      <c r="B3268" s="24"/>
      <c r="E3268" s="24"/>
      <c r="G3268" s="24"/>
      <c r="H3268" s="24"/>
      <c r="J3268" s="24"/>
      <c r="K3268" s="24"/>
      <c r="M3268" s="24"/>
      <c r="N3268" s="24"/>
      <c r="P3268" s="24"/>
    </row>
    <row r="3269" spans="2:16" x14ac:dyDescent="0.25">
      <c r="B3269" s="24"/>
      <c r="E3269" s="24"/>
      <c r="G3269" s="24"/>
      <c r="H3269" s="24"/>
      <c r="J3269" s="24"/>
      <c r="K3269" s="24"/>
      <c r="M3269" s="24"/>
      <c r="N3269" s="24"/>
      <c r="P3269" s="24"/>
    </row>
    <row r="3270" spans="2:16" x14ac:dyDescent="0.25">
      <c r="B3270" s="24"/>
      <c r="E3270" s="24"/>
      <c r="G3270" s="24"/>
      <c r="H3270" s="24"/>
      <c r="J3270" s="24"/>
      <c r="K3270" s="24"/>
      <c r="M3270" s="24"/>
      <c r="N3270" s="24"/>
      <c r="P3270" s="24"/>
    </row>
    <row r="3271" spans="2:16" x14ac:dyDescent="0.25">
      <c r="B3271" s="24"/>
      <c r="E3271" s="24"/>
      <c r="G3271" s="24"/>
      <c r="H3271" s="24"/>
      <c r="J3271" s="24"/>
      <c r="K3271" s="24"/>
      <c r="M3271" s="24"/>
      <c r="N3271" s="24"/>
      <c r="P3271" s="24"/>
    </row>
    <row r="3272" spans="2:16" x14ac:dyDescent="0.25">
      <c r="B3272" s="24"/>
      <c r="E3272" s="24"/>
      <c r="G3272" s="24"/>
      <c r="H3272" s="24"/>
      <c r="J3272" s="24"/>
      <c r="K3272" s="24"/>
      <c r="M3272" s="24"/>
      <c r="N3272" s="24"/>
      <c r="P3272" s="24"/>
    </row>
    <row r="3273" spans="2:16" x14ac:dyDescent="0.25">
      <c r="B3273" s="24"/>
      <c r="E3273" s="24"/>
      <c r="G3273" s="24"/>
      <c r="H3273" s="24"/>
      <c r="J3273" s="24"/>
      <c r="K3273" s="24"/>
      <c r="M3273" s="24"/>
      <c r="N3273" s="24"/>
      <c r="P3273" s="24"/>
    </row>
    <row r="3274" spans="2:16" x14ac:dyDescent="0.25">
      <c r="B3274" s="24"/>
      <c r="E3274" s="24"/>
      <c r="G3274" s="24"/>
      <c r="H3274" s="24"/>
      <c r="J3274" s="24"/>
      <c r="K3274" s="24"/>
      <c r="M3274" s="24"/>
      <c r="N3274" s="24"/>
      <c r="P3274" s="24"/>
    </row>
    <row r="3275" spans="2:16" x14ac:dyDescent="0.25">
      <c r="B3275" s="24"/>
      <c r="E3275" s="24"/>
      <c r="G3275" s="24"/>
      <c r="H3275" s="24"/>
      <c r="J3275" s="24"/>
      <c r="K3275" s="24"/>
      <c r="M3275" s="24"/>
      <c r="N3275" s="24"/>
      <c r="P3275" s="24"/>
    </row>
    <row r="3276" spans="2:16" x14ac:dyDescent="0.25">
      <c r="B3276" s="24"/>
      <c r="E3276" s="24"/>
      <c r="G3276" s="24"/>
      <c r="H3276" s="24"/>
      <c r="J3276" s="24"/>
      <c r="K3276" s="24"/>
      <c r="M3276" s="24"/>
      <c r="N3276" s="24"/>
      <c r="P3276" s="24"/>
    </row>
    <row r="3277" spans="2:16" x14ac:dyDescent="0.25">
      <c r="B3277" s="24"/>
      <c r="E3277" s="24"/>
      <c r="G3277" s="24"/>
      <c r="H3277" s="24"/>
      <c r="J3277" s="24"/>
      <c r="K3277" s="24"/>
      <c r="M3277" s="24"/>
      <c r="N3277" s="24"/>
      <c r="P3277" s="24"/>
    </row>
    <row r="3278" spans="2:16" x14ac:dyDescent="0.25">
      <c r="B3278" s="24"/>
      <c r="E3278" s="24"/>
      <c r="G3278" s="24"/>
      <c r="H3278" s="24"/>
      <c r="J3278" s="24"/>
      <c r="K3278" s="24"/>
      <c r="M3278" s="24"/>
      <c r="N3278" s="24"/>
      <c r="P3278" s="24"/>
    </row>
    <row r="3279" spans="2:16" x14ac:dyDescent="0.25">
      <c r="B3279" s="24"/>
      <c r="E3279" s="24"/>
      <c r="G3279" s="24"/>
      <c r="H3279" s="24"/>
      <c r="J3279" s="24"/>
      <c r="K3279" s="24"/>
      <c r="M3279" s="24"/>
      <c r="N3279" s="24"/>
      <c r="P3279" s="24"/>
    </row>
    <row r="3280" spans="2:16" x14ac:dyDescent="0.25">
      <c r="B3280" s="24"/>
      <c r="E3280" s="24"/>
      <c r="G3280" s="24"/>
      <c r="H3280" s="24"/>
      <c r="J3280" s="24"/>
      <c r="K3280" s="24"/>
      <c r="M3280" s="24"/>
      <c r="N3280" s="24"/>
      <c r="P3280" s="24"/>
    </row>
    <row r="3281" spans="2:16" x14ac:dyDescent="0.25">
      <c r="B3281" s="24"/>
      <c r="E3281" s="24"/>
      <c r="G3281" s="24"/>
      <c r="H3281" s="24"/>
      <c r="J3281" s="24"/>
      <c r="K3281" s="24"/>
      <c r="M3281" s="24"/>
      <c r="N3281" s="24"/>
      <c r="P3281" s="24"/>
    </row>
    <row r="3282" spans="2:16" x14ac:dyDescent="0.25">
      <c r="B3282" s="24"/>
      <c r="E3282" s="24"/>
      <c r="G3282" s="24"/>
      <c r="H3282" s="24"/>
      <c r="J3282" s="24"/>
      <c r="K3282" s="24"/>
      <c r="M3282" s="24"/>
      <c r="N3282" s="24"/>
      <c r="P3282" s="24"/>
    </row>
    <row r="3283" spans="2:16" x14ac:dyDescent="0.25">
      <c r="B3283" s="24"/>
      <c r="E3283" s="24"/>
      <c r="G3283" s="24"/>
      <c r="H3283" s="24"/>
      <c r="J3283" s="24"/>
      <c r="K3283" s="24"/>
      <c r="M3283" s="24"/>
      <c r="N3283" s="24"/>
      <c r="P3283" s="24"/>
    </row>
    <row r="3284" spans="2:16" x14ac:dyDescent="0.25">
      <c r="B3284" s="24"/>
      <c r="E3284" s="24"/>
      <c r="G3284" s="24"/>
      <c r="H3284" s="24"/>
      <c r="J3284" s="24"/>
      <c r="K3284" s="24"/>
      <c r="M3284" s="24"/>
      <c r="N3284" s="24"/>
      <c r="P3284" s="24"/>
    </row>
    <row r="3285" spans="2:16" x14ac:dyDescent="0.25">
      <c r="B3285" s="24"/>
      <c r="E3285" s="24"/>
      <c r="G3285" s="24"/>
      <c r="H3285" s="24"/>
      <c r="J3285" s="24"/>
      <c r="K3285" s="24"/>
      <c r="M3285" s="24"/>
      <c r="N3285" s="24"/>
      <c r="P3285" s="24"/>
    </row>
    <row r="3286" spans="2:16" x14ac:dyDescent="0.25">
      <c r="B3286" s="24"/>
      <c r="E3286" s="24"/>
      <c r="G3286" s="24"/>
      <c r="H3286" s="24"/>
      <c r="J3286" s="24"/>
      <c r="K3286" s="24"/>
      <c r="M3286" s="24"/>
      <c r="N3286" s="24"/>
      <c r="P3286" s="24"/>
    </row>
    <row r="3287" spans="2:16" x14ac:dyDescent="0.25">
      <c r="B3287" s="24"/>
      <c r="E3287" s="24"/>
      <c r="G3287" s="24"/>
      <c r="H3287" s="24"/>
      <c r="J3287" s="24"/>
      <c r="K3287" s="24"/>
      <c r="M3287" s="24"/>
      <c r="N3287" s="24"/>
      <c r="P3287" s="24"/>
    </row>
    <row r="3288" spans="2:16" x14ac:dyDescent="0.25">
      <c r="B3288" s="24"/>
      <c r="E3288" s="24"/>
      <c r="G3288" s="24"/>
      <c r="H3288" s="24"/>
      <c r="J3288" s="24"/>
      <c r="K3288" s="24"/>
      <c r="M3288" s="24"/>
      <c r="N3288" s="24"/>
      <c r="P3288" s="24"/>
    </row>
    <row r="3289" spans="2:16" x14ac:dyDescent="0.25">
      <c r="B3289" s="24"/>
      <c r="E3289" s="24"/>
      <c r="G3289" s="24"/>
      <c r="H3289" s="24"/>
      <c r="J3289" s="24"/>
      <c r="K3289" s="24"/>
      <c r="M3289" s="24"/>
      <c r="N3289" s="24"/>
      <c r="P3289" s="24"/>
    </row>
    <row r="3290" spans="2:16" x14ac:dyDescent="0.25">
      <c r="B3290" s="24"/>
      <c r="E3290" s="24"/>
      <c r="G3290" s="24"/>
      <c r="H3290" s="24"/>
      <c r="J3290" s="24"/>
      <c r="K3290" s="24"/>
      <c r="M3290" s="24"/>
      <c r="N3290" s="24"/>
      <c r="P3290" s="24"/>
    </row>
    <row r="3291" spans="2:16" x14ac:dyDescent="0.25">
      <c r="B3291" s="24"/>
      <c r="E3291" s="24"/>
      <c r="G3291" s="24"/>
      <c r="H3291" s="24"/>
      <c r="J3291" s="24"/>
      <c r="K3291" s="24"/>
      <c r="M3291" s="24"/>
      <c r="N3291" s="24"/>
      <c r="P3291" s="24"/>
    </row>
    <row r="3292" spans="2:16" x14ac:dyDescent="0.25">
      <c r="B3292" s="24"/>
      <c r="E3292" s="24"/>
      <c r="G3292" s="24"/>
      <c r="H3292" s="24"/>
      <c r="J3292" s="24"/>
      <c r="K3292" s="24"/>
      <c r="M3292" s="24"/>
      <c r="N3292" s="24"/>
      <c r="P3292" s="24"/>
    </row>
    <row r="3293" spans="2:16" x14ac:dyDescent="0.25">
      <c r="B3293" s="24"/>
      <c r="E3293" s="24"/>
      <c r="G3293" s="24"/>
      <c r="H3293" s="24"/>
      <c r="J3293" s="24"/>
      <c r="K3293" s="24"/>
      <c r="M3293" s="24"/>
      <c r="N3293" s="24"/>
      <c r="P3293" s="24"/>
    </row>
    <row r="3294" spans="2:16" x14ac:dyDescent="0.25">
      <c r="B3294" s="24"/>
      <c r="E3294" s="24"/>
      <c r="G3294" s="24"/>
      <c r="H3294" s="24"/>
      <c r="J3294" s="24"/>
      <c r="K3294" s="24"/>
      <c r="M3294" s="24"/>
      <c r="N3294" s="24"/>
      <c r="P3294" s="24"/>
    </row>
    <row r="3295" spans="2:16" x14ac:dyDescent="0.25">
      <c r="B3295" s="24"/>
      <c r="E3295" s="24"/>
      <c r="G3295" s="24"/>
      <c r="H3295" s="24"/>
      <c r="J3295" s="24"/>
      <c r="K3295" s="24"/>
      <c r="M3295" s="24"/>
      <c r="N3295" s="24"/>
      <c r="P3295" s="24"/>
    </row>
    <row r="3296" spans="2:16" x14ac:dyDescent="0.25">
      <c r="B3296" s="24"/>
      <c r="E3296" s="24"/>
      <c r="G3296" s="24"/>
      <c r="H3296" s="24"/>
      <c r="J3296" s="24"/>
      <c r="K3296" s="24"/>
      <c r="M3296" s="24"/>
      <c r="N3296" s="24"/>
      <c r="P3296" s="24"/>
    </row>
    <row r="3297" spans="2:16" x14ac:dyDescent="0.25">
      <c r="B3297" s="24"/>
      <c r="E3297" s="24"/>
      <c r="G3297" s="24"/>
      <c r="H3297" s="24"/>
      <c r="J3297" s="24"/>
      <c r="K3297" s="24"/>
      <c r="M3297" s="24"/>
      <c r="N3297" s="24"/>
      <c r="P3297" s="24"/>
    </row>
    <row r="3298" spans="2:16" x14ac:dyDescent="0.25">
      <c r="B3298" s="24"/>
      <c r="E3298" s="24"/>
      <c r="G3298" s="24"/>
      <c r="H3298" s="24"/>
      <c r="J3298" s="24"/>
      <c r="K3298" s="24"/>
      <c r="M3298" s="24"/>
      <c r="N3298" s="24"/>
      <c r="P3298" s="24"/>
    </row>
    <row r="3299" spans="2:16" x14ac:dyDescent="0.25">
      <c r="B3299" s="24"/>
      <c r="E3299" s="24"/>
      <c r="G3299" s="24"/>
      <c r="H3299" s="24"/>
      <c r="J3299" s="24"/>
      <c r="K3299" s="24"/>
      <c r="M3299" s="24"/>
      <c r="N3299" s="24"/>
      <c r="P3299" s="24"/>
    </row>
    <row r="3300" spans="2:16" x14ac:dyDescent="0.25">
      <c r="B3300" s="24"/>
      <c r="E3300" s="24"/>
      <c r="G3300" s="24"/>
      <c r="H3300" s="24"/>
      <c r="J3300" s="24"/>
      <c r="K3300" s="24"/>
      <c r="M3300" s="24"/>
      <c r="N3300" s="24"/>
      <c r="P3300" s="24"/>
    </row>
    <row r="3301" spans="2:16" x14ac:dyDescent="0.25">
      <c r="B3301" s="24"/>
      <c r="E3301" s="24"/>
      <c r="G3301" s="24"/>
      <c r="H3301" s="24"/>
      <c r="J3301" s="24"/>
      <c r="K3301" s="24"/>
      <c r="M3301" s="24"/>
      <c r="N3301" s="24"/>
      <c r="P3301" s="24"/>
    </row>
    <row r="3302" spans="2:16" x14ac:dyDescent="0.25">
      <c r="B3302" s="24"/>
      <c r="E3302" s="24"/>
      <c r="G3302" s="24"/>
      <c r="H3302" s="24"/>
      <c r="J3302" s="24"/>
      <c r="K3302" s="24"/>
      <c r="M3302" s="24"/>
      <c r="N3302" s="24"/>
      <c r="P3302" s="24"/>
    </row>
    <row r="3303" spans="2:16" x14ac:dyDescent="0.25">
      <c r="B3303" s="24"/>
      <c r="E3303" s="24"/>
      <c r="G3303" s="24"/>
      <c r="H3303" s="24"/>
      <c r="J3303" s="24"/>
      <c r="K3303" s="24"/>
      <c r="M3303" s="24"/>
      <c r="N3303" s="24"/>
      <c r="P3303" s="24"/>
    </row>
    <row r="3304" spans="2:16" x14ac:dyDescent="0.25">
      <c r="B3304" s="24"/>
      <c r="E3304" s="24"/>
      <c r="G3304" s="24"/>
      <c r="H3304" s="24"/>
      <c r="J3304" s="24"/>
      <c r="K3304" s="24"/>
      <c r="M3304" s="24"/>
      <c r="N3304" s="24"/>
      <c r="P3304" s="24"/>
    </row>
    <row r="3305" spans="2:16" x14ac:dyDescent="0.25">
      <c r="B3305" s="24"/>
      <c r="E3305" s="24"/>
      <c r="G3305" s="24"/>
      <c r="H3305" s="24"/>
      <c r="J3305" s="24"/>
      <c r="K3305" s="24"/>
      <c r="M3305" s="24"/>
      <c r="N3305" s="24"/>
      <c r="P3305" s="24"/>
    </row>
    <row r="3306" spans="2:16" x14ac:dyDescent="0.25">
      <c r="B3306" s="24"/>
      <c r="E3306" s="24"/>
      <c r="G3306" s="24"/>
      <c r="H3306" s="24"/>
      <c r="J3306" s="24"/>
      <c r="K3306" s="24"/>
      <c r="M3306" s="24"/>
      <c r="N3306" s="24"/>
      <c r="P3306" s="24"/>
    </row>
    <row r="3307" spans="2:16" x14ac:dyDescent="0.25">
      <c r="B3307" s="24"/>
      <c r="E3307" s="24"/>
      <c r="G3307" s="24"/>
      <c r="H3307" s="24"/>
      <c r="J3307" s="24"/>
      <c r="K3307" s="24"/>
      <c r="M3307" s="24"/>
      <c r="N3307" s="24"/>
      <c r="P3307" s="24"/>
    </row>
    <row r="3308" spans="2:16" x14ac:dyDescent="0.25">
      <c r="B3308" s="24"/>
      <c r="E3308" s="24"/>
      <c r="G3308" s="24"/>
      <c r="H3308" s="24"/>
      <c r="J3308" s="24"/>
      <c r="K3308" s="24"/>
      <c r="M3308" s="24"/>
      <c r="N3308" s="24"/>
      <c r="P3308" s="24"/>
    </row>
    <row r="3309" spans="2:16" x14ac:dyDescent="0.25">
      <c r="B3309" s="24"/>
      <c r="E3309" s="24"/>
      <c r="G3309" s="24"/>
      <c r="H3309" s="24"/>
      <c r="J3309" s="24"/>
      <c r="K3309" s="24"/>
      <c r="M3309" s="24"/>
      <c r="N3309" s="24"/>
      <c r="P3309" s="24"/>
    </row>
    <row r="3310" spans="2:16" x14ac:dyDescent="0.25">
      <c r="B3310" s="24"/>
      <c r="E3310" s="24"/>
      <c r="G3310" s="24"/>
      <c r="H3310" s="24"/>
      <c r="J3310" s="24"/>
      <c r="K3310" s="24"/>
      <c r="M3310" s="24"/>
      <c r="N3310" s="24"/>
      <c r="P3310" s="24"/>
    </row>
    <row r="3311" spans="2:16" x14ac:dyDescent="0.25">
      <c r="B3311" s="24"/>
      <c r="E3311" s="24"/>
      <c r="G3311" s="24"/>
      <c r="H3311" s="24"/>
      <c r="J3311" s="24"/>
      <c r="K3311" s="24"/>
      <c r="M3311" s="24"/>
      <c r="N3311" s="24"/>
      <c r="P3311" s="24"/>
    </row>
    <row r="3312" spans="2:16" x14ac:dyDescent="0.25">
      <c r="B3312" s="24"/>
      <c r="E3312" s="24"/>
      <c r="G3312" s="24"/>
      <c r="H3312" s="24"/>
      <c r="J3312" s="24"/>
      <c r="K3312" s="24"/>
      <c r="M3312" s="24"/>
      <c r="N3312" s="24"/>
      <c r="P3312" s="24"/>
    </row>
    <row r="3313" spans="2:16" x14ac:dyDescent="0.25">
      <c r="B3313" s="24"/>
      <c r="E3313" s="24"/>
      <c r="G3313" s="24"/>
      <c r="H3313" s="24"/>
      <c r="J3313" s="24"/>
      <c r="K3313" s="24"/>
      <c r="M3313" s="24"/>
      <c r="N3313" s="24"/>
      <c r="P3313" s="24"/>
    </row>
    <row r="3314" spans="2:16" x14ac:dyDescent="0.25">
      <c r="B3314" s="24"/>
      <c r="E3314" s="24"/>
      <c r="G3314" s="24"/>
      <c r="H3314" s="24"/>
      <c r="J3314" s="24"/>
      <c r="K3314" s="24"/>
      <c r="M3314" s="24"/>
      <c r="N3314" s="24"/>
      <c r="P3314" s="24"/>
    </row>
    <row r="3315" spans="2:16" x14ac:dyDescent="0.25">
      <c r="B3315" s="24"/>
      <c r="E3315" s="24"/>
      <c r="G3315" s="24"/>
      <c r="H3315" s="24"/>
      <c r="J3315" s="24"/>
      <c r="K3315" s="24"/>
      <c r="M3315" s="24"/>
      <c r="N3315" s="24"/>
      <c r="P3315" s="24"/>
    </row>
    <row r="3316" spans="2:16" x14ac:dyDescent="0.25">
      <c r="B3316" s="24"/>
      <c r="E3316" s="24"/>
      <c r="G3316" s="24"/>
      <c r="H3316" s="24"/>
      <c r="J3316" s="24"/>
      <c r="K3316" s="24"/>
      <c r="M3316" s="24"/>
      <c r="N3316" s="24"/>
      <c r="P3316" s="24"/>
    </row>
    <row r="3317" spans="2:16" x14ac:dyDescent="0.25">
      <c r="B3317" s="24"/>
      <c r="E3317" s="24"/>
      <c r="G3317" s="24"/>
      <c r="H3317" s="24"/>
      <c r="J3317" s="24"/>
      <c r="K3317" s="24"/>
      <c r="M3317" s="24"/>
      <c r="N3317" s="24"/>
      <c r="P3317" s="24"/>
    </row>
    <row r="3318" spans="2:16" x14ac:dyDescent="0.25">
      <c r="B3318" s="24"/>
      <c r="E3318" s="24"/>
      <c r="G3318" s="24"/>
      <c r="H3318" s="24"/>
      <c r="J3318" s="24"/>
      <c r="K3318" s="24"/>
      <c r="M3318" s="24"/>
      <c r="N3318" s="24"/>
      <c r="P3318" s="24"/>
    </row>
    <row r="3319" spans="2:16" x14ac:dyDescent="0.25">
      <c r="B3319" s="24"/>
      <c r="E3319" s="24"/>
      <c r="G3319" s="24"/>
      <c r="H3319" s="24"/>
      <c r="J3319" s="24"/>
      <c r="K3319" s="24"/>
      <c r="M3319" s="24"/>
      <c r="N3319" s="24"/>
      <c r="P3319" s="24"/>
    </row>
    <row r="3320" spans="2:16" x14ac:dyDescent="0.25">
      <c r="B3320" s="24"/>
      <c r="E3320" s="24"/>
      <c r="G3320" s="24"/>
      <c r="H3320" s="24"/>
      <c r="J3320" s="24"/>
      <c r="K3320" s="24"/>
      <c r="M3320" s="24"/>
      <c r="N3320" s="24"/>
      <c r="P3320" s="24"/>
    </row>
    <row r="3321" spans="2:16" x14ac:dyDescent="0.25">
      <c r="B3321" s="24"/>
      <c r="E3321" s="24"/>
      <c r="G3321" s="24"/>
      <c r="H3321" s="24"/>
      <c r="J3321" s="24"/>
      <c r="K3321" s="24"/>
      <c r="M3321" s="24"/>
      <c r="N3321" s="24"/>
      <c r="P3321" s="24"/>
    </row>
    <row r="3322" spans="2:16" x14ac:dyDescent="0.25">
      <c r="B3322" s="24"/>
      <c r="E3322" s="24"/>
      <c r="G3322" s="24"/>
      <c r="H3322" s="24"/>
      <c r="J3322" s="24"/>
      <c r="K3322" s="24"/>
      <c r="M3322" s="24"/>
      <c r="N3322" s="24"/>
      <c r="P3322" s="24"/>
    </row>
    <row r="3323" spans="2:16" x14ac:dyDescent="0.25">
      <c r="B3323" s="24"/>
      <c r="E3323" s="24"/>
      <c r="G3323" s="24"/>
      <c r="H3323" s="24"/>
      <c r="J3323" s="24"/>
      <c r="K3323" s="24"/>
      <c r="M3323" s="24"/>
      <c r="N3323" s="24"/>
      <c r="P3323" s="24"/>
    </row>
    <row r="3324" spans="2:16" x14ac:dyDescent="0.25">
      <c r="B3324" s="24"/>
      <c r="E3324" s="24"/>
      <c r="G3324" s="24"/>
      <c r="H3324" s="24"/>
      <c r="J3324" s="24"/>
      <c r="K3324" s="24"/>
      <c r="M3324" s="24"/>
      <c r="N3324" s="24"/>
      <c r="P3324" s="24"/>
    </row>
    <row r="3325" spans="2:16" x14ac:dyDescent="0.25">
      <c r="B3325" s="24"/>
      <c r="E3325" s="24"/>
      <c r="G3325" s="24"/>
      <c r="H3325" s="24"/>
      <c r="J3325" s="24"/>
      <c r="K3325" s="24"/>
      <c r="M3325" s="24"/>
      <c r="N3325" s="24"/>
      <c r="P3325" s="24"/>
    </row>
    <row r="3326" spans="2:16" x14ac:dyDescent="0.25">
      <c r="B3326" s="24"/>
      <c r="E3326" s="24"/>
      <c r="G3326" s="24"/>
      <c r="H3326" s="24"/>
      <c r="J3326" s="24"/>
      <c r="K3326" s="24"/>
      <c r="M3326" s="24"/>
      <c r="N3326" s="24"/>
      <c r="P3326" s="24"/>
    </row>
    <row r="3327" spans="2:16" x14ac:dyDescent="0.25">
      <c r="B3327" s="24"/>
      <c r="E3327" s="24"/>
      <c r="G3327" s="24"/>
      <c r="H3327" s="24"/>
      <c r="J3327" s="24"/>
      <c r="K3327" s="24"/>
      <c r="M3327" s="24"/>
      <c r="N3327" s="24"/>
      <c r="P3327" s="24"/>
    </row>
    <row r="3328" spans="2:16" x14ac:dyDescent="0.25">
      <c r="B3328" s="24"/>
      <c r="E3328" s="24"/>
      <c r="G3328" s="24"/>
      <c r="H3328" s="24"/>
      <c r="J3328" s="24"/>
      <c r="K3328" s="24"/>
      <c r="M3328" s="24"/>
      <c r="N3328" s="24"/>
      <c r="P3328" s="24"/>
    </row>
    <row r="3329" spans="2:16" x14ac:dyDescent="0.25">
      <c r="B3329" s="24"/>
      <c r="E3329" s="24"/>
      <c r="G3329" s="24"/>
      <c r="H3329" s="24"/>
      <c r="J3329" s="24"/>
      <c r="K3329" s="24"/>
      <c r="M3329" s="24"/>
      <c r="N3329" s="24"/>
      <c r="P3329" s="24"/>
    </row>
    <row r="3330" spans="2:16" x14ac:dyDescent="0.25">
      <c r="B3330" s="24"/>
      <c r="E3330" s="24"/>
      <c r="G3330" s="24"/>
      <c r="H3330" s="24"/>
      <c r="J3330" s="24"/>
      <c r="K3330" s="24"/>
      <c r="M3330" s="24"/>
      <c r="N3330" s="24"/>
      <c r="P3330" s="24"/>
    </row>
    <row r="3331" spans="2:16" x14ac:dyDescent="0.25">
      <c r="B3331" s="24"/>
      <c r="E3331" s="24"/>
      <c r="G3331" s="24"/>
      <c r="H3331" s="24"/>
      <c r="J3331" s="24"/>
      <c r="K3331" s="24"/>
      <c r="M3331" s="24"/>
      <c r="N3331" s="24"/>
      <c r="P3331" s="24"/>
    </row>
    <row r="3332" spans="2:16" x14ac:dyDescent="0.25">
      <c r="B3332" s="24"/>
      <c r="E3332" s="24"/>
      <c r="G3332" s="24"/>
      <c r="H3332" s="24"/>
      <c r="J3332" s="24"/>
      <c r="K3332" s="24"/>
      <c r="M3332" s="24"/>
      <c r="N3332" s="24"/>
      <c r="P3332" s="24"/>
    </row>
    <row r="3333" spans="2:16" x14ac:dyDescent="0.25">
      <c r="B3333" s="24"/>
      <c r="E3333" s="24"/>
      <c r="G3333" s="24"/>
      <c r="H3333" s="24"/>
      <c r="J3333" s="24"/>
      <c r="K3333" s="24"/>
      <c r="M3333" s="24"/>
      <c r="N3333" s="24"/>
      <c r="P3333" s="24"/>
    </row>
    <row r="3334" spans="2:16" x14ac:dyDescent="0.25">
      <c r="B3334" s="24"/>
      <c r="E3334" s="24"/>
      <c r="G3334" s="24"/>
      <c r="H3334" s="24"/>
      <c r="J3334" s="24"/>
      <c r="K3334" s="24"/>
      <c r="M3334" s="24"/>
      <c r="N3334" s="24"/>
      <c r="P3334" s="24"/>
    </row>
    <row r="3335" spans="2:16" x14ac:dyDescent="0.25">
      <c r="B3335" s="24"/>
      <c r="E3335" s="24"/>
      <c r="G3335" s="24"/>
      <c r="H3335" s="24"/>
      <c r="J3335" s="24"/>
      <c r="K3335" s="24"/>
      <c r="M3335" s="24"/>
      <c r="N3335" s="24"/>
      <c r="P3335" s="24"/>
    </row>
    <row r="3336" spans="2:16" x14ac:dyDescent="0.25">
      <c r="B3336" s="24"/>
      <c r="E3336" s="24"/>
      <c r="G3336" s="24"/>
      <c r="H3336" s="24"/>
      <c r="J3336" s="24"/>
      <c r="K3336" s="24"/>
      <c r="M3336" s="24"/>
      <c r="N3336" s="24"/>
      <c r="P3336" s="24"/>
    </row>
    <row r="3337" spans="2:16" x14ac:dyDescent="0.25">
      <c r="B3337" s="24"/>
      <c r="E3337" s="24"/>
      <c r="G3337" s="24"/>
      <c r="H3337" s="24"/>
      <c r="J3337" s="24"/>
      <c r="K3337" s="24"/>
      <c r="M3337" s="24"/>
      <c r="N3337" s="24"/>
      <c r="P3337" s="24"/>
    </row>
    <row r="3338" spans="2:16" x14ac:dyDescent="0.25">
      <c r="B3338" s="24"/>
      <c r="E3338" s="24"/>
      <c r="G3338" s="24"/>
      <c r="H3338" s="24"/>
      <c r="J3338" s="24"/>
      <c r="K3338" s="24"/>
      <c r="M3338" s="24"/>
      <c r="N3338" s="24"/>
      <c r="P3338" s="24"/>
    </row>
    <row r="3339" spans="2:16" x14ac:dyDescent="0.25">
      <c r="B3339" s="24"/>
      <c r="E3339" s="24"/>
      <c r="G3339" s="24"/>
      <c r="H3339" s="24"/>
      <c r="J3339" s="24"/>
      <c r="K3339" s="24"/>
      <c r="M3339" s="24"/>
      <c r="N3339" s="24"/>
      <c r="P3339" s="24"/>
    </row>
    <row r="3340" spans="2:16" x14ac:dyDescent="0.25">
      <c r="B3340" s="24"/>
      <c r="E3340" s="24"/>
      <c r="G3340" s="24"/>
      <c r="H3340" s="24"/>
      <c r="J3340" s="24"/>
      <c r="K3340" s="24"/>
      <c r="M3340" s="24"/>
      <c r="N3340" s="24"/>
      <c r="P3340" s="24"/>
    </row>
    <row r="3341" spans="2:16" x14ac:dyDescent="0.25">
      <c r="B3341" s="24"/>
      <c r="E3341" s="24"/>
      <c r="G3341" s="24"/>
      <c r="H3341" s="24"/>
      <c r="J3341" s="24"/>
      <c r="K3341" s="24"/>
      <c r="M3341" s="24"/>
      <c r="N3341" s="24"/>
      <c r="P3341" s="24"/>
    </row>
    <row r="3342" spans="2:16" x14ac:dyDescent="0.25">
      <c r="B3342" s="24"/>
      <c r="E3342" s="24"/>
      <c r="G3342" s="24"/>
      <c r="H3342" s="24"/>
      <c r="J3342" s="24"/>
      <c r="K3342" s="24"/>
      <c r="M3342" s="24"/>
      <c r="N3342" s="24"/>
      <c r="P3342" s="24"/>
    </row>
    <row r="3343" spans="2:16" x14ac:dyDescent="0.25">
      <c r="B3343" s="24"/>
      <c r="E3343" s="24"/>
      <c r="G3343" s="24"/>
      <c r="H3343" s="24"/>
      <c r="J3343" s="24"/>
      <c r="K3343" s="24"/>
      <c r="M3343" s="24"/>
      <c r="N3343" s="24"/>
      <c r="P3343" s="24"/>
    </row>
    <row r="3344" spans="2:16" x14ac:dyDescent="0.25">
      <c r="B3344" s="24"/>
      <c r="E3344" s="24"/>
      <c r="G3344" s="24"/>
      <c r="H3344" s="24"/>
      <c r="J3344" s="24"/>
      <c r="K3344" s="24"/>
      <c r="M3344" s="24"/>
      <c r="N3344" s="24"/>
      <c r="P3344" s="24"/>
    </row>
    <row r="3345" spans="2:16" x14ac:dyDescent="0.25">
      <c r="B3345" s="24"/>
      <c r="E3345" s="24"/>
      <c r="G3345" s="24"/>
      <c r="H3345" s="24"/>
      <c r="J3345" s="24"/>
      <c r="K3345" s="24"/>
      <c r="M3345" s="24"/>
      <c r="N3345" s="24"/>
      <c r="P3345" s="24"/>
    </row>
    <row r="3346" spans="2:16" x14ac:dyDescent="0.25">
      <c r="B3346" s="24"/>
      <c r="E3346" s="24"/>
      <c r="G3346" s="24"/>
      <c r="H3346" s="24"/>
      <c r="J3346" s="24"/>
      <c r="K3346" s="24"/>
      <c r="M3346" s="24"/>
      <c r="N3346" s="24"/>
      <c r="P3346" s="24"/>
    </row>
    <row r="3347" spans="2:16" x14ac:dyDescent="0.25">
      <c r="B3347" s="24"/>
      <c r="E3347" s="24"/>
      <c r="G3347" s="24"/>
      <c r="H3347" s="24"/>
      <c r="J3347" s="24"/>
      <c r="K3347" s="24"/>
      <c r="M3347" s="24"/>
      <c r="N3347" s="24"/>
      <c r="P3347" s="24"/>
    </row>
    <row r="3348" spans="2:16" x14ac:dyDescent="0.25">
      <c r="B3348" s="24"/>
      <c r="E3348" s="24"/>
      <c r="G3348" s="24"/>
      <c r="H3348" s="24"/>
      <c r="J3348" s="24"/>
      <c r="K3348" s="24"/>
      <c r="M3348" s="24"/>
      <c r="N3348" s="24"/>
      <c r="P3348" s="24"/>
    </row>
    <row r="3349" spans="2:16" x14ac:dyDescent="0.25">
      <c r="B3349" s="24"/>
      <c r="E3349" s="24"/>
      <c r="G3349" s="24"/>
      <c r="H3349" s="24"/>
      <c r="J3349" s="24"/>
      <c r="K3349" s="24"/>
      <c r="M3349" s="24"/>
      <c r="N3349" s="24"/>
      <c r="P3349" s="24"/>
    </row>
    <row r="3350" spans="2:16" x14ac:dyDescent="0.25">
      <c r="B3350" s="24"/>
      <c r="E3350" s="24"/>
      <c r="G3350" s="24"/>
      <c r="H3350" s="24"/>
      <c r="J3350" s="24"/>
      <c r="K3350" s="24"/>
      <c r="M3350" s="24"/>
      <c r="N3350" s="24"/>
      <c r="P3350" s="24"/>
    </row>
    <row r="3351" spans="2:16" x14ac:dyDescent="0.25">
      <c r="B3351" s="24"/>
      <c r="E3351" s="24"/>
      <c r="G3351" s="24"/>
      <c r="H3351" s="24"/>
      <c r="J3351" s="24"/>
      <c r="K3351" s="24"/>
      <c r="M3351" s="24"/>
      <c r="N3351" s="24"/>
      <c r="P3351" s="24"/>
    </row>
    <row r="3352" spans="2:16" x14ac:dyDescent="0.25">
      <c r="B3352" s="24"/>
      <c r="E3352" s="24"/>
      <c r="G3352" s="24"/>
      <c r="H3352" s="24"/>
      <c r="J3352" s="24"/>
      <c r="K3352" s="24"/>
      <c r="M3352" s="24"/>
      <c r="N3352" s="24"/>
      <c r="P3352" s="24"/>
    </row>
    <row r="3353" spans="2:16" x14ac:dyDescent="0.25">
      <c r="B3353" s="24"/>
      <c r="E3353" s="24"/>
      <c r="G3353" s="24"/>
      <c r="H3353" s="24"/>
      <c r="J3353" s="24"/>
      <c r="K3353" s="24"/>
      <c r="M3353" s="24"/>
      <c r="N3353" s="24"/>
      <c r="P3353" s="24"/>
    </row>
    <row r="3354" spans="2:16" x14ac:dyDescent="0.25">
      <c r="B3354" s="24"/>
      <c r="E3354" s="24"/>
      <c r="G3354" s="24"/>
      <c r="H3354" s="24"/>
      <c r="J3354" s="24"/>
      <c r="K3354" s="24"/>
      <c r="M3354" s="24"/>
      <c r="N3354" s="24"/>
      <c r="P3354" s="24"/>
    </row>
    <row r="3355" spans="2:16" x14ac:dyDescent="0.25">
      <c r="B3355" s="24"/>
      <c r="E3355" s="24"/>
      <c r="G3355" s="24"/>
      <c r="H3355" s="24"/>
      <c r="J3355" s="24"/>
      <c r="K3355" s="24"/>
      <c r="M3355" s="24"/>
      <c r="N3355" s="24"/>
      <c r="P3355" s="24"/>
    </row>
    <row r="3356" spans="2:16" x14ac:dyDescent="0.25">
      <c r="B3356" s="24"/>
      <c r="E3356" s="24"/>
      <c r="G3356" s="24"/>
      <c r="H3356" s="24"/>
      <c r="J3356" s="24"/>
      <c r="K3356" s="24"/>
      <c r="M3356" s="24"/>
      <c r="N3356" s="24"/>
      <c r="P3356" s="24"/>
    </row>
    <row r="3357" spans="2:16" x14ac:dyDescent="0.25">
      <c r="B3357" s="24"/>
      <c r="E3357" s="24"/>
      <c r="G3357" s="24"/>
      <c r="H3357" s="24"/>
      <c r="J3357" s="24"/>
      <c r="K3357" s="24"/>
      <c r="M3357" s="24"/>
      <c r="N3357" s="24"/>
      <c r="P3357" s="24"/>
    </row>
    <row r="3358" spans="2:16" x14ac:dyDescent="0.25">
      <c r="B3358" s="24"/>
      <c r="E3358" s="24"/>
      <c r="G3358" s="24"/>
      <c r="H3358" s="24"/>
      <c r="J3358" s="24"/>
      <c r="K3358" s="24"/>
      <c r="M3358" s="24"/>
      <c r="N3358" s="24"/>
      <c r="P3358" s="24"/>
    </row>
    <row r="3359" spans="2:16" x14ac:dyDescent="0.25">
      <c r="B3359" s="24"/>
      <c r="E3359" s="24"/>
      <c r="G3359" s="24"/>
      <c r="H3359" s="24"/>
      <c r="J3359" s="24"/>
      <c r="K3359" s="24"/>
      <c r="M3359" s="24"/>
      <c r="N3359" s="24"/>
      <c r="P3359" s="24"/>
    </row>
    <row r="3360" spans="2:16" x14ac:dyDescent="0.25">
      <c r="B3360" s="24"/>
      <c r="E3360" s="24"/>
      <c r="G3360" s="24"/>
      <c r="H3360" s="24"/>
      <c r="J3360" s="24"/>
      <c r="K3360" s="24"/>
      <c r="M3360" s="24"/>
      <c r="N3360" s="24"/>
      <c r="P3360" s="24"/>
    </row>
    <row r="3361" spans="2:16" x14ac:dyDescent="0.25">
      <c r="B3361" s="24"/>
      <c r="E3361" s="24"/>
      <c r="G3361" s="24"/>
      <c r="H3361" s="24"/>
      <c r="J3361" s="24"/>
      <c r="K3361" s="24"/>
      <c r="M3361" s="24"/>
      <c r="N3361" s="24"/>
      <c r="P3361" s="24"/>
    </row>
    <row r="3362" spans="2:16" x14ac:dyDescent="0.25">
      <c r="B3362" s="24"/>
      <c r="E3362" s="24"/>
      <c r="G3362" s="24"/>
      <c r="H3362" s="24"/>
      <c r="J3362" s="24"/>
      <c r="K3362" s="24"/>
      <c r="M3362" s="24"/>
      <c r="N3362" s="24"/>
      <c r="P3362" s="24"/>
    </row>
    <row r="3363" spans="2:16" x14ac:dyDescent="0.25">
      <c r="B3363" s="24"/>
      <c r="E3363" s="24"/>
      <c r="G3363" s="24"/>
      <c r="H3363" s="24"/>
      <c r="J3363" s="24"/>
      <c r="K3363" s="24"/>
      <c r="M3363" s="24"/>
      <c r="N3363" s="24"/>
      <c r="P3363" s="24"/>
    </row>
    <row r="3364" spans="2:16" x14ac:dyDescent="0.25">
      <c r="B3364" s="24"/>
      <c r="E3364" s="24"/>
      <c r="G3364" s="24"/>
      <c r="H3364" s="24"/>
      <c r="J3364" s="24"/>
      <c r="K3364" s="24"/>
      <c r="M3364" s="24"/>
      <c r="N3364" s="24"/>
      <c r="P3364" s="24"/>
    </row>
    <row r="3365" spans="2:16" x14ac:dyDescent="0.25">
      <c r="B3365" s="24"/>
      <c r="E3365" s="24"/>
      <c r="G3365" s="24"/>
      <c r="H3365" s="24"/>
      <c r="J3365" s="24"/>
      <c r="K3365" s="24"/>
      <c r="M3365" s="24"/>
      <c r="N3365" s="24"/>
      <c r="P3365" s="24"/>
    </row>
    <row r="3366" spans="2:16" x14ac:dyDescent="0.25">
      <c r="B3366" s="24"/>
      <c r="E3366" s="24"/>
      <c r="G3366" s="24"/>
      <c r="H3366" s="24"/>
      <c r="J3366" s="24"/>
      <c r="K3366" s="24"/>
      <c r="M3366" s="24"/>
      <c r="N3366" s="24"/>
      <c r="P3366" s="24"/>
    </row>
    <row r="3367" spans="2:16" x14ac:dyDescent="0.25">
      <c r="B3367" s="24"/>
      <c r="E3367" s="24"/>
      <c r="G3367" s="24"/>
      <c r="H3367" s="24"/>
      <c r="J3367" s="24"/>
      <c r="K3367" s="24"/>
      <c r="M3367" s="24"/>
      <c r="N3367" s="24"/>
      <c r="P3367" s="24"/>
    </row>
    <row r="3368" spans="2:16" x14ac:dyDescent="0.25">
      <c r="B3368" s="24"/>
      <c r="E3368" s="24"/>
      <c r="G3368" s="24"/>
      <c r="H3368" s="24"/>
      <c r="J3368" s="24"/>
      <c r="K3368" s="24"/>
      <c r="M3368" s="24"/>
      <c r="N3368" s="24"/>
      <c r="P3368" s="24"/>
    </row>
    <row r="3369" spans="2:16" x14ac:dyDescent="0.25">
      <c r="B3369" s="24"/>
      <c r="E3369" s="24"/>
      <c r="G3369" s="24"/>
      <c r="H3369" s="24"/>
      <c r="J3369" s="24"/>
      <c r="K3369" s="24"/>
      <c r="M3369" s="24"/>
      <c r="N3369" s="24"/>
      <c r="P3369" s="24"/>
    </row>
    <row r="3370" spans="2:16" x14ac:dyDescent="0.25">
      <c r="B3370" s="24"/>
      <c r="E3370" s="24"/>
      <c r="G3370" s="24"/>
      <c r="H3370" s="24"/>
      <c r="J3370" s="24"/>
      <c r="K3370" s="24"/>
      <c r="M3370" s="24"/>
      <c r="N3370" s="24"/>
      <c r="P3370" s="24"/>
    </row>
    <row r="3371" spans="2:16" x14ac:dyDescent="0.25">
      <c r="B3371" s="24"/>
      <c r="E3371" s="24"/>
      <c r="G3371" s="24"/>
      <c r="H3371" s="24"/>
      <c r="J3371" s="24"/>
      <c r="K3371" s="24"/>
      <c r="M3371" s="24"/>
      <c r="N3371" s="24"/>
      <c r="P3371" s="24"/>
    </row>
    <row r="3372" spans="2:16" x14ac:dyDescent="0.25">
      <c r="B3372" s="24"/>
      <c r="E3372" s="24"/>
      <c r="G3372" s="24"/>
      <c r="H3372" s="24"/>
      <c r="J3372" s="24"/>
      <c r="K3372" s="24"/>
      <c r="M3372" s="24"/>
      <c r="N3372" s="24"/>
      <c r="P3372" s="24"/>
    </row>
    <row r="3373" spans="2:16" x14ac:dyDescent="0.25">
      <c r="B3373" s="24"/>
      <c r="E3373" s="24"/>
      <c r="G3373" s="24"/>
      <c r="H3373" s="24"/>
      <c r="J3373" s="24"/>
      <c r="K3373" s="24"/>
      <c r="M3373" s="24"/>
      <c r="N3373" s="24"/>
      <c r="P3373" s="24"/>
    </row>
    <row r="3374" spans="2:16" x14ac:dyDescent="0.25">
      <c r="B3374" s="24"/>
      <c r="E3374" s="24"/>
      <c r="G3374" s="24"/>
      <c r="H3374" s="24"/>
      <c r="J3374" s="24"/>
      <c r="K3374" s="24"/>
      <c r="M3374" s="24"/>
      <c r="N3374" s="24"/>
      <c r="P3374" s="24"/>
    </row>
    <row r="3375" spans="2:16" x14ac:dyDescent="0.25">
      <c r="B3375" s="24"/>
      <c r="E3375" s="24"/>
      <c r="G3375" s="24"/>
      <c r="H3375" s="24"/>
      <c r="J3375" s="24"/>
      <c r="K3375" s="24"/>
      <c r="M3375" s="24"/>
      <c r="N3375" s="24"/>
      <c r="P3375" s="24"/>
    </row>
    <row r="3376" spans="2:16" x14ac:dyDescent="0.25">
      <c r="B3376" s="24"/>
      <c r="E3376" s="24"/>
      <c r="G3376" s="24"/>
      <c r="H3376" s="24"/>
      <c r="J3376" s="24"/>
      <c r="K3376" s="24"/>
      <c r="M3376" s="24"/>
      <c r="N3376" s="24"/>
      <c r="P3376" s="24"/>
    </row>
    <row r="3377" spans="2:16" x14ac:dyDescent="0.25">
      <c r="B3377" s="24"/>
      <c r="E3377" s="24"/>
      <c r="G3377" s="24"/>
      <c r="H3377" s="24"/>
      <c r="J3377" s="24"/>
      <c r="K3377" s="24"/>
      <c r="M3377" s="24"/>
      <c r="N3377" s="24"/>
      <c r="P3377" s="24"/>
    </row>
    <row r="3378" spans="2:16" x14ac:dyDescent="0.25">
      <c r="B3378" s="24"/>
      <c r="E3378" s="24"/>
      <c r="G3378" s="24"/>
      <c r="H3378" s="24"/>
      <c r="J3378" s="24"/>
      <c r="K3378" s="24"/>
      <c r="M3378" s="24"/>
      <c r="N3378" s="24"/>
      <c r="P3378" s="24"/>
    </row>
    <row r="3379" spans="2:16" x14ac:dyDescent="0.25">
      <c r="B3379" s="24"/>
      <c r="E3379" s="24"/>
      <c r="G3379" s="24"/>
      <c r="H3379" s="24"/>
      <c r="J3379" s="24"/>
      <c r="K3379" s="24"/>
      <c r="M3379" s="24"/>
      <c r="N3379" s="24"/>
      <c r="P3379" s="24"/>
    </row>
    <row r="3380" spans="2:16" x14ac:dyDescent="0.25">
      <c r="B3380" s="24"/>
      <c r="E3380" s="24"/>
      <c r="G3380" s="24"/>
      <c r="H3380" s="24"/>
      <c r="J3380" s="24"/>
      <c r="K3380" s="24"/>
      <c r="M3380" s="24"/>
      <c r="N3380" s="24"/>
      <c r="P3380" s="24"/>
    </row>
    <row r="3381" spans="2:16" x14ac:dyDescent="0.25">
      <c r="B3381" s="24"/>
      <c r="E3381" s="24"/>
      <c r="G3381" s="24"/>
      <c r="H3381" s="24"/>
      <c r="J3381" s="24"/>
      <c r="K3381" s="24"/>
      <c r="M3381" s="24"/>
      <c r="N3381" s="24"/>
      <c r="P3381" s="24"/>
    </row>
    <row r="3382" spans="2:16" x14ac:dyDescent="0.25">
      <c r="B3382" s="24"/>
      <c r="E3382" s="24"/>
      <c r="G3382" s="24"/>
      <c r="H3382" s="24"/>
      <c r="J3382" s="24"/>
      <c r="K3382" s="24"/>
      <c r="M3382" s="24"/>
      <c r="N3382" s="24"/>
      <c r="P3382" s="24"/>
    </row>
    <row r="3383" spans="2:16" x14ac:dyDescent="0.25">
      <c r="B3383" s="24"/>
      <c r="E3383" s="24"/>
      <c r="G3383" s="24"/>
      <c r="H3383" s="24"/>
      <c r="J3383" s="24"/>
      <c r="K3383" s="24"/>
      <c r="M3383" s="24"/>
      <c r="N3383" s="24"/>
      <c r="P3383" s="24"/>
    </row>
    <row r="3384" spans="2:16" x14ac:dyDescent="0.25">
      <c r="B3384" s="24"/>
      <c r="E3384" s="24"/>
      <c r="G3384" s="24"/>
      <c r="H3384" s="24"/>
      <c r="J3384" s="24"/>
      <c r="K3384" s="24"/>
      <c r="M3384" s="24"/>
      <c r="N3384" s="24"/>
      <c r="P3384" s="24"/>
    </row>
    <row r="3385" spans="2:16" x14ac:dyDescent="0.25">
      <c r="B3385" s="24"/>
      <c r="E3385" s="24"/>
      <c r="G3385" s="24"/>
      <c r="H3385" s="24"/>
      <c r="J3385" s="24"/>
      <c r="K3385" s="24"/>
      <c r="M3385" s="24"/>
      <c r="N3385" s="24"/>
      <c r="P3385" s="24"/>
    </row>
    <row r="3386" spans="2:16" x14ac:dyDescent="0.25">
      <c r="B3386" s="24"/>
      <c r="E3386" s="24"/>
      <c r="G3386" s="24"/>
      <c r="H3386" s="24"/>
      <c r="J3386" s="24"/>
      <c r="K3386" s="24"/>
      <c r="M3386" s="24"/>
      <c r="N3386" s="24"/>
      <c r="P3386" s="24"/>
    </row>
    <row r="3387" spans="2:16" x14ac:dyDescent="0.25">
      <c r="B3387" s="24"/>
      <c r="E3387" s="24"/>
      <c r="G3387" s="24"/>
      <c r="H3387" s="24"/>
      <c r="J3387" s="24"/>
      <c r="K3387" s="24"/>
      <c r="M3387" s="24"/>
      <c r="N3387" s="24"/>
      <c r="P3387" s="24"/>
    </row>
    <row r="3388" spans="2:16" x14ac:dyDescent="0.25">
      <c r="B3388" s="24"/>
      <c r="E3388" s="24"/>
      <c r="G3388" s="24"/>
      <c r="H3388" s="24"/>
      <c r="J3388" s="24"/>
      <c r="K3388" s="24"/>
      <c r="M3388" s="24"/>
      <c r="N3388" s="24"/>
      <c r="P3388" s="24"/>
    </row>
    <row r="3389" spans="2:16" x14ac:dyDescent="0.25">
      <c r="B3389" s="24"/>
      <c r="E3389" s="24"/>
      <c r="G3389" s="24"/>
      <c r="H3389" s="24"/>
      <c r="J3389" s="24"/>
      <c r="K3389" s="24"/>
      <c r="M3389" s="24"/>
      <c r="N3389" s="24"/>
      <c r="P3389" s="24"/>
    </row>
    <row r="3390" spans="2:16" x14ac:dyDescent="0.25">
      <c r="B3390" s="24"/>
      <c r="E3390" s="24"/>
      <c r="G3390" s="24"/>
      <c r="H3390" s="24"/>
      <c r="J3390" s="24"/>
      <c r="K3390" s="24"/>
      <c r="M3390" s="24"/>
      <c r="N3390" s="24"/>
      <c r="P3390" s="24"/>
    </row>
    <row r="3391" spans="2:16" x14ac:dyDescent="0.25">
      <c r="B3391" s="24"/>
      <c r="E3391" s="24"/>
      <c r="G3391" s="24"/>
      <c r="H3391" s="24"/>
      <c r="J3391" s="24"/>
      <c r="K3391" s="24"/>
      <c r="M3391" s="24"/>
      <c r="N3391" s="24"/>
      <c r="P3391" s="24"/>
    </row>
    <row r="3392" spans="2:16" x14ac:dyDescent="0.25">
      <c r="B3392" s="24"/>
      <c r="E3392" s="24"/>
      <c r="G3392" s="24"/>
      <c r="H3392" s="24"/>
      <c r="J3392" s="24"/>
      <c r="K3392" s="24"/>
      <c r="M3392" s="24"/>
      <c r="N3392" s="24"/>
      <c r="P3392" s="24"/>
    </row>
    <row r="3393" spans="2:16" x14ac:dyDescent="0.25">
      <c r="B3393" s="24"/>
      <c r="E3393" s="24"/>
      <c r="G3393" s="24"/>
      <c r="H3393" s="24"/>
      <c r="J3393" s="24"/>
      <c r="K3393" s="24"/>
      <c r="M3393" s="24"/>
      <c r="N3393" s="24"/>
      <c r="P3393" s="24"/>
    </row>
    <row r="3394" spans="2:16" x14ac:dyDescent="0.25">
      <c r="B3394" s="24"/>
      <c r="E3394" s="24"/>
      <c r="G3394" s="24"/>
      <c r="H3394" s="24"/>
      <c r="J3394" s="24"/>
      <c r="K3394" s="24"/>
      <c r="M3394" s="24"/>
      <c r="N3394" s="24"/>
      <c r="P3394" s="24"/>
    </row>
    <row r="3395" spans="2:16" x14ac:dyDescent="0.25">
      <c r="B3395" s="24"/>
      <c r="E3395" s="24"/>
      <c r="G3395" s="24"/>
      <c r="H3395" s="24"/>
      <c r="J3395" s="24"/>
      <c r="K3395" s="24"/>
      <c r="M3395" s="24"/>
      <c r="N3395" s="24"/>
      <c r="P3395" s="24"/>
    </row>
    <row r="3396" spans="2:16" x14ac:dyDescent="0.25">
      <c r="B3396" s="24"/>
      <c r="E3396" s="24"/>
      <c r="G3396" s="24"/>
      <c r="H3396" s="24"/>
      <c r="J3396" s="24"/>
      <c r="K3396" s="24"/>
      <c r="M3396" s="24"/>
      <c r="N3396" s="24"/>
      <c r="P3396" s="24"/>
    </row>
    <row r="3397" spans="2:16" x14ac:dyDescent="0.25">
      <c r="B3397" s="24"/>
      <c r="E3397" s="24"/>
      <c r="G3397" s="24"/>
      <c r="H3397" s="24"/>
      <c r="J3397" s="24"/>
      <c r="K3397" s="24"/>
      <c r="M3397" s="24"/>
      <c r="N3397" s="24"/>
      <c r="P3397" s="24"/>
    </row>
    <row r="3398" spans="2:16" x14ac:dyDescent="0.25">
      <c r="B3398" s="24"/>
      <c r="E3398" s="24"/>
      <c r="G3398" s="24"/>
      <c r="H3398" s="24"/>
      <c r="J3398" s="24"/>
      <c r="K3398" s="24"/>
      <c r="M3398" s="24"/>
      <c r="N3398" s="24"/>
      <c r="P3398" s="24"/>
    </row>
    <row r="3399" spans="2:16" x14ac:dyDescent="0.25">
      <c r="B3399" s="24"/>
      <c r="E3399" s="24"/>
      <c r="G3399" s="24"/>
      <c r="H3399" s="24"/>
      <c r="J3399" s="24"/>
      <c r="K3399" s="24"/>
      <c r="M3399" s="24"/>
      <c r="N3399" s="24"/>
      <c r="P3399" s="24"/>
    </row>
    <row r="3400" spans="2:16" x14ac:dyDescent="0.25">
      <c r="B3400" s="24"/>
      <c r="E3400" s="24"/>
      <c r="G3400" s="24"/>
      <c r="H3400" s="24"/>
      <c r="J3400" s="24"/>
      <c r="K3400" s="24"/>
      <c r="M3400" s="24"/>
      <c r="N3400" s="24"/>
      <c r="P3400" s="24"/>
    </row>
    <row r="3401" spans="2:16" x14ac:dyDescent="0.25">
      <c r="B3401" s="24"/>
      <c r="E3401" s="24"/>
      <c r="G3401" s="24"/>
      <c r="H3401" s="24"/>
      <c r="J3401" s="24"/>
      <c r="K3401" s="24"/>
      <c r="M3401" s="24"/>
      <c r="N3401" s="24"/>
      <c r="P3401" s="24"/>
    </row>
    <row r="3402" spans="2:16" x14ac:dyDescent="0.25">
      <c r="B3402" s="24"/>
      <c r="E3402" s="24"/>
      <c r="G3402" s="24"/>
      <c r="H3402" s="24"/>
      <c r="J3402" s="24"/>
      <c r="K3402" s="24"/>
      <c r="M3402" s="24"/>
      <c r="N3402" s="24"/>
      <c r="P3402" s="24"/>
    </row>
    <row r="3403" spans="2:16" x14ac:dyDescent="0.25">
      <c r="B3403" s="24"/>
      <c r="E3403" s="24"/>
      <c r="G3403" s="24"/>
      <c r="H3403" s="24"/>
      <c r="J3403" s="24"/>
      <c r="K3403" s="24"/>
      <c r="M3403" s="24"/>
      <c r="N3403" s="24"/>
      <c r="P3403" s="24"/>
    </row>
    <row r="3404" spans="2:16" x14ac:dyDescent="0.25">
      <c r="B3404" s="24"/>
      <c r="E3404" s="24"/>
      <c r="G3404" s="24"/>
      <c r="H3404" s="24"/>
      <c r="J3404" s="24"/>
      <c r="K3404" s="24"/>
      <c r="M3404" s="24"/>
      <c r="N3404" s="24"/>
      <c r="P3404" s="24"/>
    </row>
    <row r="3405" spans="2:16" x14ac:dyDescent="0.25">
      <c r="B3405" s="24"/>
      <c r="E3405" s="24"/>
      <c r="G3405" s="24"/>
      <c r="H3405" s="24"/>
      <c r="J3405" s="24"/>
      <c r="K3405" s="24"/>
      <c r="M3405" s="24"/>
      <c r="N3405" s="24"/>
      <c r="P3405" s="24"/>
    </row>
    <row r="3406" spans="2:16" x14ac:dyDescent="0.25">
      <c r="B3406" s="24"/>
      <c r="E3406" s="24"/>
      <c r="G3406" s="24"/>
      <c r="H3406" s="24"/>
      <c r="J3406" s="24"/>
      <c r="K3406" s="24"/>
      <c r="M3406" s="24"/>
      <c r="N3406" s="24"/>
      <c r="P3406" s="24"/>
    </row>
    <row r="3407" spans="2:16" x14ac:dyDescent="0.25">
      <c r="B3407" s="24"/>
      <c r="E3407" s="24"/>
      <c r="G3407" s="24"/>
      <c r="H3407" s="24"/>
      <c r="J3407" s="24"/>
      <c r="K3407" s="24"/>
      <c r="M3407" s="24"/>
      <c r="N3407" s="24"/>
      <c r="P3407" s="24"/>
    </row>
    <row r="3408" spans="2:16" x14ac:dyDescent="0.25">
      <c r="B3408" s="24"/>
      <c r="E3408" s="24"/>
      <c r="G3408" s="24"/>
      <c r="H3408" s="24"/>
      <c r="J3408" s="24"/>
      <c r="K3408" s="24"/>
      <c r="M3408" s="24"/>
      <c r="N3408" s="24"/>
      <c r="P3408" s="24"/>
    </row>
    <row r="3409" spans="2:16" x14ac:dyDescent="0.25">
      <c r="B3409" s="24"/>
      <c r="E3409" s="24"/>
      <c r="G3409" s="24"/>
      <c r="H3409" s="24"/>
      <c r="J3409" s="24"/>
      <c r="K3409" s="24"/>
      <c r="M3409" s="24"/>
      <c r="N3409" s="24"/>
      <c r="P3409" s="24"/>
    </row>
    <row r="3410" spans="2:16" x14ac:dyDescent="0.25">
      <c r="B3410" s="24"/>
      <c r="E3410" s="24"/>
      <c r="G3410" s="24"/>
      <c r="H3410" s="24"/>
      <c r="J3410" s="24"/>
      <c r="K3410" s="24"/>
      <c r="M3410" s="24"/>
      <c r="N3410" s="24"/>
      <c r="P3410" s="24"/>
    </row>
    <row r="3411" spans="2:16" x14ac:dyDescent="0.25">
      <c r="B3411" s="24"/>
      <c r="E3411" s="24"/>
      <c r="G3411" s="24"/>
      <c r="H3411" s="24"/>
      <c r="J3411" s="24"/>
      <c r="K3411" s="24"/>
      <c r="M3411" s="24"/>
      <c r="N3411" s="24"/>
      <c r="P3411" s="24"/>
    </row>
    <row r="3412" spans="2:16" x14ac:dyDescent="0.25">
      <c r="B3412" s="24"/>
      <c r="E3412" s="24"/>
      <c r="G3412" s="24"/>
      <c r="H3412" s="24"/>
      <c r="J3412" s="24"/>
      <c r="K3412" s="24"/>
      <c r="M3412" s="24"/>
      <c r="N3412" s="24"/>
      <c r="P3412" s="24"/>
    </row>
    <row r="3413" spans="2:16" x14ac:dyDescent="0.25">
      <c r="B3413" s="24"/>
      <c r="E3413" s="24"/>
      <c r="G3413" s="24"/>
      <c r="H3413" s="24"/>
      <c r="J3413" s="24"/>
      <c r="K3413" s="24"/>
      <c r="M3413" s="24"/>
      <c r="N3413" s="24"/>
      <c r="P3413" s="24"/>
    </row>
    <row r="3414" spans="2:16" x14ac:dyDescent="0.25">
      <c r="B3414" s="24"/>
      <c r="E3414" s="24"/>
      <c r="G3414" s="24"/>
      <c r="H3414" s="24"/>
      <c r="J3414" s="24"/>
      <c r="K3414" s="24"/>
      <c r="M3414" s="24"/>
      <c r="N3414" s="24"/>
      <c r="P3414" s="24"/>
    </row>
    <row r="3415" spans="2:16" x14ac:dyDescent="0.25">
      <c r="B3415" s="24"/>
      <c r="E3415" s="24"/>
      <c r="G3415" s="24"/>
      <c r="H3415" s="24"/>
      <c r="J3415" s="24"/>
      <c r="K3415" s="24"/>
      <c r="M3415" s="24"/>
      <c r="N3415" s="24"/>
      <c r="P3415" s="24"/>
    </row>
    <row r="3416" spans="2:16" x14ac:dyDescent="0.25">
      <c r="B3416" s="24"/>
      <c r="E3416" s="24"/>
      <c r="G3416" s="24"/>
      <c r="H3416" s="24"/>
      <c r="J3416" s="24"/>
      <c r="K3416" s="24"/>
      <c r="M3416" s="24"/>
      <c r="N3416" s="24"/>
      <c r="P3416" s="24"/>
    </row>
    <row r="3417" spans="2:16" x14ac:dyDescent="0.25">
      <c r="B3417" s="24"/>
      <c r="E3417" s="24"/>
      <c r="G3417" s="24"/>
      <c r="H3417" s="24"/>
      <c r="J3417" s="24"/>
      <c r="K3417" s="24"/>
      <c r="M3417" s="24"/>
      <c r="N3417" s="24"/>
      <c r="P3417" s="24"/>
    </row>
    <row r="3418" spans="2:16" x14ac:dyDescent="0.25">
      <c r="B3418" s="24"/>
      <c r="E3418" s="24"/>
      <c r="G3418" s="24"/>
      <c r="H3418" s="24"/>
      <c r="J3418" s="24"/>
      <c r="K3418" s="24"/>
      <c r="M3418" s="24"/>
      <c r="N3418" s="24"/>
      <c r="P3418" s="24"/>
    </row>
    <row r="3419" spans="2:16" x14ac:dyDescent="0.25">
      <c r="B3419" s="24"/>
      <c r="E3419" s="24"/>
      <c r="G3419" s="24"/>
      <c r="H3419" s="24"/>
      <c r="J3419" s="24"/>
      <c r="K3419" s="24"/>
      <c r="M3419" s="24"/>
      <c r="N3419" s="24"/>
      <c r="P3419" s="24"/>
    </row>
    <row r="3420" spans="2:16" x14ac:dyDescent="0.25">
      <c r="B3420" s="24"/>
      <c r="E3420" s="24"/>
      <c r="G3420" s="24"/>
      <c r="H3420" s="24"/>
      <c r="J3420" s="24"/>
      <c r="K3420" s="24"/>
      <c r="M3420" s="24"/>
      <c r="N3420" s="24"/>
      <c r="P3420" s="24"/>
    </row>
    <row r="3421" spans="2:16" x14ac:dyDescent="0.25">
      <c r="B3421" s="24"/>
      <c r="E3421" s="24"/>
      <c r="G3421" s="24"/>
      <c r="H3421" s="24"/>
      <c r="J3421" s="24"/>
      <c r="K3421" s="24"/>
      <c r="M3421" s="24"/>
      <c r="N3421" s="24"/>
      <c r="P3421" s="24"/>
    </row>
    <row r="3422" spans="2:16" x14ac:dyDescent="0.25">
      <c r="B3422" s="24"/>
      <c r="E3422" s="24"/>
      <c r="G3422" s="24"/>
      <c r="H3422" s="24"/>
      <c r="J3422" s="24"/>
      <c r="K3422" s="24"/>
      <c r="M3422" s="24"/>
      <c r="N3422" s="24"/>
      <c r="P3422" s="24"/>
    </row>
    <row r="3423" spans="2:16" x14ac:dyDescent="0.25">
      <c r="B3423" s="24"/>
      <c r="E3423" s="24"/>
      <c r="G3423" s="24"/>
      <c r="H3423" s="24"/>
      <c r="J3423" s="24"/>
      <c r="K3423" s="24"/>
      <c r="M3423" s="24"/>
      <c r="N3423" s="24"/>
      <c r="P3423" s="24"/>
    </row>
    <row r="3424" spans="2:16" x14ac:dyDescent="0.25">
      <c r="B3424" s="24"/>
      <c r="E3424" s="24"/>
      <c r="G3424" s="24"/>
      <c r="H3424" s="24"/>
      <c r="J3424" s="24"/>
      <c r="K3424" s="24"/>
      <c r="M3424" s="24"/>
      <c r="N3424" s="24"/>
      <c r="P3424" s="24"/>
    </row>
    <row r="3425" spans="2:16" x14ac:dyDescent="0.25">
      <c r="B3425" s="24"/>
      <c r="E3425" s="24"/>
      <c r="G3425" s="24"/>
      <c r="H3425" s="24"/>
      <c r="J3425" s="24"/>
      <c r="K3425" s="24"/>
      <c r="M3425" s="24"/>
      <c r="N3425" s="24"/>
      <c r="P3425" s="24"/>
    </row>
    <row r="3426" spans="2:16" x14ac:dyDescent="0.25">
      <c r="B3426" s="24"/>
      <c r="E3426" s="24"/>
      <c r="G3426" s="24"/>
      <c r="H3426" s="24"/>
      <c r="J3426" s="24"/>
      <c r="K3426" s="24"/>
      <c r="M3426" s="24"/>
      <c r="N3426" s="24"/>
      <c r="P3426" s="24"/>
    </row>
    <row r="3427" spans="2:16" x14ac:dyDescent="0.25">
      <c r="B3427" s="24"/>
      <c r="E3427" s="24"/>
      <c r="G3427" s="24"/>
      <c r="H3427" s="24"/>
      <c r="J3427" s="24"/>
      <c r="K3427" s="24"/>
      <c r="M3427" s="24"/>
      <c r="N3427" s="24"/>
      <c r="P3427" s="24"/>
    </row>
    <row r="3428" spans="2:16" x14ac:dyDescent="0.25">
      <c r="B3428" s="24"/>
      <c r="E3428" s="24"/>
      <c r="G3428" s="24"/>
      <c r="H3428" s="24"/>
      <c r="J3428" s="24"/>
      <c r="K3428" s="24"/>
      <c r="M3428" s="24"/>
      <c r="N3428" s="24"/>
      <c r="P3428" s="24"/>
    </row>
    <row r="3429" spans="2:16" x14ac:dyDescent="0.25">
      <c r="B3429" s="24"/>
      <c r="E3429" s="24"/>
      <c r="G3429" s="24"/>
      <c r="H3429" s="24"/>
      <c r="J3429" s="24"/>
      <c r="K3429" s="24"/>
      <c r="M3429" s="24"/>
      <c r="N3429" s="24"/>
      <c r="P3429" s="24"/>
    </row>
    <row r="3430" spans="2:16" x14ac:dyDescent="0.25">
      <c r="B3430" s="24"/>
      <c r="E3430" s="24"/>
      <c r="G3430" s="24"/>
      <c r="H3430" s="24"/>
      <c r="J3430" s="24"/>
      <c r="K3430" s="24"/>
      <c r="M3430" s="24"/>
      <c r="N3430" s="24"/>
      <c r="P3430" s="24"/>
    </row>
    <row r="3431" spans="2:16" x14ac:dyDescent="0.25">
      <c r="B3431" s="24"/>
      <c r="E3431" s="24"/>
      <c r="G3431" s="24"/>
      <c r="H3431" s="24"/>
      <c r="J3431" s="24"/>
      <c r="K3431" s="24"/>
      <c r="M3431" s="24"/>
      <c r="N3431" s="24"/>
      <c r="P3431" s="24"/>
    </row>
    <row r="3432" spans="2:16" x14ac:dyDescent="0.25">
      <c r="B3432" s="24"/>
      <c r="E3432" s="24"/>
      <c r="G3432" s="24"/>
      <c r="H3432" s="24"/>
      <c r="J3432" s="24"/>
      <c r="K3432" s="24"/>
      <c r="M3432" s="24"/>
      <c r="N3432" s="24"/>
      <c r="P3432" s="24"/>
    </row>
    <row r="3433" spans="2:16" x14ac:dyDescent="0.25">
      <c r="B3433" s="24"/>
      <c r="E3433" s="24"/>
      <c r="G3433" s="24"/>
      <c r="H3433" s="24"/>
      <c r="J3433" s="24"/>
      <c r="K3433" s="24"/>
      <c r="M3433" s="24"/>
      <c r="N3433" s="24"/>
      <c r="P3433" s="24"/>
    </row>
    <row r="3434" spans="2:16" x14ac:dyDescent="0.25">
      <c r="B3434" s="24"/>
      <c r="E3434" s="24"/>
      <c r="G3434" s="24"/>
      <c r="H3434" s="24"/>
      <c r="J3434" s="24"/>
      <c r="K3434" s="24"/>
      <c r="M3434" s="24"/>
      <c r="N3434" s="24"/>
      <c r="P3434" s="24"/>
    </row>
    <row r="3435" spans="2:16" x14ac:dyDescent="0.25">
      <c r="B3435" s="24"/>
      <c r="E3435" s="24"/>
      <c r="G3435" s="24"/>
      <c r="H3435" s="24"/>
      <c r="J3435" s="24"/>
      <c r="K3435" s="24"/>
      <c r="M3435" s="24"/>
      <c r="N3435" s="24"/>
      <c r="P3435" s="24"/>
    </row>
    <row r="3436" spans="2:16" x14ac:dyDescent="0.25">
      <c r="B3436" s="24"/>
      <c r="E3436" s="24"/>
      <c r="G3436" s="24"/>
      <c r="H3436" s="24"/>
      <c r="J3436" s="24"/>
      <c r="K3436" s="24"/>
      <c r="M3436" s="24"/>
      <c r="N3436" s="24"/>
      <c r="P3436" s="24"/>
    </row>
    <row r="3437" spans="2:16" x14ac:dyDescent="0.25">
      <c r="B3437" s="24"/>
      <c r="E3437" s="24"/>
      <c r="G3437" s="24"/>
      <c r="H3437" s="24"/>
      <c r="J3437" s="24"/>
      <c r="K3437" s="24"/>
      <c r="M3437" s="24"/>
      <c r="N3437" s="24"/>
      <c r="P3437" s="24"/>
    </row>
    <row r="3438" spans="2:16" x14ac:dyDescent="0.25">
      <c r="B3438" s="24"/>
      <c r="E3438" s="24"/>
      <c r="G3438" s="24"/>
      <c r="H3438" s="24"/>
      <c r="J3438" s="24"/>
      <c r="K3438" s="24"/>
      <c r="M3438" s="24"/>
      <c r="N3438" s="24"/>
      <c r="P3438" s="24"/>
    </row>
    <row r="3439" spans="2:16" x14ac:dyDescent="0.25">
      <c r="B3439" s="24"/>
      <c r="E3439" s="24"/>
      <c r="G3439" s="24"/>
      <c r="H3439" s="24"/>
      <c r="J3439" s="24"/>
      <c r="K3439" s="24"/>
      <c r="M3439" s="24"/>
      <c r="N3439" s="24"/>
      <c r="P3439" s="24"/>
    </row>
    <row r="3440" spans="2:16" x14ac:dyDescent="0.25">
      <c r="B3440" s="24"/>
      <c r="E3440" s="24"/>
      <c r="G3440" s="24"/>
      <c r="H3440" s="24"/>
      <c r="J3440" s="24"/>
      <c r="K3440" s="24"/>
      <c r="M3440" s="24"/>
      <c r="N3440" s="24"/>
      <c r="P3440" s="24"/>
    </row>
    <row r="3441" spans="2:16" x14ac:dyDescent="0.25">
      <c r="B3441" s="24"/>
      <c r="E3441" s="24"/>
      <c r="G3441" s="24"/>
      <c r="H3441" s="24"/>
      <c r="J3441" s="24"/>
      <c r="K3441" s="24"/>
      <c r="M3441" s="24"/>
      <c r="N3441" s="24"/>
      <c r="P3441" s="24"/>
    </row>
    <row r="3442" spans="2:16" x14ac:dyDescent="0.25">
      <c r="B3442" s="24"/>
      <c r="E3442" s="24"/>
      <c r="G3442" s="24"/>
      <c r="H3442" s="24"/>
      <c r="J3442" s="24"/>
      <c r="K3442" s="24"/>
      <c r="M3442" s="24"/>
      <c r="N3442" s="24"/>
      <c r="P3442" s="24"/>
    </row>
    <row r="3443" spans="2:16" x14ac:dyDescent="0.25">
      <c r="B3443" s="24"/>
      <c r="E3443" s="24"/>
      <c r="G3443" s="24"/>
      <c r="H3443" s="24"/>
      <c r="J3443" s="24"/>
      <c r="K3443" s="24"/>
      <c r="M3443" s="24"/>
      <c r="N3443" s="24"/>
      <c r="P3443" s="24"/>
    </row>
    <row r="3444" spans="2:16" x14ac:dyDescent="0.25">
      <c r="B3444" s="24"/>
      <c r="E3444" s="24"/>
      <c r="G3444" s="24"/>
      <c r="H3444" s="24"/>
      <c r="J3444" s="24"/>
      <c r="K3444" s="24"/>
      <c r="M3444" s="24"/>
      <c r="N3444" s="24"/>
      <c r="P3444" s="24"/>
    </row>
    <row r="3445" spans="2:16" x14ac:dyDescent="0.25">
      <c r="B3445" s="24"/>
      <c r="E3445" s="24"/>
      <c r="G3445" s="24"/>
      <c r="H3445" s="24"/>
      <c r="J3445" s="24"/>
      <c r="K3445" s="24"/>
      <c r="M3445" s="24"/>
      <c r="N3445" s="24"/>
      <c r="P3445" s="24"/>
    </row>
    <row r="3446" spans="2:16" x14ac:dyDescent="0.25">
      <c r="B3446" s="24"/>
      <c r="E3446" s="24"/>
      <c r="G3446" s="24"/>
      <c r="H3446" s="24"/>
      <c r="J3446" s="24"/>
      <c r="K3446" s="24"/>
      <c r="M3446" s="24"/>
      <c r="N3446" s="24"/>
      <c r="P3446" s="24"/>
    </row>
    <row r="3447" spans="2:16" x14ac:dyDescent="0.25">
      <c r="B3447" s="24"/>
      <c r="E3447" s="24"/>
      <c r="G3447" s="24"/>
      <c r="H3447" s="24"/>
      <c r="J3447" s="24"/>
      <c r="K3447" s="24"/>
      <c r="M3447" s="24"/>
      <c r="N3447" s="24"/>
      <c r="P3447" s="24"/>
    </row>
    <row r="3448" spans="2:16" x14ac:dyDescent="0.25">
      <c r="B3448" s="24"/>
      <c r="E3448" s="24"/>
      <c r="G3448" s="24"/>
      <c r="H3448" s="24"/>
      <c r="J3448" s="24"/>
      <c r="K3448" s="24"/>
      <c r="M3448" s="24"/>
      <c r="N3448" s="24"/>
      <c r="P3448" s="24"/>
    </row>
    <row r="3449" spans="2:16" x14ac:dyDescent="0.25">
      <c r="B3449" s="24"/>
      <c r="E3449" s="24"/>
      <c r="G3449" s="24"/>
      <c r="H3449" s="24"/>
      <c r="J3449" s="24"/>
      <c r="K3449" s="24"/>
      <c r="M3449" s="24"/>
      <c r="N3449" s="24"/>
      <c r="P3449" s="24"/>
    </row>
    <row r="3450" spans="2:16" x14ac:dyDescent="0.25">
      <c r="B3450" s="24"/>
      <c r="E3450" s="24"/>
      <c r="G3450" s="24"/>
      <c r="H3450" s="24"/>
      <c r="J3450" s="24"/>
      <c r="K3450" s="24"/>
      <c r="M3450" s="24"/>
      <c r="N3450" s="24"/>
      <c r="P3450" s="24"/>
    </row>
    <row r="3451" spans="2:16" x14ac:dyDescent="0.25">
      <c r="B3451" s="24"/>
      <c r="E3451" s="24"/>
      <c r="G3451" s="24"/>
      <c r="H3451" s="24"/>
      <c r="J3451" s="24"/>
      <c r="K3451" s="24"/>
      <c r="M3451" s="24"/>
      <c r="N3451" s="24"/>
      <c r="P3451" s="24"/>
    </row>
    <row r="3452" spans="2:16" x14ac:dyDescent="0.25">
      <c r="B3452" s="24"/>
      <c r="E3452" s="24"/>
      <c r="G3452" s="24"/>
      <c r="H3452" s="24"/>
      <c r="J3452" s="24"/>
      <c r="K3452" s="24"/>
      <c r="M3452" s="24"/>
      <c r="N3452" s="24"/>
      <c r="P3452" s="24"/>
    </row>
    <row r="3453" spans="2:16" x14ac:dyDescent="0.25">
      <c r="B3453" s="24"/>
      <c r="E3453" s="24"/>
      <c r="G3453" s="24"/>
      <c r="H3453" s="24"/>
      <c r="J3453" s="24"/>
      <c r="K3453" s="24"/>
      <c r="M3453" s="24"/>
      <c r="N3453" s="24"/>
      <c r="P3453" s="24"/>
    </row>
    <row r="3454" spans="2:16" x14ac:dyDescent="0.25">
      <c r="B3454" s="24"/>
      <c r="E3454" s="24"/>
      <c r="G3454" s="24"/>
      <c r="H3454" s="24"/>
      <c r="J3454" s="24"/>
      <c r="K3454" s="24"/>
      <c r="M3454" s="24"/>
      <c r="N3454" s="24"/>
      <c r="P3454" s="24"/>
    </row>
    <row r="3455" spans="2:16" x14ac:dyDescent="0.25">
      <c r="B3455" s="24"/>
      <c r="E3455" s="24"/>
      <c r="G3455" s="24"/>
      <c r="H3455" s="24"/>
      <c r="J3455" s="24"/>
      <c r="K3455" s="24"/>
      <c r="M3455" s="24"/>
      <c r="N3455" s="24"/>
      <c r="P3455" s="24"/>
    </row>
    <row r="3456" spans="2:16" x14ac:dyDescent="0.25">
      <c r="B3456" s="24"/>
      <c r="E3456" s="24"/>
      <c r="G3456" s="24"/>
      <c r="H3456" s="24"/>
      <c r="J3456" s="24"/>
      <c r="K3456" s="24"/>
      <c r="M3456" s="24"/>
      <c r="N3456" s="24"/>
      <c r="P3456" s="24"/>
    </row>
    <row r="3457" spans="2:16" x14ac:dyDescent="0.25">
      <c r="B3457" s="24"/>
      <c r="E3457" s="24"/>
      <c r="G3457" s="24"/>
      <c r="H3457" s="24"/>
      <c r="J3457" s="24"/>
      <c r="K3457" s="24"/>
      <c r="M3457" s="24"/>
      <c r="N3457" s="24"/>
      <c r="P3457" s="24"/>
    </row>
    <row r="3458" spans="2:16" x14ac:dyDescent="0.25">
      <c r="B3458" s="24"/>
      <c r="E3458" s="24"/>
      <c r="G3458" s="24"/>
      <c r="H3458" s="24"/>
      <c r="J3458" s="24"/>
      <c r="K3458" s="24"/>
      <c r="M3458" s="24"/>
      <c r="N3458" s="24"/>
      <c r="P3458" s="24"/>
    </row>
    <row r="3459" spans="2:16" x14ac:dyDescent="0.25">
      <c r="B3459" s="24"/>
      <c r="E3459" s="24"/>
      <c r="G3459" s="24"/>
      <c r="H3459" s="24"/>
      <c r="J3459" s="24"/>
      <c r="K3459" s="24"/>
      <c r="M3459" s="24"/>
      <c r="N3459" s="24"/>
      <c r="P3459" s="24"/>
    </row>
    <row r="3460" spans="2:16" x14ac:dyDescent="0.25">
      <c r="B3460" s="24"/>
      <c r="E3460" s="24"/>
      <c r="G3460" s="24"/>
      <c r="H3460" s="24"/>
      <c r="J3460" s="24"/>
      <c r="K3460" s="24"/>
      <c r="M3460" s="24"/>
      <c r="N3460" s="24"/>
      <c r="P3460" s="24"/>
    </row>
    <row r="3461" spans="2:16" x14ac:dyDescent="0.25">
      <c r="B3461" s="24"/>
      <c r="E3461" s="24"/>
      <c r="G3461" s="24"/>
      <c r="H3461" s="24"/>
      <c r="J3461" s="24"/>
      <c r="K3461" s="24"/>
      <c r="M3461" s="24"/>
      <c r="N3461" s="24"/>
      <c r="P3461" s="24"/>
    </row>
    <row r="3462" spans="2:16" x14ac:dyDescent="0.25">
      <c r="B3462" s="24"/>
      <c r="E3462" s="24"/>
      <c r="G3462" s="24"/>
      <c r="H3462" s="24"/>
      <c r="J3462" s="24"/>
      <c r="K3462" s="24"/>
      <c r="M3462" s="24"/>
      <c r="N3462" s="24"/>
      <c r="P3462" s="24"/>
    </row>
    <row r="3463" spans="2:16" x14ac:dyDescent="0.25">
      <c r="B3463" s="24"/>
      <c r="E3463" s="24"/>
      <c r="G3463" s="24"/>
      <c r="H3463" s="24"/>
      <c r="J3463" s="24"/>
      <c r="K3463" s="24"/>
      <c r="M3463" s="24"/>
      <c r="N3463" s="24"/>
      <c r="P3463" s="24"/>
    </row>
    <row r="3464" spans="2:16" x14ac:dyDescent="0.25">
      <c r="B3464" s="24"/>
      <c r="E3464" s="24"/>
      <c r="G3464" s="24"/>
      <c r="H3464" s="24"/>
      <c r="J3464" s="24"/>
      <c r="K3464" s="24"/>
      <c r="M3464" s="24"/>
      <c r="N3464" s="24"/>
      <c r="P3464" s="24"/>
    </row>
    <row r="3465" spans="2:16" x14ac:dyDescent="0.25">
      <c r="B3465" s="24"/>
      <c r="E3465" s="24"/>
      <c r="G3465" s="24"/>
      <c r="H3465" s="24"/>
      <c r="J3465" s="24"/>
      <c r="K3465" s="24"/>
      <c r="M3465" s="24"/>
      <c r="N3465" s="24"/>
      <c r="P3465" s="24"/>
    </row>
    <row r="3466" spans="2:16" x14ac:dyDescent="0.25">
      <c r="B3466" s="24"/>
      <c r="E3466" s="24"/>
      <c r="G3466" s="24"/>
      <c r="H3466" s="24"/>
      <c r="J3466" s="24"/>
      <c r="K3466" s="24"/>
      <c r="M3466" s="24"/>
      <c r="N3466" s="24"/>
      <c r="P3466" s="24"/>
    </row>
    <row r="3467" spans="2:16" x14ac:dyDescent="0.25">
      <c r="B3467" s="24"/>
      <c r="E3467" s="24"/>
      <c r="G3467" s="24"/>
      <c r="H3467" s="24"/>
      <c r="J3467" s="24"/>
      <c r="K3467" s="24"/>
      <c r="M3467" s="24"/>
      <c r="N3467" s="24"/>
      <c r="P3467" s="24"/>
    </row>
    <row r="3468" spans="2:16" x14ac:dyDescent="0.25">
      <c r="B3468" s="24"/>
      <c r="E3468" s="24"/>
      <c r="G3468" s="24"/>
      <c r="H3468" s="24"/>
      <c r="J3468" s="24"/>
      <c r="K3468" s="24"/>
      <c r="M3468" s="24"/>
      <c r="N3468" s="24"/>
      <c r="P3468" s="24"/>
    </row>
    <row r="3469" spans="2:16" x14ac:dyDescent="0.25">
      <c r="B3469" s="24"/>
      <c r="E3469" s="24"/>
      <c r="G3469" s="24"/>
      <c r="H3469" s="24"/>
      <c r="J3469" s="24"/>
      <c r="K3469" s="24"/>
      <c r="M3469" s="24"/>
      <c r="N3469" s="24"/>
      <c r="P3469" s="24"/>
    </row>
    <row r="3470" spans="2:16" x14ac:dyDescent="0.25">
      <c r="B3470" s="24"/>
      <c r="E3470" s="24"/>
      <c r="G3470" s="24"/>
      <c r="H3470" s="24"/>
      <c r="J3470" s="24"/>
      <c r="K3470" s="24"/>
      <c r="M3470" s="24"/>
      <c r="N3470" s="24"/>
      <c r="P3470" s="24"/>
    </row>
    <row r="3471" spans="2:16" x14ac:dyDescent="0.25">
      <c r="B3471" s="24"/>
      <c r="E3471" s="24"/>
      <c r="G3471" s="24"/>
      <c r="H3471" s="24"/>
      <c r="J3471" s="24"/>
      <c r="K3471" s="24"/>
      <c r="M3471" s="24"/>
      <c r="N3471" s="24"/>
      <c r="P3471" s="24"/>
    </row>
    <row r="3472" spans="2:16" x14ac:dyDescent="0.25">
      <c r="B3472" s="24"/>
      <c r="E3472" s="24"/>
      <c r="G3472" s="24"/>
      <c r="H3472" s="24"/>
      <c r="J3472" s="24"/>
      <c r="K3472" s="24"/>
      <c r="M3472" s="24"/>
      <c r="N3472" s="24"/>
      <c r="P3472" s="24"/>
    </row>
    <row r="3473" spans="2:16" x14ac:dyDescent="0.25">
      <c r="B3473" s="24"/>
      <c r="E3473" s="24"/>
      <c r="G3473" s="24"/>
      <c r="H3473" s="24"/>
      <c r="J3473" s="24"/>
      <c r="K3473" s="24"/>
      <c r="M3473" s="24"/>
      <c r="N3473" s="24"/>
      <c r="P3473" s="24"/>
    </row>
    <row r="3474" spans="2:16" x14ac:dyDescent="0.25">
      <c r="B3474" s="24"/>
      <c r="E3474" s="24"/>
      <c r="G3474" s="24"/>
      <c r="H3474" s="24"/>
      <c r="J3474" s="24"/>
      <c r="K3474" s="24"/>
      <c r="M3474" s="24"/>
      <c r="N3474" s="24"/>
      <c r="P3474" s="24"/>
    </row>
    <row r="3475" spans="2:16" x14ac:dyDescent="0.25">
      <c r="B3475" s="24"/>
      <c r="E3475" s="24"/>
      <c r="G3475" s="24"/>
      <c r="H3475" s="24"/>
      <c r="J3475" s="24"/>
      <c r="K3475" s="24"/>
      <c r="M3475" s="24"/>
      <c r="N3475" s="24"/>
      <c r="P3475" s="24"/>
    </row>
    <row r="3476" spans="2:16" x14ac:dyDescent="0.25">
      <c r="B3476" s="24"/>
      <c r="E3476" s="24"/>
      <c r="G3476" s="24"/>
      <c r="H3476" s="24"/>
      <c r="J3476" s="24"/>
      <c r="K3476" s="24"/>
      <c r="M3476" s="24"/>
      <c r="N3476" s="24"/>
      <c r="P3476" s="24"/>
    </row>
    <row r="3477" spans="2:16" x14ac:dyDescent="0.25">
      <c r="B3477" s="24"/>
      <c r="E3477" s="24"/>
      <c r="G3477" s="24"/>
      <c r="H3477" s="24"/>
      <c r="J3477" s="24"/>
      <c r="K3477" s="24"/>
      <c r="M3477" s="24"/>
      <c r="N3477" s="24"/>
      <c r="P3477" s="24"/>
    </row>
    <row r="3478" spans="2:16" x14ac:dyDescent="0.25">
      <c r="B3478" s="24"/>
      <c r="E3478" s="24"/>
      <c r="G3478" s="24"/>
      <c r="H3478" s="24"/>
      <c r="J3478" s="24"/>
      <c r="K3478" s="24"/>
      <c r="M3478" s="24"/>
      <c r="N3478" s="24"/>
      <c r="P3478" s="24"/>
    </row>
    <row r="3479" spans="2:16" x14ac:dyDescent="0.25">
      <c r="B3479" s="24"/>
      <c r="E3479" s="24"/>
      <c r="G3479" s="24"/>
      <c r="H3479" s="24"/>
      <c r="J3479" s="24"/>
      <c r="K3479" s="24"/>
      <c r="M3479" s="24"/>
      <c r="N3479" s="24"/>
      <c r="P3479" s="24"/>
    </row>
    <row r="3480" spans="2:16" x14ac:dyDescent="0.25">
      <c r="B3480" s="24"/>
      <c r="E3480" s="24"/>
      <c r="G3480" s="24"/>
      <c r="H3480" s="24"/>
      <c r="J3480" s="24"/>
      <c r="K3480" s="24"/>
      <c r="M3480" s="24"/>
      <c r="N3480" s="24"/>
      <c r="P3480" s="24"/>
    </row>
    <row r="3481" spans="2:16" x14ac:dyDescent="0.25">
      <c r="B3481" s="24"/>
      <c r="E3481" s="24"/>
      <c r="G3481" s="24"/>
      <c r="H3481" s="24"/>
      <c r="J3481" s="24"/>
      <c r="K3481" s="24"/>
      <c r="M3481" s="24"/>
      <c r="N3481" s="24"/>
      <c r="P3481" s="24"/>
    </row>
    <row r="3482" spans="2:16" x14ac:dyDescent="0.25">
      <c r="B3482" s="24"/>
      <c r="E3482" s="24"/>
      <c r="G3482" s="24"/>
      <c r="H3482" s="24"/>
      <c r="J3482" s="24"/>
      <c r="K3482" s="24"/>
      <c r="M3482" s="24"/>
      <c r="N3482" s="24"/>
      <c r="P3482" s="24"/>
    </row>
    <row r="3483" spans="2:16" x14ac:dyDescent="0.25">
      <c r="B3483" s="24"/>
      <c r="E3483" s="24"/>
      <c r="G3483" s="24"/>
      <c r="H3483" s="24"/>
      <c r="J3483" s="24"/>
      <c r="K3483" s="24"/>
      <c r="M3483" s="24"/>
      <c r="N3483" s="24"/>
      <c r="P3483" s="24"/>
    </row>
    <row r="3484" spans="2:16" x14ac:dyDescent="0.25">
      <c r="B3484" s="24"/>
      <c r="E3484" s="24"/>
      <c r="G3484" s="24"/>
      <c r="H3484" s="24"/>
      <c r="J3484" s="24"/>
      <c r="K3484" s="24"/>
      <c r="M3484" s="24"/>
      <c r="N3484" s="24"/>
      <c r="P3484" s="24"/>
    </row>
    <row r="3485" spans="2:16" x14ac:dyDescent="0.25">
      <c r="B3485" s="24"/>
      <c r="E3485" s="24"/>
      <c r="G3485" s="24"/>
      <c r="H3485" s="24"/>
      <c r="J3485" s="24"/>
      <c r="K3485" s="24"/>
      <c r="M3485" s="24"/>
      <c r="N3485" s="24"/>
      <c r="P3485" s="24"/>
    </row>
    <row r="3486" spans="2:16" x14ac:dyDescent="0.25">
      <c r="B3486" s="24"/>
      <c r="E3486" s="24"/>
      <c r="G3486" s="24"/>
      <c r="H3486" s="24"/>
      <c r="J3486" s="24"/>
      <c r="K3486" s="24"/>
      <c r="M3486" s="24"/>
      <c r="N3486" s="24"/>
      <c r="P3486" s="24"/>
    </row>
    <row r="3487" spans="2:16" x14ac:dyDescent="0.25">
      <c r="B3487" s="24"/>
      <c r="E3487" s="24"/>
      <c r="G3487" s="24"/>
      <c r="H3487" s="24"/>
      <c r="J3487" s="24"/>
      <c r="K3487" s="24"/>
      <c r="M3487" s="24"/>
      <c r="N3487" s="24"/>
      <c r="P3487" s="24"/>
    </row>
    <row r="3488" spans="2:16" x14ac:dyDescent="0.25">
      <c r="B3488" s="24"/>
      <c r="E3488" s="24"/>
      <c r="G3488" s="24"/>
      <c r="H3488" s="24"/>
      <c r="J3488" s="24"/>
      <c r="K3488" s="24"/>
      <c r="M3488" s="24"/>
      <c r="N3488" s="24"/>
      <c r="P3488" s="24"/>
    </row>
    <row r="3489" spans="2:16" x14ac:dyDescent="0.25">
      <c r="B3489" s="24"/>
      <c r="E3489" s="24"/>
      <c r="G3489" s="24"/>
      <c r="H3489" s="24"/>
      <c r="J3489" s="24"/>
      <c r="K3489" s="24"/>
      <c r="M3489" s="24"/>
      <c r="N3489" s="24"/>
      <c r="P3489" s="24"/>
    </row>
    <row r="3490" spans="2:16" x14ac:dyDescent="0.25">
      <c r="B3490" s="24"/>
      <c r="E3490" s="24"/>
      <c r="G3490" s="24"/>
      <c r="H3490" s="24"/>
      <c r="J3490" s="24"/>
      <c r="K3490" s="24"/>
      <c r="M3490" s="24"/>
      <c r="N3490" s="24"/>
      <c r="P3490" s="24"/>
    </row>
    <row r="3491" spans="2:16" x14ac:dyDescent="0.25">
      <c r="B3491" s="24"/>
      <c r="E3491" s="24"/>
      <c r="G3491" s="24"/>
      <c r="H3491" s="24"/>
      <c r="J3491" s="24"/>
      <c r="K3491" s="24"/>
      <c r="M3491" s="24"/>
      <c r="N3491" s="24"/>
      <c r="P3491" s="24"/>
    </row>
    <row r="3492" spans="2:16" x14ac:dyDescent="0.25">
      <c r="B3492" s="24"/>
      <c r="E3492" s="24"/>
      <c r="G3492" s="24"/>
      <c r="H3492" s="24"/>
      <c r="J3492" s="24"/>
      <c r="K3492" s="24"/>
      <c r="M3492" s="24"/>
      <c r="N3492" s="24"/>
      <c r="P3492" s="24"/>
    </row>
    <row r="3493" spans="2:16" x14ac:dyDescent="0.25">
      <c r="B3493" s="24"/>
      <c r="E3493" s="24"/>
      <c r="G3493" s="24"/>
      <c r="H3493" s="24"/>
      <c r="J3493" s="24"/>
      <c r="K3493" s="24"/>
      <c r="M3493" s="24"/>
      <c r="N3493" s="24"/>
      <c r="P3493" s="24"/>
    </row>
    <row r="3494" spans="2:16" x14ac:dyDescent="0.25">
      <c r="B3494" s="24"/>
      <c r="E3494" s="24"/>
      <c r="G3494" s="24"/>
      <c r="H3494" s="24"/>
      <c r="J3494" s="24"/>
      <c r="K3494" s="24"/>
      <c r="M3494" s="24"/>
      <c r="N3494" s="24"/>
      <c r="P3494" s="24"/>
    </row>
    <row r="3495" spans="2:16" x14ac:dyDescent="0.25">
      <c r="B3495" s="24"/>
      <c r="E3495" s="24"/>
      <c r="G3495" s="24"/>
      <c r="H3495" s="24"/>
      <c r="J3495" s="24"/>
      <c r="K3495" s="24"/>
      <c r="M3495" s="24"/>
      <c r="N3495" s="24"/>
      <c r="P3495" s="24"/>
    </row>
    <row r="3496" spans="2:16" x14ac:dyDescent="0.25">
      <c r="B3496" s="24"/>
      <c r="E3496" s="24"/>
      <c r="G3496" s="24"/>
      <c r="H3496" s="24"/>
      <c r="J3496" s="24"/>
      <c r="K3496" s="24"/>
      <c r="M3496" s="24"/>
      <c r="N3496" s="24"/>
      <c r="P3496" s="24"/>
    </row>
    <row r="3497" spans="2:16" x14ac:dyDescent="0.25">
      <c r="B3497" s="24"/>
      <c r="E3497" s="24"/>
      <c r="G3497" s="24"/>
      <c r="H3497" s="24"/>
      <c r="J3497" s="24"/>
      <c r="K3497" s="24"/>
      <c r="M3497" s="24"/>
      <c r="N3497" s="24"/>
      <c r="P3497" s="24"/>
    </row>
    <row r="3498" spans="2:16" x14ac:dyDescent="0.25">
      <c r="B3498" s="24"/>
      <c r="E3498" s="24"/>
      <c r="G3498" s="24"/>
      <c r="H3498" s="24"/>
      <c r="J3498" s="24"/>
      <c r="K3498" s="24"/>
      <c r="M3498" s="24"/>
      <c r="N3498" s="24"/>
      <c r="P3498" s="24"/>
    </row>
    <row r="3499" spans="2:16" x14ac:dyDescent="0.25">
      <c r="B3499" s="24"/>
      <c r="E3499" s="24"/>
      <c r="G3499" s="24"/>
      <c r="H3499" s="24"/>
      <c r="J3499" s="24"/>
      <c r="K3499" s="24"/>
      <c r="M3499" s="24"/>
      <c r="N3499" s="24"/>
      <c r="P3499" s="24"/>
    </row>
    <row r="3500" spans="2:16" x14ac:dyDescent="0.25">
      <c r="B3500" s="24"/>
      <c r="E3500" s="24"/>
      <c r="G3500" s="24"/>
      <c r="H3500" s="24"/>
      <c r="J3500" s="24"/>
      <c r="K3500" s="24"/>
      <c r="M3500" s="24"/>
      <c r="N3500" s="24"/>
      <c r="P3500" s="24"/>
    </row>
    <row r="3501" spans="2:16" x14ac:dyDescent="0.25">
      <c r="B3501" s="24"/>
      <c r="E3501" s="24"/>
      <c r="G3501" s="24"/>
      <c r="H3501" s="24"/>
      <c r="J3501" s="24"/>
      <c r="K3501" s="24"/>
      <c r="M3501" s="24"/>
      <c r="N3501" s="24"/>
      <c r="P3501" s="24"/>
    </row>
    <row r="3502" spans="2:16" x14ac:dyDescent="0.25">
      <c r="B3502" s="24"/>
      <c r="E3502" s="24"/>
      <c r="G3502" s="24"/>
      <c r="H3502" s="24"/>
      <c r="J3502" s="24"/>
      <c r="K3502" s="24"/>
      <c r="M3502" s="24"/>
      <c r="N3502" s="24"/>
      <c r="P3502" s="24"/>
    </row>
    <row r="3503" spans="2:16" x14ac:dyDescent="0.25">
      <c r="B3503" s="24"/>
      <c r="E3503" s="24"/>
      <c r="G3503" s="24"/>
      <c r="H3503" s="24"/>
      <c r="J3503" s="24"/>
      <c r="K3503" s="24"/>
      <c r="M3503" s="24"/>
      <c r="N3503" s="24"/>
      <c r="P3503" s="24"/>
    </row>
    <row r="3504" spans="2:16" x14ac:dyDescent="0.25">
      <c r="B3504" s="24"/>
      <c r="E3504" s="24"/>
      <c r="G3504" s="24"/>
      <c r="H3504" s="24"/>
      <c r="J3504" s="24"/>
      <c r="K3504" s="24"/>
      <c r="M3504" s="24"/>
      <c r="N3504" s="24"/>
      <c r="P3504" s="24"/>
    </row>
    <row r="3505" spans="2:16" x14ac:dyDescent="0.25">
      <c r="B3505" s="24"/>
      <c r="E3505" s="24"/>
      <c r="G3505" s="24"/>
      <c r="H3505" s="24"/>
      <c r="J3505" s="24"/>
      <c r="K3505" s="24"/>
      <c r="M3505" s="24"/>
      <c r="N3505" s="24"/>
      <c r="P3505" s="24"/>
    </row>
    <row r="3506" spans="2:16" x14ac:dyDescent="0.25">
      <c r="B3506" s="24"/>
      <c r="E3506" s="24"/>
      <c r="G3506" s="24"/>
      <c r="H3506" s="24"/>
      <c r="J3506" s="24"/>
      <c r="K3506" s="24"/>
      <c r="M3506" s="24"/>
      <c r="N3506" s="24"/>
      <c r="P3506" s="24"/>
    </row>
    <row r="3507" spans="2:16" x14ac:dyDescent="0.25">
      <c r="B3507" s="24"/>
      <c r="E3507" s="24"/>
      <c r="G3507" s="24"/>
      <c r="H3507" s="24"/>
      <c r="J3507" s="24"/>
      <c r="K3507" s="24"/>
      <c r="M3507" s="24"/>
      <c r="N3507" s="24"/>
      <c r="P3507" s="24"/>
    </row>
    <row r="3508" spans="2:16" x14ac:dyDescent="0.25">
      <c r="B3508" s="24"/>
      <c r="E3508" s="24"/>
      <c r="G3508" s="24"/>
      <c r="H3508" s="24"/>
      <c r="J3508" s="24"/>
      <c r="K3508" s="24"/>
      <c r="M3508" s="24"/>
      <c r="N3508" s="24"/>
      <c r="P3508" s="24"/>
    </row>
    <row r="3509" spans="2:16" x14ac:dyDescent="0.25">
      <c r="B3509" s="24"/>
      <c r="E3509" s="24"/>
      <c r="G3509" s="24"/>
      <c r="H3509" s="24"/>
      <c r="J3509" s="24"/>
      <c r="K3509" s="24"/>
      <c r="M3509" s="24"/>
      <c r="N3509" s="24"/>
      <c r="P3509" s="24"/>
    </row>
    <row r="3510" spans="2:16" x14ac:dyDescent="0.25">
      <c r="B3510" s="24"/>
      <c r="E3510" s="24"/>
      <c r="G3510" s="24"/>
      <c r="H3510" s="24"/>
      <c r="J3510" s="24"/>
      <c r="K3510" s="24"/>
      <c r="M3510" s="24"/>
      <c r="N3510" s="24"/>
      <c r="P3510" s="24"/>
    </row>
    <row r="3511" spans="2:16" x14ac:dyDescent="0.25">
      <c r="B3511" s="24"/>
      <c r="E3511" s="24"/>
      <c r="G3511" s="24"/>
      <c r="H3511" s="24"/>
      <c r="J3511" s="24"/>
      <c r="K3511" s="24"/>
      <c r="M3511" s="24"/>
      <c r="N3511" s="24"/>
      <c r="P3511" s="24"/>
    </row>
    <row r="3512" spans="2:16" x14ac:dyDescent="0.25">
      <c r="B3512" s="24"/>
      <c r="E3512" s="24"/>
      <c r="G3512" s="24"/>
      <c r="H3512" s="24"/>
      <c r="J3512" s="24"/>
      <c r="K3512" s="24"/>
      <c r="M3512" s="24"/>
      <c r="N3512" s="24"/>
      <c r="P3512" s="24"/>
    </row>
    <row r="3513" spans="2:16" x14ac:dyDescent="0.25">
      <c r="B3513" s="24"/>
      <c r="E3513" s="24"/>
      <c r="G3513" s="24"/>
      <c r="H3513" s="24"/>
      <c r="J3513" s="24"/>
      <c r="K3513" s="24"/>
      <c r="M3513" s="24"/>
      <c r="N3513" s="24"/>
      <c r="P3513" s="24"/>
    </row>
    <row r="3514" spans="2:16" x14ac:dyDescent="0.25">
      <c r="B3514" s="24"/>
      <c r="E3514" s="24"/>
      <c r="G3514" s="24"/>
      <c r="H3514" s="24"/>
      <c r="J3514" s="24"/>
      <c r="K3514" s="24"/>
      <c r="M3514" s="24"/>
      <c r="N3514" s="24"/>
      <c r="P3514" s="24"/>
    </row>
    <row r="3515" spans="2:16" x14ac:dyDescent="0.25">
      <c r="B3515" s="24"/>
      <c r="E3515" s="24"/>
      <c r="G3515" s="24"/>
      <c r="H3515" s="24"/>
      <c r="J3515" s="24"/>
      <c r="K3515" s="24"/>
      <c r="M3515" s="24"/>
      <c r="N3515" s="24"/>
      <c r="P3515" s="24"/>
    </row>
    <row r="3516" spans="2:16" x14ac:dyDescent="0.25">
      <c r="B3516" s="24"/>
      <c r="E3516" s="24"/>
      <c r="G3516" s="24"/>
      <c r="H3516" s="24"/>
      <c r="J3516" s="24"/>
      <c r="K3516" s="24"/>
      <c r="M3516" s="24"/>
      <c r="N3516" s="24"/>
      <c r="P3516" s="24"/>
    </row>
    <row r="3517" spans="2:16" x14ac:dyDescent="0.25">
      <c r="B3517" s="24"/>
      <c r="E3517" s="24"/>
      <c r="G3517" s="24"/>
      <c r="H3517" s="24"/>
      <c r="J3517" s="24"/>
      <c r="K3517" s="24"/>
      <c r="M3517" s="24"/>
      <c r="N3517" s="24"/>
      <c r="P3517" s="24"/>
    </row>
    <row r="3518" spans="2:16" x14ac:dyDescent="0.25">
      <c r="B3518" s="24"/>
      <c r="E3518" s="24"/>
      <c r="G3518" s="24"/>
      <c r="H3518" s="24"/>
      <c r="J3518" s="24"/>
      <c r="K3518" s="24"/>
      <c r="M3518" s="24"/>
      <c r="N3518" s="24"/>
      <c r="P3518" s="24"/>
    </row>
    <row r="3519" spans="2:16" x14ac:dyDescent="0.25">
      <c r="B3519" s="24"/>
      <c r="E3519" s="24"/>
      <c r="G3519" s="24"/>
      <c r="H3519" s="24"/>
      <c r="J3519" s="24"/>
      <c r="K3519" s="24"/>
      <c r="M3519" s="24"/>
      <c r="N3519" s="24"/>
      <c r="P3519" s="24"/>
    </row>
    <row r="3520" spans="2:16" x14ac:dyDescent="0.25">
      <c r="B3520" s="24"/>
      <c r="E3520" s="24"/>
      <c r="G3520" s="24"/>
      <c r="H3520" s="24"/>
      <c r="J3520" s="24"/>
      <c r="K3520" s="24"/>
      <c r="M3520" s="24"/>
      <c r="N3520" s="24"/>
      <c r="P3520" s="24"/>
    </row>
    <row r="3521" spans="2:16" x14ac:dyDescent="0.25">
      <c r="B3521" s="24"/>
      <c r="E3521" s="24"/>
      <c r="G3521" s="24"/>
      <c r="H3521" s="24"/>
      <c r="J3521" s="24"/>
      <c r="K3521" s="24"/>
      <c r="M3521" s="24"/>
      <c r="N3521" s="24"/>
      <c r="P3521" s="24"/>
    </row>
    <row r="3522" spans="2:16" x14ac:dyDescent="0.25">
      <c r="B3522" s="24"/>
      <c r="E3522" s="24"/>
      <c r="G3522" s="24"/>
      <c r="H3522" s="24"/>
      <c r="J3522" s="24"/>
      <c r="K3522" s="24"/>
      <c r="M3522" s="24"/>
      <c r="N3522" s="24"/>
      <c r="P3522" s="24"/>
    </row>
    <row r="3523" spans="2:16" x14ac:dyDescent="0.25">
      <c r="B3523" s="24"/>
      <c r="E3523" s="24"/>
      <c r="G3523" s="24"/>
      <c r="H3523" s="24"/>
      <c r="J3523" s="24"/>
      <c r="K3523" s="24"/>
      <c r="M3523" s="24"/>
      <c r="N3523" s="24"/>
      <c r="P3523" s="24"/>
    </row>
    <row r="3524" spans="2:16" x14ac:dyDescent="0.25">
      <c r="B3524" s="24"/>
      <c r="E3524" s="24"/>
      <c r="G3524" s="24"/>
      <c r="H3524" s="24"/>
      <c r="J3524" s="24"/>
      <c r="K3524" s="24"/>
      <c r="M3524" s="24"/>
      <c r="N3524" s="24"/>
      <c r="P3524" s="24"/>
    </row>
    <row r="3525" spans="2:16" x14ac:dyDescent="0.25">
      <c r="B3525" s="24"/>
      <c r="E3525" s="24"/>
      <c r="G3525" s="24"/>
      <c r="H3525" s="24"/>
      <c r="J3525" s="24"/>
      <c r="K3525" s="24"/>
      <c r="M3525" s="24"/>
      <c r="N3525" s="24"/>
      <c r="P3525" s="24"/>
    </row>
    <row r="3526" spans="2:16" x14ac:dyDescent="0.25">
      <c r="B3526" s="24"/>
      <c r="E3526" s="24"/>
      <c r="G3526" s="24"/>
      <c r="H3526" s="24"/>
      <c r="J3526" s="24"/>
      <c r="K3526" s="24"/>
      <c r="M3526" s="24"/>
      <c r="N3526" s="24"/>
      <c r="P3526" s="24"/>
    </row>
    <row r="3527" spans="2:16" x14ac:dyDescent="0.25">
      <c r="B3527" s="24"/>
      <c r="E3527" s="24"/>
      <c r="G3527" s="24"/>
      <c r="H3527" s="24"/>
      <c r="J3527" s="24"/>
      <c r="K3527" s="24"/>
      <c r="M3527" s="24"/>
      <c r="N3527" s="24"/>
      <c r="P3527" s="24"/>
    </row>
    <row r="3528" spans="2:16" x14ac:dyDescent="0.25">
      <c r="B3528" s="24"/>
      <c r="E3528" s="24"/>
      <c r="G3528" s="24"/>
      <c r="H3528" s="24"/>
      <c r="J3528" s="24"/>
      <c r="K3528" s="24"/>
      <c r="M3528" s="24"/>
      <c r="N3528" s="24"/>
      <c r="P3528" s="24"/>
    </row>
    <row r="3529" spans="2:16" x14ac:dyDescent="0.25">
      <c r="B3529" s="24"/>
      <c r="E3529" s="24"/>
      <c r="G3529" s="24"/>
      <c r="H3529" s="24"/>
      <c r="J3529" s="24"/>
      <c r="K3529" s="24"/>
      <c r="M3529" s="24"/>
      <c r="N3529" s="24"/>
      <c r="P3529" s="24"/>
    </row>
    <row r="3530" spans="2:16" x14ac:dyDescent="0.25">
      <c r="B3530" s="24"/>
      <c r="E3530" s="24"/>
      <c r="G3530" s="24"/>
      <c r="H3530" s="24"/>
      <c r="J3530" s="24"/>
      <c r="K3530" s="24"/>
      <c r="M3530" s="24"/>
      <c r="N3530" s="24"/>
      <c r="P3530" s="24"/>
    </row>
    <row r="3531" spans="2:16" x14ac:dyDescent="0.25">
      <c r="B3531" s="24"/>
      <c r="E3531" s="24"/>
      <c r="G3531" s="24"/>
      <c r="H3531" s="24"/>
      <c r="J3531" s="24"/>
      <c r="K3531" s="24"/>
      <c r="M3531" s="24"/>
      <c r="N3531" s="24"/>
      <c r="P3531" s="24"/>
    </row>
    <row r="3532" spans="2:16" x14ac:dyDescent="0.25">
      <c r="B3532" s="24"/>
      <c r="E3532" s="24"/>
      <c r="G3532" s="24"/>
      <c r="H3532" s="24"/>
      <c r="J3532" s="24"/>
      <c r="K3532" s="24"/>
      <c r="M3532" s="24"/>
      <c r="N3532" s="24"/>
      <c r="P3532" s="24"/>
    </row>
    <row r="3533" spans="2:16" x14ac:dyDescent="0.25">
      <c r="B3533" s="24"/>
      <c r="E3533" s="24"/>
      <c r="G3533" s="24"/>
      <c r="H3533" s="24"/>
      <c r="J3533" s="24"/>
      <c r="K3533" s="24"/>
      <c r="M3533" s="24"/>
      <c r="N3533" s="24"/>
      <c r="P3533" s="24"/>
    </row>
    <row r="3534" spans="2:16" x14ac:dyDescent="0.25">
      <c r="B3534" s="24"/>
      <c r="E3534" s="24"/>
      <c r="G3534" s="24"/>
      <c r="H3534" s="24"/>
      <c r="J3534" s="24"/>
      <c r="K3534" s="24"/>
      <c r="M3534" s="24"/>
      <c r="N3534" s="24"/>
      <c r="P3534" s="24"/>
    </row>
    <row r="3535" spans="2:16" x14ac:dyDescent="0.25">
      <c r="B3535" s="24"/>
      <c r="E3535" s="24"/>
      <c r="G3535" s="24"/>
      <c r="H3535" s="24"/>
      <c r="J3535" s="24"/>
      <c r="K3535" s="24"/>
      <c r="M3535" s="24"/>
      <c r="N3535" s="24"/>
      <c r="P3535" s="24"/>
    </row>
    <row r="3536" spans="2:16" x14ac:dyDescent="0.25">
      <c r="B3536" s="24"/>
      <c r="E3536" s="24"/>
      <c r="G3536" s="24"/>
      <c r="H3536" s="24"/>
      <c r="J3536" s="24"/>
      <c r="K3536" s="24"/>
      <c r="M3536" s="24"/>
      <c r="N3536" s="24"/>
      <c r="P3536" s="24"/>
    </row>
    <row r="3537" spans="2:16" x14ac:dyDescent="0.25">
      <c r="B3537" s="24"/>
      <c r="E3537" s="24"/>
      <c r="G3537" s="24"/>
      <c r="H3537" s="24"/>
      <c r="J3537" s="24"/>
      <c r="K3537" s="24"/>
      <c r="M3537" s="24"/>
      <c r="N3537" s="24"/>
      <c r="P3537" s="24"/>
    </row>
    <row r="3538" spans="2:16" x14ac:dyDescent="0.25">
      <c r="B3538" s="24"/>
      <c r="E3538" s="24"/>
      <c r="G3538" s="24"/>
      <c r="H3538" s="24"/>
      <c r="J3538" s="24"/>
      <c r="K3538" s="24"/>
      <c r="M3538" s="24"/>
      <c r="N3538" s="24"/>
      <c r="P3538" s="24"/>
    </row>
    <row r="3539" spans="2:16" x14ac:dyDescent="0.25">
      <c r="B3539" s="24"/>
      <c r="E3539" s="24"/>
      <c r="G3539" s="24"/>
      <c r="H3539" s="24"/>
      <c r="J3539" s="24"/>
      <c r="K3539" s="24"/>
      <c r="M3539" s="24"/>
      <c r="N3539" s="24"/>
      <c r="P3539" s="24"/>
    </row>
    <row r="3540" spans="2:16" x14ac:dyDescent="0.25">
      <c r="B3540" s="24"/>
      <c r="E3540" s="24"/>
      <c r="G3540" s="24"/>
      <c r="H3540" s="24"/>
      <c r="J3540" s="24"/>
      <c r="K3540" s="24"/>
      <c r="M3540" s="24"/>
      <c r="N3540" s="24"/>
      <c r="P3540" s="24"/>
    </row>
    <row r="3541" spans="2:16" x14ac:dyDescent="0.25">
      <c r="B3541" s="24"/>
      <c r="E3541" s="24"/>
      <c r="G3541" s="24"/>
      <c r="H3541" s="24"/>
      <c r="J3541" s="24"/>
      <c r="K3541" s="24"/>
      <c r="M3541" s="24"/>
      <c r="N3541" s="24"/>
      <c r="P3541" s="24"/>
    </row>
    <row r="3542" spans="2:16" x14ac:dyDescent="0.25">
      <c r="B3542" s="24"/>
      <c r="E3542" s="24"/>
      <c r="G3542" s="24"/>
      <c r="H3542" s="24"/>
      <c r="J3542" s="24"/>
      <c r="K3542" s="24"/>
      <c r="M3542" s="24"/>
      <c r="N3542" s="24"/>
      <c r="P3542" s="24"/>
    </row>
    <row r="3543" spans="2:16" x14ac:dyDescent="0.25">
      <c r="B3543" s="24"/>
      <c r="E3543" s="24"/>
      <c r="G3543" s="24"/>
      <c r="H3543" s="24"/>
      <c r="J3543" s="24"/>
      <c r="K3543" s="24"/>
      <c r="M3543" s="24"/>
      <c r="N3543" s="24"/>
      <c r="P3543" s="24"/>
    </row>
    <row r="3544" spans="2:16" x14ac:dyDescent="0.25">
      <c r="B3544" s="24"/>
      <c r="E3544" s="24"/>
      <c r="G3544" s="24"/>
      <c r="H3544" s="24"/>
      <c r="J3544" s="24"/>
      <c r="K3544" s="24"/>
      <c r="M3544" s="24"/>
      <c r="N3544" s="24"/>
      <c r="P3544" s="24"/>
    </row>
    <row r="3545" spans="2:16" x14ac:dyDescent="0.25">
      <c r="B3545" s="24"/>
      <c r="E3545" s="24"/>
      <c r="G3545" s="24"/>
      <c r="H3545" s="24"/>
      <c r="J3545" s="24"/>
      <c r="K3545" s="24"/>
      <c r="M3545" s="24"/>
      <c r="N3545" s="24"/>
      <c r="P3545" s="24"/>
    </row>
    <row r="3546" spans="2:16" x14ac:dyDescent="0.25">
      <c r="B3546" s="24"/>
      <c r="E3546" s="24"/>
      <c r="G3546" s="24"/>
      <c r="H3546" s="24"/>
      <c r="J3546" s="24"/>
      <c r="K3546" s="24"/>
      <c r="M3546" s="24"/>
      <c r="N3546" s="24"/>
      <c r="P3546" s="24"/>
    </row>
    <row r="3547" spans="2:16" x14ac:dyDescent="0.25">
      <c r="B3547" s="24"/>
      <c r="E3547" s="24"/>
      <c r="G3547" s="24"/>
      <c r="H3547" s="24"/>
      <c r="J3547" s="24"/>
      <c r="K3547" s="24"/>
      <c r="M3547" s="24"/>
      <c r="N3547" s="24"/>
      <c r="P3547" s="24"/>
    </row>
    <row r="3548" spans="2:16" x14ac:dyDescent="0.25">
      <c r="B3548" s="24"/>
      <c r="E3548" s="24"/>
      <c r="G3548" s="24"/>
      <c r="H3548" s="24"/>
      <c r="J3548" s="24"/>
      <c r="K3548" s="24"/>
      <c r="M3548" s="24"/>
      <c r="N3548" s="24"/>
      <c r="P3548" s="24"/>
    </row>
    <row r="3549" spans="2:16" x14ac:dyDescent="0.25">
      <c r="B3549" s="24"/>
      <c r="E3549" s="24"/>
      <c r="G3549" s="24"/>
      <c r="H3549" s="24"/>
      <c r="J3549" s="24"/>
      <c r="K3549" s="24"/>
      <c r="M3549" s="24"/>
      <c r="N3549" s="24"/>
      <c r="P3549" s="24"/>
    </row>
    <row r="3550" spans="2:16" x14ac:dyDescent="0.25">
      <c r="B3550" s="24"/>
      <c r="E3550" s="24"/>
      <c r="G3550" s="24"/>
      <c r="H3550" s="24"/>
      <c r="J3550" s="24"/>
      <c r="K3550" s="24"/>
      <c r="M3550" s="24"/>
      <c r="N3550" s="24"/>
      <c r="P3550" s="24"/>
    </row>
    <row r="3551" spans="2:16" x14ac:dyDescent="0.25">
      <c r="B3551" s="24"/>
      <c r="E3551" s="24"/>
      <c r="G3551" s="24"/>
      <c r="H3551" s="24"/>
      <c r="J3551" s="24"/>
      <c r="K3551" s="24"/>
      <c r="M3551" s="24"/>
      <c r="N3551" s="24"/>
      <c r="P3551" s="24"/>
    </row>
    <row r="3552" spans="2:16" x14ac:dyDescent="0.25">
      <c r="B3552" s="24"/>
      <c r="E3552" s="24"/>
      <c r="G3552" s="24"/>
      <c r="H3552" s="24"/>
      <c r="J3552" s="24"/>
      <c r="K3552" s="24"/>
      <c r="M3552" s="24"/>
      <c r="N3552" s="24"/>
      <c r="P3552" s="24"/>
    </row>
    <row r="3553" spans="2:16" x14ac:dyDescent="0.25">
      <c r="B3553" s="24"/>
      <c r="E3553" s="24"/>
      <c r="G3553" s="24"/>
      <c r="H3553" s="24"/>
      <c r="J3553" s="24"/>
      <c r="K3553" s="24"/>
      <c r="M3553" s="24"/>
      <c r="N3553" s="24"/>
      <c r="P3553" s="24"/>
    </row>
    <row r="3554" spans="2:16" x14ac:dyDescent="0.25">
      <c r="B3554" s="24"/>
      <c r="E3554" s="24"/>
      <c r="G3554" s="24"/>
      <c r="H3554" s="24"/>
      <c r="J3554" s="24"/>
      <c r="K3554" s="24"/>
      <c r="M3554" s="24"/>
      <c r="N3554" s="24"/>
      <c r="P3554" s="24"/>
    </row>
    <row r="3555" spans="2:16" x14ac:dyDescent="0.25">
      <c r="B3555" s="24"/>
      <c r="E3555" s="24"/>
      <c r="G3555" s="24"/>
      <c r="H3555" s="24"/>
      <c r="J3555" s="24"/>
      <c r="K3555" s="24"/>
      <c r="M3555" s="24"/>
      <c r="N3555" s="24"/>
      <c r="P3555" s="24"/>
    </row>
    <row r="3556" spans="2:16" x14ac:dyDescent="0.25">
      <c r="B3556" s="24"/>
      <c r="E3556" s="24"/>
      <c r="G3556" s="24"/>
      <c r="H3556" s="24"/>
      <c r="J3556" s="24"/>
      <c r="K3556" s="24"/>
      <c r="M3556" s="24"/>
      <c r="N3556" s="24"/>
      <c r="P3556" s="24"/>
    </row>
    <row r="3557" spans="2:16" x14ac:dyDescent="0.25">
      <c r="B3557" s="24"/>
      <c r="E3557" s="24"/>
      <c r="G3557" s="24"/>
      <c r="H3557" s="24"/>
      <c r="J3557" s="24"/>
      <c r="K3557" s="24"/>
      <c r="M3557" s="24"/>
      <c r="N3557" s="24"/>
      <c r="P3557" s="24"/>
    </row>
    <row r="3558" spans="2:16" x14ac:dyDescent="0.25">
      <c r="B3558" s="24"/>
      <c r="E3558" s="24"/>
      <c r="G3558" s="24"/>
      <c r="H3558" s="24"/>
      <c r="J3558" s="24"/>
      <c r="K3558" s="24"/>
      <c r="M3558" s="24"/>
      <c r="N3558" s="24"/>
      <c r="P3558" s="24"/>
    </row>
    <row r="3559" spans="2:16" x14ac:dyDescent="0.25">
      <c r="B3559" s="24"/>
      <c r="E3559" s="24"/>
      <c r="G3559" s="24"/>
      <c r="H3559" s="24"/>
      <c r="J3559" s="24"/>
      <c r="K3559" s="24"/>
      <c r="M3559" s="24"/>
      <c r="N3559" s="24"/>
      <c r="P3559" s="24"/>
    </row>
    <row r="3560" spans="2:16" x14ac:dyDescent="0.25">
      <c r="B3560" s="24"/>
      <c r="E3560" s="24"/>
      <c r="G3560" s="24"/>
      <c r="H3560" s="24"/>
      <c r="J3560" s="24"/>
      <c r="K3560" s="24"/>
      <c r="M3560" s="24"/>
      <c r="N3560" s="24"/>
      <c r="P3560" s="24"/>
    </row>
    <row r="3561" spans="2:16" x14ac:dyDescent="0.25">
      <c r="B3561" s="24"/>
      <c r="E3561" s="24"/>
      <c r="G3561" s="24"/>
      <c r="H3561" s="24"/>
      <c r="J3561" s="24"/>
      <c r="K3561" s="24"/>
      <c r="M3561" s="24"/>
      <c r="N3561" s="24"/>
      <c r="P3561" s="24"/>
    </row>
    <row r="3562" spans="2:16" x14ac:dyDescent="0.25">
      <c r="B3562" s="24"/>
      <c r="E3562" s="24"/>
      <c r="G3562" s="24"/>
      <c r="H3562" s="24"/>
      <c r="J3562" s="24"/>
      <c r="K3562" s="24"/>
      <c r="M3562" s="24"/>
      <c r="N3562" s="24"/>
      <c r="P3562" s="24"/>
    </row>
    <row r="3563" spans="2:16" x14ac:dyDescent="0.25">
      <c r="B3563" s="24"/>
      <c r="E3563" s="24"/>
      <c r="G3563" s="24"/>
      <c r="H3563" s="24"/>
      <c r="J3563" s="24"/>
      <c r="K3563" s="24"/>
      <c r="M3563" s="24"/>
      <c r="N3563" s="24"/>
      <c r="P3563" s="24"/>
    </row>
    <row r="3564" spans="2:16" x14ac:dyDescent="0.25">
      <c r="B3564" s="24"/>
      <c r="E3564" s="24"/>
      <c r="G3564" s="24"/>
      <c r="H3564" s="24"/>
      <c r="J3564" s="24"/>
      <c r="K3564" s="24"/>
      <c r="M3564" s="24"/>
      <c r="N3564" s="24"/>
      <c r="P3564" s="24"/>
    </row>
    <row r="3565" spans="2:16" x14ac:dyDescent="0.25">
      <c r="B3565" s="24"/>
      <c r="E3565" s="24"/>
      <c r="G3565" s="24"/>
      <c r="H3565" s="24"/>
      <c r="J3565" s="24"/>
      <c r="K3565" s="24"/>
      <c r="M3565" s="24"/>
      <c r="N3565" s="24"/>
      <c r="P3565" s="24"/>
    </row>
    <row r="3566" spans="2:16" x14ac:dyDescent="0.25">
      <c r="B3566" s="24"/>
      <c r="E3566" s="24"/>
      <c r="G3566" s="24"/>
      <c r="H3566" s="24"/>
      <c r="J3566" s="24"/>
      <c r="K3566" s="24"/>
      <c r="M3566" s="24"/>
      <c r="N3566" s="24"/>
      <c r="P3566" s="24"/>
    </row>
    <row r="3567" spans="2:16" x14ac:dyDescent="0.25">
      <c r="B3567" s="24"/>
      <c r="E3567" s="24"/>
      <c r="G3567" s="24"/>
      <c r="H3567" s="24"/>
      <c r="J3567" s="24"/>
      <c r="K3567" s="24"/>
      <c r="M3567" s="24"/>
      <c r="N3567" s="24"/>
      <c r="P3567" s="24"/>
    </row>
    <row r="3568" spans="2:16" x14ac:dyDescent="0.25">
      <c r="B3568" s="24"/>
      <c r="E3568" s="24"/>
      <c r="G3568" s="24"/>
      <c r="H3568" s="24"/>
      <c r="J3568" s="24"/>
      <c r="K3568" s="24"/>
      <c r="M3568" s="24"/>
      <c r="N3568" s="24"/>
      <c r="P3568" s="24"/>
    </row>
    <row r="3569" spans="2:16" x14ac:dyDescent="0.25">
      <c r="B3569" s="24"/>
      <c r="E3569" s="24"/>
      <c r="G3569" s="24"/>
      <c r="H3569" s="24"/>
      <c r="J3569" s="24"/>
      <c r="K3569" s="24"/>
      <c r="M3569" s="24"/>
      <c r="N3569" s="24"/>
      <c r="P3569" s="24"/>
    </row>
    <row r="3570" spans="2:16" x14ac:dyDescent="0.25">
      <c r="B3570" s="24"/>
      <c r="E3570" s="24"/>
      <c r="G3570" s="24"/>
      <c r="H3570" s="24"/>
      <c r="J3570" s="24"/>
      <c r="K3570" s="24"/>
      <c r="M3570" s="24"/>
      <c r="N3570" s="24"/>
      <c r="P3570" s="24"/>
    </row>
    <row r="3571" spans="2:16" x14ac:dyDescent="0.25">
      <c r="B3571" s="24"/>
      <c r="E3571" s="24"/>
      <c r="G3571" s="24"/>
      <c r="H3571" s="24"/>
      <c r="J3571" s="24"/>
      <c r="K3571" s="24"/>
      <c r="M3571" s="24"/>
      <c r="N3571" s="24"/>
      <c r="P3571" s="24"/>
    </row>
    <row r="3572" spans="2:16" x14ac:dyDescent="0.25">
      <c r="B3572" s="24"/>
      <c r="E3572" s="24"/>
      <c r="G3572" s="24"/>
      <c r="H3572" s="24"/>
      <c r="J3572" s="24"/>
      <c r="K3572" s="24"/>
      <c r="M3572" s="24"/>
      <c r="N3572" s="24"/>
      <c r="P3572" s="24"/>
    </row>
    <row r="3573" spans="2:16" x14ac:dyDescent="0.25">
      <c r="B3573" s="24"/>
      <c r="E3573" s="24"/>
      <c r="G3573" s="24"/>
      <c r="H3573" s="24"/>
      <c r="J3573" s="24"/>
      <c r="K3573" s="24"/>
      <c r="M3573" s="24"/>
      <c r="N3573" s="24"/>
      <c r="P3573" s="24"/>
    </row>
    <row r="3574" spans="2:16" x14ac:dyDescent="0.25">
      <c r="B3574" s="24"/>
      <c r="E3574" s="24"/>
      <c r="G3574" s="24"/>
      <c r="H3574" s="24"/>
      <c r="J3574" s="24"/>
      <c r="K3574" s="24"/>
      <c r="M3574" s="24"/>
      <c r="N3574" s="24"/>
      <c r="P3574" s="24"/>
    </row>
    <row r="3575" spans="2:16" x14ac:dyDescent="0.25">
      <c r="B3575" s="24"/>
      <c r="E3575" s="24"/>
      <c r="G3575" s="24"/>
      <c r="H3575" s="24"/>
      <c r="J3575" s="24"/>
      <c r="K3575" s="24"/>
      <c r="M3575" s="24"/>
      <c r="N3575" s="24"/>
      <c r="P3575" s="24"/>
    </row>
    <row r="3576" spans="2:16" x14ac:dyDescent="0.25">
      <c r="B3576" s="24"/>
      <c r="E3576" s="24"/>
      <c r="G3576" s="24"/>
      <c r="H3576" s="24"/>
      <c r="J3576" s="24"/>
      <c r="K3576" s="24"/>
      <c r="M3576" s="24"/>
      <c r="N3576" s="24"/>
      <c r="P3576" s="24"/>
    </row>
    <row r="3577" spans="2:16" x14ac:dyDescent="0.25">
      <c r="B3577" s="24"/>
      <c r="E3577" s="24"/>
      <c r="G3577" s="24"/>
      <c r="H3577" s="24"/>
      <c r="J3577" s="24"/>
      <c r="K3577" s="24"/>
      <c r="M3577" s="24"/>
      <c r="N3577" s="24"/>
      <c r="P3577" s="24"/>
    </row>
    <row r="3578" spans="2:16" x14ac:dyDescent="0.25">
      <c r="B3578" s="24"/>
      <c r="E3578" s="24"/>
      <c r="G3578" s="24"/>
      <c r="H3578" s="24"/>
      <c r="J3578" s="24"/>
      <c r="K3578" s="24"/>
      <c r="M3578" s="24"/>
      <c r="N3578" s="24"/>
      <c r="P3578" s="24"/>
    </row>
    <row r="3579" spans="2:16" x14ac:dyDescent="0.25">
      <c r="B3579" s="24"/>
      <c r="E3579" s="24"/>
      <c r="G3579" s="24"/>
      <c r="H3579" s="24"/>
      <c r="J3579" s="24"/>
      <c r="K3579" s="24"/>
      <c r="M3579" s="24"/>
      <c r="N3579" s="24"/>
      <c r="P3579" s="24"/>
    </row>
    <row r="3580" spans="2:16" x14ac:dyDescent="0.25">
      <c r="B3580" s="24"/>
      <c r="E3580" s="24"/>
      <c r="G3580" s="24"/>
      <c r="H3580" s="24"/>
      <c r="J3580" s="24"/>
      <c r="K3580" s="24"/>
      <c r="M3580" s="24"/>
      <c r="N3580" s="24"/>
      <c r="P3580" s="24"/>
    </row>
    <row r="3581" spans="2:16" x14ac:dyDescent="0.25">
      <c r="B3581" s="24"/>
      <c r="E3581" s="24"/>
      <c r="G3581" s="24"/>
      <c r="H3581" s="24"/>
      <c r="J3581" s="24"/>
      <c r="K3581" s="24"/>
      <c r="M3581" s="24"/>
      <c r="N3581" s="24"/>
      <c r="P3581" s="24"/>
    </row>
    <row r="3582" spans="2:16" x14ac:dyDescent="0.25">
      <c r="B3582" s="24"/>
      <c r="E3582" s="24"/>
      <c r="G3582" s="24"/>
      <c r="H3582" s="24"/>
      <c r="J3582" s="24"/>
      <c r="K3582" s="24"/>
      <c r="M3582" s="24"/>
      <c r="N3582" s="24"/>
      <c r="P3582" s="24"/>
    </row>
    <row r="3583" spans="2:16" x14ac:dyDescent="0.25">
      <c r="B3583" s="24"/>
      <c r="E3583" s="24"/>
      <c r="G3583" s="24"/>
      <c r="H3583" s="24"/>
      <c r="J3583" s="24"/>
      <c r="K3583" s="24"/>
      <c r="M3583" s="24"/>
      <c r="N3583" s="24"/>
      <c r="P3583" s="24"/>
    </row>
    <row r="3584" spans="2:16" x14ac:dyDescent="0.25">
      <c r="B3584" s="24"/>
      <c r="E3584" s="24"/>
      <c r="G3584" s="24"/>
      <c r="H3584" s="24"/>
      <c r="J3584" s="24"/>
      <c r="K3584" s="24"/>
      <c r="M3584" s="24"/>
      <c r="N3584" s="24"/>
      <c r="P3584" s="24"/>
    </row>
    <row r="3585" spans="2:16" x14ac:dyDescent="0.25">
      <c r="B3585" s="24"/>
      <c r="E3585" s="24"/>
      <c r="G3585" s="24"/>
      <c r="H3585" s="24"/>
      <c r="J3585" s="24"/>
      <c r="K3585" s="24"/>
      <c r="M3585" s="24"/>
      <c r="N3585" s="24"/>
      <c r="P3585" s="24"/>
    </row>
    <row r="3586" spans="2:16" x14ac:dyDescent="0.25">
      <c r="B3586" s="24"/>
      <c r="E3586" s="24"/>
      <c r="G3586" s="24"/>
      <c r="H3586" s="24"/>
      <c r="J3586" s="24"/>
      <c r="K3586" s="24"/>
      <c r="M3586" s="24"/>
      <c r="N3586" s="24"/>
      <c r="P3586" s="24"/>
    </row>
    <row r="3587" spans="2:16" x14ac:dyDescent="0.25">
      <c r="B3587" s="24"/>
      <c r="E3587" s="24"/>
      <c r="G3587" s="24"/>
      <c r="H3587" s="24"/>
      <c r="J3587" s="24"/>
      <c r="K3587" s="24"/>
      <c r="M3587" s="24"/>
      <c r="N3587" s="24"/>
      <c r="P3587" s="24"/>
    </row>
    <row r="3588" spans="2:16" x14ac:dyDescent="0.25">
      <c r="B3588" s="24"/>
      <c r="E3588" s="24"/>
      <c r="G3588" s="24"/>
      <c r="H3588" s="24"/>
      <c r="J3588" s="24"/>
      <c r="K3588" s="24"/>
      <c r="M3588" s="24"/>
      <c r="N3588" s="24"/>
      <c r="P3588" s="24"/>
    </row>
    <row r="3589" spans="2:16" x14ac:dyDescent="0.25">
      <c r="B3589" s="24"/>
      <c r="E3589" s="24"/>
      <c r="G3589" s="24"/>
      <c r="H3589" s="24"/>
      <c r="J3589" s="24"/>
      <c r="K3589" s="24"/>
      <c r="M3589" s="24"/>
      <c r="N3589" s="24"/>
      <c r="P3589" s="24"/>
    </row>
    <row r="3590" spans="2:16" x14ac:dyDescent="0.25">
      <c r="B3590" s="24"/>
      <c r="E3590" s="24"/>
      <c r="G3590" s="24"/>
      <c r="H3590" s="24"/>
      <c r="J3590" s="24"/>
      <c r="K3590" s="24"/>
      <c r="M3590" s="24"/>
      <c r="N3590" s="24"/>
      <c r="P3590" s="24"/>
    </row>
    <row r="3591" spans="2:16" x14ac:dyDescent="0.25">
      <c r="B3591" s="24"/>
      <c r="E3591" s="24"/>
      <c r="G3591" s="24"/>
      <c r="H3591" s="24"/>
      <c r="J3591" s="24"/>
      <c r="K3591" s="24"/>
      <c r="M3591" s="24"/>
      <c r="N3591" s="24"/>
      <c r="P3591" s="24"/>
    </row>
    <row r="3592" spans="2:16" x14ac:dyDescent="0.25">
      <c r="B3592" s="24"/>
      <c r="E3592" s="24"/>
      <c r="G3592" s="24"/>
      <c r="H3592" s="24"/>
      <c r="J3592" s="24"/>
      <c r="K3592" s="24"/>
      <c r="M3592" s="24"/>
      <c r="N3592" s="24"/>
      <c r="P3592" s="24"/>
    </row>
    <row r="3593" spans="2:16" x14ac:dyDescent="0.25">
      <c r="B3593" s="24"/>
      <c r="E3593" s="24"/>
      <c r="G3593" s="24"/>
      <c r="H3593" s="24"/>
      <c r="J3593" s="24"/>
      <c r="K3593" s="24"/>
      <c r="M3593" s="24"/>
      <c r="N3593" s="24"/>
      <c r="P3593" s="24"/>
    </row>
    <row r="3594" spans="2:16" x14ac:dyDescent="0.25">
      <c r="B3594" s="24"/>
      <c r="E3594" s="24"/>
      <c r="G3594" s="24"/>
      <c r="H3594" s="24"/>
      <c r="J3594" s="24"/>
      <c r="K3594" s="24"/>
      <c r="M3594" s="24"/>
      <c r="N3594" s="24"/>
      <c r="P3594" s="24"/>
    </row>
    <row r="3595" spans="2:16" x14ac:dyDescent="0.25">
      <c r="B3595" s="24"/>
      <c r="E3595" s="24"/>
      <c r="G3595" s="24"/>
      <c r="H3595" s="24"/>
      <c r="J3595" s="24"/>
      <c r="K3595" s="24"/>
      <c r="M3595" s="24"/>
      <c r="N3595" s="24"/>
      <c r="P3595" s="24"/>
    </row>
    <row r="3596" spans="2:16" x14ac:dyDescent="0.25">
      <c r="B3596" s="24"/>
      <c r="E3596" s="24"/>
      <c r="G3596" s="24"/>
      <c r="H3596" s="24"/>
      <c r="J3596" s="24"/>
      <c r="K3596" s="24"/>
      <c r="M3596" s="24"/>
      <c r="N3596" s="24"/>
      <c r="P3596" s="24"/>
    </row>
    <row r="3597" spans="2:16" x14ac:dyDescent="0.25">
      <c r="B3597" s="24"/>
      <c r="E3597" s="24"/>
      <c r="G3597" s="24"/>
      <c r="H3597" s="24"/>
      <c r="J3597" s="24"/>
      <c r="K3597" s="24"/>
      <c r="M3597" s="24"/>
      <c r="N3597" s="24"/>
      <c r="P3597" s="24"/>
    </row>
    <row r="3598" spans="2:16" x14ac:dyDescent="0.25">
      <c r="B3598" s="24"/>
      <c r="E3598" s="24"/>
      <c r="G3598" s="24"/>
      <c r="H3598" s="24"/>
      <c r="J3598" s="24"/>
      <c r="K3598" s="24"/>
      <c r="M3598" s="24"/>
      <c r="N3598" s="24"/>
      <c r="P3598" s="24"/>
    </row>
    <row r="3599" spans="2:16" x14ac:dyDescent="0.25">
      <c r="B3599" s="24"/>
      <c r="E3599" s="24"/>
      <c r="G3599" s="24"/>
      <c r="H3599" s="24"/>
      <c r="J3599" s="24"/>
      <c r="K3599" s="24"/>
      <c r="M3599" s="24"/>
      <c r="N3599" s="24"/>
      <c r="P3599" s="24"/>
    </row>
    <row r="3600" spans="2:16" x14ac:dyDescent="0.25">
      <c r="B3600" s="24"/>
      <c r="E3600" s="24"/>
      <c r="G3600" s="24"/>
      <c r="H3600" s="24"/>
      <c r="J3600" s="24"/>
      <c r="K3600" s="24"/>
      <c r="M3600" s="24"/>
      <c r="N3600" s="24"/>
      <c r="P3600" s="24"/>
    </row>
    <row r="3601" spans="2:16" x14ac:dyDescent="0.25">
      <c r="B3601" s="24"/>
      <c r="E3601" s="24"/>
      <c r="G3601" s="24"/>
      <c r="H3601" s="24"/>
      <c r="J3601" s="24"/>
      <c r="K3601" s="24"/>
      <c r="M3601" s="24"/>
      <c r="N3601" s="24"/>
      <c r="P3601" s="24"/>
    </row>
    <row r="3602" spans="2:16" x14ac:dyDescent="0.25">
      <c r="B3602" s="24"/>
      <c r="E3602" s="24"/>
      <c r="G3602" s="24"/>
      <c r="H3602" s="24"/>
      <c r="J3602" s="24"/>
      <c r="K3602" s="24"/>
      <c r="M3602" s="24"/>
      <c r="N3602" s="24"/>
      <c r="P3602" s="24"/>
    </row>
    <row r="3603" spans="2:16" x14ac:dyDescent="0.25">
      <c r="B3603" s="24"/>
      <c r="E3603" s="24"/>
      <c r="G3603" s="24"/>
      <c r="H3603" s="24"/>
      <c r="J3603" s="24"/>
      <c r="K3603" s="24"/>
      <c r="M3603" s="24"/>
      <c r="N3603" s="24"/>
      <c r="P3603" s="24"/>
    </row>
    <row r="3604" spans="2:16" x14ac:dyDescent="0.25">
      <c r="B3604" s="24"/>
      <c r="E3604" s="24"/>
      <c r="G3604" s="24"/>
      <c r="H3604" s="24"/>
      <c r="J3604" s="24"/>
      <c r="K3604" s="24"/>
      <c r="M3604" s="24"/>
      <c r="N3604" s="24"/>
      <c r="P3604" s="24"/>
    </row>
    <row r="3605" spans="2:16" x14ac:dyDescent="0.25">
      <c r="B3605" s="24"/>
      <c r="E3605" s="24"/>
      <c r="G3605" s="24"/>
      <c r="H3605" s="24"/>
      <c r="J3605" s="24"/>
      <c r="K3605" s="24"/>
      <c r="M3605" s="24"/>
      <c r="N3605" s="24"/>
      <c r="P3605" s="24"/>
    </row>
    <row r="3606" spans="2:16" x14ac:dyDescent="0.25">
      <c r="B3606" s="24"/>
      <c r="E3606" s="24"/>
      <c r="G3606" s="24"/>
      <c r="H3606" s="24"/>
      <c r="J3606" s="24"/>
      <c r="K3606" s="24"/>
      <c r="M3606" s="24"/>
      <c r="N3606" s="24"/>
      <c r="P3606" s="24"/>
    </row>
    <row r="3607" spans="2:16" x14ac:dyDescent="0.25">
      <c r="B3607" s="24"/>
      <c r="E3607" s="24"/>
      <c r="G3607" s="24"/>
      <c r="H3607" s="24"/>
      <c r="J3607" s="24"/>
      <c r="K3607" s="24"/>
      <c r="M3607" s="24"/>
      <c r="N3607" s="24"/>
      <c r="P3607" s="24"/>
    </row>
    <row r="3608" spans="2:16" x14ac:dyDescent="0.25">
      <c r="B3608" s="24"/>
      <c r="E3608" s="24"/>
      <c r="G3608" s="24"/>
      <c r="H3608" s="24"/>
      <c r="J3608" s="24"/>
      <c r="K3608" s="24"/>
      <c r="M3608" s="24"/>
      <c r="N3608" s="24"/>
      <c r="P3608" s="24"/>
    </row>
    <row r="3609" spans="2:16" x14ac:dyDescent="0.25">
      <c r="B3609" s="24"/>
      <c r="E3609" s="24"/>
      <c r="G3609" s="24"/>
      <c r="H3609" s="24"/>
      <c r="J3609" s="24"/>
      <c r="K3609" s="24"/>
      <c r="M3609" s="24"/>
      <c r="N3609" s="24"/>
      <c r="P3609" s="24"/>
    </row>
    <row r="3610" spans="2:16" x14ac:dyDescent="0.25">
      <c r="B3610" s="24"/>
      <c r="E3610" s="24"/>
      <c r="G3610" s="24"/>
      <c r="H3610" s="24"/>
      <c r="J3610" s="24"/>
      <c r="K3610" s="24"/>
      <c r="M3610" s="24"/>
      <c r="N3610" s="24"/>
      <c r="P3610" s="24"/>
    </row>
    <row r="3611" spans="2:16" x14ac:dyDescent="0.25">
      <c r="B3611" s="24"/>
      <c r="E3611" s="24"/>
      <c r="G3611" s="24"/>
      <c r="H3611" s="24"/>
      <c r="J3611" s="24"/>
      <c r="K3611" s="24"/>
      <c r="M3611" s="24"/>
      <c r="N3611" s="24"/>
      <c r="P3611" s="24"/>
    </row>
    <row r="3612" spans="2:16" x14ac:dyDescent="0.25">
      <c r="B3612" s="24"/>
      <c r="E3612" s="24"/>
      <c r="G3612" s="24"/>
      <c r="H3612" s="24"/>
      <c r="J3612" s="24"/>
      <c r="K3612" s="24"/>
      <c r="M3612" s="24"/>
      <c r="N3612" s="24"/>
      <c r="P3612" s="24"/>
    </row>
    <row r="3613" spans="2:16" x14ac:dyDescent="0.25">
      <c r="B3613" s="24"/>
      <c r="E3613" s="24"/>
      <c r="G3613" s="24"/>
      <c r="H3613" s="24"/>
      <c r="J3613" s="24"/>
      <c r="K3613" s="24"/>
      <c r="M3613" s="24"/>
      <c r="N3613" s="24"/>
      <c r="P3613" s="24"/>
    </row>
    <row r="3614" spans="2:16" x14ac:dyDescent="0.25">
      <c r="B3614" s="24"/>
      <c r="E3614" s="24"/>
      <c r="G3614" s="24"/>
      <c r="H3614" s="24"/>
      <c r="J3614" s="24"/>
      <c r="K3614" s="24"/>
      <c r="M3614" s="24"/>
      <c r="N3614" s="24"/>
      <c r="P3614" s="24"/>
    </row>
    <row r="3615" spans="2:16" x14ac:dyDescent="0.25">
      <c r="B3615" s="24"/>
      <c r="E3615" s="24"/>
      <c r="G3615" s="24"/>
      <c r="H3615" s="24"/>
      <c r="J3615" s="24"/>
      <c r="K3615" s="24"/>
      <c r="M3615" s="24"/>
      <c r="N3615" s="24"/>
      <c r="P3615" s="24"/>
    </row>
    <row r="3616" spans="2:16" x14ac:dyDescent="0.25">
      <c r="B3616" s="24"/>
      <c r="E3616" s="24"/>
      <c r="G3616" s="24"/>
      <c r="H3616" s="24"/>
      <c r="J3616" s="24"/>
      <c r="K3616" s="24"/>
      <c r="M3616" s="24"/>
      <c r="N3616" s="24"/>
      <c r="P3616" s="24"/>
    </row>
    <row r="3617" spans="2:16" x14ac:dyDescent="0.25">
      <c r="B3617" s="24"/>
      <c r="E3617" s="24"/>
      <c r="G3617" s="24"/>
      <c r="H3617" s="24"/>
      <c r="J3617" s="24"/>
      <c r="K3617" s="24"/>
      <c r="M3617" s="24"/>
      <c r="N3617" s="24"/>
      <c r="P3617" s="24"/>
    </row>
    <row r="3618" spans="2:16" x14ac:dyDescent="0.25">
      <c r="B3618" s="24"/>
      <c r="E3618" s="24"/>
      <c r="G3618" s="24"/>
      <c r="H3618" s="24"/>
      <c r="J3618" s="24"/>
      <c r="K3618" s="24"/>
      <c r="M3618" s="24"/>
      <c r="N3618" s="24"/>
      <c r="P3618" s="24"/>
    </row>
    <row r="3619" spans="2:16" x14ac:dyDescent="0.25">
      <c r="B3619" s="24"/>
      <c r="E3619" s="24"/>
      <c r="G3619" s="24"/>
      <c r="H3619" s="24"/>
      <c r="J3619" s="24"/>
      <c r="K3619" s="24"/>
      <c r="M3619" s="24"/>
      <c r="N3619" s="24"/>
      <c r="P3619" s="24"/>
    </row>
    <row r="3620" spans="2:16" x14ac:dyDescent="0.25">
      <c r="B3620" s="24"/>
      <c r="E3620" s="24"/>
      <c r="G3620" s="24"/>
      <c r="H3620" s="24"/>
      <c r="J3620" s="24"/>
      <c r="K3620" s="24"/>
      <c r="M3620" s="24"/>
      <c r="N3620" s="24"/>
      <c r="P3620" s="24"/>
    </row>
    <row r="3621" spans="2:16" x14ac:dyDescent="0.25">
      <c r="B3621" s="24"/>
      <c r="E3621" s="24"/>
      <c r="G3621" s="24"/>
      <c r="H3621" s="24"/>
      <c r="J3621" s="24"/>
      <c r="K3621" s="24"/>
      <c r="M3621" s="24"/>
      <c r="N3621" s="24"/>
      <c r="P3621" s="24"/>
    </row>
    <row r="3622" spans="2:16" x14ac:dyDescent="0.25">
      <c r="B3622" s="24"/>
      <c r="E3622" s="24"/>
      <c r="G3622" s="24"/>
      <c r="H3622" s="24"/>
      <c r="J3622" s="24"/>
      <c r="K3622" s="24"/>
      <c r="M3622" s="24"/>
      <c r="N3622" s="24"/>
      <c r="P3622" s="24"/>
    </row>
    <row r="3623" spans="2:16" x14ac:dyDescent="0.25">
      <c r="B3623" s="24"/>
      <c r="E3623" s="24"/>
      <c r="G3623" s="24"/>
      <c r="H3623" s="24"/>
      <c r="J3623" s="24"/>
      <c r="K3623" s="24"/>
      <c r="M3623" s="24"/>
      <c r="N3623" s="24"/>
      <c r="P3623" s="24"/>
    </row>
    <row r="3624" spans="2:16" x14ac:dyDescent="0.25">
      <c r="B3624" s="24"/>
      <c r="E3624" s="24"/>
      <c r="G3624" s="24"/>
      <c r="H3624" s="24"/>
      <c r="J3624" s="24"/>
      <c r="K3624" s="24"/>
      <c r="M3624" s="24"/>
      <c r="N3624" s="24"/>
      <c r="P3624" s="24"/>
    </row>
    <row r="3625" spans="2:16" x14ac:dyDescent="0.25">
      <c r="B3625" s="24"/>
      <c r="E3625" s="24"/>
      <c r="G3625" s="24"/>
      <c r="H3625" s="24"/>
      <c r="J3625" s="24"/>
      <c r="K3625" s="24"/>
      <c r="M3625" s="24"/>
      <c r="N3625" s="24"/>
      <c r="P3625" s="24"/>
    </row>
    <row r="3626" spans="2:16" x14ac:dyDescent="0.25">
      <c r="B3626" s="24"/>
      <c r="E3626" s="24"/>
      <c r="G3626" s="24"/>
      <c r="H3626" s="24"/>
      <c r="J3626" s="24"/>
      <c r="K3626" s="24"/>
      <c r="M3626" s="24"/>
      <c r="N3626" s="24"/>
      <c r="P3626" s="24"/>
    </row>
    <row r="3627" spans="2:16" x14ac:dyDescent="0.25">
      <c r="B3627" s="24"/>
      <c r="E3627" s="24"/>
      <c r="G3627" s="24"/>
      <c r="H3627" s="24"/>
      <c r="J3627" s="24"/>
      <c r="K3627" s="24"/>
      <c r="M3627" s="24"/>
      <c r="N3627" s="24"/>
      <c r="P3627" s="24"/>
    </row>
    <row r="3628" spans="2:16" x14ac:dyDescent="0.25">
      <c r="B3628" s="24"/>
      <c r="E3628" s="24"/>
      <c r="G3628" s="24"/>
      <c r="H3628" s="24"/>
      <c r="J3628" s="24"/>
      <c r="K3628" s="24"/>
      <c r="M3628" s="24"/>
      <c r="N3628" s="24"/>
      <c r="P3628" s="24"/>
    </row>
    <row r="3629" spans="2:16" x14ac:dyDescent="0.25">
      <c r="B3629" s="24"/>
      <c r="E3629" s="24"/>
      <c r="G3629" s="24"/>
      <c r="H3629" s="24"/>
      <c r="J3629" s="24"/>
      <c r="K3629" s="24"/>
      <c r="M3629" s="24"/>
      <c r="N3629" s="24"/>
      <c r="P3629" s="24"/>
    </row>
    <row r="3630" spans="2:16" x14ac:dyDescent="0.25">
      <c r="B3630" s="24"/>
      <c r="E3630" s="24"/>
      <c r="G3630" s="24"/>
      <c r="H3630" s="24"/>
      <c r="J3630" s="24"/>
      <c r="K3630" s="24"/>
      <c r="M3630" s="24"/>
      <c r="N3630" s="24"/>
      <c r="P3630" s="24"/>
    </row>
    <row r="3631" spans="2:16" x14ac:dyDescent="0.25">
      <c r="B3631" s="24"/>
      <c r="E3631" s="24"/>
      <c r="G3631" s="24"/>
      <c r="H3631" s="24"/>
      <c r="J3631" s="24"/>
      <c r="K3631" s="24"/>
      <c r="M3631" s="24"/>
      <c r="N3631" s="24"/>
      <c r="P3631" s="24"/>
    </row>
    <row r="3632" spans="2:16" x14ac:dyDescent="0.25">
      <c r="B3632" s="24"/>
      <c r="E3632" s="24"/>
      <c r="G3632" s="24"/>
      <c r="H3632" s="24"/>
      <c r="J3632" s="24"/>
      <c r="K3632" s="24"/>
      <c r="M3632" s="24"/>
      <c r="N3632" s="24"/>
      <c r="P3632" s="24"/>
    </row>
    <row r="3633" spans="2:16" x14ac:dyDescent="0.25">
      <c r="B3633" s="24"/>
      <c r="E3633" s="24"/>
      <c r="G3633" s="24"/>
      <c r="H3633" s="24"/>
      <c r="J3633" s="24"/>
      <c r="K3633" s="24"/>
      <c r="M3633" s="24"/>
      <c r="N3633" s="24"/>
      <c r="P3633" s="24"/>
    </row>
    <row r="3634" spans="2:16" x14ac:dyDescent="0.25">
      <c r="B3634" s="24"/>
      <c r="E3634" s="24"/>
      <c r="G3634" s="24"/>
      <c r="H3634" s="24"/>
      <c r="J3634" s="24"/>
      <c r="K3634" s="24"/>
      <c r="M3634" s="24"/>
      <c r="N3634" s="24"/>
      <c r="P3634" s="24"/>
    </row>
    <row r="3635" spans="2:16" x14ac:dyDescent="0.25">
      <c r="B3635" s="24"/>
      <c r="E3635" s="24"/>
      <c r="G3635" s="24"/>
      <c r="H3635" s="24"/>
      <c r="J3635" s="24"/>
      <c r="K3635" s="24"/>
      <c r="M3635" s="24"/>
      <c r="N3635" s="24"/>
      <c r="P3635" s="24"/>
    </row>
    <row r="3636" spans="2:16" x14ac:dyDescent="0.25">
      <c r="B3636" s="24"/>
      <c r="E3636" s="24"/>
      <c r="G3636" s="24"/>
      <c r="H3636" s="24"/>
      <c r="J3636" s="24"/>
      <c r="K3636" s="24"/>
      <c r="M3636" s="24"/>
      <c r="N3636" s="24"/>
      <c r="P3636" s="24"/>
    </row>
    <row r="3637" spans="2:16" x14ac:dyDescent="0.25">
      <c r="B3637" s="24"/>
      <c r="E3637" s="24"/>
      <c r="G3637" s="24"/>
      <c r="H3637" s="24"/>
      <c r="J3637" s="24"/>
      <c r="K3637" s="24"/>
      <c r="M3637" s="24"/>
      <c r="N3637" s="24"/>
      <c r="P3637" s="24"/>
    </row>
    <row r="3638" spans="2:16" x14ac:dyDescent="0.25">
      <c r="B3638" s="24"/>
      <c r="E3638" s="24"/>
      <c r="G3638" s="24"/>
      <c r="H3638" s="24"/>
      <c r="J3638" s="24"/>
      <c r="K3638" s="24"/>
      <c r="M3638" s="24"/>
      <c r="N3638" s="24"/>
      <c r="P3638" s="24"/>
    </row>
    <row r="3639" spans="2:16" x14ac:dyDescent="0.25">
      <c r="B3639" s="24"/>
      <c r="E3639" s="24"/>
      <c r="G3639" s="24"/>
      <c r="H3639" s="24"/>
      <c r="J3639" s="24"/>
      <c r="K3639" s="24"/>
      <c r="M3639" s="24"/>
      <c r="N3639" s="24"/>
      <c r="P3639" s="24"/>
    </row>
    <row r="3640" spans="2:16" x14ac:dyDescent="0.25">
      <c r="B3640" s="24"/>
      <c r="E3640" s="24"/>
      <c r="G3640" s="24"/>
      <c r="H3640" s="24"/>
      <c r="J3640" s="24"/>
      <c r="K3640" s="24"/>
      <c r="M3640" s="24"/>
      <c r="N3640" s="24"/>
      <c r="P3640" s="24"/>
    </row>
    <row r="3641" spans="2:16" x14ac:dyDescent="0.25">
      <c r="B3641" s="24"/>
      <c r="E3641" s="24"/>
      <c r="G3641" s="24"/>
      <c r="H3641" s="24"/>
      <c r="J3641" s="24"/>
      <c r="K3641" s="24"/>
      <c r="M3641" s="24"/>
      <c r="N3641" s="24"/>
      <c r="P3641" s="24"/>
    </row>
    <row r="3642" spans="2:16" x14ac:dyDescent="0.25">
      <c r="B3642" s="24"/>
      <c r="E3642" s="24"/>
      <c r="G3642" s="24"/>
      <c r="H3642" s="24"/>
      <c r="J3642" s="24"/>
      <c r="K3642" s="24"/>
      <c r="M3642" s="24"/>
      <c r="N3642" s="24"/>
      <c r="P3642" s="24"/>
    </row>
    <row r="3643" spans="2:16" x14ac:dyDescent="0.25">
      <c r="B3643" s="24"/>
      <c r="E3643" s="24"/>
      <c r="G3643" s="24"/>
      <c r="H3643" s="24"/>
      <c r="J3643" s="24"/>
      <c r="K3643" s="24"/>
      <c r="M3643" s="24"/>
      <c r="N3643" s="24"/>
      <c r="P3643" s="24"/>
    </row>
    <row r="3644" spans="2:16" x14ac:dyDescent="0.25">
      <c r="B3644" s="24"/>
      <c r="E3644" s="24"/>
      <c r="G3644" s="24"/>
      <c r="H3644" s="24"/>
      <c r="J3644" s="24"/>
      <c r="K3644" s="24"/>
      <c r="M3644" s="24"/>
      <c r="N3644" s="24"/>
      <c r="P3644" s="24"/>
    </row>
    <row r="3645" spans="2:16" x14ac:dyDescent="0.25">
      <c r="B3645" s="24"/>
      <c r="E3645" s="24"/>
      <c r="G3645" s="24"/>
      <c r="H3645" s="24"/>
      <c r="J3645" s="24"/>
      <c r="K3645" s="24"/>
      <c r="M3645" s="24"/>
      <c r="N3645" s="24"/>
      <c r="P3645" s="24"/>
    </row>
    <row r="3646" spans="2:16" x14ac:dyDescent="0.25">
      <c r="B3646" s="24"/>
      <c r="E3646" s="24"/>
      <c r="G3646" s="24"/>
      <c r="H3646" s="24"/>
      <c r="J3646" s="24"/>
      <c r="K3646" s="24"/>
      <c r="M3646" s="24"/>
      <c r="N3646" s="24"/>
      <c r="P3646" s="24"/>
    </row>
    <row r="3647" spans="2:16" x14ac:dyDescent="0.25">
      <c r="B3647" s="24"/>
      <c r="E3647" s="24"/>
      <c r="G3647" s="24"/>
      <c r="H3647" s="24"/>
      <c r="J3647" s="24"/>
      <c r="K3647" s="24"/>
      <c r="M3647" s="24"/>
      <c r="N3647" s="24"/>
      <c r="P3647" s="24"/>
    </row>
    <row r="3648" spans="2:16" x14ac:dyDescent="0.25">
      <c r="B3648" s="24"/>
      <c r="E3648" s="24"/>
      <c r="G3648" s="24"/>
      <c r="H3648" s="24"/>
      <c r="J3648" s="24"/>
      <c r="K3648" s="24"/>
      <c r="M3648" s="24"/>
      <c r="N3648" s="24"/>
      <c r="P3648" s="24"/>
    </row>
    <row r="3649" spans="2:16" x14ac:dyDescent="0.25">
      <c r="B3649" s="24"/>
      <c r="E3649" s="24"/>
      <c r="G3649" s="24"/>
      <c r="H3649" s="24"/>
      <c r="J3649" s="24"/>
      <c r="K3649" s="24"/>
      <c r="M3649" s="24"/>
      <c r="N3649" s="24"/>
      <c r="P3649" s="24"/>
    </row>
    <row r="3650" spans="2:16" x14ac:dyDescent="0.25">
      <c r="B3650" s="24"/>
      <c r="E3650" s="24"/>
      <c r="G3650" s="24"/>
      <c r="H3650" s="24"/>
      <c r="J3650" s="24"/>
      <c r="K3650" s="24"/>
      <c r="M3650" s="24"/>
      <c r="N3650" s="24"/>
      <c r="P3650" s="24"/>
    </row>
    <row r="3651" spans="2:16" x14ac:dyDescent="0.25">
      <c r="B3651" s="24"/>
      <c r="E3651" s="24"/>
      <c r="G3651" s="24"/>
      <c r="H3651" s="24"/>
      <c r="J3651" s="24"/>
      <c r="K3651" s="24"/>
      <c r="M3651" s="24"/>
      <c r="N3651" s="24"/>
      <c r="P3651" s="24"/>
    </row>
    <row r="3652" spans="2:16" x14ac:dyDescent="0.25">
      <c r="B3652" s="24"/>
      <c r="E3652" s="24"/>
      <c r="G3652" s="24"/>
      <c r="H3652" s="24"/>
      <c r="J3652" s="24"/>
      <c r="K3652" s="24"/>
      <c r="M3652" s="24"/>
      <c r="N3652" s="24"/>
      <c r="P3652" s="24"/>
    </row>
    <row r="3653" spans="2:16" x14ac:dyDescent="0.25">
      <c r="B3653" s="24"/>
      <c r="E3653" s="24"/>
      <c r="G3653" s="24"/>
      <c r="H3653" s="24"/>
      <c r="J3653" s="24"/>
      <c r="K3653" s="24"/>
      <c r="M3653" s="24"/>
      <c r="N3653" s="24"/>
      <c r="P3653" s="24"/>
    </row>
    <row r="3654" spans="2:16" x14ac:dyDescent="0.25">
      <c r="B3654" s="24"/>
      <c r="E3654" s="24"/>
      <c r="G3654" s="24"/>
      <c r="H3654" s="24"/>
      <c r="J3654" s="24"/>
      <c r="K3654" s="24"/>
      <c r="M3654" s="24"/>
      <c r="N3654" s="24"/>
      <c r="P3654" s="24"/>
    </row>
    <row r="3655" spans="2:16" x14ac:dyDescent="0.25">
      <c r="B3655" s="24"/>
      <c r="E3655" s="24"/>
      <c r="G3655" s="24"/>
      <c r="H3655" s="24"/>
      <c r="J3655" s="24"/>
      <c r="K3655" s="24"/>
      <c r="M3655" s="24"/>
      <c r="N3655" s="24"/>
      <c r="P3655" s="24"/>
    </row>
    <row r="3656" spans="2:16" x14ac:dyDescent="0.25">
      <c r="B3656" s="24"/>
      <c r="E3656" s="24"/>
      <c r="G3656" s="24"/>
      <c r="H3656" s="24"/>
      <c r="J3656" s="24"/>
      <c r="K3656" s="24"/>
      <c r="M3656" s="24"/>
      <c r="N3656" s="24"/>
      <c r="P3656" s="24"/>
    </row>
    <row r="3657" spans="2:16" x14ac:dyDescent="0.25">
      <c r="B3657" s="24"/>
      <c r="E3657" s="24"/>
      <c r="G3657" s="24"/>
      <c r="H3657" s="24"/>
      <c r="J3657" s="24"/>
      <c r="K3657" s="24"/>
      <c r="M3657" s="24"/>
      <c r="N3657" s="24"/>
      <c r="P3657" s="24"/>
    </row>
    <row r="3658" spans="2:16" x14ac:dyDescent="0.25">
      <c r="B3658" s="24"/>
      <c r="E3658" s="24"/>
      <c r="G3658" s="24"/>
      <c r="H3658" s="24"/>
      <c r="J3658" s="24"/>
      <c r="K3658" s="24"/>
      <c r="M3658" s="24"/>
      <c r="N3658" s="24"/>
      <c r="P3658" s="24"/>
    </row>
    <row r="3659" spans="2:16" x14ac:dyDescent="0.25">
      <c r="B3659" s="24"/>
      <c r="E3659" s="24"/>
      <c r="G3659" s="24"/>
      <c r="H3659" s="24"/>
      <c r="J3659" s="24"/>
      <c r="K3659" s="24"/>
      <c r="M3659" s="24"/>
      <c r="N3659" s="24"/>
      <c r="P3659" s="24"/>
    </row>
    <row r="3660" spans="2:16" x14ac:dyDescent="0.25">
      <c r="B3660" s="24"/>
      <c r="E3660" s="24"/>
      <c r="G3660" s="24"/>
      <c r="H3660" s="24"/>
      <c r="J3660" s="24"/>
      <c r="K3660" s="24"/>
      <c r="M3660" s="24"/>
      <c r="N3660" s="24"/>
      <c r="P3660" s="24"/>
    </row>
    <row r="3661" spans="2:16" x14ac:dyDescent="0.25">
      <c r="B3661" s="24"/>
      <c r="E3661" s="24"/>
      <c r="G3661" s="24"/>
      <c r="H3661" s="24"/>
      <c r="J3661" s="24"/>
      <c r="K3661" s="24"/>
      <c r="M3661" s="24"/>
      <c r="N3661" s="24"/>
      <c r="P3661" s="24"/>
    </row>
    <row r="3662" spans="2:16" x14ac:dyDescent="0.25">
      <c r="B3662" s="24"/>
      <c r="E3662" s="24"/>
      <c r="G3662" s="24"/>
      <c r="H3662" s="24"/>
      <c r="J3662" s="24"/>
      <c r="K3662" s="24"/>
      <c r="M3662" s="24"/>
      <c r="N3662" s="24"/>
      <c r="P3662" s="24"/>
    </row>
    <row r="3663" spans="2:16" x14ac:dyDescent="0.25">
      <c r="B3663" s="24"/>
      <c r="E3663" s="24"/>
      <c r="G3663" s="24"/>
      <c r="H3663" s="24"/>
      <c r="J3663" s="24"/>
      <c r="K3663" s="24"/>
      <c r="M3663" s="24"/>
      <c r="N3663" s="24"/>
      <c r="P3663" s="24"/>
    </row>
    <row r="3664" spans="2:16" x14ac:dyDescent="0.25">
      <c r="B3664" s="24"/>
      <c r="E3664" s="24"/>
      <c r="G3664" s="24"/>
      <c r="H3664" s="24"/>
      <c r="J3664" s="24"/>
      <c r="K3664" s="24"/>
      <c r="M3664" s="24"/>
      <c r="N3664" s="24"/>
      <c r="P3664" s="24"/>
    </row>
    <row r="3665" spans="2:16" x14ac:dyDescent="0.25">
      <c r="B3665" s="24"/>
      <c r="E3665" s="24"/>
      <c r="G3665" s="24"/>
      <c r="H3665" s="24"/>
      <c r="J3665" s="24"/>
      <c r="K3665" s="24"/>
      <c r="M3665" s="24"/>
      <c r="N3665" s="24"/>
      <c r="P3665" s="24"/>
    </row>
    <row r="3666" spans="2:16" x14ac:dyDescent="0.25">
      <c r="B3666" s="24"/>
      <c r="E3666" s="24"/>
      <c r="G3666" s="24"/>
      <c r="H3666" s="24"/>
      <c r="J3666" s="24"/>
      <c r="K3666" s="24"/>
      <c r="M3666" s="24"/>
      <c r="N3666" s="24"/>
      <c r="P3666" s="24"/>
    </row>
    <row r="3667" spans="2:16" x14ac:dyDescent="0.25">
      <c r="B3667" s="24"/>
      <c r="E3667" s="24"/>
      <c r="G3667" s="24"/>
      <c r="H3667" s="24"/>
      <c r="J3667" s="24"/>
      <c r="K3667" s="24"/>
      <c r="M3667" s="24"/>
      <c r="N3667" s="24"/>
      <c r="P3667" s="24"/>
    </row>
    <row r="3668" spans="2:16" x14ac:dyDescent="0.25">
      <c r="B3668" s="24"/>
      <c r="E3668" s="24"/>
      <c r="G3668" s="24"/>
      <c r="H3668" s="24"/>
      <c r="J3668" s="24"/>
      <c r="K3668" s="24"/>
      <c r="M3668" s="24"/>
      <c r="N3668" s="24"/>
      <c r="P3668" s="24"/>
    </row>
    <row r="3669" spans="2:16" x14ac:dyDescent="0.25">
      <c r="B3669" s="24"/>
      <c r="E3669" s="24"/>
      <c r="G3669" s="24"/>
      <c r="H3669" s="24"/>
      <c r="J3669" s="24"/>
      <c r="K3669" s="24"/>
      <c r="M3669" s="24"/>
      <c r="N3669" s="24"/>
      <c r="P3669" s="24"/>
    </row>
    <row r="3670" spans="2:16" x14ac:dyDescent="0.25">
      <c r="B3670" s="24"/>
      <c r="E3670" s="24"/>
      <c r="G3670" s="24"/>
      <c r="H3670" s="24"/>
      <c r="J3670" s="24"/>
      <c r="K3670" s="24"/>
      <c r="M3670" s="24"/>
      <c r="N3670" s="24"/>
      <c r="P3670" s="24"/>
    </row>
    <row r="3671" spans="2:16" x14ac:dyDescent="0.25">
      <c r="B3671" s="24"/>
      <c r="E3671" s="24"/>
      <c r="G3671" s="24"/>
      <c r="H3671" s="24"/>
      <c r="J3671" s="24"/>
      <c r="K3671" s="24"/>
      <c r="M3671" s="24"/>
      <c r="N3671" s="24"/>
      <c r="P3671" s="24"/>
    </row>
    <row r="3672" spans="2:16" x14ac:dyDescent="0.25">
      <c r="B3672" s="24"/>
      <c r="E3672" s="24"/>
      <c r="G3672" s="24"/>
      <c r="H3672" s="24"/>
      <c r="J3672" s="24"/>
      <c r="K3672" s="24"/>
      <c r="M3672" s="24"/>
      <c r="N3672" s="24"/>
      <c r="P3672" s="24"/>
    </row>
    <row r="3673" spans="2:16" x14ac:dyDescent="0.25">
      <c r="B3673" s="24"/>
      <c r="E3673" s="24"/>
      <c r="G3673" s="24"/>
      <c r="H3673" s="24"/>
      <c r="J3673" s="24"/>
      <c r="K3673" s="24"/>
      <c r="M3673" s="24"/>
      <c r="N3673" s="24"/>
      <c r="P3673" s="24"/>
    </row>
    <row r="3674" spans="2:16" x14ac:dyDescent="0.25">
      <c r="B3674" s="24"/>
      <c r="E3674" s="24"/>
      <c r="G3674" s="24"/>
      <c r="H3674" s="24"/>
      <c r="J3674" s="24"/>
      <c r="K3674" s="24"/>
      <c r="M3674" s="24"/>
      <c r="N3674" s="24"/>
      <c r="P3674" s="24"/>
    </row>
    <row r="3675" spans="2:16" x14ac:dyDescent="0.25">
      <c r="B3675" s="24"/>
      <c r="E3675" s="24"/>
      <c r="G3675" s="24"/>
      <c r="H3675" s="24"/>
      <c r="J3675" s="24"/>
      <c r="K3675" s="24"/>
      <c r="M3675" s="24"/>
      <c r="N3675" s="24"/>
      <c r="P3675" s="24"/>
    </row>
    <row r="3676" spans="2:16" x14ac:dyDescent="0.25">
      <c r="B3676" s="24"/>
      <c r="E3676" s="24"/>
      <c r="G3676" s="24"/>
      <c r="H3676" s="24"/>
      <c r="J3676" s="24"/>
      <c r="K3676" s="24"/>
      <c r="M3676" s="24"/>
      <c r="N3676" s="24"/>
      <c r="P3676" s="24"/>
    </row>
    <row r="3677" spans="2:16" x14ac:dyDescent="0.25">
      <c r="B3677" s="24"/>
      <c r="E3677" s="24"/>
      <c r="G3677" s="24"/>
      <c r="H3677" s="24"/>
      <c r="J3677" s="24"/>
      <c r="K3677" s="24"/>
      <c r="M3677" s="24"/>
      <c r="N3677" s="24"/>
      <c r="P3677" s="24"/>
    </row>
    <row r="3678" spans="2:16" x14ac:dyDescent="0.25">
      <c r="B3678" s="24"/>
      <c r="E3678" s="24"/>
      <c r="G3678" s="24"/>
      <c r="H3678" s="24"/>
      <c r="J3678" s="24"/>
      <c r="K3678" s="24"/>
      <c r="M3678" s="24"/>
      <c r="N3678" s="24"/>
      <c r="P3678" s="24"/>
    </row>
    <row r="3679" spans="2:16" x14ac:dyDescent="0.25">
      <c r="B3679" s="24"/>
      <c r="E3679" s="24"/>
      <c r="G3679" s="24"/>
      <c r="H3679" s="24"/>
      <c r="J3679" s="24"/>
      <c r="K3679" s="24"/>
      <c r="M3679" s="24"/>
      <c r="N3679" s="24"/>
      <c r="P3679" s="24"/>
    </row>
    <row r="3680" spans="2:16" x14ac:dyDescent="0.25">
      <c r="B3680" s="24"/>
      <c r="E3680" s="24"/>
      <c r="G3680" s="24"/>
      <c r="H3680" s="24"/>
      <c r="J3680" s="24"/>
      <c r="K3680" s="24"/>
      <c r="M3680" s="24"/>
      <c r="N3680" s="24"/>
      <c r="P3680" s="24"/>
    </row>
    <row r="3681" spans="2:16" x14ac:dyDescent="0.25">
      <c r="B3681" s="24"/>
      <c r="E3681" s="24"/>
      <c r="G3681" s="24"/>
      <c r="H3681" s="24"/>
      <c r="J3681" s="24"/>
      <c r="K3681" s="24"/>
      <c r="M3681" s="24"/>
      <c r="N3681" s="24"/>
      <c r="P3681" s="24"/>
    </row>
    <row r="3682" spans="2:16" x14ac:dyDescent="0.25">
      <c r="B3682" s="24"/>
      <c r="E3682" s="24"/>
      <c r="G3682" s="24"/>
      <c r="H3682" s="24"/>
      <c r="J3682" s="24"/>
      <c r="K3682" s="24"/>
      <c r="M3682" s="24"/>
      <c r="N3682" s="24"/>
      <c r="P3682" s="24"/>
    </row>
    <row r="3683" spans="2:16" x14ac:dyDescent="0.25">
      <c r="B3683" s="24"/>
      <c r="E3683" s="24"/>
      <c r="G3683" s="24"/>
      <c r="H3683" s="24"/>
      <c r="J3683" s="24"/>
      <c r="K3683" s="24"/>
      <c r="M3683" s="24"/>
      <c r="N3683" s="24"/>
      <c r="P3683" s="24"/>
    </row>
    <row r="3684" spans="2:16" x14ac:dyDescent="0.25">
      <c r="B3684" s="24"/>
      <c r="E3684" s="24"/>
      <c r="G3684" s="24"/>
      <c r="H3684" s="24"/>
      <c r="J3684" s="24"/>
      <c r="K3684" s="24"/>
      <c r="M3684" s="24"/>
      <c r="N3684" s="24"/>
      <c r="P3684" s="24"/>
    </row>
    <row r="3685" spans="2:16" x14ac:dyDescent="0.25">
      <c r="B3685" s="24"/>
      <c r="E3685" s="24"/>
      <c r="G3685" s="24"/>
      <c r="H3685" s="24"/>
      <c r="J3685" s="24"/>
      <c r="K3685" s="24"/>
      <c r="M3685" s="24"/>
      <c r="N3685" s="24"/>
      <c r="P3685" s="24"/>
    </row>
    <row r="3686" spans="2:16" x14ac:dyDescent="0.25">
      <c r="B3686" s="24"/>
      <c r="E3686" s="24"/>
      <c r="G3686" s="24"/>
      <c r="H3686" s="24"/>
      <c r="J3686" s="24"/>
      <c r="K3686" s="24"/>
      <c r="M3686" s="24"/>
      <c r="N3686" s="24"/>
      <c r="P3686" s="24"/>
    </row>
    <row r="3687" spans="2:16" x14ac:dyDescent="0.25">
      <c r="B3687" s="24"/>
      <c r="E3687" s="24"/>
      <c r="G3687" s="24"/>
      <c r="H3687" s="24"/>
      <c r="J3687" s="24"/>
      <c r="K3687" s="24"/>
      <c r="M3687" s="24"/>
      <c r="N3687" s="24"/>
      <c r="P3687" s="24"/>
    </row>
    <row r="3688" spans="2:16" x14ac:dyDescent="0.25">
      <c r="B3688" s="24"/>
      <c r="E3688" s="24"/>
      <c r="G3688" s="24"/>
      <c r="H3688" s="24"/>
      <c r="J3688" s="24"/>
      <c r="K3688" s="24"/>
      <c r="M3688" s="24"/>
      <c r="N3688" s="24"/>
      <c r="P3688" s="24"/>
    </row>
    <row r="3689" spans="2:16" x14ac:dyDescent="0.25">
      <c r="B3689" s="24"/>
      <c r="E3689" s="24"/>
      <c r="G3689" s="24"/>
      <c r="H3689" s="24"/>
      <c r="J3689" s="24"/>
      <c r="K3689" s="24"/>
      <c r="M3689" s="24"/>
      <c r="N3689" s="24"/>
      <c r="P3689" s="24"/>
    </row>
    <row r="3690" spans="2:16" x14ac:dyDescent="0.25">
      <c r="B3690" s="24"/>
      <c r="E3690" s="24"/>
      <c r="G3690" s="24"/>
      <c r="H3690" s="24"/>
      <c r="J3690" s="24"/>
      <c r="K3690" s="24"/>
      <c r="M3690" s="24"/>
      <c r="N3690" s="24"/>
      <c r="P3690" s="24"/>
    </row>
    <row r="3691" spans="2:16" x14ac:dyDescent="0.25">
      <c r="B3691" s="24"/>
      <c r="E3691" s="24"/>
      <c r="G3691" s="24"/>
      <c r="H3691" s="24"/>
      <c r="J3691" s="24"/>
      <c r="K3691" s="24"/>
      <c r="M3691" s="24"/>
      <c r="N3691" s="24"/>
      <c r="P3691" s="24"/>
    </row>
    <row r="3692" spans="2:16" x14ac:dyDescent="0.25">
      <c r="B3692" s="24"/>
      <c r="E3692" s="24"/>
      <c r="G3692" s="24"/>
      <c r="H3692" s="24"/>
      <c r="J3692" s="24"/>
      <c r="K3692" s="24"/>
      <c r="M3692" s="24"/>
      <c r="N3692" s="24"/>
      <c r="P3692" s="24"/>
    </row>
    <row r="3693" spans="2:16" x14ac:dyDescent="0.25">
      <c r="B3693" s="24"/>
      <c r="E3693" s="24"/>
      <c r="G3693" s="24"/>
      <c r="H3693" s="24"/>
      <c r="J3693" s="24"/>
      <c r="K3693" s="24"/>
      <c r="M3693" s="24"/>
      <c r="N3693" s="24"/>
      <c r="P3693" s="24"/>
    </row>
    <row r="3694" spans="2:16" x14ac:dyDescent="0.25">
      <c r="B3694" s="24"/>
      <c r="E3694" s="24"/>
      <c r="G3694" s="24"/>
      <c r="H3694" s="24"/>
      <c r="J3694" s="24"/>
      <c r="K3694" s="24"/>
      <c r="M3694" s="24"/>
      <c r="N3694" s="24"/>
      <c r="P3694" s="24"/>
    </row>
    <row r="3695" spans="2:16" x14ac:dyDescent="0.25">
      <c r="B3695" s="24"/>
      <c r="E3695" s="24"/>
      <c r="G3695" s="24"/>
      <c r="H3695" s="24"/>
      <c r="J3695" s="24"/>
      <c r="K3695" s="24"/>
      <c r="M3695" s="24"/>
      <c r="N3695" s="24"/>
      <c r="P3695" s="24"/>
    </row>
    <row r="3696" spans="2:16" x14ac:dyDescent="0.25">
      <c r="B3696" s="24"/>
      <c r="E3696" s="24"/>
      <c r="G3696" s="24"/>
      <c r="H3696" s="24"/>
      <c r="J3696" s="24"/>
      <c r="K3696" s="24"/>
      <c r="M3696" s="24"/>
      <c r="N3696" s="24"/>
      <c r="P3696" s="24"/>
    </row>
    <row r="3697" spans="2:16" x14ac:dyDescent="0.25">
      <c r="B3697" s="24"/>
      <c r="E3697" s="24"/>
      <c r="G3697" s="24"/>
      <c r="H3697" s="24"/>
      <c r="J3697" s="24"/>
      <c r="K3697" s="24"/>
      <c r="M3697" s="24"/>
      <c r="N3697" s="24"/>
      <c r="P3697" s="24"/>
    </row>
    <row r="3698" spans="2:16" x14ac:dyDescent="0.25">
      <c r="B3698" s="24"/>
      <c r="E3698" s="24"/>
      <c r="G3698" s="24"/>
      <c r="H3698" s="24"/>
      <c r="J3698" s="24"/>
      <c r="K3698" s="24"/>
      <c r="M3698" s="24"/>
      <c r="N3698" s="24"/>
      <c r="P3698" s="24"/>
    </row>
    <row r="3699" spans="2:16" x14ac:dyDescent="0.25">
      <c r="B3699" s="24"/>
      <c r="E3699" s="24"/>
      <c r="G3699" s="24"/>
      <c r="H3699" s="24"/>
      <c r="J3699" s="24"/>
      <c r="K3699" s="24"/>
      <c r="M3699" s="24"/>
      <c r="N3699" s="24"/>
      <c r="P3699" s="24"/>
    </row>
    <row r="3700" spans="2:16" x14ac:dyDescent="0.25">
      <c r="B3700" s="24"/>
      <c r="E3700" s="24"/>
      <c r="G3700" s="24"/>
      <c r="H3700" s="24"/>
      <c r="J3700" s="24"/>
      <c r="K3700" s="24"/>
      <c r="M3700" s="24"/>
      <c r="N3700" s="24"/>
      <c r="P3700" s="24"/>
    </row>
    <row r="3701" spans="2:16" x14ac:dyDescent="0.25">
      <c r="B3701" s="24"/>
      <c r="E3701" s="24"/>
      <c r="G3701" s="24"/>
      <c r="H3701" s="24"/>
      <c r="J3701" s="24"/>
      <c r="K3701" s="24"/>
      <c r="M3701" s="24"/>
      <c r="N3701" s="24"/>
      <c r="P3701" s="24"/>
    </row>
    <row r="3702" spans="2:16" x14ac:dyDescent="0.25">
      <c r="B3702" s="24"/>
      <c r="E3702" s="24"/>
      <c r="G3702" s="24"/>
      <c r="H3702" s="24"/>
      <c r="J3702" s="24"/>
      <c r="K3702" s="24"/>
      <c r="M3702" s="24"/>
      <c r="N3702" s="24"/>
      <c r="P3702" s="24"/>
    </row>
    <row r="3703" spans="2:16" x14ac:dyDescent="0.25">
      <c r="B3703" s="24"/>
      <c r="E3703" s="24"/>
      <c r="G3703" s="24"/>
      <c r="H3703" s="24"/>
      <c r="J3703" s="24"/>
      <c r="K3703" s="24"/>
      <c r="M3703" s="24"/>
      <c r="N3703" s="24"/>
      <c r="P3703" s="24"/>
    </row>
    <row r="3704" spans="2:16" x14ac:dyDescent="0.25">
      <c r="B3704" s="24"/>
      <c r="E3704" s="24"/>
      <c r="G3704" s="24"/>
      <c r="H3704" s="24"/>
      <c r="J3704" s="24"/>
      <c r="K3704" s="24"/>
      <c r="M3704" s="24"/>
      <c r="N3704" s="24"/>
      <c r="P3704" s="24"/>
    </row>
    <row r="3705" spans="2:16" x14ac:dyDescent="0.25">
      <c r="B3705" s="24"/>
      <c r="E3705" s="24"/>
      <c r="G3705" s="24"/>
      <c r="H3705" s="24"/>
      <c r="J3705" s="24"/>
      <c r="K3705" s="24"/>
      <c r="M3705" s="24"/>
      <c r="N3705" s="24"/>
      <c r="P3705" s="24"/>
    </row>
    <row r="3706" spans="2:16" x14ac:dyDescent="0.25">
      <c r="B3706" s="24"/>
      <c r="E3706" s="24"/>
      <c r="G3706" s="24"/>
      <c r="H3706" s="24"/>
      <c r="J3706" s="24"/>
      <c r="K3706" s="24"/>
      <c r="M3706" s="24"/>
      <c r="N3706" s="24"/>
      <c r="P3706" s="24"/>
    </row>
    <row r="3707" spans="2:16" x14ac:dyDescent="0.25">
      <c r="B3707" s="24"/>
      <c r="E3707" s="24"/>
      <c r="G3707" s="24"/>
      <c r="H3707" s="24"/>
      <c r="J3707" s="24"/>
      <c r="K3707" s="24"/>
      <c r="M3707" s="24"/>
      <c r="N3707" s="24"/>
      <c r="P3707" s="24"/>
    </row>
    <row r="3708" spans="2:16" x14ac:dyDescent="0.25">
      <c r="B3708" s="24"/>
      <c r="E3708" s="24"/>
      <c r="G3708" s="24"/>
      <c r="H3708" s="24"/>
      <c r="J3708" s="24"/>
      <c r="K3708" s="24"/>
      <c r="M3708" s="24"/>
      <c r="N3708" s="24"/>
      <c r="P3708" s="24"/>
    </row>
    <row r="3709" spans="2:16" x14ac:dyDescent="0.25">
      <c r="B3709" s="24"/>
      <c r="E3709" s="24"/>
      <c r="G3709" s="24"/>
      <c r="H3709" s="24"/>
      <c r="J3709" s="24"/>
      <c r="K3709" s="24"/>
      <c r="M3709" s="24"/>
      <c r="N3709" s="24"/>
      <c r="P3709" s="24"/>
    </row>
    <row r="3710" spans="2:16" x14ac:dyDescent="0.25">
      <c r="B3710" s="24"/>
      <c r="E3710" s="24"/>
      <c r="G3710" s="24"/>
      <c r="H3710" s="24"/>
      <c r="J3710" s="24"/>
      <c r="K3710" s="24"/>
      <c r="M3710" s="24"/>
      <c r="N3710" s="24"/>
      <c r="P3710" s="24"/>
    </row>
    <row r="3711" spans="2:16" x14ac:dyDescent="0.25">
      <c r="B3711" s="24"/>
      <c r="E3711" s="24"/>
      <c r="G3711" s="24"/>
      <c r="H3711" s="24"/>
      <c r="J3711" s="24"/>
      <c r="K3711" s="24"/>
      <c r="M3711" s="24"/>
      <c r="N3711" s="24"/>
      <c r="P3711" s="24"/>
    </row>
    <row r="3712" spans="2:16" x14ac:dyDescent="0.25">
      <c r="B3712" s="24"/>
      <c r="E3712" s="24"/>
      <c r="G3712" s="24"/>
      <c r="H3712" s="24"/>
      <c r="J3712" s="24"/>
      <c r="K3712" s="24"/>
      <c r="M3712" s="24"/>
      <c r="N3712" s="24"/>
      <c r="P3712" s="24"/>
    </row>
    <row r="3713" spans="2:16" x14ac:dyDescent="0.25">
      <c r="B3713" s="24"/>
      <c r="E3713" s="24"/>
      <c r="G3713" s="24"/>
      <c r="H3713" s="24"/>
      <c r="J3713" s="24"/>
      <c r="K3713" s="24"/>
      <c r="M3713" s="24"/>
      <c r="N3713" s="24"/>
      <c r="P3713" s="24"/>
    </row>
    <row r="3714" spans="2:16" x14ac:dyDescent="0.25">
      <c r="B3714" s="24"/>
      <c r="E3714" s="24"/>
      <c r="G3714" s="24"/>
      <c r="H3714" s="24"/>
      <c r="J3714" s="24"/>
      <c r="K3714" s="24"/>
      <c r="M3714" s="24"/>
      <c r="N3714" s="24"/>
      <c r="P3714" s="24"/>
    </row>
    <row r="3715" spans="2:16" x14ac:dyDescent="0.25">
      <c r="B3715" s="24"/>
      <c r="E3715" s="24"/>
      <c r="G3715" s="24"/>
      <c r="H3715" s="24"/>
      <c r="J3715" s="24"/>
      <c r="K3715" s="24"/>
      <c r="M3715" s="24"/>
      <c r="N3715" s="24"/>
      <c r="P3715" s="24"/>
    </row>
    <row r="3716" spans="2:16" x14ac:dyDescent="0.25">
      <c r="B3716" s="24"/>
      <c r="E3716" s="24"/>
      <c r="G3716" s="24"/>
      <c r="H3716" s="24"/>
      <c r="J3716" s="24"/>
      <c r="K3716" s="24"/>
      <c r="M3716" s="24"/>
      <c r="N3716" s="24"/>
      <c r="P3716" s="24"/>
    </row>
    <row r="3717" spans="2:16" x14ac:dyDescent="0.25">
      <c r="B3717" s="24"/>
      <c r="E3717" s="24"/>
      <c r="G3717" s="24"/>
      <c r="H3717" s="24"/>
      <c r="J3717" s="24"/>
      <c r="K3717" s="24"/>
      <c r="M3717" s="24"/>
      <c r="N3717" s="24"/>
      <c r="P3717" s="24"/>
    </row>
    <row r="3718" spans="2:16" x14ac:dyDescent="0.25">
      <c r="B3718" s="24"/>
      <c r="E3718" s="24"/>
      <c r="G3718" s="24"/>
      <c r="H3718" s="24"/>
      <c r="J3718" s="24"/>
      <c r="K3718" s="24"/>
      <c r="M3718" s="24"/>
      <c r="N3718" s="24"/>
      <c r="P3718" s="24"/>
    </row>
    <row r="3719" spans="2:16" x14ac:dyDescent="0.25">
      <c r="B3719" s="24"/>
      <c r="E3719" s="24"/>
      <c r="G3719" s="24"/>
      <c r="H3719" s="24"/>
      <c r="J3719" s="24"/>
      <c r="K3719" s="24"/>
      <c r="M3719" s="24"/>
      <c r="N3719" s="24"/>
      <c r="P3719" s="24"/>
    </row>
    <row r="3720" spans="2:16" x14ac:dyDescent="0.25">
      <c r="B3720" s="24"/>
      <c r="E3720" s="24"/>
      <c r="G3720" s="24"/>
      <c r="H3720" s="24"/>
      <c r="J3720" s="24"/>
      <c r="K3720" s="24"/>
      <c r="M3720" s="24"/>
      <c r="N3720" s="24"/>
      <c r="P3720" s="24"/>
    </row>
    <row r="3721" spans="2:16" x14ac:dyDescent="0.25">
      <c r="B3721" s="24"/>
      <c r="E3721" s="24"/>
      <c r="G3721" s="24"/>
      <c r="H3721" s="24"/>
      <c r="J3721" s="24"/>
      <c r="K3721" s="24"/>
      <c r="M3721" s="24"/>
      <c r="N3721" s="24"/>
      <c r="P3721" s="24"/>
    </row>
    <row r="3722" spans="2:16" x14ac:dyDescent="0.25">
      <c r="B3722" s="24"/>
      <c r="E3722" s="24"/>
      <c r="G3722" s="24"/>
      <c r="H3722" s="24"/>
      <c r="J3722" s="24"/>
      <c r="K3722" s="24"/>
      <c r="M3722" s="24"/>
      <c r="N3722" s="24"/>
      <c r="P3722" s="24"/>
    </row>
    <row r="3723" spans="2:16" x14ac:dyDescent="0.25">
      <c r="B3723" s="24"/>
      <c r="E3723" s="24"/>
      <c r="G3723" s="24"/>
      <c r="H3723" s="24"/>
      <c r="J3723" s="24"/>
      <c r="K3723" s="24"/>
      <c r="M3723" s="24"/>
      <c r="N3723" s="24"/>
      <c r="P3723" s="24"/>
    </row>
    <row r="3724" spans="2:16" x14ac:dyDescent="0.25">
      <c r="B3724" s="24"/>
      <c r="E3724" s="24"/>
      <c r="G3724" s="24"/>
      <c r="H3724" s="24"/>
      <c r="J3724" s="24"/>
      <c r="K3724" s="24"/>
      <c r="M3724" s="24"/>
      <c r="N3724" s="24"/>
      <c r="P3724" s="24"/>
    </row>
    <row r="3725" spans="2:16" x14ac:dyDescent="0.25">
      <c r="B3725" s="24"/>
      <c r="E3725" s="24"/>
      <c r="G3725" s="24"/>
      <c r="H3725" s="24"/>
      <c r="J3725" s="24"/>
      <c r="K3725" s="24"/>
      <c r="M3725" s="24"/>
      <c r="N3725" s="24"/>
      <c r="P3725" s="24"/>
    </row>
    <row r="3726" spans="2:16" x14ac:dyDescent="0.25">
      <c r="B3726" s="24"/>
      <c r="E3726" s="24"/>
      <c r="G3726" s="24"/>
      <c r="H3726" s="24"/>
      <c r="J3726" s="24"/>
      <c r="K3726" s="24"/>
      <c r="M3726" s="24"/>
      <c r="N3726" s="24"/>
      <c r="P3726" s="24"/>
    </row>
    <row r="3727" spans="2:16" x14ac:dyDescent="0.25">
      <c r="B3727" s="24"/>
      <c r="E3727" s="24"/>
      <c r="G3727" s="24"/>
      <c r="H3727" s="24"/>
      <c r="J3727" s="24"/>
      <c r="K3727" s="24"/>
      <c r="M3727" s="24"/>
      <c r="N3727" s="24"/>
      <c r="P3727" s="24"/>
    </row>
    <row r="3728" spans="2:16" x14ac:dyDescent="0.25">
      <c r="B3728" s="24"/>
      <c r="E3728" s="24"/>
      <c r="G3728" s="24"/>
      <c r="H3728" s="24"/>
      <c r="J3728" s="24"/>
      <c r="K3728" s="24"/>
      <c r="M3728" s="24"/>
      <c r="N3728" s="24"/>
      <c r="P3728" s="24"/>
    </row>
    <row r="3729" spans="2:16" x14ac:dyDescent="0.25">
      <c r="B3729" s="24"/>
      <c r="E3729" s="24"/>
      <c r="G3729" s="24"/>
      <c r="H3729" s="24"/>
      <c r="J3729" s="24"/>
      <c r="K3729" s="24"/>
      <c r="M3729" s="24"/>
      <c r="N3729" s="24"/>
      <c r="P3729" s="24"/>
    </row>
    <row r="3730" spans="2:16" x14ac:dyDescent="0.25">
      <c r="B3730" s="24"/>
      <c r="E3730" s="24"/>
      <c r="G3730" s="24"/>
      <c r="H3730" s="24"/>
      <c r="J3730" s="24"/>
      <c r="K3730" s="24"/>
      <c r="M3730" s="24"/>
      <c r="N3730" s="24"/>
      <c r="P3730" s="24"/>
    </row>
    <row r="3731" spans="2:16" x14ac:dyDescent="0.25">
      <c r="B3731" s="24"/>
      <c r="E3731" s="24"/>
      <c r="G3731" s="24"/>
      <c r="H3731" s="24"/>
      <c r="J3731" s="24"/>
      <c r="K3731" s="24"/>
      <c r="M3731" s="24"/>
      <c r="N3731" s="24"/>
      <c r="P3731" s="24"/>
    </row>
    <row r="3732" spans="2:16" x14ac:dyDescent="0.25">
      <c r="B3732" s="24"/>
      <c r="E3732" s="24"/>
      <c r="G3732" s="24"/>
      <c r="H3732" s="24"/>
      <c r="J3732" s="24"/>
      <c r="K3732" s="24"/>
      <c r="M3732" s="24"/>
      <c r="N3732" s="24"/>
      <c r="P3732" s="24"/>
    </row>
    <row r="3733" spans="2:16" x14ac:dyDescent="0.25">
      <c r="B3733" s="24"/>
      <c r="E3733" s="24"/>
      <c r="G3733" s="24"/>
      <c r="H3733" s="24"/>
      <c r="J3733" s="24"/>
      <c r="K3733" s="24"/>
      <c r="M3733" s="24"/>
      <c r="N3733" s="24"/>
      <c r="P3733" s="24"/>
    </row>
    <row r="3734" spans="2:16" x14ac:dyDescent="0.25">
      <c r="B3734" s="24"/>
      <c r="E3734" s="24"/>
      <c r="G3734" s="24"/>
      <c r="H3734" s="24"/>
      <c r="J3734" s="24"/>
      <c r="K3734" s="24"/>
      <c r="M3734" s="24"/>
      <c r="N3734" s="24"/>
      <c r="P3734" s="24"/>
    </row>
    <row r="3735" spans="2:16" x14ac:dyDescent="0.25">
      <c r="B3735" s="24"/>
      <c r="E3735" s="24"/>
      <c r="G3735" s="24"/>
      <c r="H3735" s="24"/>
      <c r="J3735" s="24"/>
      <c r="K3735" s="24"/>
      <c r="M3735" s="24"/>
      <c r="N3735" s="24"/>
      <c r="P3735" s="24"/>
    </row>
    <row r="3736" spans="2:16" x14ac:dyDescent="0.25">
      <c r="B3736" s="24"/>
      <c r="E3736" s="24"/>
      <c r="G3736" s="24"/>
      <c r="H3736" s="24"/>
      <c r="J3736" s="24"/>
      <c r="K3736" s="24"/>
      <c r="M3736" s="24"/>
      <c r="N3736" s="24"/>
      <c r="P3736" s="24"/>
    </row>
    <row r="3737" spans="2:16" x14ac:dyDescent="0.25">
      <c r="B3737" s="24"/>
      <c r="E3737" s="24"/>
      <c r="G3737" s="24"/>
      <c r="H3737" s="24"/>
      <c r="J3737" s="24"/>
      <c r="K3737" s="24"/>
      <c r="M3737" s="24"/>
      <c r="N3737" s="24"/>
      <c r="P3737" s="24"/>
    </row>
    <row r="3738" spans="2:16" x14ac:dyDescent="0.25">
      <c r="B3738" s="24"/>
      <c r="E3738" s="24"/>
      <c r="G3738" s="24"/>
      <c r="H3738" s="24"/>
      <c r="J3738" s="24"/>
      <c r="K3738" s="24"/>
      <c r="M3738" s="24"/>
      <c r="N3738" s="24"/>
      <c r="P3738" s="24"/>
    </row>
    <row r="3739" spans="2:16" x14ac:dyDescent="0.25">
      <c r="B3739" s="24"/>
      <c r="E3739" s="24"/>
      <c r="G3739" s="24"/>
      <c r="H3739" s="24"/>
      <c r="J3739" s="24"/>
      <c r="K3739" s="24"/>
      <c r="M3739" s="24"/>
      <c r="N3739" s="24"/>
      <c r="P3739" s="24"/>
    </row>
    <row r="3740" spans="2:16" x14ac:dyDescent="0.25">
      <c r="B3740" s="24"/>
      <c r="E3740" s="24"/>
      <c r="G3740" s="24"/>
      <c r="H3740" s="24"/>
      <c r="J3740" s="24"/>
      <c r="K3740" s="24"/>
      <c r="M3740" s="24"/>
      <c r="N3740" s="24"/>
      <c r="P3740" s="24"/>
    </row>
    <row r="3741" spans="2:16" x14ac:dyDescent="0.25">
      <c r="B3741" s="24"/>
      <c r="E3741" s="24"/>
      <c r="G3741" s="24"/>
      <c r="H3741" s="24"/>
      <c r="J3741" s="24"/>
      <c r="K3741" s="24"/>
      <c r="M3741" s="24"/>
      <c r="N3741" s="24"/>
      <c r="P3741" s="24"/>
    </row>
    <row r="3742" spans="2:16" x14ac:dyDescent="0.25">
      <c r="B3742" s="24"/>
      <c r="E3742" s="24"/>
      <c r="G3742" s="24"/>
      <c r="H3742" s="24"/>
      <c r="J3742" s="24"/>
      <c r="K3742" s="24"/>
      <c r="M3742" s="24"/>
      <c r="N3742" s="24"/>
      <c r="P3742" s="24"/>
    </row>
    <row r="3743" spans="2:16" x14ac:dyDescent="0.25">
      <c r="B3743" s="24"/>
      <c r="E3743" s="24"/>
      <c r="G3743" s="24"/>
      <c r="H3743" s="24"/>
      <c r="J3743" s="24"/>
      <c r="K3743" s="24"/>
      <c r="M3743" s="24"/>
      <c r="N3743" s="24"/>
      <c r="P3743" s="24"/>
    </row>
    <row r="3744" spans="2:16" x14ac:dyDescent="0.25">
      <c r="B3744" s="24"/>
      <c r="E3744" s="24"/>
      <c r="G3744" s="24"/>
      <c r="H3744" s="24"/>
      <c r="J3744" s="24"/>
      <c r="K3744" s="24"/>
      <c r="M3744" s="24"/>
      <c r="N3744" s="24"/>
      <c r="P3744" s="24"/>
    </row>
    <row r="3745" spans="2:16" x14ac:dyDescent="0.25">
      <c r="B3745" s="24"/>
      <c r="E3745" s="24"/>
      <c r="G3745" s="24"/>
      <c r="H3745" s="24"/>
      <c r="J3745" s="24"/>
      <c r="K3745" s="24"/>
      <c r="M3745" s="24"/>
      <c r="N3745" s="24"/>
      <c r="P3745" s="24"/>
    </row>
    <row r="3746" spans="2:16" x14ac:dyDescent="0.25">
      <c r="B3746" s="24"/>
      <c r="E3746" s="24"/>
      <c r="G3746" s="24"/>
      <c r="H3746" s="24"/>
      <c r="J3746" s="24"/>
      <c r="K3746" s="24"/>
      <c r="M3746" s="24"/>
      <c r="N3746" s="24"/>
      <c r="P3746" s="24"/>
    </row>
    <row r="3747" spans="2:16" x14ac:dyDescent="0.25">
      <c r="B3747" s="24"/>
      <c r="E3747" s="24"/>
      <c r="G3747" s="24"/>
      <c r="H3747" s="24"/>
      <c r="J3747" s="24"/>
      <c r="K3747" s="24"/>
      <c r="M3747" s="24"/>
      <c r="N3747" s="24"/>
      <c r="P3747" s="24"/>
    </row>
    <row r="3748" spans="2:16" x14ac:dyDescent="0.25">
      <c r="B3748" s="24"/>
      <c r="E3748" s="24"/>
      <c r="G3748" s="24"/>
      <c r="H3748" s="24"/>
      <c r="J3748" s="24"/>
      <c r="K3748" s="24"/>
      <c r="M3748" s="24"/>
      <c r="N3748" s="24"/>
      <c r="P3748" s="24"/>
    </row>
    <row r="3749" spans="2:16" x14ac:dyDescent="0.25">
      <c r="B3749" s="24"/>
      <c r="E3749" s="24"/>
      <c r="G3749" s="24"/>
      <c r="H3749" s="24"/>
      <c r="J3749" s="24"/>
      <c r="K3749" s="24"/>
      <c r="M3749" s="24"/>
      <c r="N3749" s="24"/>
      <c r="P3749" s="24"/>
    </row>
    <row r="3750" spans="2:16" x14ac:dyDescent="0.25">
      <c r="B3750" s="24"/>
      <c r="E3750" s="24"/>
      <c r="G3750" s="24"/>
      <c r="H3750" s="24"/>
      <c r="J3750" s="24"/>
      <c r="K3750" s="24"/>
      <c r="M3750" s="24"/>
      <c r="N3750" s="24"/>
      <c r="P3750" s="24"/>
    </row>
    <row r="3751" spans="2:16" x14ac:dyDescent="0.25">
      <c r="B3751" s="24"/>
      <c r="E3751" s="24"/>
      <c r="G3751" s="24"/>
      <c r="H3751" s="24"/>
      <c r="J3751" s="24"/>
      <c r="K3751" s="24"/>
      <c r="M3751" s="24"/>
      <c r="N3751" s="24"/>
      <c r="P3751" s="24"/>
    </row>
    <row r="3752" spans="2:16" x14ac:dyDescent="0.25">
      <c r="B3752" s="24"/>
      <c r="E3752" s="24"/>
      <c r="G3752" s="24"/>
      <c r="H3752" s="24"/>
      <c r="J3752" s="24"/>
      <c r="K3752" s="24"/>
      <c r="M3752" s="24"/>
      <c r="N3752" s="24"/>
      <c r="P3752" s="24"/>
    </row>
    <row r="3753" spans="2:16" x14ac:dyDescent="0.25">
      <c r="B3753" s="24"/>
      <c r="E3753" s="24"/>
      <c r="G3753" s="24"/>
      <c r="H3753" s="24"/>
      <c r="J3753" s="24"/>
      <c r="K3753" s="24"/>
      <c r="M3753" s="24"/>
      <c r="N3753" s="24"/>
      <c r="P3753" s="24"/>
    </row>
    <row r="3754" spans="2:16" x14ac:dyDescent="0.25">
      <c r="B3754" s="24"/>
      <c r="E3754" s="24"/>
      <c r="G3754" s="24"/>
      <c r="H3754" s="24"/>
      <c r="J3754" s="24"/>
      <c r="K3754" s="24"/>
      <c r="M3754" s="24"/>
      <c r="N3754" s="24"/>
      <c r="P3754" s="24"/>
    </row>
    <row r="3755" spans="2:16" x14ac:dyDescent="0.25">
      <c r="B3755" s="24"/>
      <c r="E3755" s="24"/>
      <c r="G3755" s="24"/>
      <c r="H3755" s="24"/>
      <c r="J3755" s="24"/>
      <c r="K3755" s="24"/>
      <c r="M3755" s="24"/>
      <c r="N3755" s="24"/>
      <c r="P3755" s="24"/>
    </row>
    <row r="3756" spans="2:16" x14ac:dyDescent="0.25">
      <c r="B3756" s="24"/>
      <c r="E3756" s="24"/>
      <c r="G3756" s="24"/>
      <c r="H3756" s="24"/>
      <c r="J3756" s="24"/>
      <c r="K3756" s="24"/>
      <c r="M3756" s="24"/>
      <c r="N3756" s="24"/>
      <c r="P3756" s="24"/>
    </row>
    <row r="3757" spans="2:16" x14ac:dyDescent="0.25">
      <c r="B3757" s="24"/>
      <c r="E3757" s="24"/>
      <c r="G3757" s="24"/>
      <c r="H3757" s="24"/>
      <c r="J3757" s="24"/>
      <c r="K3757" s="24"/>
      <c r="M3757" s="24"/>
      <c r="N3757" s="24"/>
      <c r="P3757" s="24"/>
    </row>
    <row r="3758" spans="2:16" x14ac:dyDescent="0.25">
      <c r="B3758" s="24"/>
      <c r="E3758" s="24"/>
      <c r="G3758" s="24"/>
      <c r="H3758" s="24"/>
      <c r="J3758" s="24"/>
      <c r="K3758" s="24"/>
      <c r="M3758" s="24"/>
      <c r="N3758" s="24"/>
      <c r="P3758" s="24"/>
    </row>
    <row r="3759" spans="2:16" x14ac:dyDescent="0.25">
      <c r="B3759" s="24"/>
      <c r="E3759" s="24"/>
      <c r="G3759" s="24"/>
      <c r="H3759" s="24"/>
      <c r="J3759" s="24"/>
      <c r="K3759" s="24"/>
      <c r="M3759" s="24"/>
      <c r="N3759" s="24"/>
      <c r="P3759" s="24"/>
    </row>
    <row r="3760" spans="2:16" x14ac:dyDescent="0.25">
      <c r="B3760" s="24"/>
      <c r="E3760" s="24"/>
      <c r="G3760" s="24"/>
      <c r="H3760" s="24"/>
      <c r="J3760" s="24"/>
      <c r="K3760" s="24"/>
      <c r="M3760" s="24"/>
      <c r="N3760" s="24"/>
      <c r="P3760" s="24"/>
    </row>
    <row r="3761" spans="2:16" x14ac:dyDescent="0.25">
      <c r="B3761" s="24"/>
      <c r="E3761" s="24"/>
      <c r="G3761" s="24"/>
      <c r="H3761" s="24"/>
      <c r="J3761" s="24"/>
      <c r="K3761" s="24"/>
      <c r="M3761" s="24"/>
      <c r="N3761" s="24"/>
      <c r="P3761" s="24"/>
    </row>
    <row r="3762" spans="2:16" x14ac:dyDescent="0.25">
      <c r="B3762" s="24"/>
      <c r="E3762" s="24"/>
      <c r="G3762" s="24"/>
      <c r="H3762" s="24"/>
      <c r="J3762" s="24"/>
      <c r="K3762" s="24"/>
      <c r="M3762" s="24"/>
      <c r="N3762" s="24"/>
      <c r="P3762" s="24"/>
    </row>
    <row r="3763" spans="2:16" x14ac:dyDescent="0.25">
      <c r="B3763" s="24"/>
      <c r="E3763" s="24"/>
      <c r="G3763" s="24"/>
      <c r="H3763" s="24"/>
      <c r="J3763" s="24"/>
      <c r="K3763" s="24"/>
      <c r="M3763" s="24"/>
      <c r="N3763" s="24"/>
      <c r="P3763" s="24"/>
    </row>
    <row r="3764" spans="2:16" x14ac:dyDescent="0.25">
      <c r="B3764" s="24"/>
      <c r="E3764" s="24"/>
      <c r="G3764" s="24"/>
      <c r="H3764" s="24"/>
      <c r="J3764" s="24"/>
      <c r="K3764" s="24"/>
      <c r="M3764" s="24"/>
      <c r="N3764" s="24"/>
      <c r="P3764" s="24"/>
    </row>
    <row r="3765" spans="2:16" x14ac:dyDescent="0.25">
      <c r="B3765" s="24"/>
      <c r="E3765" s="24"/>
      <c r="G3765" s="24"/>
      <c r="H3765" s="24"/>
      <c r="J3765" s="24"/>
      <c r="K3765" s="24"/>
      <c r="M3765" s="24"/>
      <c r="N3765" s="24"/>
      <c r="P3765" s="24"/>
    </row>
    <row r="3766" spans="2:16" x14ac:dyDescent="0.25">
      <c r="B3766" s="24"/>
      <c r="E3766" s="24"/>
      <c r="G3766" s="24"/>
      <c r="H3766" s="24"/>
      <c r="J3766" s="24"/>
      <c r="K3766" s="24"/>
      <c r="M3766" s="24"/>
      <c r="N3766" s="24"/>
      <c r="P3766" s="24"/>
    </row>
    <row r="3767" spans="2:16" x14ac:dyDescent="0.25">
      <c r="B3767" s="24"/>
      <c r="E3767" s="24"/>
      <c r="G3767" s="24"/>
      <c r="H3767" s="24"/>
      <c r="J3767" s="24"/>
      <c r="K3767" s="24"/>
      <c r="M3767" s="24"/>
      <c r="N3767" s="24"/>
      <c r="P3767" s="24"/>
    </row>
    <row r="3768" spans="2:16" x14ac:dyDescent="0.25">
      <c r="B3768" s="24"/>
      <c r="E3768" s="24"/>
      <c r="G3768" s="24"/>
      <c r="H3768" s="24"/>
      <c r="J3768" s="24"/>
      <c r="K3768" s="24"/>
      <c r="M3768" s="24"/>
      <c r="N3768" s="24"/>
      <c r="P3768" s="24"/>
    </row>
    <row r="3769" spans="2:16" x14ac:dyDescent="0.25">
      <c r="B3769" s="24"/>
      <c r="E3769" s="24"/>
      <c r="G3769" s="24"/>
      <c r="H3769" s="24"/>
      <c r="J3769" s="24"/>
      <c r="K3769" s="24"/>
      <c r="M3769" s="24"/>
      <c r="N3769" s="24"/>
      <c r="P3769" s="24"/>
    </row>
    <row r="3770" spans="2:16" x14ac:dyDescent="0.25">
      <c r="B3770" s="24"/>
      <c r="E3770" s="24"/>
      <c r="G3770" s="24"/>
      <c r="H3770" s="24"/>
      <c r="J3770" s="24"/>
      <c r="K3770" s="24"/>
      <c r="M3770" s="24"/>
      <c r="N3770" s="24"/>
      <c r="P3770" s="24"/>
    </row>
    <row r="3771" spans="2:16" x14ac:dyDescent="0.25">
      <c r="B3771" s="24"/>
      <c r="E3771" s="24"/>
      <c r="G3771" s="24"/>
      <c r="H3771" s="24"/>
      <c r="J3771" s="24"/>
      <c r="K3771" s="24"/>
      <c r="M3771" s="24"/>
      <c r="N3771" s="24"/>
      <c r="P3771" s="24"/>
    </row>
    <row r="3772" spans="2:16" x14ac:dyDescent="0.25">
      <c r="B3772" s="24"/>
      <c r="E3772" s="24"/>
      <c r="G3772" s="24"/>
      <c r="H3772" s="24"/>
      <c r="J3772" s="24"/>
      <c r="K3772" s="24"/>
      <c r="M3772" s="24"/>
      <c r="N3772" s="24"/>
      <c r="P3772" s="24"/>
    </row>
    <row r="3773" spans="2:16" x14ac:dyDescent="0.25">
      <c r="B3773" s="24"/>
      <c r="E3773" s="24"/>
      <c r="G3773" s="24"/>
      <c r="H3773" s="24"/>
      <c r="J3773" s="24"/>
      <c r="K3773" s="24"/>
      <c r="M3773" s="24"/>
      <c r="N3773" s="24"/>
      <c r="P3773" s="24"/>
    </row>
    <row r="3774" spans="2:16" x14ac:dyDescent="0.25">
      <c r="B3774" s="24"/>
      <c r="E3774" s="24"/>
      <c r="G3774" s="24"/>
      <c r="H3774" s="24"/>
      <c r="J3774" s="24"/>
      <c r="K3774" s="24"/>
      <c r="M3774" s="24"/>
      <c r="N3774" s="24"/>
      <c r="P3774" s="24"/>
    </row>
    <row r="3775" spans="2:16" x14ac:dyDescent="0.25">
      <c r="B3775" s="24"/>
      <c r="E3775" s="24"/>
      <c r="G3775" s="24"/>
      <c r="H3775" s="24"/>
      <c r="J3775" s="24"/>
      <c r="K3775" s="24"/>
      <c r="M3775" s="24"/>
      <c r="N3775" s="24"/>
      <c r="P3775" s="24"/>
    </row>
    <row r="3776" spans="2:16" x14ac:dyDescent="0.25">
      <c r="B3776" s="24"/>
      <c r="E3776" s="24"/>
      <c r="G3776" s="24"/>
      <c r="H3776" s="24"/>
      <c r="J3776" s="24"/>
      <c r="K3776" s="24"/>
      <c r="M3776" s="24"/>
      <c r="N3776" s="24"/>
      <c r="P3776" s="24"/>
    </row>
    <row r="3777" spans="2:16" x14ac:dyDescent="0.25">
      <c r="B3777" s="24"/>
      <c r="E3777" s="24"/>
      <c r="G3777" s="24"/>
      <c r="H3777" s="24"/>
      <c r="J3777" s="24"/>
      <c r="K3777" s="24"/>
      <c r="M3777" s="24"/>
      <c r="N3777" s="24"/>
      <c r="P3777" s="24"/>
    </row>
    <row r="3778" spans="2:16" x14ac:dyDescent="0.25">
      <c r="B3778" s="24"/>
      <c r="E3778" s="24"/>
      <c r="G3778" s="24"/>
      <c r="H3778" s="24"/>
      <c r="J3778" s="24"/>
      <c r="K3778" s="24"/>
      <c r="M3778" s="24"/>
      <c r="N3778" s="24"/>
      <c r="P3778" s="24"/>
    </row>
    <row r="3779" spans="2:16" x14ac:dyDescent="0.25">
      <c r="B3779" s="24"/>
      <c r="E3779" s="24"/>
      <c r="G3779" s="24"/>
      <c r="H3779" s="24"/>
      <c r="J3779" s="24"/>
      <c r="K3779" s="24"/>
      <c r="M3779" s="24"/>
      <c r="N3779" s="24"/>
      <c r="P3779" s="24"/>
    </row>
    <row r="3780" spans="2:16" x14ac:dyDescent="0.25">
      <c r="B3780" s="24"/>
      <c r="E3780" s="24"/>
      <c r="G3780" s="24"/>
      <c r="H3780" s="24"/>
      <c r="J3780" s="24"/>
      <c r="K3780" s="24"/>
      <c r="M3780" s="24"/>
      <c r="N3780" s="24"/>
      <c r="P3780" s="24"/>
    </row>
    <row r="3781" spans="2:16" x14ac:dyDescent="0.25">
      <c r="B3781" s="24"/>
      <c r="E3781" s="24"/>
      <c r="G3781" s="24"/>
      <c r="H3781" s="24"/>
      <c r="J3781" s="24"/>
      <c r="K3781" s="24"/>
      <c r="M3781" s="24"/>
      <c r="N3781" s="24"/>
      <c r="P3781" s="24"/>
    </row>
    <row r="3782" spans="2:16" x14ac:dyDescent="0.25">
      <c r="B3782" s="24"/>
      <c r="E3782" s="24"/>
      <c r="G3782" s="24"/>
      <c r="H3782" s="24"/>
      <c r="J3782" s="24"/>
      <c r="K3782" s="24"/>
      <c r="M3782" s="24"/>
      <c r="N3782" s="24"/>
      <c r="P3782" s="24"/>
    </row>
    <row r="3783" spans="2:16" x14ac:dyDescent="0.25">
      <c r="B3783" s="24"/>
      <c r="E3783" s="24"/>
      <c r="G3783" s="24"/>
      <c r="H3783" s="24"/>
      <c r="J3783" s="24"/>
      <c r="K3783" s="24"/>
      <c r="M3783" s="24"/>
      <c r="N3783" s="24"/>
      <c r="P3783" s="24"/>
    </row>
    <row r="3784" spans="2:16" x14ac:dyDescent="0.25">
      <c r="B3784" s="24"/>
      <c r="E3784" s="24"/>
      <c r="G3784" s="24"/>
      <c r="H3784" s="24"/>
      <c r="J3784" s="24"/>
      <c r="K3784" s="24"/>
      <c r="M3784" s="24"/>
      <c r="N3784" s="24"/>
      <c r="P3784" s="24"/>
    </row>
    <row r="3785" spans="2:16" x14ac:dyDescent="0.25">
      <c r="B3785" s="24"/>
      <c r="E3785" s="24"/>
      <c r="G3785" s="24"/>
      <c r="H3785" s="24"/>
      <c r="J3785" s="24"/>
      <c r="K3785" s="24"/>
      <c r="M3785" s="24"/>
      <c r="N3785" s="24"/>
      <c r="P3785" s="24"/>
    </row>
    <row r="3786" spans="2:16" x14ac:dyDescent="0.25">
      <c r="B3786" s="24"/>
      <c r="E3786" s="24"/>
      <c r="G3786" s="24"/>
      <c r="H3786" s="24"/>
      <c r="J3786" s="24"/>
      <c r="K3786" s="24"/>
      <c r="M3786" s="24"/>
      <c r="N3786" s="24"/>
      <c r="P3786" s="24"/>
    </row>
    <row r="3787" spans="2:16" x14ac:dyDescent="0.25">
      <c r="B3787" s="24"/>
      <c r="E3787" s="24"/>
      <c r="G3787" s="24"/>
      <c r="H3787" s="24"/>
      <c r="J3787" s="24"/>
      <c r="K3787" s="24"/>
      <c r="M3787" s="24"/>
      <c r="N3787" s="24"/>
      <c r="P3787" s="24"/>
    </row>
    <row r="3788" spans="2:16" x14ac:dyDescent="0.25">
      <c r="B3788" s="24"/>
      <c r="E3788" s="24"/>
      <c r="G3788" s="24"/>
      <c r="H3788" s="24"/>
      <c r="J3788" s="24"/>
      <c r="K3788" s="24"/>
      <c r="M3788" s="24"/>
      <c r="N3788" s="24"/>
      <c r="P3788" s="24"/>
    </row>
    <row r="3789" spans="2:16" x14ac:dyDescent="0.25">
      <c r="B3789" s="24"/>
      <c r="E3789" s="24"/>
      <c r="G3789" s="24"/>
      <c r="H3789" s="24"/>
      <c r="J3789" s="24"/>
      <c r="K3789" s="24"/>
      <c r="M3789" s="24"/>
      <c r="N3789" s="24"/>
      <c r="P3789" s="24"/>
    </row>
    <row r="3790" spans="2:16" x14ac:dyDescent="0.25">
      <c r="B3790" s="24"/>
      <c r="E3790" s="24"/>
      <c r="G3790" s="24"/>
      <c r="H3790" s="24"/>
      <c r="J3790" s="24"/>
      <c r="K3790" s="24"/>
      <c r="M3790" s="24"/>
      <c r="N3790" s="24"/>
      <c r="P3790" s="24"/>
    </row>
    <row r="3791" spans="2:16" x14ac:dyDescent="0.25">
      <c r="B3791" s="24"/>
      <c r="E3791" s="24"/>
      <c r="G3791" s="24"/>
      <c r="H3791" s="24"/>
      <c r="J3791" s="24"/>
      <c r="K3791" s="24"/>
      <c r="M3791" s="24"/>
      <c r="N3791" s="24"/>
      <c r="P3791" s="24"/>
    </row>
    <row r="3792" spans="2:16" x14ac:dyDescent="0.25">
      <c r="B3792" s="24"/>
      <c r="E3792" s="24"/>
      <c r="G3792" s="24"/>
      <c r="H3792" s="24"/>
      <c r="J3792" s="24"/>
      <c r="K3792" s="24"/>
      <c r="M3792" s="24"/>
      <c r="N3792" s="24"/>
      <c r="P3792" s="24"/>
    </row>
    <row r="3793" spans="2:16" x14ac:dyDescent="0.25">
      <c r="B3793" s="24"/>
      <c r="E3793" s="24"/>
      <c r="G3793" s="24"/>
      <c r="H3793" s="24"/>
      <c r="J3793" s="24"/>
      <c r="K3793" s="24"/>
      <c r="M3793" s="24"/>
      <c r="N3793" s="24"/>
      <c r="P3793" s="24"/>
    </row>
    <row r="3794" spans="2:16" x14ac:dyDescent="0.25">
      <c r="B3794" s="24"/>
      <c r="E3794" s="24"/>
      <c r="G3794" s="24"/>
      <c r="H3794" s="24"/>
      <c r="J3794" s="24"/>
      <c r="K3794" s="24"/>
      <c r="M3794" s="24"/>
      <c r="N3794" s="24"/>
      <c r="P3794" s="24"/>
    </row>
    <row r="3795" spans="2:16" x14ac:dyDescent="0.25">
      <c r="B3795" s="24"/>
      <c r="E3795" s="24"/>
      <c r="G3795" s="24"/>
      <c r="H3795" s="24"/>
      <c r="J3795" s="24"/>
      <c r="K3795" s="24"/>
      <c r="M3795" s="24"/>
      <c r="N3795" s="24"/>
      <c r="P3795" s="24"/>
    </row>
    <row r="3796" spans="2:16" x14ac:dyDescent="0.25">
      <c r="B3796" s="24"/>
      <c r="E3796" s="24"/>
      <c r="G3796" s="24"/>
      <c r="H3796" s="24"/>
      <c r="J3796" s="24"/>
      <c r="K3796" s="24"/>
      <c r="M3796" s="24"/>
      <c r="N3796" s="24"/>
      <c r="P3796" s="24"/>
    </row>
    <row r="3797" spans="2:16" x14ac:dyDescent="0.25">
      <c r="B3797" s="24"/>
      <c r="E3797" s="24"/>
      <c r="G3797" s="24"/>
      <c r="H3797" s="24"/>
      <c r="J3797" s="24"/>
      <c r="K3797" s="24"/>
      <c r="M3797" s="24"/>
      <c r="N3797" s="24"/>
      <c r="P3797" s="24"/>
    </row>
    <row r="3798" spans="2:16" x14ac:dyDescent="0.25">
      <c r="B3798" s="24"/>
      <c r="E3798" s="24"/>
      <c r="G3798" s="24"/>
      <c r="H3798" s="24"/>
      <c r="J3798" s="24"/>
      <c r="K3798" s="24"/>
      <c r="M3798" s="24"/>
      <c r="N3798" s="24"/>
      <c r="P3798" s="24"/>
    </row>
    <row r="3799" spans="2:16" x14ac:dyDescent="0.25">
      <c r="B3799" s="24"/>
      <c r="E3799" s="24"/>
      <c r="G3799" s="24"/>
      <c r="H3799" s="24"/>
      <c r="J3799" s="24"/>
      <c r="K3799" s="24"/>
      <c r="M3799" s="24"/>
      <c r="N3799" s="24"/>
      <c r="P3799" s="24"/>
    </row>
    <row r="3800" spans="2:16" x14ac:dyDescent="0.25">
      <c r="B3800" s="24"/>
      <c r="E3800" s="24"/>
      <c r="G3800" s="24"/>
      <c r="H3800" s="24"/>
      <c r="J3800" s="24"/>
      <c r="K3800" s="24"/>
      <c r="M3800" s="24"/>
      <c r="N3800" s="24"/>
      <c r="P3800" s="24"/>
    </row>
    <row r="3801" spans="2:16" x14ac:dyDescent="0.25">
      <c r="B3801" s="24"/>
      <c r="E3801" s="24"/>
      <c r="G3801" s="24"/>
      <c r="H3801" s="24"/>
      <c r="J3801" s="24"/>
      <c r="K3801" s="24"/>
      <c r="M3801" s="24"/>
      <c r="N3801" s="24"/>
      <c r="P3801" s="24"/>
    </row>
    <row r="3802" spans="2:16" x14ac:dyDescent="0.25">
      <c r="B3802" s="24"/>
      <c r="E3802" s="24"/>
      <c r="G3802" s="24"/>
      <c r="H3802" s="24"/>
      <c r="J3802" s="24"/>
      <c r="K3802" s="24"/>
      <c r="M3802" s="24"/>
      <c r="N3802" s="24"/>
      <c r="P3802" s="24"/>
    </row>
    <row r="3803" spans="2:16" x14ac:dyDescent="0.25">
      <c r="B3803" s="24"/>
      <c r="E3803" s="24"/>
      <c r="G3803" s="24"/>
      <c r="H3803" s="24"/>
      <c r="J3803" s="24"/>
      <c r="K3803" s="24"/>
      <c r="M3803" s="24"/>
      <c r="N3803" s="24"/>
      <c r="P3803" s="24"/>
    </row>
    <row r="3804" spans="2:16" x14ac:dyDescent="0.25">
      <c r="B3804" s="24"/>
      <c r="E3804" s="24"/>
      <c r="G3804" s="24"/>
      <c r="H3804" s="24"/>
      <c r="J3804" s="24"/>
      <c r="K3804" s="24"/>
      <c r="M3804" s="24"/>
      <c r="N3804" s="24"/>
      <c r="P3804" s="24"/>
    </row>
    <row r="3805" spans="2:16" x14ac:dyDescent="0.25">
      <c r="B3805" s="24"/>
      <c r="E3805" s="24"/>
      <c r="G3805" s="24"/>
      <c r="H3805" s="24"/>
      <c r="J3805" s="24"/>
      <c r="K3805" s="24"/>
      <c r="M3805" s="24"/>
      <c r="N3805" s="24"/>
      <c r="P3805" s="24"/>
    </row>
    <row r="3806" spans="2:16" x14ac:dyDescent="0.25">
      <c r="B3806" s="24"/>
      <c r="E3806" s="24"/>
      <c r="G3806" s="24"/>
      <c r="H3806" s="24"/>
      <c r="J3806" s="24"/>
      <c r="K3806" s="24"/>
      <c r="M3806" s="24"/>
      <c r="N3806" s="24"/>
      <c r="P3806" s="24"/>
    </row>
    <row r="3807" spans="2:16" x14ac:dyDescent="0.25">
      <c r="B3807" s="24"/>
      <c r="E3807" s="24"/>
      <c r="G3807" s="24"/>
      <c r="H3807" s="24"/>
      <c r="J3807" s="24"/>
      <c r="K3807" s="24"/>
      <c r="M3807" s="24"/>
      <c r="N3807" s="24"/>
      <c r="P3807" s="24"/>
    </row>
    <row r="3808" spans="2:16" x14ac:dyDescent="0.25">
      <c r="B3808" s="24"/>
      <c r="E3808" s="24"/>
      <c r="G3808" s="24"/>
      <c r="H3808" s="24"/>
      <c r="J3808" s="24"/>
      <c r="K3808" s="24"/>
      <c r="M3808" s="24"/>
      <c r="N3808" s="24"/>
      <c r="P3808" s="24"/>
    </row>
    <row r="3809" spans="2:16" x14ac:dyDescent="0.25">
      <c r="B3809" s="24"/>
      <c r="E3809" s="24"/>
      <c r="G3809" s="24"/>
      <c r="H3809" s="24"/>
      <c r="J3809" s="24"/>
      <c r="K3809" s="24"/>
      <c r="M3809" s="24"/>
      <c r="N3809" s="24"/>
      <c r="P3809" s="24"/>
    </row>
    <row r="3810" spans="2:16" x14ac:dyDescent="0.25">
      <c r="B3810" s="24"/>
      <c r="E3810" s="24"/>
      <c r="G3810" s="24"/>
      <c r="H3810" s="24"/>
      <c r="J3810" s="24"/>
      <c r="K3810" s="24"/>
      <c r="M3810" s="24"/>
      <c r="N3810" s="24"/>
      <c r="P3810" s="24"/>
    </row>
    <row r="3811" spans="2:16" x14ac:dyDescent="0.25">
      <c r="B3811" s="24"/>
      <c r="E3811" s="24"/>
      <c r="G3811" s="24"/>
      <c r="H3811" s="24"/>
      <c r="J3811" s="24"/>
      <c r="K3811" s="24"/>
      <c r="M3811" s="24"/>
      <c r="N3811" s="24"/>
      <c r="P3811" s="24"/>
    </row>
    <row r="3812" spans="2:16" x14ac:dyDescent="0.25">
      <c r="B3812" s="24"/>
      <c r="E3812" s="24"/>
      <c r="G3812" s="24"/>
      <c r="H3812" s="24"/>
      <c r="J3812" s="24"/>
      <c r="K3812" s="24"/>
      <c r="M3812" s="24"/>
      <c r="N3812" s="24"/>
      <c r="P3812" s="24"/>
    </row>
    <row r="3813" spans="2:16" x14ac:dyDescent="0.25">
      <c r="B3813" s="24"/>
      <c r="E3813" s="24"/>
      <c r="G3813" s="24"/>
      <c r="H3813" s="24"/>
      <c r="J3813" s="24"/>
      <c r="K3813" s="24"/>
      <c r="M3813" s="24"/>
      <c r="N3813" s="24"/>
      <c r="P3813" s="24"/>
    </row>
    <row r="3814" spans="2:16" x14ac:dyDescent="0.25">
      <c r="B3814" s="24"/>
      <c r="E3814" s="24"/>
      <c r="G3814" s="24"/>
      <c r="H3814" s="24"/>
      <c r="J3814" s="24"/>
      <c r="K3814" s="24"/>
      <c r="M3814" s="24"/>
      <c r="N3814" s="24"/>
      <c r="P3814" s="24"/>
    </row>
    <row r="3815" spans="2:16" x14ac:dyDescent="0.25">
      <c r="B3815" s="24"/>
      <c r="E3815" s="24"/>
      <c r="G3815" s="24"/>
      <c r="H3815" s="24"/>
      <c r="J3815" s="24"/>
      <c r="K3815" s="24"/>
      <c r="M3815" s="24"/>
      <c r="N3815" s="24"/>
      <c r="P3815" s="24"/>
    </row>
    <row r="3816" spans="2:16" x14ac:dyDescent="0.25">
      <c r="B3816" s="24"/>
      <c r="E3816" s="24"/>
      <c r="G3816" s="24"/>
      <c r="H3816" s="24"/>
      <c r="J3816" s="24"/>
      <c r="K3816" s="24"/>
      <c r="M3816" s="24"/>
      <c r="N3816" s="24"/>
      <c r="P3816" s="24"/>
    </row>
    <row r="3817" spans="2:16" x14ac:dyDescent="0.25">
      <c r="B3817" s="24"/>
      <c r="E3817" s="24"/>
      <c r="G3817" s="24"/>
      <c r="H3817" s="24"/>
      <c r="J3817" s="24"/>
      <c r="K3817" s="24"/>
      <c r="M3817" s="24"/>
      <c r="N3817" s="24"/>
      <c r="P3817" s="24"/>
    </row>
    <row r="3818" spans="2:16" x14ac:dyDescent="0.25">
      <c r="B3818" s="24"/>
      <c r="E3818" s="24"/>
      <c r="G3818" s="24"/>
      <c r="H3818" s="24"/>
      <c r="J3818" s="24"/>
      <c r="K3818" s="24"/>
      <c r="M3818" s="24"/>
      <c r="N3818" s="24"/>
      <c r="P3818" s="24"/>
    </row>
    <row r="3819" spans="2:16" x14ac:dyDescent="0.25">
      <c r="B3819" s="24"/>
      <c r="E3819" s="24"/>
      <c r="G3819" s="24"/>
      <c r="H3819" s="24"/>
      <c r="J3819" s="24"/>
      <c r="K3819" s="24"/>
      <c r="M3819" s="24"/>
      <c r="N3819" s="24"/>
      <c r="P3819" s="24"/>
    </row>
    <row r="3820" spans="2:16" x14ac:dyDescent="0.25">
      <c r="B3820" s="24"/>
      <c r="E3820" s="24"/>
      <c r="G3820" s="24"/>
      <c r="H3820" s="24"/>
      <c r="J3820" s="24"/>
      <c r="K3820" s="24"/>
      <c r="M3820" s="24"/>
      <c r="N3820" s="24"/>
      <c r="P3820" s="24"/>
    </row>
    <row r="3821" spans="2:16" x14ac:dyDescent="0.25">
      <c r="B3821" s="24"/>
      <c r="E3821" s="24"/>
      <c r="G3821" s="24"/>
      <c r="H3821" s="24"/>
      <c r="J3821" s="24"/>
      <c r="K3821" s="24"/>
      <c r="M3821" s="24"/>
      <c r="N3821" s="24"/>
      <c r="P3821" s="24"/>
    </row>
    <row r="3822" spans="2:16" x14ac:dyDescent="0.25">
      <c r="B3822" s="24"/>
      <c r="E3822" s="24"/>
      <c r="G3822" s="24"/>
      <c r="H3822" s="24"/>
      <c r="J3822" s="24"/>
      <c r="K3822" s="24"/>
      <c r="M3822" s="24"/>
      <c r="N3822" s="24"/>
      <c r="P3822" s="24"/>
    </row>
    <row r="3823" spans="2:16" x14ac:dyDescent="0.25">
      <c r="B3823" s="24"/>
      <c r="E3823" s="24"/>
      <c r="G3823" s="24"/>
      <c r="H3823" s="24"/>
      <c r="J3823" s="24"/>
      <c r="K3823" s="24"/>
      <c r="M3823" s="24"/>
      <c r="N3823" s="24"/>
      <c r="P3823" s="24"/>
    </row>
    <row r="3824" spans="2:16" x14ac:dyDescent="0.25">
      <c r="B3824" s="24"/>
      <c r="E3824" s="24"/>
      <c r="G3824" s="24"/>
      <c r="H3824" s="24"/>
      <c r="J3824" s="24"/>
      <c r="K3824" s="24"/>
      <c r="M3824" s="24"/>
      <c r="N3824" s="24"/>
      <c r="P3824" s="24"/>
    </row>
    <row r="3825" spans="2:16" x14ac:dyDescent="0.25">
      <c r="B3825" s="24"/>
      <c r="E3825" s="24"/>
      <c r="G3825" s="24"/>
      <c r="H3825" s="24"/>
      <c r="J3825" s="24"/>
      <c r="K3825" s="24"/>
      <c r="M3825" s="24"/>
      <c r="N3825" s="24"/>
      <c r="P3825" s="24"/>
    </row>
    <row r="3826" spans="2:16" x14ac:dyDescent="0.25">
      <c r="B3826" s="24"/>
      <c r="E3826" s="24"/>
      <c r="G3826" s="24"/>
      <c r="H3826" s="24"/>
      <c r="J3826" s="24"/>
      <c r="K3826" s="24"/>
      <c r="M3826" s="24"/>
      <c r="N3826" s="24"/>
      <c r="P3826" s="24"/>
    </row>
    <row r="3827" spans="2:16" x14ac:dyDescent="0.25">
      <c r="B3827" s="24"/>
      <c r="E3827" s="24"/>
      <c r="G3827" s="24"/>
      <c r="H3827" s="24"/>
      <c r="J3827" s="24"/>
      <c r="K3827" s="24"/>
      <c r="M3827" s="24"/>
      <c r="N3827" s="24"/>
      <c r="P3827" s="24"/>
    </row>
    <row r="3828" spans="2:16" x14ac:dyDescent="0.25">
      <c r="B3828" s="24"/>
      <c r="E3828" s="24"/>
      <c r="G3828" s="24"/>
      <c r="H3828" s="24"/>
      <c r="J3828" s="24"/>
      <c r="K3828" s="24"/>
      <c r="M3828" s="24"/>
      <c r="N3828" s="24"/>
      <c r="P3828" s="24"/>
    </row>
    <row r="3829" spans="2:16" x14ac:dyDescent="0.25">
      <c r="B3829" s="24"/>
      <c r="E3829" s="24"/>
      <c r="G3829" s="24"/>
      <c r="H3829" s="24"/>
      <c r="J3829" s="24"/>
      <c r="K3829" s="24"/>
      <c r="M3829" s="24"/>
      <c r="N3829" s="24"/>
      <c r="P3829" s="24"/>
    </row>
    <row r="3830" spans="2:16" x14ac:dyDescent="0.25">
      <c r="B3830" s="24"/>
      <c r="E3830" s="24"/>
      <c r="G3830" s="24"/>
      <c r="H3830" s="24"/>
      <c r="J3830" s="24"/>
      <c r="K3830" s="24"/>
      <c r="M3830" s="24"/>
      <c r="N3830" s="24"/>
      <c r="P3830" s="24"/>
    </row>
    <row r="3831" spans="2:16" x14ac:dyDescent="0.25">
      <c r="B3831" s="24"/>
      <c r="E3831" s="24"/>
      <c r="G3831" s="24"/>
      <c r="H3831" s="24"/>
      <c r="J3831" s="24"/>
      <c r="K3831" s="24"/>
      <c r="M3831" s="24"/>
      <c r="N3831" s="24"/>
      <c r="P3831" s="24"/>
    </row>
    <row r="3832" spans="2:16" x14ac:dyDescent="0.25">
      <c r="B3832" s="24"/>
      <c r="E3832" s="24"/>
      <c r="G3832" s="24"/>
      <c r="H3832" s="24"/>
      <c r="J3832" s="24"/>
      <c r="K3832" s="24"/>
      <c r="M3832" s="24"/>
      <c r="N3832" s="24"/>
      <c r="P3832" s="24"/>
    </row>
    <row r="3833" spans="2:16" x14ac:dyDescent="0.25">
      <c r="B3833" s="24"/>
      <c r="E3833" s="24"/>
      <c r="G3833" s="24"/>
      <c r="H3833" s="24"/>
      <c r="J3833" s="24"/>
      <c r="K3833" s="24"/>
      <c r="M3833" s="24"/>
      <c r="N3833" s="24"/>
      <c r="P3833" s="24"/>
    </row>
    <row r="3834" spans="2:16" x14ac:dyDescent="0.25">
      <c r="B3834" s="24"/>
      <c r="E3834" s="24"/>
      <c r="G3834" s="24"/>
      <c r="H3834" s="24"/>
      <c r="J3834" s="24"/>
      <c r="K3834" s="24"/>
      <c r="M3834" s="24"/>
      <c r="N3834" s="24"/>
      <c r="P3834" s="24"/>
    </row>
    <row r="3835" spans="2:16" x14ac:dyDescent="0.25">
      <c r="B3835" s="24"/>
      <c r="E3835" s="24"/>
      <c r="G3835" s="24"/>
      <c r="H3835" s="24"/>
      <c r="J3835" s="24"/>
      <c r="K3835" s="24"/>
      <c r="M3835" s="24"/>
      <c r="N3835" s="24"/>
      <c r="P3835" s="24"/>
    </row>
    <row r="3836" spans="2:16" x14ac:dyDescent="0.25">
      <c r="B3836" s="24"/>
      <c r="E3836" s="24"/>
      <c r="G3836" s="24"/>
      <c r="H3836" s="24"/>
      <c r="J3836" s="24"/>
      <c r="K3836" s="24"/>
      <c r="M3836" s="24"/>
      <c r="N3836" s="24"/>
      <c r="P3836" s="24"/>
    </row>
    <row r="3837" spans="2:16" x14ac:dyDescent="0.25">
      <c r="B3837" s="24"/>
      <c r="E3837" s="24"/>
      <c r="G3837" s="24"/>
      <c r="H3837" s="24"/>
      <c r="J3837" s="24"/>
      <c r="K3837" s="24"/>
      <c r="M3837" s="24"/>
      <c r="N3837" s="24"/>
      <c r="P3837" s="24"/>
    </row>
    <row r="3838" spans="2:16" x14ac:dyDescent="0.25">
      <c r="B3838" s="24"/>
      <c r="E3838" s="24"/>
      <c r="G3838" s="24"/>
      <c r="H3838" s="24"/>
      <c r="J3838" s="24"/>
      <c r="K3838" s="24"/>
      <c r="M3838" s="24"/>
      <c r="N3838" s="24"/>
      <c r="P3838" s="24"/>
    </row>
    <row r="3839" spans="2:16" x14ac:dyDescent="0.25">
      <c r="B3839" s="24"/>
      <c r="E3839" s="24"/>
      <c r="G3839" s="24"/>
      <c r="H3839" s="24"/>
      <c r="J3839" s="24"/>
      <c r="K3839" s="24"/>
      <c r="M3839" s="24"/>
      <c r="N3839" s="24"/>
      <c r="P3839" s="24"/>
    </row>
    <row r="3840" spans="2:16" x14ac:dyDescent="0.25">
      <c r="B3840" s="24"/>
      <c r="E3840" s="24"/>
      <c r="G3840" s="24"/>
      <c r="H3840" s="24"/>
      <c r="J3840" s="24"/>
      <c r="K3840" s="24"/>
      <c r="M3840" s="24"/>
      <c r="N3840" s="24"/>
      <c r="P3840" s="24"/>
    </row>
    <row r="3841" spans="2:16" x14ac:dyDescent="0.25">
      <c r="B3841" s="24"/>
      <c r="E3841" s="24"/>
      <c r="G3841" s="24"/>
      <c r="H3841" s="24"/>
      <c r="J3841" s="24"/>
      <c r="K3841" s="24"/>
      <c r="M3841" s="24"/>
      <c r="N3841" s="24"/>
      <c r="P3841" s="24"/>
    </row>
    <row r="3842" spans="2:16" x14ac:dyDescent="0.25">
      <c r="B3842" s="24"/>
      <c r="E3842" s="24"/>
      <c r="G3842" s="24"/>
      <c r="H3842" s="24"/>
      <c r="J3842" s="24"/>
      <c r="K3842" s="24"/>
      <c r="M3842" s="24"/>
      <c r="N3842" s="24"/>
      <c r="P3842" s="24"/>
    </row>
    <row r="3843" spans="2:16" x14ac:dyDescent="0.25">
      <c r="B3843" s="24"/>
      <c r="E3843" s="24"/>
      <c r="G3843" s="24"/>
      <c r="H3843" s="24"/>
      <c r="J3843" s="24"/>
      <c r="K3843" s="24"/>
      <c r="M3843" s="24"/>
      <c r="N3843" s="24"/>
      <c r="P3843" s="24"/>
    </row>
    <row r="3844" spans="2:16" x14ac:dyDescent="0.25">
      <c r="B3844" s="24"/>
      <c r="E3844" s="24"/>
      <c r="G3844" s="24"/>
      <c r="H3844" s="24"/>
      <c r="J3844" s="24"/>
      <c r="K3844" s="24"/>
      <c r="M3844" s="24"/>
      <c r="N3844" s="24"/>
      <c r="P3844" s="24"/>
    </row>
    <row r="3845" spans="2:16" x14ac:dyDescent="0.25">
      <c r="B3845" s="24"/>
      <c r="E3845" s="24"/>
      <c r="G3845" s="24"/>
      <c r="H3845" s="24"/>
      <c r="J3845" s="24"/>
      <c r="K3845" s="24"/>
      <c r="M3845" s="24"/>
      <c r="N3845" s="24"/>
      <c r="P3845" s="24"/>
    </row>
    <row r="3846" spans="2:16" x14ac:dyDescent="0.25">
      <c r="B3846" s="24"/>
      <c r="E3846" s="24"/>
      <c r="G3846" s="24"/>
      <c r="H3846" s="24"/>
      <c r="J3846" s="24"/>
      <c r="K3846" s="24"/>
      <c r="M3846" s="24"/>
      <c r="N3846" s="24"/>
      <c r="P3846" s="24"/>
    </row>
    <row r="3847" spans="2:16" x14ac:dyDescent="0.25">
      <c r="B3847" s="24"/>
      <c r="E3847" s="24"/>
      <c r="G3847" s="24"/>
      <c r="H3847" s="24"/>
      <c r="J3847" s="24"/>
      <c r="K3847" s="24"/>
      <c r="M3847" s="24"/>
      <c r="N3847" s="24"/>
      <c r="P3847" s="24"/>
    </row>
    <row r="3848" spans="2:16" x14ac:dyDescent="0.25">
      <c r="B3848" s="24"/>
      <c r="E3848" s="24"/>
      <c r="G3848" s="24"/>
      <c r="H3848" s="24"/>
      <c r="J3848" s="24"/>
      <c r="K3848" s="24"/>
      <c r="M3848" s="24"/>
      <c r="N3848" s="24"/>
      <c r="P3848" s="24"/>
    </row>
    <row r="3849" spans="2:16" x14ac:dyDescent="0.25">
      <c r="B3849" s="24"/>
      <c r="E3849" s="24"/>
      <c r="G3849" s="24"/>
      <c r="H3849" s="24"/>
      <c r="J3849" s="24"/>
      <c r="K3849" s="24"/>
      <c r="M3849" s="24"/>
      <c r="N3849" s="24"/>
      <c r="P3849" s="24"/>
    </row>
    <row r="3850" spans="2:16" x14ac:dyDescent="0.25">
      <c r="B3850" s="24"/>
      <c r="E3850" s="24"/>
      <c r="G3850" s="24"/>
      <c r="H3850" s="24"/>
      <c r="J3850" s="24"/>
      <c r="K3850" s="24"/>
      <c r="M3850" s="24"/>
      <c r="N3850" s="24"/>
      <c r="P3850" s="24"/>
    </row>
    <row r="3851" spans="2:16" x14ac:dyDescent="0.25">
      <c r="B3851" s="24"/>
      <c r="E3851" s="24"/>
      <c r="G3851" s="24"/>
      <c r="H3851" s="24"/>
      <c r="J3851" s="24"/>
      <c r="K3851" s="24"/>
      <c r="M3851" s="24"/>
      <c r="N3851" s="24"/>
      <c r="P3851" s="24"/>
    </row>
    <row r="3852" spans="2:16" x14ac:dyDescent="0.25">
      <c r="B3852" s="24"/>
      <c r="E3852" s="24"/>
      <c r="G3852" s="24"/>
      <c r="H3852" s="24"/>
      <c r="J3852" s="24"/>
      <c r="K3852" s="24"/>
      <c r="M3852" s="24"/>
      <c r="N3852" s="24"/>
      <c r="P3852" s="24"/>
    </row>
    <row r="3853" spans="2:16" x14ac:dyDescent="0.25">
      <c r="B3853" s="24"/>
      <c r="E3853" s="24"/>
      <c r="G3853" s="24"/>
      <c r="H3853" s="24"/>
      <c r="J3853" s="24"/>
      <c r="K3853" s="24"/>
      <c r="M3853" s="24"/>
      <c r="N3853" s="24"/>
      <c r="P3853" s="24"/>
    </row>
    <row r="3854" spans="2:16" x14ac:dyDescent="0.25">
      <c r="B3854" s="24"/>
      <c r="E3854" s="24"/>
      <c r="G3854" s="24"/>
      <c r="H3854" s="24"/>
      <c r="J3854" s="24"/>
      <c r="K3854" s="24"/>
      <c r="M3854" s="24"/>
      <c r="N3854" s="24"/>
      <c r="P3854" s="24"/>
    </row>
    <row r="3855" spans="2:16" x14ac:dyDescent="0.25">
      <c r="B3855" s="24"/>
      <c r="E3855" s="24"/>
      <c r="G3855" s="24"/>
      <c r="H3855" s="24"/>
      <c r="J3855" s="24"/>
      <c r="K3855" s="24"/>
      <c r="M3855" s="24"/>
      <c r="N3855" s="24"/>
      <c r="P3855" s="24"/>
    </row>
    <row r="3856" spans="2:16" x14ac:dyDescent="0.25">
      <c r="B3856" s="24"/>
      <c r="E3856" s="24"/>
      <c r="G3856" s="24"/>
      <c r="H3856" s="24"/>
      <c r="J3856" s="24"/>
      <c r="K3856" s="24"/>
      <c r="M3856" s="24"/>
      <c r="N3856" s="24"/>
      <c r="P3856" s="24"/>
    </row>
    <row r="3857" spans="2:16" x14ac:dyDescent="0.25">
      <c r="B3857" s="24"/>
      <c r="E3857" s="24"/>
      <c r="G3857" s="24"/>
      <c r="H3857" s="24"/>
      <c r="J3857" s="24"/>
      <c r="K3857" s="24"/>
      <c r="M3857" s="24"/>
      <c r="N3857" s="24"/>
      <c r="P3857" s="24"/>
    </row>
    <row r="3858" spans="2:16" x14ac:dyDescent="0.25">
      <c r="B3858" s="24"/>
      <c r="E3858" s="24"/>
      <c r="G3858" s="24"/>
      <c r="H3858" s="24"/>
      <c r="J3858" s="24"/>
      <c r="K3858" s="24"/>
      <c r="M3858" s="24"/>
      <c r="N3858" s="24"/>
      <c r="P3858" s="24"/>
    </row>
    <row r="3859" spans="2:16" x14ac:dyDescent="0.25">
      <c r="B3859" s="24"/>
      <c r="E3859" s="24"/>
      <c r="G3859" s="24"/>
      <c r="H3859" s="24"/>
      <c r="J3859" s="24"/>
      <c r="K3859" s="24"/>
      <c r="M3859" s="24"/>
      <c r="N3859" s="24"/>
      <c r="P3859" s="24"/>
    </row>
    <row r="3860" spans="2:16" x14ac:dyDescent="0.25">
      <c r="B3860" s="24"/>
      <c r="E3860" s="24"/>
      <c r="G3860" s="24"/>
      <c r="H3860" s="24"/>
      <c r="J3860" s="24"/>
      <c r="K3860" s="24"/>
      <c r="M3860" s="24"/>
      <c r="N3860" s="24"/>
      <c r="P3860" s="24"/>
    </row>
    <row r="3861" spans="2:16" x14ac:dyDescent="0.25">
      <c r="B3861" s="24"/>
      <c r="E3861" s="24"/>
      <c r="G3861" s="24"/>
      <c r="H3861" s="24"/>
      <c r="J3861" s="24"/>
      <c r="K3861" s="24"/>
      <c r="M3861" s="24"/>
      <c r="N3861" s="24"/>
      <c r="P3861" s="24"/>
    </row>
    <row r="3862" spans="2:16" x14ac:dyDescent="0.25">
      <c r="B3862" s="24"/>
      <c r="E3862" s="24"/>
      <c r="G3862" s="24"/>
      <c r="H3862" s="24"/>
      <c r="J3862" s="24"/>
      <c r="K3862" s="24"/>
      <c r="M3862" s="24"/>
      <c r="N3862" s="24"/>
      <c r="P3862" s="24"/>
    </row>
    <row r="3863" spans="2:16" x14ac:dyDescent="0.25">
      <c r="B3863" s="24"/>
      <c r="E3863" s="24"/>
      <c r="G3863" s="24"/>
      <c r="H3863" s="24"/>
      <c r="J3863" s="24"/>
      <c r="K3863" s="24"/>
      <c r="M3863" s="24"/>
      <c r="N3863" s="24"/>
      <c r="P3863" s="24"/>
    </row>
    <row r="3864" spans="2:16" x14ac:dyDescent="0.25">
      <c r="B3864" s="24"/>
      <c r="E3864" s="24"/>
      <c r="G3864" s="24"/>
      <c r="H3864" s="24"/>
      <c r="J3864" s="24"/>
      <c r="K3864" s="24"/>
      <c r="M3864" s="24"/>
      <c r="N3864" s="24"/>
      <c r="P3864" s="24"/>
    </row>
    <row r="3865" spans="2:16" x14ac:dyDescent="0.25">
      <c r="B3865" s="24"/>
      <c r="E3865" s="24"/>
      <c r="G3865" s="24"/>
      <c r="H3865" s="24"/>
      <c r="J3865" s="24"/>
      <c r="K3865" s="24"/>
      <c r="M3865" s="24"/>
      <c r="N3865" s="24"/>
      <c r="P3865" s="24"/>
    </row>
    <row r="3866" spans="2:16" x14ac:dyDescent="0.25">
      <c r="B3866" s="24"/>
      <c r="E3866" s="24"/>
      <c r="G3866" s="24"/>
      <c r="H3866" s="24"/>
      <c r="J3866" s="24"/>
      <c r="K3866" s="24"/>
      <c r="M3866" s="24"/>
      <c r="N3866" s="24"/>
      <c r="P3866" s="24"/>
    </row>
    <row r="3867" spans="2:16" x14ac:dyDescent="0.25">
      <c r="B3867" s="24"/>
      <c r="E3867" s="24"/>
      <c r="G3867" s="24"/>
      <c r="H3867" s="24"/>
      <c r="J3867" s="24"/>
      <c r="K3867" s="24"/>
      <c r="M3867" s="24"/>
      <c r="N3867" s="24"/>
      <c r="P3867" s="24"/>
    </row>
    <row r="3868" spans="2:16" x14ac:dyDescent="0.25">
      <c r="B3868" s="24"/>
      <c r="E3868" s="24"/>
      <c r="G3868" s="24"/>
      <c r="H3868" s="24"/>
      <c r="J3868" s="24"/>
      <c r="K3868" s="24"/>
      <c r="M3868" s="24"/>
      <c r="N3868" s="24"/>
      <c r="P3868" s="24"/>
    </row>
    <row r="3869" spans="2:16" x14ac:dyDescent="0.25">
      <c r="B3869" s="24"/>
      <c r="E3869" s="24"/>
      <c r="G3869" s="24"/>
      <c r="H3869" s="24"/>
      <c r="J3869" s="24"/>
      <c r="K3869" s="24"/>
      <c r="M3869" s="24"/>
      <c r="N3869" s="24"/>
      <c r="P3869" s="24"/>
    </row>
    <row r="3870" spans="2:16" x14ac:dyDescent="0.25">
      <c r="B3870" s="24"/>
      <c r="E3870" s="24"/>
      <c r="G3870" s="24"/>
      <c r="H3870" s="24"/>
      <c r="J3870" s="24"/>
      <c r="K3870" s="24"/>
      <c r="M3870" s="24"/>
      <c r="N3870" s="24"/>
      <c r="P3870" s="24"/>
    </row>
    <row r="3871" spans="2:16" x14ac:dyDescent="0.25">
      <c r="B3871" s="24"/>
      <c r="E3871" s="24"/>
      <c r="G3871" s="24"/>
      <c r="H3871" s="24"/>
      <c r="J3871" s="24"/>
      <c r="K3871" s="24"/>
      <c r="M3871" s="24"/>
      <c r="N3871" s="24"/>
      <c r="P3871" s="24"/>
    </row>
    <row r="3872" spans="2:16" x14ac:dyDescent="0.25">
      <c r="B3872" s="24"/>
      <c r="E3872" s="24"/>
      <c r="G3872" s="24"/>
      <c r="H3872" s="24"/>
      <c r="J3872" s="24"/>
      <c r="K3872" s="24"/>
      <c r="M3872" s="24"/>
      <c r="N3872" s="24"/>
      <c r="P3872" s="24"/>
    </row>
    <row r="3873" spans="2:16" x14ac:dyDescent="0.25">
      <c r="B3873" s="24"/>
      <c r="E3873" s="24"/>
      <c r="G3873" s="24"/>
      <c r="H3873" s="24"/>
      <c r="J3873" s="24"/>
      <c r="K3873" s="24"/>
      <c r="M3873" s="24"/>
      <c r="N3873" s="24"/>
      <c r="P3873" s="24"/>
    </row>
    <row r="3874" spans="2:16" x14ac:dyDescent="0.25">
      <c r="B3874" s="24"/>
      <c r="E3874" s="24"/>
      <c r="G3874" s="24"/>
      <c r="H3874" s="24"/>
      <c r="J3874" s="24"/>
      <c r="K3874" s="24"/>
      <c r="M3874" s="24"/>
      <c r="N3874" s="24"/>
      <c r="P3874" s="24"/>
    </row>
    <row r="3875" spans="2:16" x14ac:dyDescent="0.25">
      <c r="B3875" s="24"/>
      <c r="E3875" s="24"/>
      <c r="G3875" s="24"/>
      <c r="H3875" s="24"/>
      <c r="J3875" s="24"/>
      <c r="K3875" s="24"/>
      <c r="M3875" s="24"/>
      <c r="N3875" s="24"/>
      <c r="P3875" s="24"/>
    </row>
    <row r="3876" spans="2:16" x14ac:dyDescent="0.25">
      <c r="B3876" s="24"/>
      <c r="E3876" s="24"/>
      <c r="G3876" s="24"/>
      <c r="H3876" s="24"/>
      <c r="J3876" s="24"/>
      <c r="K3876" s="24"/>
      <c r="M3876" s="24"/>
      <c r="N3876" s="24"/>
      <c r="P3876" s="24"/>
    </row>
    <row r="3877" spans="2:16" x14ac:dyDescent="0.25">
      <c r="B3877" s="24"/>
      <c r="E3877" s="24"/>
      <c r="G3877" s="24"/>
      <c r="H3877" s="24"/>
      <c r="J3877" s="24"/>
      <c r="K3877" s="24"/>
      <c r="M3877" s="24"/>
      <c r="N3877" s="24"/>
      <c r="P3877" s="24"/>
    </row>
    <row r="3878" spans="2:16" x14ac:dyDescent="0.25">
      <c r="B3878" s="24"/>
      <c r="E3878" s="24"/>
      <c r="G3878" s="24"/>
      <c r="H3878" s="24"/>
      <c r="J3878" s="24"/>
      <c r="K3878" s="24"/>
      <c r="M3878" s="24"/>
      <c r="N3878" s="24"/>
      <c r="P3878" s="24"/>
    </row>
    <row r="3879" spans="2:16" x14ac:dyDescent="0.25">
      <c r="B3879" s="24"/>
      <c r="E3879" s="24"/>
      <c r="G3879" s="24"/>
      <c r="H3879" s="24"/>
      <c r="J3879" s="24"/>
      <c r="K3879" s="24"/>
      <c r="M3879" s="24"/>
      <c r="N3879" s="24"/>
      <c r="P3879" s="24"/>
    </row>
    <row r="3880" spans="2:16" x14ac:dyDescent="0.25">
      <c r="B3880" s="24"/>
      <c r="E3880" s="24"/>
      <c r="G3880" s="24"/>
      <c r="H3880" s="24"/>
      <c r="J3880" s="24"/>
      <c r="K3880" s="24"/>
      <c r="M3880" s="24"/>
      <c r="N3880" s="24"/>
      <c r="P3880" s="24"/>
    </row>
    <row r="3881" spans="2:16" x14ac:dyDescent="0.25">
      <c r="B3881" s="24"/>
      <c r="E3881" s="24"/>
      <c r="G3881" s="24"/>
      <c r="H3881" s="24"/>
      <c r="J3881" s="24"/>
      <c r="K3881" s="24"/>
      <c r="M3881" s="24"/>
      <c r="N3881" s="24"/>
      <c r="P3881" s="24"/>
    </row>
    <row r="3882" spans="2:16" x14ac:dyDescent="0.25">
      <c r="B3882" s="24"/>
      <c r="E3882" s="24"/>
      <c r="G3882" s="24"/>
      <c r="H3882" s="24"/>
      <c r="J3882" s="24"/>
      <c r="K3882" s="24"/>
      <c r="M3882" s="24"/>
      <c r="N3882" s="24"/>
      <c r="P3882" s="24"/>
    </row>
    <row r="3883" spans="2:16" x14ac:dyDescent="0.25">
      <c r="B3883" s="24"/>
      <c r="E3883" s="24"/>
      <c r="G3883" s="24"/>
      <c r="H3883" s="24"/>
      <c r="J3883" s="24"/>
      <c r="K3883" s="24"/>
      <c r="M3883" s="24"/>
      <c r="N3883" s="24"/>
      <c r="P3883" s="24"/>
    </row>
    <row r="3884" spans="2:16" x14ac:dyDescent="0.25">
      <c r="B3884" s="24"/>
      <c r="E3884" s="24"/>
      <c r="G3884" s="24"/>
      <c r="H3884" s="24"/>
      <c r="J3884" s="24"/>
      <c r="K3884" s="24"/>
      <c r="M3884" s="24"/>
      <c r="N3884" s="24"/>
      <c r="P3884" s="24"/>
    </row>
    <row r="3885" spans="2:16" x14ac:dyDescent="0.25">
      <c r="B3885" s="24"/>
      <c r="E3885" s="24"/>
      <c r="G3885" s="24"/>
      <c r="H3885" s="24"/>
      <c r="J3885" s="24"/>
      <c r="K3885" s="24"/>
      <c r="M3885" s="24"/>
      <c r="N3885" s="24"/>
      <c r="P3885" s="24"/>
    </row>
    <row r="3886" spans="2:16" x14ac:dyDescent="0.25">
      <c r="B3886" s="24"/>
      <c r="E3886" s="24"/>
      <c r="G3886" s="24"/>
      <c r="H3886" s="24"/>
      <c r="J3886" s="24"/>
      <c r="K3886" s="24"/>
      <c r="M3886" s="24"/>
      <c r="N3886" s="24"/>
      <c r="P3886" s="24"/>
    </row>
    <row r="3887" spans="2:16" x14ac:dyDescent="0.25">
      <c r="B3887" s="24"/>
      <c r="E3887" s="24"/>
      <c r="G3887" s="24"/>
      <c r="H3887" s="24"/>
      <c r="J3887" s="24"/>
      <c r="K3887" s="24"/>
      <c r="M3887" s="24"/>
      <c r="N3887" s="24"/>
      <c r="P3887" s="24"/>
    </row>
    <row r="3888" spans="2:16" x14ac:dyDescent="0.25">
      <c r="B3888" s="24"/>
      <c r="E3888" s="24"/>
      <c r="G3888" s="24"/>
      <c r="H3888" s="24"/>
      <c r="J3888" s="24"/>
      <c r="K3888" s="24"/>
      <c r="M3888" s="24"/>
      <c r="N3888" s="24"/>
      <c r="P3888" s="24"/>
    </row>
    <row r="3889" spans="2:16" x14ac:dyDescent="0.25">
      <c r="B3889" s="24"/>
      <c r="E3889" s="24"/>
      <c r="G3889" s="24"/>
      <c r="H3889" s="24"/>
      <c r="J3889" s="24"/>
      <c r="K3889" s="24"/>
      <c r="M3889" s="24"/>
      <c r="N3889" s="24"/>
      <c r="P3889" s="24"/>
    </row>
    <row r="3890" spans="2:16" x14ac:dyDescent="0.25">
      <c r="B3890" s="24"/>
      <c r="E3890" s="24"/>
      <c r="G3890" s="24"/>
      <c r="H3890" s="24"/>
      <c r="J3890" s="24"/>
      <c r="K3890" s="24"/>
      <c r="M3890" s="24"/>
      <c r="N3890" s="24"/>
      <c r="P3890" s="24"/>
    </row>
    <row r="3891" spans="2:16" x14ac:dyDescent="0.25">
      <c r="B3891" s="24"/>
      <c r="E3891" s="24"/>
      <c r="G3891" s="24"/>
      <c r="H3891" s="24"/>
      <c r="J3891" s="24"/>
      <c r="K3891" s="24"/>
      <c r="M3891" s="24"/>
      <c r="N3891" s="24"/>
      <c r="P3891" s="24"/>
    </row>
    <row r="3892" spans="2:16" x14ac:dyDescent="0.25">
      <c r="B3892" s="24"/>
      <c r="E3892" s="24"/>
      <c r="G3892" s="24"/>
      <c r="H3892" s="24"/>
      <c r="J3892" s="24"/>
      <c r="K3892" s="24"/>
      <c r="M3892" s="24"/>
      <c r="N3892" s="24"/>
      <c r="P3892" s="24"/>
    </row>
    <row r="3893" spans="2:16" x14ac:dyDescent="0.25">
      <c r="B3893" s="24"/>
      <c r="E3893" s="24"/>
      <c r="G3893" s="24"/>
      <c r="H3893" s="24"/>
      <c r="J3893" s="24"/>
      <c r="K3893" s="24"/>
      <c r="M3893" s="24"/>
      <c r="N3893" s="24"/>
      <c r="P3893" s="24"/>
    </row>
    <row r="3894" spans="2:16" x14ac:dyDescent="0.25">
      <c r="B3894" s="24"/>
      <c r="E3894" s="24"/>
      <c r="G3894" s="24"/>
      <c r="H3894" s="24"/>
      <c r="J3894" s="24"/>
      <c r="K3894" s="24"/>
      <c r="M3894" s="24"/>
      <c r="N3894" s="24"/>
      <c r="P3894" s="24"/>
    </row>
    <row r="3895" spans="2:16" x14ac:dyDescent="0.25">
      <c r="B3895" s="24"/>
      <c r="E3895" s="24"/>
      <c r="G3895" s="24"/>
      <c r="H3895" s="24"/>
      <c r="J3895" s="24"/>
      <c r="K3895" s="24"/>
      <c r="M3895" s="24"/>
      <c r="N3895" s="24"/>
      <c r="P3895" s="24"/>
    </row>
    <row r="3896" spans="2:16" x14ac:dyDescent="0.25">
      <c r="B3896" s="24"/>
      <c r="E3896" s="24"/>
      <c r="G3896" s="24"/>
      <c r="H3896" s="24"/>
      <c r="J3896" s="24"/>
      <c r="K3896" s="24"/>
      <c r="M3896" s="24"/>
      <c r="N3896" s="24"/>
      <c r="P3896" s="24"/>
    </row>
    <row r="3897" spans="2:16" x14ac:dyDescent="0.25">
      <c r="B3897" s="24"/>
      <c r="E3897" s="24"/>
      <c r="G3897" s="24"/>
      <c r="H3897" s="24"/>
      <c r="J3897" s="24"/>
      <c r="K3897" s="24"/>
      <c r="M3897" s="24"/>
      <c r="N3897" s="24"/>
      <c r="P3897" s="24"/>
    </row>
    <row r="3898" spans="2:16" x14ac:dyDescent="0.25">
      <c r="B3898" s="24"/>
      <c r="E3898" s="24"/>
      <c r="G3898" s="24"/>
      <c r="H3898" s="24"/>
      <c r="J3898" s="24"/>
      <c r="K3898" s="24"/>
      <c r="M3898" s="24"/>
      <c r="N3898" s="24"/>
      <c r="P3898" s="24"/>
    </row>
    <row r="3899" spans="2:16" x14ac:dyDescent="0.25">
      <c r="B3899" s="24"/>
      <c r="E3899" s="24"/>
      <c r="G3899" s="24"/>
      <c r="H3899" s="24"/>
      <c r="J3899" s="24"/>
      <c r="K3899" s="24"/>
      <c r="M3899" s="24"/>
      <c r="N3899" s="24"/>
      <c r="P3899" s="24"/>
    </row>
    <row r="3900" spans="2:16" x14ac:dyDescent="0.25">
      <c r="B3900" s="24"/>
      <c r="E3900" s="24"/>
      <c r="G3900" s="24"/>
      <c r="H3900" s="24"/>
      <c r="J3900" s="24"/>
      <c r="K3900" s="24"/>
      <c r="M3900" s="24"/>
      <c r="N3900" s="24"/>
      <c r="P3900" s="24"/>
    </row>
    <row r="3901" spans="2:16" x14ac:dyDescent="0.25">
      <c r="B3901" s="24"/>
      <c r="E3901" s="24"/>
      <c r="G3901" s="24"/>
      <c r="H3901" s="24"/>
      <c r="J3901" s="24"/>
      <c r="K3901" s="24"/>
      <c r="M3901" s="24"/>
      <c r="N3901" s="24"/>
      <c r="P3901" s="24"/>
    </row>
    <row r="3902" spans="2:16" x14ac:dyDescent="0.25">
      <c r="B3902" s="24"/>
      <c r="E3902" s="24"/>
      <c r="G3902" s="24"/>
      <c r="H3902" s="24"/>
      <c r="J3902" s="24"/>
      <c r="K3902" s="24"/>
      <c r="M3902" s="24"/>
      <c r="N3902" s="24"/>
      <c r="P3902" s="24"/>
    </row>
    <row r="3903" spans="2:16" x14ac:dyDescent="0.25">
      <c r="B3903" s="24"/>
      <c r="E3903" s="24"/>
      <c r="G3903" s="24"/>
      <c r="H3903" s="24"/>
      <c r="J3903" s="24"/>
      <c r="K3903" s="24"/>
      <c r="M3903" s="24"/>
      <c r="N3903" s="24"/>
      <c r="P3903" s="24"/>
    </row>
    <row r="3904" spans="2:16" x14ac:dyDescent="0.25">
      <c r="B3904" s="24"/>
      <c r="E3904" s="24"/>
      <c r="G3904" s="24"/>
      <c r="H3904" s="24"/>
      <c r="J3904" s="24"/>
      <c r="K3904" s="24"/>
      <c r="M3904" s="24"/>
      <c r="N3904" s="24"/>
      <c r="P3904" s="24"/>
    </row>
    <row r="3905" spans="2:16" x14ac:dyDescent="0.25">
      <c r="B3905" s="24"/>
      <c r="E3905" s="24"/>
      <c r="G3905" s="24"/>
      <c r="H3905" s="24"/>
      <c r="J3905" s="24"/>
      <c r="K3905" s="24"/>
      <c r="M3905" s="24"/>
      <c r="N3905" s="24"/>
      <c r="P3905" s="24"/>
    </row>
    <row r="3906" spans="2:16" x14ac:dyDescent="0.25">
      <c r="B3906" s="24"/>
      <c r="E3906" s="24"/>
      <c r="G3906" s="24"/>
      <c r="H3906" s="24"/>
      <c r="J3906" s="24"/>
      <c r="K3906" s="24"/>
      <c r="M3906" s="24"/>
      <c r="N3906" s="24"/>
      <c r="P3906" s="24"/>
    </row>
    <row r="3907" spans="2:16" x14ac:dyDescent="0.25">
      <c r="B3907" s="24"/>
      <c r="E3907" s="24"/>
      <c r="G3907" s="24"/>
      <c r="H3907" s="24"/>
      <c r="J3907" s="24"/>
      <c r="K3907" s="24"/>
      <c r="M3907" s="24"/>
      <c r="N3907" s="24"/>
      <c r="P3907" s="24"/>
    </row>
    <row r="3908" spans="2:16" x14ac:dyDescent="0.25">
      <c r="B3908" s="24"/>
      <c r="E3908" s="24"/>
      <c r="G3908" s="24"/>
      <c r="H3908" s="24"/>
      <c r="J3908" s="24"/>
      <c r="K3908" s="24"/>
      <c r="M3908" s="24"/>
      <c r="N3908" s="24"/>
      <c r="P3908" s="24"/>
    </row>
    <row r="3909" spans="2:16" x14ac:dyDescent="0.25">
      <c r="B3909" s="24"/>
      <c r="E3909" s="24"/>
      <c r="G3909" s="24"/>
      <c r="H3909" s="24"/>
      <c r="J3909" s="24"/>
      <c r="K3909" s="24"/>
      <c r="M3909" s="24"/>
      <c r="N3909" s="24"/>
      <c r="P3909" s="24"/>
    </row>
    <row r="3910" spans="2:16" x14ac:dyDescent="0.25">
      <c r="B3910" s="24"/>
      <c r="E3910" s="24"/>
      <c r="G3910" s="24"/>
      <c r="H3910" s="24"/>
      <c r="J3910" s="24"/>
      <c r="K3910" s="24"/>
      <c r="M3910" s="24"/>
      <c r="N3910" s="24"/>
      <c r="P3910" s="24"/>
    </row>
    <row r="3911" spans="2:16" x14ac:dyDescent="0.25">
      <c r="B3911" s="24"/>
      <c r="E3911" s="24"/>
      <c r="G3911" s="24"/>
      <c r="H3911" s="24"/>
      <c r="J3911" s="24"/>
      <c r="K3911" s="24"/>
      <c r="M3911" s="24"/>
      <c r="N3911" s="24"/>
      <c r="P3911" s="24"/>
    </row>
    <row r="3912" spans="2:16" x14ac:dyDescent="0.25">
      <c r="B3912" s="24"/>
      <c r="E3912" s="24"/>
      <c r="G3912" s="24"/>
      <c r="H3912" s="24"/>
      <c r="J3912" s="24"/>
      <c r="K3912" s="24"/>
      <c r="M3912" s="24"/>
      <c r="N3912" s="24"/>
      <c r="P3912" s="24"/>
    </row>
    <row r="3913" spans="2:16" x14ac:dyDescent="0.25">
      <c r="B3913" s="24"/>
      <c r="E3913" s="24"/>
      <c r="G3913" s="24"/>
      <c r="H3913" s="24"/>
      <c r="J3913" s="24"/>
      <c r="K3913" s="24"/>
      <c r="M3913" s="24"/>
      <c r="N3913" s="24"/>
      <c r="P3913" s="24"/>
    </row>
    <row r="3914" spans="2:16" x14ac:dyDescent="0.25">
      <c r="B3914" s="24"/>
      <c r="E3914" s="24"/>
      <c r="G3914" s="24"/>
      <c r="H3914" s="24"/>
      <c r="J3914" s="24"/>
      <c r="K3914" s="24"/>
      <c r="M3914" s="24"/>
      <c r="N3914" s="24"/>
      <c r="P3914" s="24"/>
    </row>
    <row r="3915" spans="2:16" x14ac:dyDescent="0.25">
      <c r="B3915" s="24"/>
      <c r="E3915" s="24"/>
      <c r="G3915" s="24"/>
      <c r="H3915" s="24"/>
      <c r="J3915" s="24"/>
      <c r="K3915" s="24"/>
      <c r="M3915" s="24"/>
      <c r="N3915" s="24"/>
      <c r="P3915" s="24"/>
    </row>
    <row r="3916" spans="2:16" x14ac:dyDescent="0.25">
      <c r="B3916" s="24"/>
      <c r="E3916" s="24"/>
      <c r="G3916" s="24"/>
      <c r="H3916" s="24"/>
      <c r="J3916" s="24"/>
      <c r="K3916" s="24"/>
      <c r="M3916" s="24"/>
      <c r="N3916" s="24"/>
      <c r="P3916" s="24"/>
    </row>
    <row r="3917" spans="2:16" x14ac:dyDescent="0.25">
      <c r="B3917" s="24"/>
      <c r="E3917" s="24"/>
      <c r="G3917" s="24"/>
      <c r="H3917" s="24"/>
      <c r="J3917" s="24"/>
      <c r="K3917" s="24"/>
      <c r="M3917" s="24"/>
      <c r="N3917" s="24"/>
      <c r="P3917" s="24"/>
    </row>
    <row r="3918" spans="2:16" x14ac:dyDescent="0.25">
      <c r="B3918" s="24"/>
      <c r="E3918" s="24"/>
      <c r="G3918" s="24"/>
      <c r="H3918" s="24"/>
      <c r="J3918" s="24"/>
      <c r="K3918" s="24"/>
      <c r="M3918" s="24"/>
      <c r="N3918" s="24"/>
      <c r="P3918" s="24"/>
    </row>
    <row r="3919" spans="2:16" x14ac:dyDescent="0.25">
      <c r="B3919" s="24"/>
      <c r="E3919" s="24"/>
      <c r="G3919" s="24"/>
      <c r="H3919" s="24"/>
      <c r="J3919" s="24"/>
      <c r="K3919" s="24"/>
      <c r="M3919" s="24"/>
      <c r="N3919" s="24"/>
      <c r="P3919" s="24"/>
    </row>
    <row r="3920" spans="2:16" x14ac:dyDescent="0.25">
      <c r="B3920" s="24"/>
      <c r="E3920" s="24"/>
      <c r="G3920" s="24"/>
      <c r="H3920" s="24"/>
      <c r="J3920" s="24"/>
      <c r="K3920" s="24"/>
      <c r="M3920" s="24"/>
      <c r="N3920" s="24"/>
      <c r="P3920" s="24"/>
    </row>
    <row r="3921" spans="2:16" x14ac:dyDescent="0.25">
      <c r="B3921" s="24"/>
      <c r="E3921" s="24"/>
      <c r="G3921" s="24"/>
      <c r="H3921" s="24"/>
      <c r="J3921" s="24"/>
      <c r="K3921" s="24"/>
      <c r="M3921" s="24"/>
      <c r="N3921" s="24"/>
      <c r="P3921" s="24"/>
    </row>
    <row r="3922" spans="2:16" x14ac:dyDescent="0.25">
      <c r="B3922" s="24"/>
      <c r="E3922" s="24"/>
      <c r="G3922" s="24"/>
      <c r="H3922" s="24"/>
      <c r="J3922" s="24"/>
      <c r="K3922" s="24"/>
      <c r="M3922" s="24"/>
      <c r="N3922" s="24"/>
      <c r="P3922" s="24"/>
    </row>
    <row r="3923" spans="2:16" x14ac:dyDescent="0.25">
      <c r="B3923" s="24"/>
      <c r="E3923" s="24"/>
      <c r="G3923" s="24"/>
      <c r="H3923" s="24"/>
      <c r="J3923" s="24"/>
      <c r="K3923" s="24"/>
      <c r="M3923" s="24"/>
      <c r="N3923" s="24"/>
      <c r="P3923" s="24"/>
    </row>
    <row r="3924" spans="2:16" x14ac:dyDescent="0.25">
      <c r="B3924" s="24"/>
      <c r="E3924" s="24"/>
      <c r="G3924" s="24"/>
      <c r="H3924" s="24"/>
      <c r="J3924" s="24"/>
      <c r="K3924" s="24"/>
      <c r="M3924" s="24"/>
      <c r="N3924" s="24"/>
      <c r="P3924" s="24"/>
    </row>
    <row r="3925" spans="2:16" x14ac:dyDescent="0.25">
      <c r="B3925" s="24"/>
      <c r="E3925" s="24"/>
      <c r="G3925" s="24"/>
      <c r="H3925" s="24"/>
      <c r="J3925" s="24"/>
      <c r="K3925" s="24"/>
      <c r="M3925" s="24"/>
      <c r="N3925" s="24"/>
      <c r="P3925" s="24"/>
    </row>
    <row r="3926" spans="2:16" x14ac:dyDescent="0.25">
      <c r="B3926" s="24"/>
      <c r="E3926" s="24"/>
      <c r="G3926" s="24"/>
      <c r="H3926" s="24"/>
      <c r="J3926" s="24"/>
      <c r="K3926" s="24"/>
      <c r="M3926" s="24"/>
      <c r="N3926" s="24"/>
      <c r="P3926" s="24"/>
    </row>
    <row r="3927" spans="2:16" x14ac:dyDescent="0.25">
      <c r="B3927" s="24"/>
      <c r="E3927" s="24"/>
      <c r="G3927" s="24"/>
      <c r="H3927" s="24"/>
      <c r="J3927" s="24"/>
      <c r="K3927" s="24"/>
      <c r="M3927" s="24"/>
      <c r="N3927" s="24"/>
      <c r="P3927" s="24"/>
    </row>
    <row r="3928" spans="2:16" x14ac:dyDescent="0.25">
      <c r="B3928" s="24"/>
      <c r="E3928" s="24"/>
      <c r="G3928" s="24"/>
      <c r="H3928" s="24"/>
      <c r="J3928" s="24"/>
      <c r="K3928" s="24"/>
      <c r="M3928" s="24"/>
      <c r="N3928" s="24"/>
      <c r="P3928" s="24"/>
    </row>
    <row r="3929" spans="2:16" x14ac:dyDescent="0.25">
      <c r="B3929" s="24"/>
      <c r="E3929" s="24"/>
      <c r="G3929" s="24"/>
      <c r="H3929" s="24"/>
      <c r="J3929" s="24"/>
      <c r="K3929" s="24"/>
      <c r="M3929" s="24"/>
      <c r="N3929" s="24"/>
      <c r="P3929" s="24"/>
    </row>
    <row r="3930" spans="2:16" x14ac:dyDescent="0.25">
      <c r="B3930" s="24"/>
      <c r="E3930" s="24"/>
      <c r="G3930" s="24"/>
      <c r="H3930" s="24"/>
      <c r="J3930" s="24"/>
      <c r="K3930" s="24"/>
      <c r="M3930" s="24"/>
      <c r="N3930" s="24"/>
      <c r="P3930" s="24"/>
    </row>
    <row r="3931" spans="2:16" x14ac:dyDescent="0.25">
      <c r="B3931" s="24"/>
      <c r="E3931" s="24"/>
      <c r="G3931" s="24"/>
      <c r="H3931" s="24"/>
      <c r="J3931" s="24"/>
      <c r="K3931" s="24"/>
      <c r="M3931" s="24"/>
      <c r="N3931" s="24"/>
      <c r="P3931" s="24"/>
    </row>
    <row r="3932" spans="2:16" x14ac:dyDescent="0.25">
      <c r="B3932" s="24"/>
      <c r="E3932" s="24"/>
      <c r="G3932" s="24"/>
      <c r="H3932" s="24"/>
      <c r="J3932" s="24"/>
      <c r="K3932" s="24"/>
      <c r="M3932" s="24"/>
      <c r="N3932" s="24"/>
      <c r="P3932" s="24"/>
    </row>
    <row r="3933" spans="2:16" x14ac:dyDescent="0.25">
      <c r="B3933" s="24"/>
      <c r="E3933" s="24"/>
      <c r="G3933" s="24"/>
      <c r="H3933" s="24"/>
      <c r="J3933" s="24"/>
      <c r="K3933" s="24"/>
      <c r="M3933" s="24"/>
      <c r="N3933" s="24"/>
      <c r="P3933" s="24"/>
    </row>
    <row r="3934" spans="2:16" x14ac:dyDescent="0.25">
      <c r="B3934" s="24"/>
      <c r="E3934" s="24"/>
      <c r="G3934" s="24"/>
      <c r="H3934" s="24"/>
      <c r="J3934" s="24"/>
      <c r="K3934" s="24"/>
      <c r="M3934" s="24"/>
      <c r="N3934" s="24"/>
      <c r="P3934" s="24"/>
    </row>
    <row r="3935" spans="2:16" x14ac:dyDescent="0.25">
      <c r="B3935" s="24"/>
      <c r="E3935" s="24"/>
      <c r="G3935" s="24"/>
      <c r="H3935" s="24"/>
      <c r="J3935" s="24"/>
      <c r="K3935" s="24"/>
      <c r="M3935" s="24"/>
      <c r="N3935" s="24"/>
      <c r="P3935" s="24"/>
    </row>
    <row r="3936" spans="2:16" x14ac:dyDescent="0.25">
      <c r="B3936" s="24"/>
      <c r="E3936" s="24"/>
      <c r="G3936" s="24"/>
      <c r="H3936" s="24"/>
      <c r="J3936" s="24"/>
      <c r="K3936" s="24"/>
      <c r="M3936" s="24"/>
      <c r="N3936" s="24"/>
      <c r="P3936" s="24"/>
    </row>
    <row r="3937" spans="2:16" x14ac:dyDescent="0.25">
      <c r="B3937" s="24"/>
      <c r="E3937" s="24"/>
      <c r="G3937" s="24"/>
      <c r="H3937" s="24"/>
      <c r="J3937" s="24"/>
      <c r="K3937" s="24"/>
      <c r="M3937" s="24"/>
      <c r="N3937" s="24"/>
      <c r="P3937" s="24"/>
    </row>
    <row r="3938" spans="2:16" x14ac:dyDescent="0.25">
      <c r="B3938" s="24"/>
      <c r="E3938" s="24"/>
      <c r="G3938" s="24"/>
      <c r="H3938" s="24"/>
      <c r="J3938" s="24"/>
      <c r="K3938" s="24"/>
      <c r="M3938" s="24"/>
      <c r="N3938" s="24"/>
      <c r="P3938" s="24"/>
    </row>
    <row r="3939" spans="2:16" x14ac:dyDescent="0.25">
      <c r="B3939" s="24"/>
      <c r="E3939" s="24"/>
      <c r="G3939" s="24"/>
      <c r="H3939" s="24"/>
      <c r="J3939" s="24"/>
      <c r="K3939" s="24"/>
      <c r="M3939" s="24"/>
      <c r="N3939" s="24"/>
      <c r="P3939" s="24"/>
    </row>
    <row r="3940" spans="2:16" x14ac:dyDescent="0.25">
      <c r="B3940" s="24"/>
      <c r="E3940" s="24"/>
      <c r="G3940" s="24"/>
      <c r="H3940" s="24"/>
      <c r="J3940" s="24"/>
      <c r="K3940" s="24"/>
      <c r="M3940" s="24"/>
      <c r="N3940" s="24"/>
      <c r="P3940" s="24"/>
    </row>
    <row r="3941" spans="2:16" x14ac:dyDescent="0.25">
      <c r="B3941" s="24"/>
      <c r="E3941" s="24"/>
      <c r="G3941" s="24"/>
      <c r="H3941" s="24"/>
      <c r="J3941" s="24"/>
      <c r="K3941" s="24"/>
      <c r="M3941" s="24"/>
      <c r="N3941" s="24"/>
      <c r="P3941" s="24"/>
    </row>
    <row r="3942" spans="2:16" x14ac:dyDescent="0.25">
      <c r="B3942" s="24"/>
      <c r="E3942" s="24"/>
      <c r="G3942" s="24"/>
      <c r="H3942" s="24"/>
      <c r="J3942" s="24"/>
      <c r="K3942" s="24"/>
      <c r="M3942" s="24"/>
      <c r="N3942" s="24"/>
      <c r="P3942" s="24"/>
    </row>
    <row r="3943" spans="2:16" x14ac:dyDescent="0.25">
      <c r="B3943" s="24"/>
      <c r="E3943" s="24"/>
      <c r="G3943" s="24"/>
      <c r="H3943" s="24"/>
      <c r="J3943" s="24"/>
      <c r="K3943" s="24"/>
      <c r="M3943" s="24"/>
      <c r="N3943" s="24"/>
      <c r="P3943" s="24"/>
    </row>
    <row r="3944" spans="2:16" x14ac:dyDescent="0.25">
      <c r="B3944" s="24"/>
      <c r="E3944" s="24"/>
      <c r="G3944" s="24"/>
      <c r="H3944" s="24"/>
      <c r="J3944" s="24"/>
      <c r="K3944" s="24"/>
      <c r="M3944" s="24"/>
      <c r="N3944" s="24"/>
      <c r="P3944" s="24"/>
    </row>
    <row r="3945" spans="2:16" x14ac:dyDescent="0.25">
      <c r="B3945" s="24"/>
      <c r="E3945" s="24"/>
      <c r="G3945" s="24"/>
      <c r="H3945" s="24"/>
      <c r="J3945" s="24"/>
      <c r="K3945" s="24"/>
      <c r="M3945" s="24"/>
      <c r="N3945" s="24"/>
      <c r="P3945" s="24"/>
    </row>
    <row r="3946" spans="2:16" x14ac:dyDescent="0.25">
      <c r="B3946" s="24"/>
      <c r="E3946" s="24"/>
      <c r="G3946" s="24"/>
      <c r="H3946" s="24"/>
      <c r="J3946" s="24"/>
      <c r="K3946" s="24"/>
      <c r="M3946" s="24"/>
      <c r="N3946" s="24"/>
      <c r="P3946" s="24"/>
    </row>
    <row r="3947" spans="2:16" x14ac:dyDescent="0.25">
      <c r="B3947" s="24"/>
      <c r="E3947" s="24"/>
      <c r="G3947" s="24"/>
      <c r="H3947" s="24"/>
      <c r="J3947" s="24"/>
      <c r="K3947" s="24"/>
      <c r="M3947" s="24"/>
      <c r="N3947" s="24"/>
      <c r="P3947" s="24"/>
    </row>
    <row r="3948" spans="2:16" x14ac:dyDescent="0.25">
      <c r="B3948" s="24"/>
      <c r="E3948" s="24"/>
      <c r="G3948" s="24"/>
      <c r="H3948" s="24"/>
      <c r="J3948" s="24"/>
      <c r="K3948" s="24"/>
      <c r="M3948" s="24"/>
      <c r="N3948" s="24"/>
      <c r="P3948" s="24"/>
    </row>
    <row r="3949" spans="2:16" x14ac:dyDescent="0.25">
      <c r="B3949" s="24"/>
      <c r="E3949" s="24"/>
      <c r="G3949" s="24"/>
      <c r="H3949" s="24"/>
      <c r="J3949" s="24"/>
      <c r="K3949" s="24"/>
      <c r="M3949" s="24"/>
      <c r="N3949" s="24"/>
      <c r="P3949" s="24"/>
    </row>
    <row r="3950" spans="2:16" x14ac:dyDescent="0.25">
      <c r="B3950" s="24"/>
      <c r="E3950" s="24"/>
      <c r="G3950" s="24"/>
      <c r="H3950" s="24"/>
      <c r="J3950" s="24"/>
      <c r="K3950" s="24"/>
      <c r="M3950" s="24"/>
      <c r="N3950" s="24"/>
      <c r="P3950" s="24"/>
    </row>
    <row r="3951" spans="2:16" x14ac:dyDescent="0.25">
      <c r="B3951" s="24"/>
      <c r="E3951" s="24"/>
      <c r="G3951" s="24"/>
      <c r="H3951" s="24"/>
      <c r="J3951" s="24"/>
      <c r="K3951" s="24"/>
      <c r="M3951" s="24"/>
      <c r="N3951" s="24"/>
      <c r="P3951" s="24"/>
    </row>
    <row r="3952" spans="2:16" x14ac:dyDescent="0.25">
      <c r="B3952" s="24"/>
      <c r="E3952" s="24"/>
      <c r="G3952" s="24"/>
      <c r="H3952" s="24"/>
      <c r="J3952" s="24"/>
      <c r="K3952" s="24"/>
      <c r="M3952" s="24"/>
      <c r="N3952" s="24"/>
      <c r="P3952" s="24"/>
    </row>
    <row r="3953" spans="2:16" x14ac:dyDescent="0.25">
      <c r="B3953" s="24"/>
      <c r="E3953" s="24"/>
      <c r="G3953" s="24"/>
      <c r="H3953" s="24"/>
      <c r="J3953" s="24"/>
      <c r="K3953" s="24"/>
      <c r="M3953" s="24"/>
      <c r="N3953" s="24"/>
      <c r="P3953" s="24"/>
    </row>
    <row r="3954" spans="2:16" x14ac:dyDescent="0.25">
      <c r="B3954" s="24"/>
      <c r="E3954" s="24"/>
      <c r="G3954" s="24"/>
      <c r="H3954" s="24"/>
      <c r="J3954" s="24"/>
      <c r="K3954" s="24"/>
      <c r="M3954" s="24"/>
      <c r="N3954" s="24"/>
      <c r="P3954" s="24"/>
    </row>
    <row r="3955" spans="2:16" x14ac:dyDescent="0.25">
      <c r="B3955" s="24"/>
      <c r="E3955" s="24"/>
      <c r="G3955" s="24"/>
      <c r="H3955" s="24"/>
      <c r="J3955" s="24"/>
      <c r="K3955" s="24"/>
      <c r="M3955" s="24"/>
      <c r="N3955" s="24"/>
      <c r="P3955" s="24"/>
    </row>
    <row r="3956" spans="2:16" x14ac:dyDescent="0.25">
      <c r="B3956" s="24"/>
      <c r="E3956" s="24"/>
      <c r="G3956" s="24"/>
      <c r="H3956" s="24"/>
      <c r="J3956" s="24"/>
      <c r="K3956" s="24"/>
      <c r="M3956" s="24"/>
      <c r="N3956" s="24"/>
      <c r="P3956" s="24"/>
    </row>
    <row r="3957" spans="2:16" x14ac:dyDescent="0.25">
      <c r="B3957" s="24"/>
      <c r="E3957" s="24"/>
      <c r="G3957" s="24"/>
      <c r="H3957" s="24"/>
      <c r="J3957" s="24"/>
      <c r="K3957" s="24"/>
      <c r="M3957" s="24"/>
      <c r="N3957" s="24"/>
      <c r="P3957" s="24"/>
    </row>
    <row r="3958" spans="2:16" x14ac:dyDescent="0.25">
      <c r="B3958" s="24"/>
      <c r="E3958" s="24"/>
      <c r="G3958" s="24"/>
      <c r="H3958" s="24"/>
      <c r="J3958" s="24"/>
      <c r="K3958" s="24"/>
      <c r="M3958" s="24"/>
      <c r="N3958" s="24"/>
      <c r="P3958" s="24"/>
    </row>
    <row r="3959" spans="2:16" x14ac:dyDescent="0.25">
      <c r="B3959" s="24"/>
      <c r="E3959" s="24"/>
      <c r="G3959" s="24"/>
      <c r="H3959" s="24"/>
      <c r="J3959" s="24"/>
      <c r="K3959" s="24"/>
      <c r="M3959" s="24"/>
      <c r="N3959" s="24"/>
      <c r="P3959" s="24"/>
    </row>
    <row r="3960" spans="2:16" x14ac:dyDescent="0.25">
      <c r="B3960" s="24"/>
      <c r="E3960" s="24"/>
      <c r="G3960" s="24"/>
      <c r="H3960" s="24"/>
      <c r="J3960" s="24"/>
      <c r="K3960" s="24"/>
      <c r="M3960" s="24"/>
      <c r="N3960" s="24"/>
      <c r="P3960" s="24"/>
    </row>
    <row r="3961" spans="2:16" x14ac:dyDescent="0.25">
      <c r="B3961" s="24"/>
      <c r="E3961" s="24"/>
      <c r="G3961" s="24"/>
      <c r="H3961" s="24"/>
      <c r="J3961" s="24"/>
      <c r="K3961" s="24"/>
      <c r="M3961" s="24"/>
      <c r="N3961" s="24"/>
      <c r="P3961" s="24"/>
    </row>
    <row r="3962" spans="2:16" x14ac:dyDescent="0.25">
      <c r="B3962" s="24"/>
      <c r="E3962" s="24"/>
      <c r="G3962" s="24"/>
      <c r="H3962" s="24"/>
      <c r="J3962" s="24"/>
      <c r="K3962" s="24"/>
      <c r="M3962" s="24"/>
      <c r="N3962" s="24"/>
      <c r="P3962" s="24"/>
    </row>
    <row r="3963" spans="2:16" x14ac:dyDescent="0.25">
      <c r="B3963" s="24"/>
      <c r="E3963" s="24"/>
      <c r="G3963" s="24"/>
      <c r="H3963" s="24"/>
      <c r="J3963" s="24"/>
      <c r="K3963" s="24"/>
      <c r="M3963" s="24"/>
      <c r="N3963" s="24"/>
      <c r="P3963" s="24"/>
    </row>
    <row r="3964" spans="2:16" x14ac:dyDescent="0.25">
      <c r="B3964" s="24"/>
      <c r="E3964" s="24"/>
      <c r="G3964" s="24"/>
      <c r="H3964" s="24"/>
      <c r="J3964" s="24"/>
      <c r="K3964" s="24"/>
      <c r="M3964" s="24"/>
      <c r="N3964" s="24"/>
      <c r="P3964" s="24"/>
    </row>
    <row r="3965" spans="2:16" x14ac:dyDescent="0.25">
      <c r="B3965" s="24"/>
      <c r="E3965" s="24"/>
      <c r="G3965" s="24"/>
      <c r="H3965" s="24"/>
      <c r="J3965" s="24"/>
      <c r="K3965" s="24"/>
      <c r="M3965" s="24"/>
      <c r="N3965" s="24"/>
      <c r="P3965" s="24"/>
    </row>
    <row r="3966" spans="2:16" x14ac:dyDescent="0.25">
      <c r="B3966" s="24"/>
      <c r="E3966" s="24"/>
      <c r="G3966" s="24"/>
      <c r="H3966" s="24"/>
      <c r="J3966" s="24"/>
      <c r="K3966" s="24"/>
      <c r="M3966" s="24"/>
      <c r="N3966" s="24"/>
      <c r="P3966" s="24"/>
    </row>
    <row r="3967" spans="2:16" x14ac:dyDescent="0.25">
      <c r="B3967" s="24"/>
      <c r="E3967" s="24"/>
      <c r="G3967" s="24"/>
      <c r="H3967" s="24"/>
      <c r="J3967" s="24"/>
      <c r="K3967" s="24"/>
      <c r="M3967" s="24"/>
      <c r="N3967" s="24"/>
      <c r="P3967" s="24"/>
    </row>
    <row r="3968" spans="2:16" x14ac:dyDescent="0.25">
      <c r="B3968" s="24"/>
      <c r="E3968" s="24"/>
      <c r="G3968" s="24"/>
      <c r="H3968" s="24"/>
      <c r="J3968" s="24"/>
      <c r="K3968" s="24"/>
      <c r="M3968" s="24"/>
      <c r="N3968" s="24"/>
      <c r="P3968" s="24"/>
    </row>
    <row r="3969" spans="2:16" x14ac:dyDescent="0.25">
      <c r="B3969" s="24"/>
      <c r="E3969" s="24"/>
      <c r="G3969" s="24"/>
      <c r="H3969" s="24"/>
      <c r="J3969" s="24"/>
      <c r="K3969" s="24"/>
      <c r="M3969" s="24"/>
      <c r="N3969" s="24"/>
      <c r="P3969" s="24"/>
    </row>
    <row r="3970" spans="2:16" x14ac:dyDescent="0.25">
      <c r="B3970" s="24"/>
      <c r="E3970" s="24"/>
      <c r="G3970" s="24"/>
      <c r="H3970" s="24"/>
      <c r="J3970" s="24"/>
      <c r="K3970" s="24"/>
      <c r="M3970" s="24"/>
      <c r="N3970" s="24"/>
      <c r="P3970" s="24"/>
    </row>
    <row r="3971" spans="2:16" x14ac:dyDescent="0.25">
      <c r="B3971" s="24"/>
      <c r="E3971" s="24"/>
      <c r="G3971" s="24"/>
      <c r="H3971" s="24"/>
      <c r="J3971" s="24"/>
      <c r="K3971" s="24"/>
      <c r="M3971" s="24"/>
      <c r="N3971" s="24"/>
      <c r="P3971" s="24"/>
    </row>
    <row r="3972" spans="2:16" x14ac:dyDescent="0.25">
      <c r="B3972" s="24"/>
      <c r="E3972" s="24"/>
      <c r="G3972" s="24"/>
      <c r="H3972" s="24"/>
      <c r="J3972" s="24"/>
      <c r="K3972" s="24"/>
      <c r="M3972" s="24"/>
      <c r="N3972" s="24"/>
      <c r="P3972" s="24"/>
    </row>
    <row r="3973" spans="2:16" x14ac:dyDescent="0.25">
      <c r="B3973" s="24"/>
      <c r="E3973" s="24"/>
      <c r="G3973" s="24"/>
      <c r="H3973" s="24"/>
      <c r="J3973" s="24"/>
      <c r="K3973" s="24"/>
      <c r="M3973" s="24"/>
      <c r="N3973" s="24"/>
      <c r="P3973" s="24"/>
    </row>
    <row r="3974" spans="2:16" x14ac:dyDescent="0.25">
      <c r="B3974" s="24"/>
      <c r="E3974" s="24"/>
      <c r="G3974" s="24"/>
      <c r="H3974" s="24"/>
      <c r="J3974" s="24"/>
      <c r="K3974" s="24"/>
      <c r="M3974" s="24"/>
      <c r="N3974" s="24"/>
      <c r="P3974" s="24"/>
    </row>
    <row r="3975" spans="2:16" x14ac:dyDescent="0.25">
      <c r="B3975" s="24"/>
      <c r="E3975" s="24"/>
      <c r="G3975" s="24"/>
      <c r="H3975" s="24"/>
      <c r="J3975" s="24"/>
      <c r="K3975" s="24"/>
      <c r="M3975" s="24"/>
      <c r="N3975" s="24"/>
      <c r="P3975" s="24"/>
    </row>
    <row r="3976" spans="2:16" x14ac:dyDescent="0.25">
      <c r="B3976" s="24"/>
      <c r="E3976" s="24"/>
      <c r="G3976" s="24"/>
      <c r="H3976" s="24"/>
      <c r="J3976" s="24"/>
      <c r="K3976" s="24"/>
      <c r="M3976" s="24"/>
      <c r="N3976" s="24"/>
      <c r="P3976" s="24"/>
    </row>
    <row r="3977" spans="2:16" x14ac:dyDescent="0.25">
      <c r="B3977" s="24"/>
      <c r="E3977" s="24"/>
      <c r="G3977" s="24"/>
      <c r="H3977" s="24"/>
      <c r="J3977" s="24"/>
      <c r="K3977" s="24"/>
      <c r="M3977" s="24"/>
      <c r="N3977" s="24"/>
      <c r="P3977" s="24"/>
    </row>
    <row r="3978" spans="2:16" x14ac:dyDescent="0.25">
      <c r="B3978" s="24"/>
      <c r="E3978" s="24"/>
      <c r="G3978" s="24"/>
      <c r="H3978" s="24"/>
      <c r="J3978" s="24"/>
      <c r="K3978" s="24"/>
      <c r="M3978" s="24"/>
      <c r="N3978" s="24"/>
      <c r="P3978" s="24"/>
    </row>
    <row r="3979" spans="2:16" x14ac:dyDescent="0.25">
      <c r="B3979" s="24"/>
      <c r="E3979" s="24"/>
      <c r="G3979" s="24"/>
      <c r="H3979" s="24"/>
      <c r="J3979" s="24"/>
      <c r="K3979" s="24"/>
      <c r="M3979" s="24"/>
      <c r="N3979" s="24"/>
      <c r="P3979" s="24"/>
    </row>
    <row r="3980" spans="2:16" x14ac:dyDescent="0.25">
      <c r="B3980" s="24"/>
      <c r="E3980" s="24"/>
      <c r="G3980" s="24"/>
      <c r="H3980" s="24"/>
      <c r="J3980" s="24"/>
      <c r="K3980" s="24"/>
      <c r="M3980" s="24"/>
      <c r="N3980" s="24"/>
      <c r="P3980" s="24"/>
    </row>
    <row r="3981" spans="2:16" x14ac:dyDescent="0.25">
      <c r="B3981" s="24"/>
      <c r="E3981" s="24"/>
      <c r="G3981" s="24"/>
      <c r="H3981" s="24"/>
      <c r="J3981" s="24"/>
      <c r="K3981" s="24"/>
      <c r="M3981" s="24"/>
      <c r="N3981" s="24"/>
      <c r="P3981" s="24"/>
    </row>
    <row r="3982" spans="2:16" x14ac:dyDescent="0.25">
      <c r="B3982" s="24"/>
      <c r="E3982" s="24"/>
      <c r="G3982" s="24"/>
      <c r="H3982" s="24"/>
      <c r="J3982" s="24"/>
      <c r="K3982" s="24"/>
      <c r="M3982" s="24"/>
      <c r="N3982" s="24"/>
      <c r="P3982" s="24"/>
    </row>
    <row r="3983" spans="2:16" x14ac:dyDescent="0.25">
      <c r="B3983" s="24"/>
      <c r="E3983" s="24"/>
      <c r="G3983" s="24"/>
      <c r="H3983" s="24"/>
      <c r="J3983" s="24"/>
      <c r="K3983" s="24"/>
      <c r="M3983" s="24"/>
      <c r="N3983" s="24"/>
      <c r="P3983" s="24"/>
    </row>
    <row r="3984" spans="2:16" x14ac:dyDescent="0.25">
      <c r="B3984" s="24"/>
      <c r="E3984" s="24"/>
      <c r="G3984" s="24"/>
      <c r="H3984" s="24"/>
      <c r="J3984" s="24"/>
      <c r="K3984" s="24"/>
      <c r="M3984" s="24"/>
      <c r="N3984" s="24"/>
      <c r="P3984" s="24"/>
    </row>
    <row r="3985" spans="2:16" x14ac:dyDescent="0.25">
      <c r="B3985" s="24"/>
      <c r="E3985" s="24"/>
      <c r="G3985" s="24"/>
      <c r="H3985" s="24"/>
      <c r="J3985" s="24"/>
      <c r="K3985" s="24"/>
      <c r="M3985" s="24"/>
      <c r="N3985" s="24"/>
      <c r="P3985" s="24"/>
    </row>
    <row r="3986" spans="2:16" x14ac:dyDescent="0.25">
      <c r="B3986" s="24"/>
      <c r="E3986" s="24"/>
      <c r="G3986" s="24"/>
      <c r="H3986" s="24"/>
      <c r="J3986" s="24"/>
      <c r="K3986" s="24"/>
      <c r="M3986" s="24"/>
      <c r="N3986" s="24"/>
      <c r="P3986" s="24"/>
    </row>
    <row r="3987" spans="2:16" x14ac:dyDescent="0.25">
      <c r="B3987" s="24"/>
      <c r="E3987" s="24"/>
      <c r="G3987" s="24"/>
      <c r="H3987" s="24"/>
      <c r="J3987" s="24"/>
      <c r="K3987" s="24"/>
      <c r="M3987" s="24"/>
      <c r="N3987" s="24"/>
      <c r="P3987" s="24"/>
    </row>
    <row r="3988" spans="2:16" x14ac:dyDescent="0.25">
      <c r="B3988" s="24"/>
      <c r="E3988" s="24"/>
      <c r="G3988" s="24"/>
      <c r="H3988" s="24"/>
      <c r="J3988" s="24"/>
      <c r="K3988" s="24"/>
      <c r="M3988" s="24"/>
      <c r="N3988" s="24"/>
      <c r="P3988" s="24"/>
    </row>
    <row r="3989" spans="2:16" x14ac:dyDescent="0.25">
      <c r="B3989" s="24"/>
      <c r="E3989" s="24"/>
      <c r="G3989" s="24"/>
      <c r="H3989" s="24"/>
      <c r="J3989" s="24"/>
      <c r="K3989" s="24"/>
      <c r="M3989" s="24"/>
      <c r="N3989" s="24"/>
      <c r="P3989" s="24"/>
    </row>
    <row r="3990" spans="2:16" x14ac:dyDescent="0.25">
      <c r="B3990" s="24"/>
      <c r="E3990" s="24"/>
      <c r="G3990" s="24"/>
      <c r="H3990" s="24"/>
      <c r="J3990" s="24"/>
      <c r="K3990" s="24"/>
      <c r="M3990" s="24"/>
      <c r="N3990" s="24"/>
      <c r="P3990" s="24"/>
    </row>
    <row r="3991" spans="2:16" x14ac:dyDescent="0.25">
      <c r="B3991" s="24"/>
      <c r="E3991" s="24"/>
      <c r="G3991" s="24"/>
      <c r="H3991" s="24"/>
      <c r="J3991" s="24"/>
      <c r="K3991" s="24"/>
      <c r="M3991" s="24"/>
      <c r="N3991" s="24"/>
      <c r="P3991" s="24"/>
    </row>
    <row r="3992" spans="2:16" x14ac:dyDescent="0.25">
      <c r="B3992" s="24"/>
      <c r="E3992" s="24"/>
      <c r="G3992" s="24"/>
      <c r="H3992" s="24"/>
      <c r="J3992" s="24"/>
      <c r="K3992" s="24"/>
      <c r="M3992" s="24"/>
      <c r="N3992" s="24"/>
      <c r="P3992" s="24"/>
    </row>
    <row r="3993" spans="2:16" x14ac:dyDescent="0.25">
      <c r="B3993" s="24"/>
      <c r="E3993" s="24"/>
      <c r="G3993" s="24"/>
      <c r="H3993" s="24"/>
      <c r="J3993" s="24"/>
      <c r="K3993" s="24"/>
      <c r="M3993" s="24"/>
      <c r="N3993" s="24"/>
      <c r="P3993" s="24"/>
    </row>
    <row r="3994" spans="2:16" x14ac:dyDescent="0.25">
      <c r="B3994" s="24"/>
      <c r="E3994" s="24"/>
      <c r="G3994" s="24"/>
      <c r="H3994" s="24"/>
      <c r="J3994" s="24"/>
      <c r="K3994" s="24"/>
      <c r="M3994" s="24"/>
      <c r="N3994" s="24"/>
      <c r="P3994" s="24"/>
    </row>
    <row r="3995" spans="2:16" x14ac:dyDescent="0.25">
      <c r="B3995" s="24"/>
      <c r="E3995" s="24"/>
      <c r="G3995" s="24"/>
      <c r="H3995" s="24"/>
      <c r="J3995" s="24"/>
      <c r="K3995" s="24"/>
      <c r="M3995" s="24"/>
      <c r="N3995" s="24"/>
      <c r="P3995" s="24"/>
    </row>
    <row r="3996" spans="2:16" x14ac:dyDescent="0.25">
      <c r="B3996" s="24"/>
      <c r="E3996" s="24"/>
      <c r="G3996" s="24"/>
      <c r="H3996" s="24"/>
      <c r="J3996" s="24"/>
      <c r="K3996" s="24"/>
      <c r="M3996" s="24"/>
      <c r="N3996" s="24"/>
      <c r="P3996" s="24"/>
    </row>
    <row r="3997" spans="2:16" x14ac:dyDescent="0.25">
      <c r="B3997" s="24"/>
      <c r="E3997" s="24"/>
      <c r="G3997" s="24"/>
      <c r="H3997" s="24"/>
      <c r="J3997" s="24"/>
      <c r="K3997" s="24"/>
      <c r="M3997" s="24"/>
      <c r="N3997" s="24"/>
      <c r="P3997" s="24"/>
    </row>
    <row r="3998" spans="2:16" x14ac:dyDescent="0.25">
      <c r="B3998" s="24"/>
      <c r="E3998" s="24"/>
      <c r="G3998" s="24"/>
      <c r="H3998" s="24"/>
      <c r="J3998" s="24"/>
      <c r="K3998" s="24"/>
      <c r="M3998" s="24"/>
      <c r="N3998" s="24"/>
      <c r="P3998" s="24"/>
    </row>
    <row r="3999" spans="2:16" x14ac:dyDescent="0.25">
      <c r="B3999" s="24"/>
      <c r="E3999" s="24"/>
      <c r="G3999" s="24"/>
      <c r="H3999" s="24"/>
      <c r="J3999" s="24"/>
      <c r="K3999" s="24"/>
      <c r="M3999" s="24"/>
      <c r="N3999" s="24"/>
      <c r="P3999" s="24"/>
    </row>
    <row r="4000" spans="2:16" x14ac:dyDescent="0.25">
      <c r="B4000" s="24"/>
      <c r="E4000" s="24"/>
      <c r="G4000" s="24"/>
      <c r="H4000" s="24"/>
      <c r="J4000" s="24"/>
      <c r="K4000" s="24"/>
      <c r="M4000" s="24"/>
      <c r="N4000" s="24"/>
      <c r="P4000" s="24"/>
    </row>
    <row r="4001" spans="2:16" x14ac:dyDescent="0.25">
      <c r="B4001" s="24"/>
      <c r="E4001" s="24"/>
      <c r="G4001" s="24"/>
      <c r="H4001" s="24"/>
      <c r="J4001" s="24"/>
      <c r="K4001" s="24"/>
      <c r="M4001" s="24"/>
      <c r="N4001" s="24"/>
      <c r="P4001" s="24"/>
    </row>
    <row r="4002" spans="2:16" x14ac:dyDescent="0.25">
      <c r="B4002" s="24"/>
      <c r="E4002" s="24"/>
      <c r="G4002" s="24"/>
      <c r="H4002" s="24"/>
      <c r="J4002" s="24"/>
      <c r="K4002" s="24"/>
      <c r="M4002" s="24"/>
      <c r="N4002" s="24"/>
      <c r="P4002" s="24"/>
    </row>
    <row r="4003" spans="2:16" x14ac:dyDescent="0.25">
      <c r="B4003" s="24"/>
      <c r="E4003" s="24"/>
      <c r="G4003" s="24"/>
      <c r="H4003" s="24"/>
      <c r="J4003" s="24"/>
      <c r="K4003" s="24"/>
      <c r="M4003" s="24"/>
      <c r="N4003" s="24"/>
      <c r="P4003" s="24"/>
    </row>
    <row r="4004" spans="2:16" x14ac:dyDescent="0.25">
      <c r="B4004" s="24"/>
      <c r="E4004" s="24"/>
      <c r="G4004" s="24"/>
      <c r="H4004" s="24"/>
      <c r="J4004" s="24"/>
      <c r="K4004" s="24"/>
      <c r="M4004" s="24"/>
      <c r="N4004" s="24"/>
      <c r="P4004" s="24"/>
    </row>
    <row r="4005" spans="2:16" x14ac:dyDescent="0.25">
      <c r="B4005" s="24"/>
      <c r="E4005" s="24"/>
      <c r="G4005" s="24"/>
      <c r="H4005" s="24"/>
      <c r="J4005" s="24"/>
      <c r="K4005" s="24"/>
      <c r="M4005" s="24"/>
      <c r="N4005" s="24"/>
      <c r="P4005" s="24"/>
    </row>
    <row r="4006" spans="2:16" x14ac:dyDescent="0.25">
      <c r="B4006" s="24"/>
      <c r="E4006" s="24"/>
      <c r="G4006" s="24"/>
      <c r="H4006" s="24"/>
      <c r="J4006" s="24"/>
      <c r="K4006" s="24"/>
      <c r="M4006" s="24"/>
      <c r="N4006" s="24"/>
      <c r="P4006" s="24"/>
    </row>
    <row r="4007" spans="2:16" x14ac:dyDescent="0.25">
      <c r="B4007" s="24"/>
      <c r="E4007" s="24"/>
      <c r="G4007" s="24"/>
      <c r="H4007" s="24"/>
      <c r="J4007" s="24"/>
      <c r="K4007" s="24"/>
      <c r="M4007" s="24"/>
      <c r="N4007" s="24"/>
      <c r="P4007" s="24"/>
    </row>
    <row r="4008" spans="2:16" x14ac:dyDescent="0.25">
      <c r="B4008" s="24"/>
      <c r="E4008" s="24"/>
      <c r="G4008" s="24"/>
      <c r="H4008" s="24"/>
      <c r="J4008" s="24"/>
      <c r="K4008" s="24"/>
      <c r="M4008" s="24"/>
      <c r="N4008" s="24"/>
      <c r="P4008" s="24"/>
    </row>
    <row r="4009" spans="2:16" x14ac:dyDescent="0.25">
      <c r="B4009" s="24"/>
      <c r="E4009" s="24"/>
      <c r="G4009" s="24"/>
      <c r="H4009" s="24"/>
      <c r="J4009" s="24"/>
      <c r="K4009" s="24"/>
      <c r="M4009" s="24"/>
      <c r="N4009" s="24"/>
      <c r="P4009" s="24"/>
    </row>
    <row r="4010" spans="2:16" x14ac:dyDescent="0.25">
      <c r="B4010" s="24"/>
      <c r="E4010" s="24"/>
      <c r="G4010" s="24"/>
      <c r="H4010" s="24"/>
      <c r="J4010" s="24"/>
      <c r="K4010" s="24"/>
      <c r="M4010" s="24"/>
      <c r="N4010" s="24"/>
      <c r="P4010" s="24"/>
    </row>
    <row r="4011" spans="2:16" x14ac:dyDescent="0.25">
      <c r="B4011" s="24"/>
      <c r="E4011" s="24"/>
      <c r="G4011" s="24"/>
      <c r="H4011" s="24"/>
      <c r="J4011" s="24"/>
      <c r="K4011" s="24"/>
      <c r="M4011" s="24"/>
      <c r="N4011" s="24"/>
      <c r="P4011" s="24"/>
    </row>
    <row r="4012" spans="2:16" x14ac:dyDescent="0.25">
      <c r="B4012" s="24"/>
      <c r="E4012" s="24"/>
      <c r="G4012" s="24"/>
      <c r="H4012" s="24"/>
      <c r="J4012" s="24"/>
      <c r="K4012" s="24"/>
      <c r="M4012" s="24"/>
      <c r="N4012" s="24"/>
      <c r="P4012" s="24"/>
    </row>
    <row r="4013" spans="2:16" x14ac:dyDescent="0.25">
      <c r="B4013" s="24"/>
      <c r="E4013" s="24"/>
      <c r="G4013" s="24"/>
      <c r="H4013" s="24"/>
      <c r="J4013" s="24"/>
      <c r="K4013" s="24"/>
      <c r="M4013" s="24"/>
      <c r="N4013" s="24"/>
      <c r="P4013" s="24"/>
    </row>
    <row r="4014" spans="2:16" x14ac:dyDescent="0.25">
      <c r="B4014" s="24"/>
      <c r="E4014" s="24"/>
      <c r="G4014" s="24"/>
      <c r="H4014" s="24"/>
      <c r="J4014" s="24"/>
      <c r="K4014" s="24"/>
      <c r="M4014" s="24"/>
      <c r="N4014" s="24"/>
      <c r="P4014" s="24"/>
    </row>
    <row r="4015" spans="2:16" x14ac:dyDescent="0.25">
      <c r="B4015" s="24"/>
      <c r="E4015" s="24"/>
      <c r="G4015" s="24"/>
      <c r="H4015" s="24"/>
      <c r="J4015" s="24"/>
      <c r="K4015" s="24"/>
      <c r="M4015" s="24"/>
      <c r="N4015" s="24"/>
      <c r="P4015" s="24"/>
    </row>
    <row r="4016" spans="2:16" x14ac:dyDescent="0.25">
      <c r="B4016" s="24"/>
      <c r="E4016" s="24"/>
      <c r="G4016" s="24"/>
      <c r="H4016" s="24"/>
      <c r="J4016" s="24"/>
      <c r="K4016" s="24"/>
      <c r="M4016" s="24"/>
      <c r="N4016" s="24"/>
      <c r="P4016" s="24"/>
    </row>
    <row r="4017" spans="2:16" x14ac:dyDescent="0.25">
      <c r="B4017" s="24"/>
      <c r="E4017" s="24"/>
      <c r="G4017" s="24"/>
      <c r="H4017" s="24"/>
      <c r="J4017" s="24"/>
      <c r="K4017" s="24"/>
      <c r="M4017" s="24"/>
      <c r="N4017" s="24"/>
      <c r="P4017" s="24"/>
    </row>
    <row r="4018" spans="2:16" x14ac:dyDescent="0.25">
      <c r="B4018" s="24"/>
      <c r="E4018" s="24"/>
      <c r="G4018" s="24"/>
      <c r="H4018" s="24"/>
      <c r="J4018" s="24"/>
      <c r="K4018" s="24"/>
      <c r="M4018" s="24"/>
      <c r="N4018" s="24"/>
      <c r="P4018" s="24"/>
    </row>
    <row r="4019" spans="2:16" x14ac:dyDescent="0.25">
      <c r="B4019" s="24"/>
      <c r="E4019" s="24"/>
      <c r="G4019" s="24"/>
      <c r="H4019" s="24"/>
      <c r="J4019" s="24"/>
      <c r="K4019" s="24"/>
      <c r="M4019" s="24"/>
      <c r="N4019" s="24"/>
      <c r="P4019" s="24"/>
    </row>
    <row r="4020" spans="2:16" x14ac:dyDescent="0.25">
      <c r="B4020" s="24"/>
      <c r="E4020" s="24"/>
      <c r="G4020" s="24"/>
      <c r="H4020" s="24"/>
      <c r="J4020" s="24"/>
      <c r="K4020" s="24"/>
      <c r="M4020" s="24"/>
      <c r="N4020" s="24"/>
      <c r="P4020" s="24"/>
    </row>
    <row r="4021" spans="2:16" x14ac:dyDescent="0.25">
      <c r="B4021" s="24"/>
      <c r="E4021" s="24"/>
      <c r="G4021" s="24"/>
      <c r="H4021" s="24"/>
      <c r="J4021" s="24"/>
      <c r="K4021" s="24"/>
      <c r="M4021" s="24"/>
      <c r="N4021" s="24"/>
      <c r="P4021" s="24"/>
    </row>
    <row r="4022" spans="2:16" x14ac:dyDescent="0.25">
      <c r="B4022" s="24"/>
      <c r="E4022" s="24"/>
      <c r="G4022" s="24"/>
      <c r="H4022" s="24"/>
      <c r="J4022" s="24"/>
      <c r="K4022" s="24"/>
      <c r="M4022" s="24"/>
      <c r="N4022" s="24"/>
      <c r="P4022" s="24"/>
    </row>
    <row r="4023" spans="2:16" x14ac:dyDescent="0.25">
      <c r="B4023" s="24"/>
      <c r="E4023" s="24"/>
      <c r="G4023" s="24"/>
      <c r="H4023" s="24"/>
      <c r="J4023" s="24"/>
      <c r="K4023" s="24"/>
      <c r="M4023" s="24"/>
      <c r="N4023" s="24"/>
      <c r="P4023" s="24"/>
    </row>
    <row r="4024" spans="2:16" x14ac:dyDescent="0.25">
      <c r="B4024" s="24"/>
      <c r="E4024" s="24"/>
      <c r="G4024" s="24"/>
      <c r="H4024" s="24"/>
      <c r="J4024" s="24"/>
      <c r="K4024" s="24"/>
      <c r="M4024" s="24"/>
      <c r="N4024" s="24"/>
      <c r="P4024" s="24"/>
    </row>
    <row r="4025" spans="2:16" x14ac:dyDescent="0.25">
      <c r="B4025" s="24"/>
      <c r="E4025" s="24"/>
      <c r="G4025" s="24"/>
      <c r="H4025" s="24"/>
      <c r="J4025" s="24"/>
      <c r="K4025" s="24"/>
      <c r="M4025" s="24"/>
      <c r="N4025" s="24"/>
      <c r="P4025" s="24"/>
    </row>
    <row r="4026" spans="2:16" x14ac:dyDescent="0.25">
      <c r="B4026" s="24"/>
      <c r="E4026" s="24"/>
      <c r="G4026" s="24"/>
      <c r="H4026" s="24"/>
      <c r="J4026" s="24"/>
      <c r="K4026" s="24"/>
      <c r="M4026" s="24"/>
      <c r="N4026" s="24"/>
      <c r="P4026" s="24"/>
    </row>
    <row r="4027" spans="2:16" x14ac:dyDescent="0.25">
      <c r="B4027" s="24"/>
      <c r="E4027" s="24"/>
      <c r="G4027" s="24"/>
      <c r="H4027" s="24"/>
      <c r="J4027" s="24"/>
      <c r="K4027" s="24"/>
      <c r="M4027" s="24"/>
      <c r="N4027" s="24"/>
      <c r="P4027" s="24"/>
    </row>
    <row r="4028" spans="2:16" x14ac:dyDescent="0.25">
      <c r="B4028" s="24"/>
      <c r="E4028" s="24"/>
      <c r="G4028" s="24"/>
      <c r="H4028" s="24"/>
      <c r="J4028" s="24"/>
      <c r="K4028" s="24"/>
      <c r="M4028" s="24"/>
      <c r="N4028" s="24"/>
      <c r="P4028" s="24"/>
    </row>
    <row r="4029" spans="2:16" x14ac:dyDescent="0.25">
      <c r="B4029" s="24"/>
      <c r="E4029" s="24"/>
      <c r="G4029" s="24"/>
      <c r="H4029" s="24"/>
      <c r="J4029" s="24"/>
      <c r="K4029" s="24"/>
      <c r="M4029" s="24"/>
      <c r="N4029" s="24"/>
      <c r="P4029" s="24"/>
    </row>
    <row r="4030" spans="2:16" x14ac:dyDescent="0.25">
      <c r="B4030" s="24"/>
      <c r="E4030" s="24"/>
      <c r="G4030" s="24"/>
      <c r="H4030" s="24"/>
      <c r="J4030" s="24"/>
      <c r="K4030" s="24"/>
      <c r="M4030" s="24"/>
      <c r="N4030" s="24"/>
      <c r="P4030" s="24"/>
    </row>
    <row r="4031" spans="2:16" x14ac:dyDescent="0.25">
      <c r="B4031" s="24"/>
      <c r="E4031" s="24"/>
      <c r="G4031" s="24"/>
      <c r="H4031" s="24"/>
      <c r="J4031" s="24"/>
      <c r="K4031" s="24"/>
      <c r="M4031" s="24"/>
      <c r="N4031" s="24"/>
      <c r="P4031" s="24"/>
    </row>
    <row r="4032" spans="2:16" x14ac:dyDescent="0.25">
      <c r="B4032" s="24"/>
      <c r="E4032" s="24"/>
      <c r="G4032" s="24"/>
      <c r="H4032" s="24"/>
      <c r="J4032" s="24"/>
      <c r="K4032" s="24"/>
      <c r="M4032" s="24"/>
      <c r="N4032" s="24"/>
      <c r="P4032" s="24"/>
    </row>
    <row r="4033" spans="2:16" x14ac:dyDescent="0.25">
      <c r="B4033" s="24"/>
      <c r="E4033" s="24"/>
      <c r="G4033" s="24"/>
      <c r="H4033" s="24"/>
      <c r="J4033" s="24"/>
      <c r="K4033" s="24"/>
      <c r="M4033" s="24"/>
      <c r="N4033" s="24"/>
      <c r="P4033" s="24"/>
    </row>
    <row r="4034" spans="2:16" x14ac:dyDescent="0.25">
      <c r="B4034" s="24"/>
      <c r="E4034" s="24"/>
      <c r="G4034" s="24"/>
      <c r="H4034" s="24"/>
      <c r="J4034" s="24"/>
      <c r="K4034" s="24"/>
      <c r="M4034" s="24"/>
      <c r="N4034" s="24"/>
      <c r="P4034" s="24"/>
    </row>
    <row r="4035" spans="2:16" x14ac:dyDescent="0.25">
      <c r="B4035" s="24"/>
      <c r="E4035" s="24"/>
      <c r="G4035" s="24"/>
      <c r="H4035" s="24"/>
      <c r="J4035" s="24"/>
      <c r="K4035" s="24"/>
      <c r="M4035" s="24"/>
      <c r="N4035" s="24"/>
      <c r="P4035" s="24"/>
    </row>
    <row r="4036" spans="2:16" x14ac:dyDescent="0.25">
      <c r="B4036" s="24"/>
      <c r="E4036" s="24"/>
      <c r="G4036" s="24"/>
      <c r="H4036" s="24"/>
      <c r="J4036" s="24"/>
      <c r="K4036" s="24"/>
      <c r="M4036" s="24"/>
      <c r="N4036" s="24"/>
      <c r="P4036" s="24"/>
    </row>
    <row r="4037" spans="2:16" x14ac:dyDescent="0.25">
      <c r="B4037" s="24"/>
      <c r="E4037" s="24"/>
      <c r="G4037" s="24"/>
      <c r="H4037" s="24"/>
      <c r="J4037" s="24"/>
      <c r="K4037" s="24"/>
      <c r="M4037" s="24"/>
      <c r="N4037" s="24"/>
      <c r="P4037" s="24"/>
    </row>
    <row r="4038" spans="2:16" x14ac:dyDescent="0.25">
      <c r="B4038" s="24"/>
      <c r="E4038" s="24"/>
      <c r="G4038" s="24"/>
      <c r="H4038" s="24"/>
      <c r="J4038" s="24"/>
      <c r="K4038" s="24"/>
      <c r="M4038" s="24"/>
      <c r="N4038" s="24"/>
      <c r="P4038" s="24"/>
    </row>
    <row r="4039" spans="2:16" x14ac:dyDescent="0.25">
      <c r="B4039" s="24"/>
      <c r="E4039" s="24"/>
      <c r="G4039" s="24"/>
      <c r="H4039" s="24"/>
      <c r="J4039" s="24"/>
      <c r="K4039" s="24"/>
      <c r="M4039" s="24"/>
      <c r="N4039" s="24"/>
      <c r="P4039" s="24"/>
    </row>
    <row r="4040" spans="2:16" x14ac:dyDescent="0.25">
      <c r="B4040" s="24"/>
      <c r="E4040" s="24"/>
      <c r="G4040" s="24"/>
      <c r="H4040" s="24"/>
      <c r="J4040" s="24"/>
      <c r="K4040" s="24"/>
      <c r="M4040" s="24"/>
      <c r="N4040" s="24"/>
      <c r="P4040" s="24"/>
    </row>
    <row r="4041" spans="2:16" x14ac:dyDescent="0.25">
      <c r="B4041" s="24"/>
      <c r="E4041" s="24"/>
      <c r="G4041" s="24"/>
      <c r="H4041" s="24"/>
      <c r="J4041" s="24"/>
      <c r="K4041" s="24"/>
      <c r="M4041" s="24"/>
      <c r="N4041" s="24"/>
      <c r="P4041" s="24"/>
    </row>
    <row r="4042" spans="2:16" x14ac:dyDescent="0.25">
      <c r="B4042" s="24"/>
      <c r="E4042" s="24"/>
      <c r="G4042" s="24"/>
      <c r="H4042" s="24"/>
      <c r="J4042" s="24"/>
      <c r="K4042" s="24"/>
      <c r="M4042" s="24"/>
      <c r="N4042" s="24"/>
      <c r="P4042" s="24"/>
    </row>
    <row r="4043" spans="2:16" x14ac:dyDescent="0.25">
      <c r="B4043" s="24"/>
      <c r="E4043" s="24"/>
      <c r="G4043" s="24"/>
      <c r="H4043" s="24"/>
      <c r="J4043" s="24"/>
      <c r="K4043" s="24"/>
      <c r="M4043" s="24"/>
      <c r="N4043" s="24"/>
      <c r="P4043" s="24"/>
    </row>
    <row r="4044" spans="2:16" x14ac:dyDescent="0.25">
      <c r="B4044" s="24"/>
      <c r="E4044" s="24"/>
      <c r="G4044" s="24"/>
      <c r="H4044" s="24"/>
      <c r="J4044" s="24"/>
      <c r="K4044" s="24"/>
      <c r="M4044" s="24"/>
      <c r="N4044" s="24"/>
      <c r="P4044" s="24"/>
    </row>
    <row r="4045" spans="2:16" x14ac:dyDescent="0.25">
      <c r="B4045" s="24"/>
      <c r="E4045" s="24"/>
      <c r="G4045" s="24"/>
      <c r="H4045" s="24"/>
      <c r="J4045" s="24"/>
      <c r="K4045" s="24"/>
      <c r="M4045" s="24"/>
      <c r="N4045" s="24"/>
      <c r="P4045" s="24"/>
    </row>
    <row r="4046" spans="2:16" x14ac:dyDescent="0.25">
      <c r="B4046" s="24"/>
      <c r="E4046" s="24"/>
      <c r="G4046" s="24"/>
      <c r="H4046" s="24"/>
      <c r="J4046" s="24"/>
      <c r="K4046" s="24"/>
      <c r="M4046" s="24"/>
      <c r="N4046" s="24"/>
      <c r="P4046" s="24"/>
    </row>
    <row r="4047" spans="2:16" x14ac:dyDescent="0.25">
      <c r="B4047" s="24"/>
      <c r="E4047" s="24"/>
      <c r="G4047" s="24"/>
      <c r="H4047" s="24"/>
      <c r="J4047" s="24"/>
      <c r="K4047" s="24"/>
      <c r="M4047" s="24"/>
      <c r="N4047" s="24"/>
      <c r="P4047" s="24"/>
    </row>
    <row r="4048" spans="2:16" x14ac:dyDescent="0.25">
      <c r="B4048" s="24"/>
      <c r="E4048" s="24"/>
      <c r="G4048" s="24"/>
      <c r="H4048" s="24"/>
      <c r="J4048" s="24"/>
      <c r="K4048" s="24"/>
      <c r="M4048" s="24"/>
      <c r="N4048" s="24"/>
      <c r="P4048" s="24"/>
    </row>
    <row r="4049" spans="2:16" x14ac:dyDescent="0.25">
      <c r="B4049" s="24"/>
      <c r="E4049" s="24"/>
      <c r="G4049" s="24"/>
      <c r="H4049" s="24"/>
      <c r="J4049" s="24"/>
      <c r="K4049" s="24"/>
      <c r="M4049" s="24"/>
      <c r="N4049" s="24"/>
      <c r="P4049" s="24"/>
    </row>
    <row r="4050" spans="2:16" x14ac:dyDescent="0.25">
      <c r="B4050" s="24"/>
      <c r="E4050" s="24"/>
      <c r="G4050" s="24"/>
      <c r="H4050" s="24"/>
      <c r="J4050" s="24"/>
      <c r="K4050" s="24"/>
      <c r="M4050" s="24"/>
      <c r="N4050" s="24"/>
      <c r="P4050" s="24"/>
    </row>
    <row r="4051" spans="2:16" x14ac:dyDescent="0.25">
      <c r="B4051" s="24"/>
      <c r="E4051" s="24"/>
      <c r="G4051" s="24"/>
      <c r="H4051" s="24"/>
      <c r="J4051" s="24"/>
      <c r="K4051" s="24"/>
      <c r="M4051" s="24"/>
      <c r="N4051" s="24"/>
      <c r="P4051" s="24"/>
    </row>
    <row r="4052" spans="2:16" x14ac:dyDescent="0.25">
      <c r="B4052" s="24"/>
      <c r="E4052" s="24"/>
      <c r="G4052" s="24"/>
      <c r="H4052" s="24"/>
      <c r="J4052" s="24"/>
      <c r="K4052" s="24"/>
      <c r="M4052" s="24"/>
      <c r="N4052" s="24"/>
      <c r="P4052" s="24"/>
    </row>
    <row r="4053" spans="2:16" x14ac:dyDescent="0.25">
      <c r="B4053" s="24"/>
      <c r="E4053" s="24"/>
      <c r="G4053" s="24"/>
      <c r="H4053" s="24"/>
      <c r="J4053" s="24"/>
      <c r="K4053" s="24"/>
      <c r="M4053" s="24"/>
      <c r="N4053" s="24"/>
      <c r="P4053" s="24"/>
    </row>
    <row r="4054" spans="2:16" x14ac:dyDescent="0.25">
      <c r="B4054" s="24"/>
      <c r="E4054" s="24"/>
      <c r="G4054" s="24"/>
      <c r="H4054" s="24"/>
      <c r="J4054" s="24"/>
      <c r="K4054" s="24"/>
      <c r="M4054" s="24"/>
      <c r="N4054" s="24"/>
      <c r="P4054" s="24"/>
    </row>
    <row r="4055" spans="2:16" x14ac:dyDescent="0.25">
      <c r="B4055" s="24"/>
      <c r="E4055" s="24"/>
      <c r="G4055" s="24"/>
      <c r="H4055" s="24"/>
      <c r="J4055" s="24"/>
      <c r="K4055" s="24"/>
      <c r="M4055" s="24"/>
      <c r="N4055" s="24"/>
      <c r="P4055" s="24"/>
    </row>
    <row r="4056" spans="2:16" x14ac:dyDescent="0.25">
      <c r="B4056" s="24"/>
      <c r="E4056" s="24"/>
      <c r="G4056" s="24"/>
      <c r="H4056" s="24"/>
      <c r="J4056" s="24"/>
      <c r="K4056" s="24"/>
      <c r="M4056" s="24"/>
      <c r="N4056" s="24"/>
      <c r="P4056" s="24"/>
    </row>
    <row r="4057" spans="2:16" x14ac:dyDescent="0.25">
      <c r="B4057" s="24"/>
      <c r="E4057" s="24"/>
      <c r="G4057" s="24"/>
      <c r="H4057" s="24"/>
      <c r="J4057" s="24"/>
      <c r="K4057" s="24"/>
      <c r="M4057" s="24"/>
      <c r="N4057" s="24"/>
      <c r="P4057" s="24"/>
    </row>
    <row r="4058" spans="2:16" x14ac:dyDescent="0.25">
      <c r="B4058" s="24"/>
      <c r="E4058" s="24"/>
      <c r="G4058" s="24"/>
      <c r="H4058" s="24"/>
      <c r="J4058" s="24"/>
      <c r="K4058" s="24"/>
      <c r="M4058" s="24"/>
      <c r="N4058" s="24"/>
      <c r="P4058" s="24"/>
    </row>
    <row r="4059" spans="2:16" x14ac:dyDescent="0.25">
      <c r="B4059" s="24"/>
      <c r="E4059" s="24"/>
      <c r="G4059" s="24"/>
      <c r="H4059" s="24"/>
      <c r="J4059" s="24"/>
      <c r="K4059" s="24"/>
      <c r="M4059" s="24"/>
      <c r="N4059" s="24"/>
      <c r="P4059" s="24"/>
    </row>
    <row r="4060" spans="2:16" x14ac:dyDescent="0.25">
      <c r="B4060" s="24"/>
      <c r="E4060" s="24"/>
      <c r="G4060" s="24"/>
      <c r="H4060" s="24"/>
      <c r="J4060" s="24"/>
      <c r="K4060" s="24"/>
      <c r="M4060" s="24"/>
      <c r="N4060" s="24"/>
      <c r="P4060" s="24"/>
    </row>
    <row r="4061" spans="2:16" x14ac:dyDescent="0.25">
      <c r="B4061" s="24"/>
      <c r="E4061" s="24"/>
      <c r="G4061" s="24"/>
      <c r="H4061" s="24"/>
      <c r="J4061" s="24"/>
      <c r="K4061" s="24"/>
      <c r="M4061" s="24"/>
      <c r="N4061" s="24"/>
      <c r="P4061" s="24"/>
    </row>
    <row r="4062" spans="2:16" x14ac:dyDescent="0.25">
      <c r="B4062" s="24"/>
      <c r="E4062" s="24"/>
      <c r="G4062" s="24"/>
      <c r="H4062" s="24"/>
      <c r="J4062" s="24"/>
      <c r="K4062" s="24"/>
      <c r="M4062" s="24"/>
      <c r="N4062" s="24"/>
      <c r="P4062" s="24"/>
    </row>
    <row r="4063" spans="2:16" x14ac:dyDescent="0.25">
      <c r="B4063" s="24"/>
      <c r="E4063" s="24"/>
      <c r="G4063" s="24"/>
      <c r="H4063" s="24"/>
      <c r="J4063" s="24"/>
      <c r="K4063" s="24"/>
      <c r="M4063" s="24"/>
      <c r="N4063" s="24"/>
      <c r="P4063" s="24"/>
    </row>
    <row r="4064" spans="2:16" x14ac:dyDescent="0.25">
      <c r="B4064" s="24"/>
      <c r="E4064" s="24"/>
      <c r="G4064" s="24"/>
      <c r="H4064" s="24"/>
      <c r="J4064" s="24"/>
      <c r="K4064" s="24"/>
      <c r="M4064" s="24"/>
      <c r="N4064" s="24"/>
      <c r="P4064" s="24"/>
    </row>
    <row r="4065" spans="2:16" x14ac:dyDescent="0.25">
      <c r="B4065" s="24"/>
      <c r="E4065" s="24"/>
      <c r="G4065" s="24"/>
      <c r="H4065" s="24"/>
      <c r="J4065" s="24"/>
      <c r="K4065" s="24"/>
      <c r="M4065" s="24"/>
      <c r="N4065" s="24"/>
      <c r="P4065" s="24"/>
    </row>
    <row r="4066" spans="2:16" x14ac:dyDescent="0.25">
      <c r="B4066" s="24"/>
      <c r="E4066" s="24"/>
      <c r="G4066" s="24"/>
      <c r="H4066" s="24"/>
      <c r="J4066" s="24"/>
      <c r="K4066" s="24"/>
      <c r="M4066" s="24"/>
      <c r="N4066" s="24"/>
      <c r="P4066" s="24"/>
    </row>
    <row r="4067" spans="2:16" x14ac:dyDescent="0.25">
      <c r="B4067" s="24"/>
      <c r="E4067" s="24"/>
      <c r="G4067" s="24"/>
      <c r="H4067" s="24"/>
      <c r="J4067" s="24"/>
      <c r="K4067" s="24"/>
      <c r="M4067" s="24"/>
      <c r="N4067" s="24"/>
      <c r="P4067" s="24"/>
    </row>
    <row r="4068" spans="2:16" x14ac:dyDescent="0.25">
      <c r="B4068" s="24"/>
      <c r="E4068" s="24"/>
      <c r="G4068" s="24"/>
      <c r="H4068" s="24"/>
      <c r="J4068" s="24"/>
      <c r="K4068" s="24"/>
      <c r="M4068" s="24"/>
      <c r="N4068" s="24"/>
      <c r="P4068" s="24"/>
    </row>
    <row r="4069" spans="2:16" x14ac:dyDescent="0.25">
      <c r="B4069" s="24"/>
      <c r="E4069" s="24"/>
      <c r="G4069" s="24"/>
      <c r="H4069" s="24"/>
      <c r="J4069" s="24"/>
      <c r="K4069" s="24"/>
      <c r="M4069" s="24"/>
      <c r="N4069" s="24"/>
      <c r="P4069" s="24"/>
    </row>
    <row r="4070" spans="2:16" x14ac:dyDescent="0.25">
      <c r="B4070" s="24"/>
      <c r="E4070" s="24"/>
      <c r="G4070" s="24"/>
      <c r="H4070" s="24"/>
      <c r="J4070" s="24"/>
      <c r="K4070" s="24"/>
      <c r="M4070" s="24"/>
      <c r="N4070" s="24"/>
      <c r="P4070" s="24"/>
    </row>
    <row r="4071" spans="2:16" x14ac:dyDescent="0.25">
      <c r="B4071" s="24"/>
      <c r="E4071" s="24"/>
      <c r="G4071" s="24"/>
      <c r="H4071" s="24"/>
      <c r="J4071" s="24"/>
      <c r="K4071" s="24"/>
      <c r="M4071" s="24"/>
      <c r="N4071" s="24"/>
      <c r="P4071" s="24"/>
    </row>
    <row r="4072" spans="2:16" x14ac:dyDescent="0.25">
      <c r="B4072" s="24"/>
      <c r="E4072" s="24"/>
      <c r="G4072" s="24"/>
      <c r="H4072" s="24"/>
      <c r="J4072" s="24"/>
      <c r="K4072" s="24"/>
      <c r="M4072" s="24"/>
      <c r="N4072" s="24"/>
      <c r="P4072" s="24"/>
    </row>
    <row r="4073" spans="2:16" x14ac:dyDescent="0.25">
      <c r="B4073" s="24"/>
      <c r="E4073" s="24"/>
      <c r="G4073" s="24"/>
      <c r="H4073" s="24"/>
      <c r="J4073" s="24"/>
      <c r="K4073" s="24"/>
      <c r="M4073" s="24"/>
      <c r="N4073" s="24"/>
      <c r="P4073" s="24"/>
    </row>
    <row r="4074" spans="2:16" x14ac:dyDescent="0.25">
      <c r="B4074" s="24"/>
      <c r="E4074" s="24"/>
      <c r="G4074" s="24"/>
      <c r="H4074" s="24"/>
      <c r="J4074" s="24"/>
      <c r="K4074" s="24"/>
      <c r="M4074" s="24"/>
      <c r="N4074" s="24"/>
      <c r="P4074" s="24"/>
    </row>
    <row r="4075" spans="2:16" x14ac:dyDescent="0.25">
      <c r="B4075" s="24"/>
      <c r="E4075" s="24"/>
      <c r="G4075" s="24"/>
      <c r="H4075" s="24"/>
      <c r="J4075" s="24"/>
      <c r="K4075" s="24"/>
      <c r="M4075" s="24"/>
      <c r="N4075" s="24"/>
      <c r="P4075" s="24"/>
    </row>
    <row r="4076" spans="2:16" x14ac:dyDescent="0.25">
      <c r="B4076" s="24"/>
      <c r="E4076" s="24"/>
      <c r="G4076" s="24"/>
      <c r="H4076" s="24"/>
      <c r="J4076" s="24"/>
      <c r="K4076" s="24"/>
      <c r="M4076" s="24"/>
      <c r="N4076" s="24"/>
      <c r="P4076" s="24"/>
    </row>
    <row r="4077" spans="2:16" x14ac:dyDescent="0.25">
      <c r="B4077" s="24"/>
      <c r="E4077" s="24"/>
      <c r="G4077" s="24"/>
      <c r="H4077" s="24"/>
      <c r="J4077" s="24"/>
      <c r="K4077" s="24"/>
      <c r="M4077" s="24"/>
      <c r="N4077" s="24"/>
      <c r="P4077" s="24"/>
    </row>
    <row r="4078" spans="2:16" x14ac:dyDescent="0.25">
      <c r="B4078" s="24"/>
      <c r="E4078" s="24"/>
      <c r="G4078" s="24"/>
      <c r="H4078" s="24"/>
      <c r="J4078" s="24"/>
      <c r="K4078" s="24"/>
      <c r="M4078" s="24"/>
      <c r="N4078" s="24"/>
      <c r="P4078" s="24"/>
    </row>
    <row r="4079" spans="2:16" x14ac:dyDescent="0.25">
      <c r="B4079" s="24"/>
      <c r="E4079" s="24"/>
      <c r="G4079" s="24"/>
      <c r="H4079" s="24"/>
      <c r="J4079" s="24"/>
      <c r="K4079" s="24"/>
      <c r="M4079" s="24"/>
      <c r="N4079" s="24"/>
      <c r="P4079" s="24"/>
    </row>
    <row r="4080" spans="2:16" x14ac:dyDescent="0.25">
      <c r="B4080" s="24"/>
      <c r="E4080" s="24"/>
      <c r="G4080" s="24"/>
      <c r="H4080" s="24"/>
      <c r="J4080" s="24"/>
      <c r="K4080" s="24"/>
      <c r="M4080" s="24"/>
      <c r="N4080" s="24"/>
      <c r="P4080" s="24"/>
    </row>
    <row r="4081" spans="2:16" x14ac:dyDescent="0.25">
      <c r="B4081" s="24"/>
      <c r="E4081" s="24"/>
      <c r="G4081" s="24"/>
      <c r="H4081" s="24"/>
      <c r="J4081" s="24"/>
      <c r="K4081" s="24"/>
      <c r="M4081" s="24"/>
      <c r="N4081" s="24"/>
      <c r="P4081" s="24"/>
    </row>
    <row r="4082" spans="2:16" x14ac:dyDescent="0.25">
      <c r="B4082" s="24"/>
      <c r="E4082" s="24"/>
      <c r="G4082" s="24"/>
      <c r="H4082" s="24"/>
      <c r="J4082" s="24"/>
      <c r="K4082" s="24"/>
      <c r="M4082" s="24"/>
      <c r="N4082" s="24"/>
      <c r="P4082" s="24"/>
    </row>
    <row r="4083" spans="2:16" x14ac:dyDescent="0.25">
      <c r="B4083" s="24"/>
      <c r="E4083" s="24"/>
      <c r="G4083" s="24"/>
      <c r="H4083" s="24"/>
      <c r="J4083" s="24"/>
      <c r="K4083" s="24"/>
      <c r="M4083" s="24"/>
      <c r="N4083" s="24"/>
      <c r="P4083" s="24"/>
    </row>
    <row r="4084" spans="2:16" x14ac:dyDescent="0.25">
      <c r="B4084" s="24"/>
      <c r="E4084" s="24"/>
      <c r="G4084" s="24"/>
      <c r="H4084" s="24"/>
      <c r="J4084" s="24"/>
      <c r="K4084" s="24"/>
      <c r="M4084" s="24"/>
      <c r="N4084" s="24"/>
      <c r="P4084" s="24"/>
    </row>
    <row r="4085" spans="2:16" x14ac:dyDescent="0.25">
      <c r="B4085" s="24"/>
      <c r="E4085" s="24"/>
      <c r="G4085" s="24"/>
      <c r="H4085" s="24"/>
      <c r="J4085" s="24"/>
      <c r="K4085" s="24"/>
      <c r="M4085" s="24"/>
      <c r="N4085" s="24"/>
      <c r="P4085" s="24"/>
    </row>
    <row r="4086" spans="2:16" x14ac:dyDescent="0.25">
      <c r="B4086" s="24"/>
      <c r="E4086" s="24"/>
      <c r="G4086" s="24"/>
      <c r="H4086" s="24"/>
      <c r="J4086" s="24"/>
      <c r="K4086" s="24"/>
      <c r="M4086" s="24"/>
      <c r="N4086" s="24"/>
      <c r="P4086" s="24"/>
    </row>
    <row r="4087" spans="2:16" x14ac:dyDescent="0.25">
      <c r="B4087" s="24"/>
      <c r="E4087" s="24"/>
      <c r="G4087" s="24"/>
      <c r="H4087" s="24"/>
      <c r="J4087" s="24"/>
      <c r="K4087" s="24"/>
      <c r="M4087" s="24"/>
      <c r="N4087" s="24"/>
      <c r="P4087" s="24"/>
    </row>
    <row r="4088" spans="2:16" x14ac:dyDescent="0.25">
      <c r="B4088" s="24"/>
      <c r="E4088" s="24"/>
      <c r="G4088" s="24"/>
      <c r="H4088" s="24"/>
      <c r="J4088" s="24"/>
      <c r="K4088" s="24"/>
      <c r="M4088" s="24"/>
      <c r="N4088" s="24"/>
      <c r="P4088" s="24"/>
    </row>
    <row r="4089" spans="2:16" x14ac:dyDescent="0.25">
      <c r="B4089" s="24"/>
      <c r="E4089" s="24"/>
      <c r="G4089" s="24"/>
      <c r="H4089" s="24"/>
      <c r="J4089" s="24"/>
      <c r="K4089" s="24"/>
      <c r="M4089" s="24"/>
      <c r="N4089" s="24"/>
      <c r="P4089" s="24"/>
    </row>
    <row r="4090" spans="2:16" x14ac:dyDescent="0.25">
      <c r="B4090" s="24"/>
      <c r="E4090" s="24"/>
      <c r="G4090" s="24"/>
      <c r="H4090" s="24"/>
      <c r="J4090" s="24"/>
      <c r="K4090" s="24"/>
      <c r="M4090" s="24"/>
      <c r="N4090" s="24"/>
      <c r="P4090" s="24"/>
    </row>
    <row r="4091" spans="2:16" x14ac:dyDescent="0.25">
      <c r="B4091" s="24"/>
      <c r="E4091" s="24"/>
      <c r="G4091" s="24"/>
      <c r="H4091" s="24"/>
      <c r="J4091" s="24"/>
      <c r="K4091" s="24"/>
      <c r="M4091" s="24"/>
      <c r="N4091" s="24"/>
      <c r="P4091" s="24"/>
    </row>
    <row r="4092" spans="2:16" x14ac:dyDescent="0.25">
      <c r="B4092" s="24"/>
      <c r="E4092" s="24"/>
      <c r="G4092" s="24"/>
      <c r="H4092" s="24"/>
      <c r="J4092" s="24"/>
      <c r="K4092" s="24"/>
      <c r="M4092" s="24"/>
      <c r="N4092" s="24"/>
      <c r="P4092" s="24"/>
    </row>
    <row r="4093" spans="2:16" x14ac:dyDescent="0.25">
      <c r="B4093" s="24"/>
      <c r="E4093" s="24"/>
      <c r="G4093" s="24"/>
      <c r="H4093" s="24"/>
      <c r="J4093" s="24"/>
      <c r="K4093" s="24"/>
      <c r="M4093" s="24"/>
      <c r="N4093" s="24"/>
      <c r="P4093" s="24"/>
    </row>
    <row r="4094" spans="2:16" x14ac:dyDescent="0.25">
      <c r="B4094" s="24"/>
      <c r="E4094" s="24"/>
      <c r="G4094" s="24"/>
      <c r="H4094" s="24"/>
      <c r="J4094" s="24"/>
      <c r="K4094" s="24"/>
      <c r="M4094" s="24"/>
      <c r="N4094" s="24"/>
      <c r="P4094" s="24"/>
    </row>
    <row r="4095" spans="2:16" x14ac:dyDescent="0.25">
      <c r="B4095" s="24"/>
      <c r="E4095" s="24"/>
      <c r="G4095" s="24"/>
      <c r="H4095" s="24"/>
      <c r="J4095" s="24"/>
      <c r="K4095" s="24"/>
      <c r="M4095" s="24"/>
      <c r="N4095" s="24"/>
      <c r="P4095" s="24"/>
    </row>
    <row r="4096" spans="2:16" x14ac:dyDescent="0.25">
      <c r="B4096" s="24"/>
      <c r="E4096" s="24"/>
      <c r="G4096" s="24"/>
      <c r="H4096" s="24"/>
      <c r="J4096" s="24"/>
      <c r="K4096" s="24"/>
      <c r="M4096" s="24"/>
      <c r="N4096" s="24"/>
      <c r="P4096" s="24"/>
    </row>
    <row r="4097" spans="2:16" x14ac:dyDescent="0.25">
      <c r="B4097" s="24"/>
      <c r="E4097" s="24"/>
      <c r="G4097" s="24"/>
      <c r="H4097" s="24"/>
      <c r="J4097" s="24"/>
      <c r="K4097" s="24"/>
      <c r="M4097" s="24"/>
      <c r="N4097" s="24"/>
      <c r="P4097" s="24"/>
    </row>
    <row r="4098" spans="2:16" x14ac:dyDescent="0.25">
      <c r="B4098" s="24"/>
      <c r="E4098" s="24"/>
      <c r="G4098" s="24"/>
      <c r="H4098" s="24"/>
      <c r="J4098" s="24"/>
      <c r="K4098" s="24"/>
      <c r="M4098" s="24"/>
      <c r="N4098" s="24"/>
      <c r="P4098" s="24"/>
    </row>
    <row r="4099" spans="2:16" x14ac:dyDescent="0.25">
      <c r="B4099" s="24"/>
      <c r="E4099" s="24"/>
      <c r="G4099" s="24"/>
      <c r="H4099" s="24"/>
      <c r="J4099" s="24"/>
      <c r="K4099" s="24"/>
      <c r="M4099" s="24"/>
      <c r="N4099" s="24"/>
      <c r="P4099" s="24"/>
    </row>
    <row r="4100" spans="2:16" x14ac:dyDescent="0.25">
      <c r="B4100" s="24"/>
      <c r="E4100" s="24"/>
      <c r="G4100" s="24"/>
      <c r="H4100" s="24"/>
      <c r="J4100" s="24"/>
      <c r="K4100" s="24"/>
      <c r="M4100" s="24"/>
      <c r="N4100" s="24"/>
      <c r="P4100" s="24"/>
    </row>
    <row r="4101" spans="2:16" x14ac:dyDescent="0.25">
      <c r="B4101" s="24"/>
      <c r="E4101" s="24"/>
      <c r="G4101" s="24"/>
      <c r="H4101" s="24"/>
      <c r="J4101" s="24"/>
      <c r="K4101" s="24"/>
      <c r="M4101" s="24"/>
      <c r="N4101" s="24"/>
      <c r="P4101" s="24"/>
    </row>
    <row r="4102" spans="2:16" x14ac:dyDescent="0.25">
      <c r="B4102" s="24"/>
      <c r="E4102" s="24"/>
      <c r="G4102" s="24"/>
      <c r="H4102" s="24"/>
      <c r="J4102" s="24"/>
      <c r="K4102" s="24"/>
      <c r="M4102" s="24"/>
      <c r="N4102" s="24"/>
      <c r="P4102" s="24"/>
    </row>
    <row r="4103" spans="2:16" x14ac:dyDescent="0.25">
      <c r="B4103" s="24"/>
      <c r="E4103" s="24"/>
      <c r="G4103" s="24"/>
      <c r="H4103" s="24"/>
      <c r="J4103" s="24"/>
      <c r="K4103" s="24"/>
      <c r="M4103" s="24"/>
      <c r="N4103" s="24"/>
      <c r="P4103" s="24"/>
    </row>
    <row r="4104" spans="2:16" x14ac:dyDescent="0.25">
      <c r="B4104" s="24"/>
      <c r="E4104" s="24"/>
      <c r="G4104" s="24"/>
      <c r="H4104" s="24"/>
      <c r="J4104" s="24"/>
      <c r="K4104" s="24"/>
      <c r="M4104" s="24"/>
      <c r="N4104" s="24"/>
      <c r="P4104" s="24"/>
    </row>
    <row r="4105" spans="2:16" x14ac:dyDescent="0.25">
      <c r="B4105" s="24"/>
      <c r="E4105" s="24"/>
      <c r="G4105" s="24"/>
      <c r="H4105" s="24"/>
      <c r="J4105" s="24"/>
      <c r="K4105" s="24"/>
      <c r="M4105" s="24"/>
      <c r="N4105" s="24"/>
      <c r="P4105" s="24"/>
    </row>
    <row r="4106" spans="2:16" x14ac:dyDescent="0.25">
      <c r="B4106" s="24"/>
      <c r="E4106" s="24"/>
      <c r="G4106" s="24"/>
      <c r="H4106" s="24"/>
      <c r="J4106" s="24"/>
      <c r="K4106" s="24"/>
      <c r="M4106" s="24"/>
      <c r="N4106" s="24"/>
      <c r="P4106" s="24"/>
    </row>
    <row r="4107" spans="2:16" x14ac:dyDescent="0.25">
      <c r="B4107" s="24"/>
      <c r="E4107" s="24"/>
      <c r="G4107" s="24"/>
      <c r="H4107" s="24"/>
      <c r="J4107" s="24"/>
      <c r="K4107" s="24"/>
      <c r="M4107" s="24"/>
      <c r="N4107" s="24"/>
      <c r="P4107" s="24"/>
    </row>
    <row r="4108" spans="2:16" x14ac:dyDescent="0.25">
      <c r="B4108" s="24"/>
      <c r="E4108" s="24"/>
      <c r="G4108" s="24"/>
      <c r="H4108" s="24"/>
      <c r="J4108" s="24"/>
      <c r="K4108" s="24"/>
      <c r="M4108" s="24"/>
      <c r="N4108" s="24"/>
      <c r="P4108" s="24"/>
    </row>
    <row r="4109" spans="2:16" x14ac:dyDescent="0.25">
      <c r="B4109" s="24"/>
      <c r="E4109" s="24"/>
      <c r="G4109" s="24"/>
      <c r="H4109" s="24"/>
      <c r="J4109" s="24"/>
      <c r="K4109" s="24"/>
      <c r="M4109" s="24"/>
      <c r="N4109" s="24"/>
      <c r="P4109" s="24"/>
    </row>
    <row r="4110" spans="2:16" x14ac:dyDescent="0.25">
      <c r="B4110" s="24"/>
      <c r="E4110" s="24"/>
      <c r="G4110" s="24"/>
      <c r="H4110" s="24"/>
      <c r="J4110" s="24"/>
      <c r="K4110" s="24"/>
      <c r="M4110" s="24"/>
      <c r="N4110" s="24"/>
      <c r="P4110" s="24"/>
    </row>
    <row r="4111" spans="2:16" x14ac:dyDescent="0.25">
      <c r="B4111" s="24"/>
      <c r="E4111" s="24"/>
      <c r="G4111" s="24"/>
      <c r="H4111" s="24"/>
      <c r="J4111" s="24"/>
      <c r="K4111" s="24"/>
      <c r="M4111" s="24"/>
      <c r="N4111" s="24"/>
      <c r="P4111" s="24"/>
    </row>
    <row r="4112" spans="2:16" x14ac:dyDescent="0.25">
      <c r="B4112" s="24"/>
      <c r="E4112" s="24"/>
      <c r="G4112" s="24"/>
      <c r="H4112" s="24"/>
      <c r="J4112" s="24"/>
      <c r="K4112" s="24"/>
      <c r="M4112" s="24"/>
      <c r="N4112" s="24"/>
      <c r="P4112" s="24"/>
    </row>
    <row r="4113" spans="2:16" x14ac:dyDescent="0.25">
      <c r="B4113" s="24"/>
      <c r="E4113" s="24"/>
      <c r="G4113" s="24"/>
      <c r="H4113" s="24"/>
      <c r="J4113" s="24"/>
      <c r="K4113" s="24"/>
      <c r="M4113" s="24"/>
      <c r="N4113" s="24"/>
      <c r="P4113" s="24"/>
    </row>
    <row r="4114" spans="2:16" x14ac:dyDescent="0.25">
      <c r="B4114" s="24"/>
      <c r="E4114" s="24"/>
      <c r="G4114" s="24"/>
      <c r="H4114" s="24"/>
      <c r="J4114" s="24"/>
      <c r="K4114" s="24"/>
      <c r="M4114" s="24"/>
      <c r="N4114" s="24"/>
      <c r="P4114" s="24"/>
    </row>
    <row r="4115" spans="2:16" x14ac:dyDescent="0.25">
      <c r="B4115" s="24"/>
      <c r="E4115" s="24"/>
      <c r="G4115" s="24"/>
      <c r="H4115" s="24"/>
      <c r="J4115" s="24"/>
      <c r="K4115" s="24"/>
      <c r="M4115" s="24"/>
      <c r="N4115" s="24"/>
      <c r="P4115" s="24"/>
    </row>
    <row r="4116" spans="2:16" x14ac:dyDescent="0.25">
      <c r="B4116" s="24"/>
      <c r="E4116" s="24"/>
      <c r="G4116" s="24"/>
      <c r="H4116" s="24"/>
      <c r="J4116" s="24"/>
      <c r="K4116" s="24"/>
      <c r="M4116" s="24"/>
      <c r="N4116" s="24"/>
      <c r="P4116" s="24"/>
    </row>
    <row r="4117" spans="2:16" x14ac:dyDescent="0.25">
      <c r="B4117" s="24"/>
      <c r="E4117" s="24"/>
      <c r="G4117" s="24"/>
      <c r="H4117" s="24"/>
      <c r="J4117" s="24"/>
      <c r="K4117" s="24"/>
      <c r="M4117" s="24"/>
      <c r="N4117" s="24"/>
      <c r="P4117" s="24"/>
    </row>
    <row r="4118" spans="2:16" x14ac:dyDescent="0.25">
      <c r="B4118" s="24"/>
      <c r="E4118" s="24"/>
      <c r="G4118" s="24"/>
      <c r="H4118" s="24"/>
      <c r="J4118" s="24"/>
      <c r="K4118" s="24"/>
      <c r="M4118" s="24"/>
      <c r="N4118" s="24"/>
      <c r="P4118" s="24"/>
    </row>
    <row r="4119" spans="2:16" x14ac:dyDescent="0.25">
      <c r="B4119" s="24"/>
      <c r="E4119" s="24"/>
      <c r="G4119" s="24"/>
      <c r="H4119" s="24"/>
      <c r="J4119" s="24"/>
      <c r="K4119" s="24"/>
      <c r="M4119" s="24"/>
      <c r="N4119" s="24"/>
      <c r="P4119" s="24"/>
    </row>
    <row r="4120" spans="2:16" x14ac:dyDescent="0.25">
      <c r="B4120" s="24"/>
      <c r="E4120" s="24"/>
      <c r="G4120" s="24"/>
      <c r="H4120" s="24"/>
      <c r="J4120" s="24"/>
      <c r="K4120" s="24"/>
      <c r="M4120" s="24"/>
      <c r="N4120" s="24"/>
      <c r="P4120" s="24"/>
    </row>
    <row r="4121" spans="2:16" x14ac:dyDescent="0.25">
      <c r="B4121" s="24"/>
      <c r="E4121" s="24"/>
      <c r="G4121" s="24"/>
      <c r="H4121" s="24"/>
      <c r="J4121" s="24"/>
      <c r="K4121" s="24"/>
      <c r="M4121" s="24"/>
      <c r="N4121" s="24"/>
      <c r="P4121" s="24"/>
    </row>
    <row r="4122" spans="2:16" x14ac:dyDescent="0.25">
      <c r="B4122" s="24"/>
      <c r="E4122" s="24"/>
      <c r="G4122" s="24"/>
      <c r="H4122" s="24"/>
      <c r="J4122" s="24"/>
      <c r="K4122" s="24"/>
      <c r="M4122" s="24"/>
      <c r="N4122" s="24"/>
      <c r="P4122" s="24"/>
    </row>
    <row r="4123" spans="2:16" x14ac:dyDescent="0.25">
      <c r="B4123" s="24"/>
      <c r="E4123" s="24"/>
      <c r="G4123" s="24"/>
      <c r="H4123" s="24"/>
      <c r="J4123" s="24"/>
      <c r="K4123" s="24"/>
      <c r="M4123" s="24"/>
      <c r="N4123" s="24"/>
      <c r="P4123" s="24"/>
    </row>
    <row r="4124" spans="2:16" x14ac:dyDescent="0.25">
      <c r="B4124" s="24"/>
      <c r="E4124" s="24"/>
      <c r="G4124" s="24"/>
      <c r="H4124" s="24"/>
      <c r="J4124" s="24"/>
      <c r="K4124" s="24"/>
      <c r="M4124" s="24"/>
      <c r="N4124" s="24"/>
      <c r="P4124" s="24"/>
    </row>
    <row r="4125" spans="2:16" x14ac:dyDescent="0.25">
      <c r="B4125" s="24"/>
      <c r="E4125" s="24"/>
      <c r="G4125" s="24"/>
      <c r="H4125" s="24"/>
      <c r="J4125" s="24"/>
      <c r="K4125" s="24"/>
      <c r="M4125" s="24"/>
      <c r="N4125" s="24"/>
      <c r="P4125" s="24"/>
    </row>
    <row r="4126" spans="2:16" x14ac:dyDescent="0.25">
      <c r="B4126" s="24"/>
      <c r="E4126" s="24"/>
      <c r="G4126" s="24"/>
      <c r="H4126" s="24"/>
      <c r="J4126" s="24"/>
      <c r="K4126" s="24"/>
      <c r="M4126" s="24"/>
      <c r="N4126" s="24"/>
      <c r="P4126" s="24"/>
    </row>
    <row r="4127" spans="2:16" x14ac:dyDescent="0.25">
      <c r="B4127" s="24"/>
      <c r="E4127" s="24"/>
      <c r="G4127" s="24"/>
      <c r="H4127" s="24"/>
      <c r="J4127" s="24"/>
      <c r="K4127" s="24"/>
      <c r="M4127" s="24"/>
      <c r="N4127" s="24"/>
      <c r="P4127" s="24"/>
    </row>
    <row r="4128" spans="2:16" x14ac:dyDescent="0.25">
      <c r="B4128" s="24"/>
      <c r="E4128" s="24"/>
      <c r="G4128" s="24"/>
      <c r="H4128" s="24"/>
      <c r="J4128" s="24"/>
      <c r="K4128" s="24"/>
      <c r="M4128" s="24"/>
      <c r="N4128" s="24"/>
      <c r="P4128" s="24"/>
    </row>
    <row r="4129" spans="2:16" x14ac:dyDescent="0.25">
      <c r="B4129" s="24"/>
      <c r="E4129" s="24"/>
      <c r="G4129" s="24"/>
      <c r="H4129" s="24"/>
      <c r="J4129" s="24"/>
      <c r="K4129" s="24"/>
      <c r="M4129" s="24"/>
      <c r="N4129" s="24"/>
      <c r="P4129" s="24"/>
    </row>
    <row r="4130" spans="2:16" x14ac:dyDescent="0.25">
      <c r="B4130" s="24"/>
      <c r="E4130" s="24"/>
      <c r="G4130" s="24"/>
      <c r="H4130" s="24"/>
      <c r="J4130" s="24"/>
      <c r="K4130" s="24"/>
      <c r="M4130" s="24"/>
      <c r="N4130" s="24"/>
      <c r="P4130" s="24"/>
    </row>
    <row r="4131" spans="2:16" x14ac:dyDescent="0.25">
      <c r="B4131" s="24"/>
      <c r="E4131" s="24"/>
      <c r="G4131" s="24"/>
      <c r="H4131" s="24"/>
      <c r="J4131" s="24"/>
      <c r="K4131" s="24"/>
      <c r="M4131" s="24"/>
      <c r="N4131" s="24"/>
      <c r="P4131" s="24"/>
    </row>
    <row r="4132" spans="2:16" x14ac:dyDescent="0.25">
      <c r="B4132" s="24"/>
      <c r="E4132" s="24"/>
      <c r="G4132" s="24"/>
      <c r="H4132" s="24"/>
      <c r="J4132" s="24"/>
      <c r="K4132" s="24"/>
      <c r="M4132" s="24"/>
      <c r="N4132" s="24"/>
      <c r="P4132" s="24"/>
    </row>
    <row r="4133" spans="2:16" x14ac:dyDescent="0.25">
      <c r="B4133" s="24"/>
      <c r="E4133" s="24"/>
      <c r="G4133" s="24"/>
      <c r="H4133" s="24"/>
      <c r="J4133" s="24"/>
      <c r="K4133" s="24"/>
      <c r="M4133" s="24"/>
      <c r="N4133" s="24"/>
      <c r="P4133" s="24"/>
    </row>
    <row r="4134" spans="2:16" x14ac:dyDescent="0.25">
      <c r="B4134" s="24"/>
      <c r="E4134" s="24"/>
      <c r="G4134" s="24"/>
      <c r="H4134" s="24"/>
      <c r="J4134" s="24"/>
      <c r="K4134" s="24"/>
      <c r="M4134" s="24"/>
      <c r="N4134" s="24"/>
      <c r="P4134" s="24"/>
    </row>
    <row r="4135" spans="2:16" x14ac:dyDescent="0.25">
      <c r="B4135" s="24"/>
      <c r="E4135" s="24"/>
      <c r="G4135" s="24"/>
      <c r="H4135" s="24"/>
      <c r="J4135" s="24"/>
      <c r="K4135" s="24"/>
      <c r="M4135" s="24"/>
      <c r="N4135" s="24"/>
      <c r="P4135" s="24"/>
    </row>
    <row r="4136" spans="2:16" x14ac:dyDescent="0.25">
      <c r="B4136" s="24"/>
      <c r="E4136" s="24"/>
      <c r="G4136" s="24"/>
      <c r="H4136" s="24"/>
      <c r="J4136" s="24"/>
      <c r="K4136" s="24"/>
      <c r="M4136" s="24"/>
      <c r="N4136" s="24"/>
      <c r="P4136" s="24"/>
    </row>
    <row r="4137" spans="2:16" x14ac:dyDescent="0.25">
      <c r="B4137" s="24"/>
      <c r="E4137" s="24"/>
      <c r="G4137" s="24"/>
      <c r="H4137" s="24"/>
      <c r="J4137" s="24"/>
      <c r="K4137" s="24"/>
      <c r="M4137" s="24"/>
      <c r="N4137" s="24"/>
      <c r="P4137" s="24"/>
    </row>
    <row r="4138" spans="2:16" x14ac:dyDescent="0.25">
      <c r="B4138" s="24"/>
      <c r="E4138" s="24"/>
      <c r="G4138" s="24"/>
      <c r="H4138" s="24"/>
      <c r="J4138" s="24"/>
      <c r="K4138" s="24"/>
      <c r="M4138" s="24"/>
      <c r="N4138" s="24"/>
      <c r="P4138" s="24"/>
    </row>
    <row r="4139" spans="2:16" x14ac:dyDescent="0.25">
      <c r="B4139" s="24"/>
      <c r="E4139" s="24"/>
      <c r="G4139" s="24"/>
      <c r="H4139" s="24"/>
      <c r="J4139" s="24"/>
      <c r="K4139" s="24"/>
      <c r="M4139" s="24"/>
      <c r="N4139" s="24"/>
      <c r="P4139" s="24"/>
    </row>
    <row r="4140" spans="2:16" x14ac:dyDescent="0.25">
      <c r="B4140" s="24"/>
      <c r="E4140" s="24"/>
      <c r="G4140" s="24"/>
      <c r="H4140" s="24"/>
      <c r="J4140" s="24"/>
      <c r="K4140" s="24"/>
      <c r="M4140" s="24"/>
      <c r="N4140" s="24"/>
      <c r="P4140" s="24"/>
    </row>
    <row r="4141" spans="2:16" x14ac:dyDescent="0.25">
      <c r="B4141" s="24"/>
      <c r="E4141" s="24"/>
      <c r="G4141" s="24"/>
      <c r="H4141" s="24"/>
      <c r="J4141" s="24"/>
      <c r="K4141" s="24"/>
      <c r="M4141" s="24"/>
      <c r="N4141" s="24"/>
      <c r="P4141" s="24"/>
    </row>
    <row r="4142" spans="2:16" x14ac:dyDescent="0.25">
      <c r="B4142" s="24"/>
      <c r="E4142" s="24"/>
      <c r="G4142" s="24"/>
      <c r="H4142" s="24"/>
      <c r="J4142" s="24"/>
      <c r="K4142" s="24"/>
      <c r="M4142" s="24"/>
      <c r="N4142" s="24"/>
      <c r="P4142" s="24"/>
    </row>
    <row r="4143" spans="2:16" x14ac:dyDescent="0.25">
      <c r="B4143" s="24"/>
      <c r="E4143" s="24"/>
      <c r="G4143" s="24"/>
      <c r="H4143" s="24"/>
      <c r="J4143" s="24"/>
      <c r="K4143" s="24"/>
      <c r="M4143" s="24"/>
      <c r="N4143" s="24"/>
      <c r="P4143" s="24"/>
    </row>
    <row r="4144" spans="2:16" x14ac:dyDescent="0.25">
      <c r="B4144" s="24"/>
      <c r="E4144" s="24"/>
      <c r="G4144" s="24"/>
      <c r="H4144" s="24"/>
      <c r="J4144" s="24"/>
      <c r="K4144" s="24"/>
      <c r="M4144" s="24"/>
      <c r="N4144" s="24"/>
      <c r="P4144" s="24"/>
    </row>
    <row r="4145" spans="2:16" x14ac:dyDescent="0.25">
      <c r="B4145" s="24"/>
      <c r="E4145" s="24"/>
      <c r="G4145" s="24"/>
      <c r="H4145" s="24"/>
      <c r="J4145" s="24"/>
      <c r="K4145" s="24"/>
      <c r="M4145" s="24"/>
      <c r="N4145" s="24"/>
      <c r="P4145" s="24"/>
    </row>
    <row r="4146" spans="2:16" x14ac:dyDescent="0.25">
      <c r="B4146" s="24"/>
      <c r="E4146" s="24"/>
      <c r="G4146" s="24"/>
      <c r="H4146" s="24"/>
      <c r="J4146" s="24"/>
      <c r="K4146" s="24"/>
      <c r="M4146" s="24"/>
      <c r="N4146" s="24"/>
      <c r="P4146" s="24"/>
    </row>
    <row r="4147" spans="2:16" x14ac:dyDescent="0.25">
      <c r="B4147" s="24"/>
      <c r="E4147" s="24"/>
      <c r="G4147" s="24"/>
      <c r="H4147" s="24"/>
      <c r="J4147" s="24"/>
      <c r="K4147" s="24"/>
      <c r="M4147" s="24"/>
      <c r="N4147" s="24"/>
      <c r="P4147" s="24"/>
    </row>
    <row r="4148" spans="2:16" x14ac:dyDescent="0.25">
      <c r="B4148" s="24"/>
      <c r="E4148" s="24"/>
      <c r="G4148" s="24"/>
      <c r="H4148" s="24"/>
      <c r="J4148" s="24"/>
      <c r="K4148" s="24"/>
      <c r="M4148" s="24"/>
      <c r="N4148" s="24"/>
      <c r="P4148" s="24"/>
    </row>
    <row r="4149" spans="2:16" x14ac:dyDescent="0.25">
      <c r="B4149" s="24"/>
      <c r="E4149" s="24"/>
      <c r="G4149" s="24"/>
      <c r="H4149" s="24"/>
      <c r="J4149" s="24"/>
      <c r="K4149" s="24"/>
      <c r="M4149" s="24"/>
      <c r="N4149" s="24"/>
      <c r="P4149" s="24"/>
    </row>
    <row r="4150" spans="2:16" x14ac:dyDescent="0.25">
      <c r="B4150" s="24"/>
      <c r="E4150" s="24"/>
      <c r="G4150" s="24"/>
      <c r="H4150" s="24"/>
      <c r="J4150" s="24"/>
      <c r="K4150" s="24"/>
      <c r="M4150" s="24"/>
      <c r="N4150" s="24"/>
      <c r="P4150" s="24"/>
    </row>
    <row r="4151" spans="2:16" x14ac:dyDescent="0.25">
      <c r="B4151" s="24"/>
      <c r="E4151" s="24"/>
      <c r="G4151" s="24"/>
      <c r="H4151" s="24"/>
      <c r="J4151" s="24"/>
      <c r="K4151" s="24"/>
      <c r="M4151" s="24"/>
      <c r="N4151" s="24"/>
      <c r="P4151" s="24"/>
    </row>
    <row r="4152" spans="2:16" x14ac:dyDescent="0.25">
      <c r="B4152" s="24"/>
      <c r="E4152" s="24"/>
      <c r="G4152" s="24"/>
      <c r="H4152" s="24"/>
      <c r="J4152" s="24"/>
      <c r="K4152" s="24"/>
      <c r="M4152" s="24"/>
      <c r="N4152" s="24"/>
      <c r="P4152" s="24"/>
    </row>
    <row r="4153" spans="2:16" x14ac:dyDescent="0.25">
      <c r="B4153" s="24"/>
      <c r="E4153" s="24"/>
      <c r="G4153" s="24"/>
      <c r="H4153" s="24"/>
      <c r="J4153" s="24"/>
      <c r="K4153" s="24"/>
      <c r="M4153" s="24"/>
      <c r="N4153" s="24"/>
      <c r="P4153" s="24"/>
    </row>
    <row r="4154" spans="2:16" x14ac:dyDescent="0.25">
      <c r="B4154" s="24"/>
      <c r="E4154" s="24"/>
      <c r="G4154" s="24"/>
      <c r="H4154" s="24"/>
      <c r="J4154" s="24"/>
      <c r="K4154" s="24"/>
      <c r="M4154" s="24"/>
      <c r="N4154" s="24"/>
      <c r="P4154" s="24"/>
    </row>
    <row r="4155" spans="2:16" x14ac:dyDescent="0.25">
      <c r="B4155" s="24"/>
      <c r="E4155" s="24"/>
      <c r="G4155" s="24"/>
      <c r="H4155" s="24"/>
      <c r="J4155" s="24"/>
      <c r="K4155" s="24"/>
      <c r="M4155" s="24"/>
      <c r="N4155" s="24"/>
      <c r="P4155" s="24"/>
    </row>
    <row r="4156" spans="2:16" x14ac:dyDescent="0.25">
      <c r="B4156" s="24"/>
      <c r="E4156" s="24"/>
      <c r="G4156" s="24"/>
      <c r="H4156" s="24"/>
      <c r="J4156" s="24"/>
      <c r="K4156" s="24"/>
      <c r="M4156" s="24"/>
      <c r="N4156" s="24"/>
      <c r="P4156" s="24"/>
    </row>
    <row r="4157" spans="2:16" x14ac:dyDescent="0.25">
      <c r="B4157" s="24"/>
      <c r="E4157" s="24"/>
      <c r="G4157" s="24"/>
      <c r="H4157" s="24"/>
      <c r="J4157" s="24"/>
      <c r="K4157" s="24"/>
      <c r="M4157" s="24"/>
      <c r="N4157" s="24"/>
      <c r="P4157" s="24"/>
    </row>
    <row r="4158" spans="2:16" x14ac:dyDescent="0.25">
      <c r="B4158" s="24"/>
      <c r="E4158" s="24"/>
      <c r="G4158" s="24"/>
      <c r="H4158" s="24"/>
      <c r="J4158" s="24"/>
      <c r="K4158" s="24"/>
      <c r="M4158" s="24"/>
      <c r="N4158" s="24"/>
      <c r="P4158" s="24"/>
    </row>
    <row r="4159" spans="2:16" x14ac:dyDescent="0.25">
      <c r="B4159" s="24"/>
      <c r="E4159" s="24"/>
      <c r="G4159" s="24"/>
      <c r="H4159" s="24"/>
      <c r="J4159" s="24"/>
      <c r="K4159" s="24"/>
      <c r="M4159" s="24"/>
      <c r="N4159" s="24"/>
      <c r="P4159" s="24"/>
    </row>
    <row r="4160" spans="2:16" x14ac:dyDescent="0.25">
      <c r="B4160" s="24"/>
      <c r="E4160" s="24"/>
      <c r="G4160" s="24"/>
      <c r="H4160" s="24"/>
      <c r="J4160" s="24"/>
      <c r="K4160" s="24"/>
      <c r="M4160" s="24"/>
      <c r="N4160" s="24"/>
      <c r="P4160" s="24"/>
    </row>
    <row r="4161" spans="2:16" x14ac:dyDescent="0.25">
      <c r="B4161" s="24"/>
      <c r="E4161" s="24"/>
      <c r="G4161" s="24"/>
      <c r="H4161" s="24"/>
      <c r="J4161" s="24"/>
      <c r="K4161" s="24"/>
      <c r="M4161" s="24"/>
      <c r="N4161" s="24"/>
      <c r="P4161" s="24"/>
    </row>
    <row r="4162" spans="2:16" x14ac:dyDescent="0.25">
      <c r="B4162" s="24"/>
      <c r="E4162" s="24"/>
      <c r="G4162" s="24"/>
      <c r="H4162" s="24"/>
      <c r="J4162" s="24"/>
      <c r="K4162" s="24"/>
      <c r="M4162" s="24"/>
      <c r="N4162" s="24"/>
      <c r="P4162" s="24"/>
    </row>
    <row r="4163" spans="2:16" x14ac:dyDescent="0.25">
      <c r="B4163" s="24"/>
      <c r="E4163" s="24"/>
      <c r="G4163" s="24"/>
      <c r="H4163" s="24"/>
      <c r="J4163" s="24"/>
      <c r="K4163" s="24"/>
      <c r="M4163" s="24"/>
      <c r="N4163" s="24"/>
      <c r="P4163" s="24"/>
    </row>
    <row r="4164" spans="2:16" x14ac:dyDescent="0.25">
      <c r="B4164" s="24"/>
      <c r="E4164" s="24"/>
      <c r="G4164" s="24"/>
      <c r="H4164" s="24"/>
      <c r="J4164" s="24"/>
      <c r="K4164" s="24"/>
      <c r="M4164" s="24"/>
      <c r="N4164" s="24"/>
      <c r="P4164" s="24"/>
    </row>
    <row r="4165" spans="2:16" x14ac:dyDescent="0.25">
      <c r="B4165" s="24"/>
      <c r="E4165" s="24"/>
      <c r="G4165" s="24"/>
      <c r="H4165" s="24"/>
      <c r="J4165" s="24"/>
      <c r="K4165" s="24"/>
      <c r="M4165" s="24"/>
      <c r="N4165" s="24"/>
      <c r="P4165" s="24"/>
    </row>
    <row r="4166" spans="2:16" x14ac:dyDescent="0.25">
      <c r="B4166" s="24"/>
      <c r="E4166" s="24"/>
      <c r="G4166" s="24"/>
      <c r="H4166" s="24"/>
      <c r="J4166" s="24"/>
      <c r="K4166" s="24"/>
      <c r="M4166" s="24"/>
      <c r="N4166" s="24"/>
      <c r="P4166" s="24"/>
    </row>
    <row r="4167" spans="2:16" x14ac:dyDescent="0.25">
      <c r="B4167" s="24"/>
      <c r="E4167" s="24"/>
      <c r="G4167" s="24"/>
      <c r="H4167" s="24"/>
      <c r="J4167" s="24"/>
      <c r="K4167" s="24"/>
      <c r="M4167" s="24"/>
      <c r="N4167" s="24"/>
      <c r="P4167" s="24"/>
    </row>
    <row r="4168" spans="2:16" x14ac:dyDescent="0.25">
      <c r="B4168" s="24"/>
      <c r="E4168" s="24"/>
      <c r="G4168" s="24"/>
      <c r="H4168" s="24"/>
      <c r="J4168" s="24"/>
      <c r="K4168" s="24"/>
      <c r="M4168" s="24"/>
      <c r="N4168" s="24"/>
      <c r="P4168" s="24"/>
    </row>
    <row r="4169" spans="2:16" x14ac:dyDescent="0.25">
      <c r="B4169" s="24"/>
      <c r="E4169" s="24"/>
      <c r="G4169" s="24"/>
      <c r="H4169" s="24"/>
      <c r="J4169" s="24"/>
      <c r="K4169" s="24"/>
      <c r="M4169" s="24"/>
      <c r="N4169" s="24"/>
      <c r="P4169" s="24"/>
    </row>
    <row r="4170" spans="2:16" x14ac:dyDescent="0.25">
      <c r="B4170" s="24"/>
      <c r="E4170" s="24"/>
      <c r="G4170" s="24"/>
      <c r="H4170" s="24"/>
      <c r="J4170" s="24"/>
      <c r="K4170" s="24"/>
      <c r="M4170" s="24"/>
      <c r="N4170" s="24"/>
      <c r="P4170" s="24"/>
    </row>
    <row r="4171" spans="2:16" x14ac:dyDescent="0.25">
      <c r="B4171" s="24"/>
      <c r="E4171" s="24"/>
      <c r="G4171" s="24"/>
      <c r="H4171" s="24"/>
      <c r="J4171" s="24"/>
      <c r="K4171" s="24"/>
      <c r="M4171" s="24"/>
      <c r="N4171" s="24"/>
      <c r="P4171" s="24"/>
    </row>
    <row r="4172" spans="2:16" x14ac:dyDescent="0.25">
      <c r="B4172" s="24"/>
      <c r="E4172" s="24"/>
      <c r="G4172" s="24"/>
      <c r="H4172" s="24"/>
      <c r="J4172" s="24"/>
      <c r="K4172" s="24"/>
      <c r="M4172" s="24"/>
      <c r="N4172" s="24"/>
      <c r="P4172" s="24"/>
    </row>
    <row r="4173" spans="2:16" x14ac:dyDescent="0.25">
      <c r="B4173" s="24"/>
      <c r="E4173" s="24"/>
      <c r="G4173" s="24"/>
      <c r="H4173" s="24"/>
      <c r="J4173" s="24"/>
      <c r="K4173" s="24"/>
      <c r="M4173" s="24"/>
      <c r="N4173" s="24"/>
      <c r="P4173" s="24"/>
    </row>
    <row r="4174" spans="2:16" x14ac:dyDescent="0.25">
      <c r="B4174" s="24"/>
      <c r="E4174" s="24"/>
      <c r="G4174" s="24"/>
      <c r="H4174" s="24"/>
      <c r="J4174" s="24"/>
      <c r="K4174" s="24"/>
      <c r="M4174" s="24"/>
      <c r="N4174" s="24"/>
      <c r="P4174" s="24"/>
    </row>
    <row r="4175" spans="2:16" x14ac:dyDescent="0.25">
      <c r="B4175" s="24"/>
      <c r="E4175" s="24"/>
      <c r="G4175" s="24"/>
      <c r="H4175" s="24"/>
      <c r="J4175" s="24"/>
      <c r="K4175" s="24"/>
      <c r="M4175" s="24"/>
      <c r="N4175" s="24"/>
      <c r="P4175" s="24"/>
    </row>
    <row r="4176" spans="2:16" x14ac:dyDescent="0.25">
      <c r="B4176" s="24"/>
      <c r="E4176" s="24"/>
      <c r="G4176" s="24"/>
      <c r="H4176" s="24"/>
      <c r="J4176" s="24"/>
      <c r="K4176" s="24"/>
      <c r="M4176" s="24"/>
      <c r="N4176" s="24"/>
      <c r="P4176" s="24"/>
    </row>
    <row r="4177" spans="2:16" x14ac:dyDescent="0.25">
      <c r="B4177" s="24"/>
      <c r="E4177" s="24"/>
      <c r="G4177" s="24"/>
      <c r="H4177" s="24"/>
      <c r="J4177" s="24"/>
      <c r="K4177" s="24"/>
      <c r="M4177" s="24"/>
      <c r="N4177" s="24"/>
      <c r="P4177" s="24"/>
    </row>
    <row r="4178" spans="2:16" x14ac:dyDescent="0.25">
      <c r="B4178" s="24"/>
      <c r="E4178" s="24"/>
      <c r="G4178" s="24"/>
      <c r="H4178" s="24"/>
      <c r="J4178" s="24"/>
      <c r="K4178" s="24"/>
      <c r="M4178" s="24"/>
      <c r="N4178" s="24"/>
      <c r="P4178" s="24"/>
    </row>
    <row r="4179" spans="2:16" x14ac:dyDescent="0.25">
      <c r="B4179" s="24"/>
      <c r="E4179" s="24"/>
      <c r="G4179" s="24"/>
      <c r="H4179" s="24"/>
      <c r="J4179" s="24"/>
      <c r="K4179" s="24"/>
      <c r="M4179" s="24"/>
      <c r="N4179" s="24"/>
      <c r="P4179" s="24"/>
    </row>
    <row r="4180" spans="2:16" x14ac:dyDescent="0.25">
      <c r="B4180" s="24"/>
      <c r="E4180" s="24"/>
      <c r="G4180" s="24"/>
      <c r="H4180" s="24"/>
      <c r="J4180" s="24"/>
      <c r="K4180" s="24"/>
      <c r="M4180" s="24"/>
      <c r="N4180" s="24"/>
      <c r="P4180" s="24"/>
    </row>
    <row r="4181" spans="2:16" x14ac:dyDescent="0.25">
      <c r="B4181" s="24"/>
      <c r="E4181" s="24"/>
      <c r="G4181" s="24"/>
      <c r="H4181" s="24"/>
      <c r="J4181" s="24"/>
      <c r="K4181" s="24"/>
      <c r="M4181" s="24"/>
      <c r="N4181" s="24"/>
      <c r="P4181" s="24"/>
    </row>
    <row r="4182" spans="2:16" x14ac:dyDescent="0.25">
      <c r="B4182" s="24"/>
      <c r="E4182" s="24"/>
      <c r="G4182" s="24"/>
      <c r="H4182" s="24"/>
      <c r="J4182" s="24"/>
      <c r="K4182" s="24"/>
      <c r="M4182" s="24"/>
      <c r="N4182" s="24"/>
      <c r="P4182" s="24"/>
    </row>
    <row r="4183" spans="2:16" x14ac:dyDescent="0.25">
      <c r="B4183" s="24"/>
      <c r="E4183" s="24"/>
      <c r="G4183" s="24"/>
      <c r="H4183" s="24"/>
      <c r="J4183" s="24"/>
      <c r="K4183" s="24"/>
      <c r="M4183" s="24"/>
      <c r="N4183" s="24"/>
      <c r="P4183" s="24"/>
    </row>
    <row r="4184" spans="2:16" x14ac:dyDescent="0.25">
      <c r="B4184" s="24"/>
      <c r="E4184" s="24"/>
      <c r="G4184" s="24"/>
      <c r="H4184" s="24"/>
      <c r="J4184" s="24"/>
      <c r="K4184" s="24"/>
      <c r="M4184" s="24"/>
      <c r="N4184" s="24"/>
      <c r="P4184" s="24"/>
    </row>
    <row r="4185" spans="2:16" x14ac:dyDescent="0.25">
      <c r="B4185" s="24"/>
      <c r="E4185" s="24"/>
      <c r="G4185" s="24"/>
      <c r="H4185" s="24"/>
      <c r="J4185" s="24"/>
      <c r="K4185" s="24"/>
      <c r="M4185" s="24"/>
      <c r="N4185" s="24"/>
      <c r="P4185" s="24"/>
    </row>
    <row r="4186" spans="2:16" x14ac:dyDescent="0.25">
      <c r="B4186" s="24"/>
      <c r="E4186" s="24"/>
      <c r="G4186" s="24"/>
      <c r="H4186" s="24"/>
      <c r="J4186" s="24"/>
      <c r="K4186" s="24"/>
      <c r="M4186" s="24"/>
      <c r="N4186" s="24"/>
      <c r="P4186" s="24"/>
    </row>
    <row r="4187" spans="2:16" x14ac:dyDescent="0.25">
      <c r="B4187" s="24"/>
      <c r="E4187" s="24"/>
      <c r="G4187" s="24"/>
      <c r="H4187" s="24"/>
      <c r="J4187" s="24"/>
      <c r="K4187" s="24"/>
      <c r="M4187" s="24"/>
      <c r="N4187" s="24"/>
      <c r="P4187" s="24"/>
    </row>
    <row r="4188" spans="2:16" x14ac:dyDescent="0.25">
      <c r="B4188" s="24"/>
      <c r="E4188" s="24"/>
      <c r="G4188" s="24"/>
      <c r="H4188" s="24"/>
      <c r="J4188" s="24"/>
      <c r="K4188" s="24"/>
      <c r="M4188" s="24"/>
      <c r="N4188" s="24"/>
      <c r="P4188" s="24"/>
    </row>
    <row r="4189" spans="2:16" x14ac:dyDescent="0.25">
      <c r="B4189" s="24"/>
      <c r="E4189" s="24"/>
      <c r="G4189" s="24"/>
      <c r="H4189" s="24"/>
      <c r="J4189" s="24"/>
      <c r="K4189" s="24"/>
      <c r="M4189" s="24"/>
      <c r="N4189" s="24"/>
      <c r="P4189" s="24"/>
    </row>
    <row r="4190" spans="2:16" x14ac:dyDescent="0.25">
      <c r="B4190" s="24"/>
      <c r="E4190" s="24"/>
      <c r="G4190" s="24"/>
      <c r="H4190" s="24"/>
      <c r="J4190" s="24"/>
      <c r="K4190" s="24"/>
      <c r="M4190" s="24"/>
      <c r="N4190" s="24"/>
      <c r="P4190" s="24"/>
    </row>
    <row r="4191" spans="2:16" x14ac:dyDescent="0.25">
      <c r="B4191" s="24"/>
      <c r="E4191" s="24"/>
      <c r="G4191" s="24"/>
      <c r="H4191" s="24"/>
      <c r="J4191" s="24"/>
      <c r="K4191" s="24"/>
      <c r="M4191" s="24"/>
      <c r="N4191" s="24"/>
      <c r="P4191" s="24"/>
    </row>
    <row r="4192" spans="2:16" x14ac:dyDescent="0.25">
      <c r="B4192" s="24"/>
      <c r="E4192" s="24"/>
      <c r="G4192" s="24"/>
      <c r="H4192" s="24"/>
      <c r="J4192" s="24"/>
      <c r="K4192" s="24"/>
      <c r="M4192" s="24"/>
      <c r="N4192" s="24"/>
      <c r="P4192" s="24"/>
    </row>
    <row r="4193" spans="2:16" x14ac:dyDescent="0.25">
      <c r="B4193" s="24"/>
      <c r="E4193" s="24"/>
      <c r="G4193" s="24"/>
      <c r="H4193" s="24"/>
      <c r="J4193" s="24"/>
      <c r="K4193" s="24"/>
      <c r="M4193" s="24"/>
      <c r="N4193" s="24"/>
      <c r="P4193" s="24"/>
    </row>
    <row r="4194" spans="2:16" x14ac:dyDescent="0.25">
      <c r="B4194" s="24"/>
      <c r="E4194" s="24"/>
      <c r="G4194" s="24"/>
      <c r="H4194" s="24"/>
      <c r="J4194" s="24"/>
      <c r="K4194" s="24"/>
      <c r="M4194" s="24"/>
      <c r="N4194" s="24"/>
      <c r="P4194" s="24"/>
    </row>
    <row r="4195" spans="2:16" x14ac:dyDescent="0.25">
      <c r="B4195" s="24"/>
      <c r="E4195" s="24"/>
      <c r="G4195" s="24"/>
      <c r="H4195" s="24"/>
      <c r="J4195" s="24"/>
      <c r="K4195" s="24"/>
      <c r="M4195" s="24"/>
      <c r="N4195" s="24"/>
      <c r="P4195" s="24"/>
    </row>
    <row r="4196" spans="2:16" x14ac:dyDescent="0.25">
      <c r="B4196" s="24"/>
      <c r="E4196" s="24"/>
      <c r="G4196" s="24"/>
      <c r="H4196" s="24"/>
      <c r="J4196" s="24"/>
      <c r="K4196" s="24"/>
      <c r="M4196" s="24"/>
      <c r="N4196" s="24"/>
      <c r="P4196" s="24"/>
    </row>
    <row r="4197" spans="2:16" x14ac:dyDescent="0.25">
      <c r="B4197" s="24"/>
      <c r="E4197" s="24"/>
      <c r="G4197" s="24"/>
      <c r="H4197" s="24"/>
      <c r="J4197" s="24"/>
      <c r="K4197" s="24"/>
      <c r="M4197" s="24"/>
      <c r="N4197" s="24"/>
      <c r="P4197" s="24"/>
    </row>
    <row r="4198" spans="2:16" x14ac:dyDescent="0.25">
      <c r="B4198" s="24"/>
      <c r="E4198" s="24"/>
      <c r="G4198" s="24"/>
      <c r="H4198" s="24"/>
      <c r="J4198" s="24"/>
      <c r="K4198" s="24"/>
      <c r="M4198" s="24"/>
      <c r="N4198" s="24"/>
      <c r="P4198" s="24"/>
    </row>
    <row r="4199" spans="2:16" x14ac:dyDescent="0.25">
      <c r="B4199" s="24"/>
      <c r="E4199" s="24"/>
      <c r="G4199" s="24"/>
      <c r="H4199" s="24"/>
      <c r="J4199" s="24"/>
      <c r="K4199" s="24"/>
      <c r="M4199" s="24"/>
      <c r="N4199" s="24"/>
      <c r="P4199" s="24"/>
    </row>
    <row r="4200" spans="2:16" x14ac:dyDescent="0.25">
      <c r="B4200" s="24"/>
      <c r="E4200" s="24"/>
      <c r="G4200" s="24"/>
      <c r="H4200" s="24"/>
      <c r="J4200" s="24"/>
      <c r="K4200" s="24"/>
      <c r="M4200" s="24"/>
      <c r="N4200" s="24"/>
      <c r="P4200" s="24"/>
    </row>
    <row r="4201" spans="2:16" x14ac:dyDescent="0.25">
      <c r="B4201" s="24"/>
      <c r="E4201" s="24"/>
      <c r="G4201" s="24"/>
      <c r="H4201" s="24"/>
      <c r="J4201" s="24"/>
      <c r="K4201" s="24"/>
      <c r="M4201" s="24"/>
      <c r="N4201" s="24"/>
      <c r="P4201" s="24"/>
    </row>
    <row r="4202" spans="2:16" x14ac:dyDescent="0.25">
      <c r="B4202" s="24"/>
      <c r="E4202" s="24"/>
      <c r="G4202" s="24"/>
      <c r="H4202" s="24"/>
      <c r="J4202" s="24"/>
      <c r="K4202" s="24"/>
      <c r="M4202" s="24"/>
      <c r="N4202" s="24"/>
      <c r="P4202" s="24"/>
    </row>
    <row r="4203" spans="2:16" x14ac:dyDescent="0.25">
      <c r="B4203" s="24"/>
      <c r="E4203" s="24"/>
      <c r="G4203" s="24"/>
      <c r="H4203" s="24"/>
      <c r="J4203" s="24"/>
      <c r="K4203" s="24"/>
      <c r="M4203" s="24"/>
      <c r="N4203" s="24"/>
      <c r="P4203" s="24"/>
    </row>
    <row r="4204" spans="2:16" x14ac:dyDescent="0.25">
      <c r="B4204" s="24"/>
      <c r="E4204" s="24"/>
      <c r="G4204" s="24"/>
      <c r="H4204" s="24"/>
      <c r="J4204" s="24"/>
      <c r="K4204" s="24"/>
      <c r="M4204" s="24"/>
      <c r="N4204" s="24"/>
      <c r="P4204" s="24"/>
    </row>
    <row r="4205" spans="2:16" x14ac:dyDescent="0.25">
      <c r="B4205" s="24"/>
      <c r="E4205" s="24"/>
      <c r="G4205" s="24"/>
      <c r="H4205" s="24"/>
      <c r="J4205" s="24"/>
      <c r="K4205" s="24"/>
      <c r="M4205" s="24"/>
      <c r="N4205" s="24"/>
      <c r="P4205" s="24"/>
    </row>
    <row r="4206" spans="2:16" x14ac:dyDescent="0.25">
      <c r="B4206" s="24"/>
      <c r="E4206" s="24"/>
      <c r="G4206" s="24"/>
      <c r="H4206" s="24"/>
      <c r="J4206" s="24"/>
      <c r="K4206" s="24"/>
      <c r="M4206" s="24"/>
      <c r="N4206" s="24"/>
      <c r="P4206" s="24"/>
    </row>
    <row r="4207" spans="2:16" x14ac:dyDescent="0.25">
      <c r="B4207" s="24"/>
      <c r="E4207" s="24"/>
      <c r="G4207" s="24"/>
      <c r="H4207" s="24"/>
      <c r="J4207" s="24"/>
      <c r="K4207" s="24"/>
      <c r="M4207" s="24"/>
      <c r="N4207" s="24"/>
      <c r="P4207" s="24"/>
    </row>
    <row r="4208" spans="2:16" x14ac:dyDescent="0.25">
      <c r="B4208" s="24"/>
      <c r="E4208" s="24"/>
      <c r="G4208" s="24"/>
      <c r="H4208" s="24"/>
      <c r="J4208" s="24"/>
      <c r="K4208" s="24"/>
      <c r="M4208" s="24"/>
      <c r="N4208" s="24"/>
      <c r="P4208" s="24"/>
    </row>
    <row r="4209" spans="2:16" x14ac:dyDescent="0.25">
      <c r="B4209" s="24"/>
      <c r="E4209" s="24"/>
      <c r="G4209" s="24"/>
      <c r="H4209" s="24"/>
      <c r="J4209" s="24"/>
      <c r="K4209" s="24"/>
      <c r="M4209" s="24"/>
      <c r="N4209" s="24"/>
      <c r="P4209" s="24"/>
    </row>
    <row r="4210" spans="2:16" x14ac:dyDescent="0.25">
      <c r="B4210" s="24"/>
      <c r="E4210" s="24"/>
      <c r="G4210" s="24"/>
      <c r="H4210" s="24"/>
      <c r="J4210" s="24"/>
      <c r="K4210" s="24"/>
      <c r="M4210" s="24"/>
      <c r="N4210" s="24"/>
      <c r="P4210" s="24"/>
    </row>
    <row r="4211" spans="2:16" x14ac:dyDescent="0.25">
      <c r="B4211" s="24"/>
      <c r="E4211" s="24"/>
      <c r="G4211" s="24"/>
      <c r="H4211" s="24"/>
      <c r="J4211" s="24"/>
      <c r="K4211" s="24"/>
      <c r="M4211" s="24"/>
      <c r="N4211" s="24"/>
      <c r="P4211" s="24"/>
    </row>
    <row r="4212" spans="2:16" x14ac:dyDescent="0.25">
      <c r="B4212" s="24"/>
      <c r="E4212" s="24"/>
      <c r="G4212" s="24"/>
      <c r="H4212" s="24"/>
      <c r="J4212" s="24"/>
      <c r="K4212" s="24"/>
      <c r="M4212" s="24"/>
      <c r="N4212" s="24"/>
      <c r="P4212" s="24"/>
    </row>
    <row r="4213" spans="2:16" x14ac:dyDescent="0.25">
      <c r="B4213" s="24"/>
      <c r="E4213" s="24"/>
      <c r="G4213" s="24"/>
      <c r="H4213" s="24"/>
      <c r="J4213" s="24"/>
      <c r="K4213" s="24"/>
      <c r="M4213" s="24"/>
      <c r="N4213" s="24"/>
      <c r="P4213" s="24"/>
    </row>
    <row r="4214" spans="2:16" x14ac:dyDescent="0.25">
      <c r="B4214" s="24"/>
      <c r="E4214" s="24"/>
      <c r="G4214" s="24"/>
      <c r="H4214" s="24"/>
      <c r="J4214" s="24"/>
      <c r="K4214" s="24"/>
      <c r="M4214" s="24"/>
      <c r="N4214" s="24"/>
      <c r="P4214" s="24"/>
    </row>
    <row r="4215" spans="2:16" x14ac:dyDescent="0.25">
      <c r="B4215" s="24"/>
      <c r="E4215" s="24"/>
      <c r="G4215" s="24"/>
      <c r="H4215" s="24"/>
      <c r="J4215" s="24"/>
      <c r="K4215" s="24"/>
      <c r="M4215" s="24"/>
      <c r="N4215" s="24"/>
      <c r="P4215" s="24"/>
    </row>
    <row r="4216" spans="2:16" x14ac:dyDescent="0.25">
      <c r="B4216" s="24"/>
      <c r="E4216" s="24"/>
      <c r="G4216" s="24"/>
      <c r="H4216" s="24"/>
      <c r="J4216" s="24"/>
      <c r="K4216" s="24"/>
      <c r="M4216" s="24"/>
      <c r="N4216" s="24"/>
      <c r="P4216" s="24"/>
    </row>
    <row r="4217" spans="2:16" x14ac:dyDescent="0.25">
      <c r="B4217" s="24"/>
      <c r="E4217" s="24"/>
      <c r="G4217" s="24"/>
      <c r="H4217" s="24"/>
      <c r="J4217" s="24"/>
      <c r="K4217" s="24"/>
      <c r="M4217" s="24"/>
      <c r="N4217" s="24"/>
      <c r="P4217" s="24"/>
    </row>
    <row r="4218" spans="2:16" x14ac:dyDescent="0.25">
      <c r="B4218" s="24"/>
      <c r="E4218" s="24"/>
      <c r="G4218" s="24"/>
      <c r="H4218" s="24"/>
      <c r="J4218" s="24"/>
      <c r="K4218" s="24"/>
      <c r="M4218" s="24"/>
      <c r="N4218" s="24"/>
      <c r="P4218" s="24"/>
    </row>
    <row r="4219" spans="2:16" x14ac:dyDescent="0.25">
      <c r="B4219" s="24"/>
      <c r="E4219" s="24"/>
      <c r="G4219" s="24"/>
      <c r="H4219" s="24"/>
      <c r="J4219" s="24"/>
      <c r="K4219" s="24"/>
      <c r="M4219" s="24"/>
      <c r="N4219" s="24"/>
      <c r="P4219" s="24"/>
    </row>
    <row r="4220" spans="2:16" x14ac:dyDescent="0.25">
      <c r="B4220" s="24"/>
      <c r="E4220" s="24"/>
      <c r="G4220" s="24"/>
      <c r="H4220" s="24"/>
      <c r="J4220" s="24"/>
      <c r="K4220" s="24"/>
      <c r="M4220" s="24"/>
      <c r="N4220" s="24"/>
      <c r="P4220" s="24"/>
    </row>
    <row r="4221" spans="2:16" x14ac:dyDescent="0.25">
      <c r="B4221" s="24"/>
      <c r="E4221" s="24"/>
      <c r="G4221" s="24"/>
      <c r="H4221" s="24"/>
      <c r="J4221" s="24"/>
      <c r="K4221" s="24"/>
      <c r="M4221" s="24"/>
      <c r="N4221" s="24"/>
      <c r="P4221" s="24"/>
    </row>
    <row r="4222" spans="2:16" x14ac:dyDescent="0.25">
      <c r="B4222" s="24"/>
      <c r="E4222" s="24"/>
      <c r="G4222" s="24"/>
      <c r="H4222" s="24"/>
      <c r="J4222" s="24"/>
      <c r="K4222" s="24"/>
      <c r="M4222" s="24"/>
      <c r="N4222" s="24"/>
      <c r="P4222" s="24"/>
    </row>
    <row r="4223" spans="2:16" x14ac:dyDescent="0.25">
      <c r="B4223" s="24"/>
      <c r="E4223" s="24"/>
      <c r="G4223" s="24"/>
      <c r="H4223" s="24"/>
      <c r="J4223" s="24"/>
      <c r="K4223" s="24"/>
      <c r="M4223" s="24"/>
      <c r="N4223" s="24"/>
      <c r="P4223" s="24"/>
    </row>
    <row r="4224" spans="2:16" x14ac:dyDescent="0.25">
      <c r="B4224" s="24"/>
      <c r="E4224" s="24"/>
      <c r="G4224" s="24"/>
      <c r="H4224" s="24"/>
      <c r="J4224" s="24"/>
      <c r="K4224" s="24"/>
      <c r="M4224" s="24"/>
      <c r="N4224" s="24"/>
      <c r="P4224" s="24"/>
    </row>
    <row r="4225" spans="2:16" x14ac:dyDescent="0.25">
      <c r="B4225" s="24"/>
      <c r="E4225" s="24"/>
      <c r="G4225" s="24"/>
      <c r="H4225" s="24"/>
      <c r="J4225" s="24"/>
      <c r="K4225" s="24"/>
      <c r="M4225" s="24"/>
      <c r="N4225" s="24"/>
      <c r="P4225" s="24"/>
    </row>
    <row r="4226" spans="2:16" x14ac:dyDescent="0.25">
      <c r="B4226" s="24"/>
      <c r="E4226" s="24"/>
      <c r="G4226" s="24"/>
      <c r="H4226" s="24"/>
      <c r="J4226" s="24"/>
      <c r="K4226" s="24"/>
      <c r="M4226" s="24"/>
      <c r="N4226" s="24"/>
      <c r="P4226" s="24"/>
    </row>
    <row r="4227" spans="2:16" x14ac:dyDescent="0.25">
      <c r="B4227" s="24"/>
      <c r="E4227" s="24"/>
      <c r="G4227" s="24"/>
      <c r="H4227" s="24"/>
      <c r="J4227" s="24"/>
      <c r="K4227" s="24"/>
      <c r="M4227" s="24"/>
      <c r="N4227" s="24"/>
      <c r="P4227" s="24"/>
    </row>
    <row r="4228" spans="2:16" x14ac:dyDescent="0.25">
      <c r="B4228" s="24"/>
      <c r="E4228" s="24"/>
      <c r="G4228" s="24"/>
      <c r="H4228" s="24"/>
      <c r="J4228" s="24"/>
      <c r="K4228" s="24"/>
      <c r="M4228" s="24"/>
      <c r="N4228" s="24"/>
      <c r="P4228" s="24"/>
    </row>
    <row r="4229" spans="2:16" x14ac:dyDescent="0.25">
      <c r="B4229" s="24"/>
      <c r="E4229" s="24"/>
      <c r="G4229" s="24"/>
      <c r="H4229" s="24"/>
      <c r="J4229" s="24"/>
      <c r="K4229" s="24"/>
      <c r="M4229" s="24"/>
      <c r="N4229" s="24"/>
      <c r="P4229" s="24"/>
    </row>
    <row r="4230" spans="2:16" x14ac:dyDescent="0.25">
      <c r="B4230" s="24"/>
      <c r="E4230" s="24"/>
      <c r="G4230" s="24"/>
      <c r="H4230" s="24"/>
      <c r="J4230" s="24"/>
      <c r="K4230" s="24"/>
      <c r="M4230" s="24"/>
      <c r="N4230" s="24"/>
      <c r="P4230" s="24"/>
    </row>
    <row r="4231" spans="2:16" x14ac:dyDescent="0.25">
      <c r="B4231" s="24"/>
      <c r="E4231" s="24"/>
      <c r="G4231" s="24"/>
      <c r="H4231" s="24"/>
      <c r="J4231" s="24"/>
      <c r="K4231" s="24"/>
      <c r="M4231" s="24"/>
      <c r="N4231" s="24"/>
      <c r="P4231" s="24"/>
    </row>
    <row r="4232" spans="2:16" x14ac:dyDescent="0.25">
      <c r="B4232" s="24"/>
      <c r="E4232" s="24"/>
      <c r="G4232" s="24"/>
      <c r="H4232" s="24"/>
      <c r="J4232" s="24"/>
      <c r="K4232" s="24"/>
      <c r="M4232" s="24"/>
      <c r="N4232" s="24"/>
      <c r="P4232" s="24"/>
    </row>
    <row r="4233" spans="2:16" x14ac:dyDescent="0.25">
      <c r="B4233" s="24"/>
      <c r="E4233" s="24"/>
      <c r="G4233" s="24"/>
      <c r="H4233" s="24"/>
      <c r="J4233" s="24"/>
      <c r="K4233" s="24"/>
      <c r="M4233" s="24"/>
      <c r="N4233" s="24"/>
      <c r="P4233" s="24"/>
    </row>
    <row r="4234" spans="2:16" x14ac:dyDescent="0.25">
      <c r="B4234" s="24"/>
      <c r="E4234" s="24"/>
      <c r="G4234" s="24"/>
      <c r="H4234" s="24"/>
      <c r="J4234" s="24"/>
      <c r="K4234" s="24"/>
      <c r="M4234" s="24"/>
      <c r="N4234" s="24"/>
      <c r="P4234" s="24"/>
    </row>
    <row r="4235" spans="2:16" x14ac:dyDescent="0.25">
      <c r="B4235" s="24"/>
      <c r="E4235" s="24"/>
      <c r="G4235" s="24"/>
      <c r="H4235" s="24"/>
      <c r="J4235" s="24"/>
      <c r="K4235" s="24"/>
      <c r="M4235" s="24"/>
      <c r="N4235" s="24"/>
      <c r="P4235" s="24"/>
    </row>
    <row r="4236" spans="2:16" x14ac:dyDescent="0.25">
      <c r="B4236" s="24"/>
      <c r="E4236" s="24"/>
      <c r="G4236" s="24"/>
      <c r="H4236" s="24"/>
      <c r="J4236" s="24"/>
      <c r="K4236" s="24"/>
      <c r="M4236" s="24"/>
      <c r="N4236" s="24"/>
      <c r="P4236" s="24"/>
    </row>
    <row r="4237" spans="2:16" x14ac:dyDescent="0.25">
      <c r="B4237" s="24"/>
      <c r="E4237" s="24"/>
      <c r="G4237" s="24"/>
      <c r="H4237" s="24"/>
      <c r="J4237" s="24"/>
      <c r="K4237" s="24"/>
      <c r="M4237" s="24"/>
      <c r="N4237" s="24"/>
      <c r="P4237" s="24"/>
    </row>
    <row r="4238" spans="2:16" x14ac:dyDescent="0.25">
      <c r="B4238" s="24"/>
      <c r="E4238" s="24"/>
      <c r="G4238" s="24"/>
      <c r="H4238" s="24"/>
      <c r="J4238" s="24"/>
      <c r="K4238" s="24"/>
      <c r="M4238" s="24"/>
      <c r="N4238" s="24"/>
      <c r="P4238" s="24"/>
    </row>
    <row r="4239" spans="2:16" x14ac:dyDescent="0.25">
      <c r="B4239" s="24"/>
      <c r="E4239" s="24"/>
      <c r="G4239" s="24"/>
      <c r="H4239" s="24"/>
      <c r="J4239" s="24"/>
      <c r="K4239" s="24"/>
      <c r="M4239" s="24"/>
      <c r="N4239" s="24"/>
      <c r="P4239" s="24"/>
    </row>
    <row r="4240" spans="2:16" x14ac:dyDescent="0.25">
      <c r="B4240" s="24"/>
      <c r="E4240" s="24"/>
      <c r="G4240" s="24"/>
      <c r="H4240" s="24"/>
      <c r="J4240" s="24"/>
      <c r="K4240" s="24"/>
      <c r="M4240" s="24"/>
      <c r="N4240" s="24"/>
      <c r="P4240" s="24"/>
    </row>
    <row r="4241" spans="2:16" x14ac:dyDescent="0.25">
      <c r="B4241" s="24"/>
      <c r="E4241" s="24"/>
      <c r="G4241" s="24"/>
      <c r="H4241" s="24"/>
      <c r="J4241" s="24"/>
      <c r="K4241" s="24"/>
      <c r="M4241" s="24"/>
      <c r="N4241" s="24"/>
      <c r="P4241" s="24"/>
    </row>
    <row r="4242" spans="2:16" x14ac:dyDescent="0.25">
      <c r="B4242" s="24"/>
      <c r="E4242" s="24"/>
      <c r="G4242" s="24"/>
      <c r="H4242" s="24"/>
      <c r="J4242" s="24"/>
      <c r="K4242" s="24"/>
      <c r="M4242" s="24"/>
      <c r="N4242" s="24"/>
      <c r="P4242" s="24"/>
    </row>
    <row r="4243" spans="2:16" x14ac:dyDescent="0.25">
      <c r="B4243" s="24"/>
      <c r="E4243" s="24"/>
      <c r="G4243" s="24"/>
      <c r="H4243" s="24"/>
      <c r="J4243" s="24"/>
      <c r="K4243" s="24"/>
      <c r="M4243" s="24"/>
      <c r="N4243" s="24"/>
      <c r="P4243" s="24"/>
    </row>
    <row r="4244" spans="2:16" x14ac:dyDescent="0.25">
      <c r="B4244" s="24"/>
      <c r="E4244" s="24"/>
      <c r="G4244" s="24"/>
      <c r="H4244" s="24"/>
      <c r="J4244" s="24"/>
      <c r="K4244" s="24"/>
      <c r="M4244" s="24"/>
      <c r="N4244" s="24"/>
      <c r="P4244" s="24"/>
    </row>
    <row r="4245" spans="2:16" x14ac:dyDescent="0.25">
      <c r="B4245" s="24"/>
      <c r="E4245" s="24"/>
      <c r="G4245" s="24"/>
      <c r="H4245" s="24"/>
      <c r="J4245" s="24"/>
      <c r="K4245" s="24"/>
      <c r="M4245" s="24"/>
      <c r="N4245" s="24"/>
      <c r="P4245" s="24"/>
    </row>
    <row r="4246" spans="2:16" x14ac:dyDescent="0.25">
      <c r="B4246" s="24"/>
      <c r="E4246" s="24"/>
      <c r="G4246" s="24"/>
      <c r="H4246" s="24"/>
      <c r="J4246" s="24"/>
      <c r="K4246" s="24"/>
      <c r="M4246" s="24"/>
      <c r="N4246" s="24"/>
      <c r="P4246" s="24"/>
    </row>
    <row r="4247" spans="2:16" x14ac:dyDescent="0.25">
      <c r="B4247" s="24"/>
      <c r="E4247" s="24"/>
      <c r="G4247" s="24"/>
      <c r="H4247" s="24"/>
      <c r="J4247" s="24"/>
      <c r="K4247" s="24"/>
      <c r="M4247" s="24"/>
      <c r="N4247" s="24"/>
      <c r="P4247" s="24"/>
    </row>
    <row r="4248" spans="2:16" x14ac:dyDescent="0.25">
      <c r="B4248" s="24"/>
      <c r="E4248" s="24"/>
      <c r="G4248" s="24"/>
      <c r="H4248" s="24"/>
      <c r="J4248" s="24"/>
      <c r="K4248" s="24"/>
      <c r="M4248" s="24"/>
      <c r="N4248" s="24"/>
      <c r="P4248" s="24"/>
    </row>
    <row r="4249" spans="2:16" x14ac:dyDescent="0.25">
      <c r="B4249" s="24"/>
      <c r="E4249" s="24"/>
      <c r="G4249" s="24"/>
      <c r="H4249" s="24"/>
      <c r="J4249" s="24"/>
      <c r="K4249" s="24"/>
      <c r="M4249" s="24"/>
      <c r="N4249" s="24"/>
      <c r="P4249" s="24"/>
    </row>
    <row r="4250" spans="2:16" x14ac:dyDescent="0.25">
      <c r="B4250" s="24"/>
      <c r="E4250" s="24"/>
      <c r="G4250" s="24"/>
      <c r="H4250" s="24"/>
      <c r="J4250" s="24"/>
      <c r="K4250" s="24"/>
      <c r="M4250" s="24"/>
      <c r="N4250" s="24"/>
      <c r="P4250" s="24"/>
    </row>
    <row r="4251" spans="2:16" x14ac:dyDescent="0.25">
      <c r="B4251" s="24"/>
      <c r="E4251" s="24"/>
      <c r="G4251" s="24"/>
      <c r="H4251" s="24"/>
      <c r="J4251" s="24"/>
      <c r="K4251" s="24"/>
      <c r="M4251" s="24"/>
      <c r="N4251" s="24"/>
      <c r="P4251" s="24"/>
    </row>
    <row r="4252" spans="2:16" x14ac:dyDescent="0.25">
      <c r="B4252" s="24"/>
      <c r="E4252" s="24"/>
      <c r="G4252" s="24"/>
      <c r="H4252" s="24"/>
      <c r="J4252" s="24"/>
      <c r="K4252" s="24"/>
      <c r="M4252" s="24"/>
      <c r="N4252" s="24"/>
      <c r="P4252" s="24"/>
    </row>
    <row r="4253" spans="2:16" x14ac:dyDescent="0.25">
      <c r="B4253" s="24"/>
      <c r="E4253" s="24"/>
      <c r="G4253" s="24"/>
      <c r="H4253" s="24"/>
      <c r="J4253" s="24"/>
      <c r="K4253" s="24"/>
      <c r="M4253" s="24"/>
      <c r="N4253" s="24"/>
      <c r="P4253" s="24"/>
    </row>
    <row r="4254" spans="2:16" x14ac:dyDescent="0.25">
      <c r="B4254" s="24"/>
      <c r="E4254" s="24"/>
      <c r="G4254" s="24"/>
      <c r="H4254" s="24"/>
      <c r="J4254" s="24"/>
      <c r="K4254" s="24"/>
      <c r="M4254" s="24"/>
      <c r="N4254" s="24"/>
      <c r="P4254" s="24"/>
    </row>
    <row r="4255" spans="2:16" x14ac:dyDescent="0.25">
      <c r="B4255" s="24"/>
      <c r="E4255" s="24"/>
      <c r="G4255" s="24"/>
      <c r="H4255" s="24"/>
      <c r="J4255" s="24"/>
      <c r="K4255" s="24"/>
      <c r="M4255" s="24"/>
      <c r="N4255" s="24"/>
      <c r="P4255" s="24"/>
    </row>
    <row r="4256" spans="2:16" x14ac:dyDescent="0.25">
      <c r="B4256" s="24"/>
      <c r="E4256" s="24"/>
      <c r="G4256" s="24"/>
      <c r="H4256" s="24"/>
      <c r="J4256" s="24"/>
      <c r="K4256" s="24"/>
      <c r="M4256" s="24"/>
      <c r="N4256" s="24"/>
      <c r="P4256" s="24"/>
    </row>
    <row r="4257" spans="2:16" x14ac:dyDescent="0.25">
      <c r="B4257" s="24"/>
      <c r="E4257" s="24"/>
      <c r="G4257" s="24"/>
      <c r="H4257" s="24"/>
      <c r="J4257" s="24"/>
      <c r="K4257" s="24"/>
      <c r="M4257" s="24"/>
      <c r="N4257" s="24"/>
      <c r="P4257" s="24"/>
    </row>
    <row r="4258" spans="2:16" x14ac:dyDescent="0.25">
      <c r="B4258" s="24"/>
      <c r="E4258" s="24"/>
      <c r="G4258" s="24"/>
      <c r="H4258" s="24"/>
      <c r="J4258" s="24"/>
      <c r="K4258" s="24"/>
      <c r="M4258" s="24"/>
      <c r="N4258" s="24"/>
      <c r="P4258" s="24"/>
    </row>
    <row r="4259" spans="2:16" x14ac:dyDescent="0.25">
      <c r="B4259" s="24"/>
      <c r="E4259" s="24"/>
      <c r="G4259" s="24"/>
      <c r="H4259" s="24"/>
      <c r="J4259" s="24"/>
      <c r="K4259" s="24"/>
      <c r="M4259" s="24"/>
      <c r="N4259" s="24"/>
      <c r="P4259" s="24"/>
    </row>
    <row r="4260" spans="2:16" x14ac:dyDescent="0.25">
      <c r="B4260" s="24"/>
      <c r="E4260" s="24"/>
      <c r="G4260" s="24"/>
      <c r="H4260" s="24"/>
      <c r="J4260" s="24"/>
      <c r="K4260" s="24"/>
      <c r="M4260" s="24"/>
      <c r="N4260" s="24"/>
      <c r="P4260" s="24"/>
    </row>
    <row r="4261" spans="2:16" x14ac:dyDescent="0.25">
      <c r="B4261" s="24"/>
      <c r="E4261" s="24"/>
      <c r="G4261" s="24"/>
      <c r="H4261" s="24"/>
      <c r="J4261" s="24"/>
      <c r="K4261" s="24"/>
      <c r="M4261" s="24"/>
      <c r="N4261" s="24"/>
      <c r="P4261" s="24"/>
    </row>
    <row r="4262" spans="2:16" x14ac:dyDescent="0.25">
      <c r="B4262" s="24"/>
      <c r="E4262" s="24"/>
      <c r="G4262" s="24"/>
      <c r="H4262" s="24"/>
      <c r="J4262" s="24"/>
      <c r="K4262" s="24"/>
      <c r="M4262" s="24"/>
      <c r="N4262" s="24"/>
      <c r="P4262" s="24"/>
    </row>
    <row r="4263" spans="2:16" x14ac:dyDescent="0.25">
      <c r="B4263" s="24"/>
      <c r="E4263" s="24"/>
      <c r="G4263" s="24"/>
      <c r="H4263" s="24"/>
      <c r="J4263" s="24"/>
      <c r="K4263" s="24"/>
      <c r="M4263" s="24"/>
      <c r="N4263" s="24"/>
      <c r="P4263" s="24"/>
    </row>
    <row r="4264" spans="2:16" x14ac:dyDescent="0.25">
      <c r="B4264" s="24"/>
      <c r="E4264" s="24"/>
      <c r="G4264" s="24"/>
      <c r="H4264" s="24"/>
      <c r="J4264" s="24"/>
      <c r="K4264" s="24"/>
      <c r="M4264" s="24"/>
      <c r="N4264" s="24"/>
      <c r="P4264" s="24"/>
    </row>
    <row r="4265" spans="2:16" x14ac:dyDescent="0.25">
      <c r="B4265" s="24"/>
      <c r="E4265" s="24"/>
      <c r="G4265" s="24"/>
      <c r="H4265" s="24"/>
      <c r="J4265" s="24"/>
      <c r="K4265" s="24"/>
      <c r="M4265" s="24"/>
      <c r="N4265" s="24"/>
      <c r="P4265" s="24"/>
    </row>
    <row r="4266" spans="2:16" x14ac:dyDescent="0.25">
      <c r="B4266" s="24"/>
      <c r="E4266" s="24"/>
      <c r="G4266" s="24"/>
      <c r="H4266" s="24"/>
      <c r="J4266" s="24"/>
      <c r="K4266" s="24"/>
      <c r="M4266" s="24"/>
      <c r="N4266" s="24"/>
      <c r="P4266" s="24"/>
    </row>
    <row r="4267" spans="2:16" x14ac:dyDescent="0.25">
      <c r="B4267" s="24"/>
      <c r="E4267" s="24"/>
      <c r="G4267" s="24"/>
      <c r="H4267" s="24"/>
      <c r="J4267" s="24"/>
      <c r="K4267" s="24"/>
      <c r="M4267" s="24"/>
      <c r="N4267" s="24"/>
      <c r="P4267" s="24"/>
    </row>
    <row r="4268" spans="2:16" x14ac:dyDescent="0.25">
      <c r="B4268" s="24"/>
      <c r="E4268" s="24"/>
      <c r="G4268" s="24"/>
      <c r="H4268" s="24"/>
      <c r="J4268" s="24"/>
      <c r="K4268" s="24"/>
      <c r="M4268" s="24"/>
      <c r="N4268" s="24"/>
      <c r="P4268" s="24"/>
    </row>
    <row r="4269" spans="2:16" x14ac:dyDescent="0.25">
      <c r="B4269" s="24"/>
      <c r="E4269" s="24"/>
      <c r="G4269" s="24"/>
      <c r="H4269" s="24"/>
      <c r="J4269" s="24"/>
      <c r="K4269" s="24"/>
      <c r="M4269" s="24"/>
      <c r="N4269" s="24"/>
      <c r="P4269" s="24"/>
    </row>
    <row r="4270" spans="2:16" x14ac:dyDescent="0.25">
      <c r="B4270" s="24"/>
      <c r="E4270" s="24"/>
      <c r="G4270" s="24"/>
      <c r="H4270" s="24"/>
      <c r="J4270" s="24"/>
      <c r="K4270" s="24"/>
      <c r="M4270" s="24"/>
      <c r="N4270" s="24"/>
      <c r="P4270" s="24"/>
    </row>
    <row r="4271" spans="2:16" x14ac:dyDescent="0.25">
      <c r="B4271" s="24"/>
      <c r="E4271" s="24"/>
      <c r="G4271" s="24"/>
      <c r="H4271" s="24"/>
      <c r="J4271" s="24"/>
      <c r="K4271" s="24"/>
      <c r="M4271" s="24"/>
      <c r="N4271" s="24"/>
      <c r="P4271" s="24"/>
    </row>
    <row r="4272" spans="2:16" x14ac:dyDescent="0.25">
      <c r="B4272" s="24"/>
      <c r="E4272" s="24"/>
      <c r="G4272" s="24"/>
      <c r="H4272" s="24"/>
      <c r="J4272" s="24"/>
      <c r="K4272" s="24"/>
      <c r="M4272" s="24"/>
      <c r="N4272" s="24"/>
      <c r="P4272" s="24"/>
    </row>
    <row r="4273" spans="2:16" x14ac:dyDescent="0.25">
      <c r="B4273" s="24"/>
      <c r="E4273" s="24"/>
      <c r="G4273" s="24"/>
      <c r="H4273" s="24"/>
      <c r="J4273" s="24"/>
      <c r="K4273" s="24"/>
      <c r="M4273" s="24"/>
      <c r="N4273" s="24"/>
      <c r="P4273" s="24"/>
    </row>
    <row r="4274" spans="2:16" x14ac:dyDescent="0.25">
      <c r="B4274" s="24"/>
      <c r="E4274" s="24"/>
      <c r="G4274" s="24"/>
      <c r="H4274" s="24"/>
      <c r="J4274" s="24"/>
      <c r="K4274" s="24"/>
      <c r="M4274" s="24"/>
      <c r="N4274" s="24"/>
      <c r="P4274" s="24"/>
    </row>
    <row r="4275" spans="2:16" x14ac:dyDescent="0.25">
      <c r="B4275" s="24"/>
      <c r="E4275" s="24"/>
      <c r="G4275" s="24"/>
      <c r="H4275" s="24"/>
      <c r="J4275" s="24"/>
      <c r="K4275" s="24"/>
      <c r="M4275" s="24"/>
      <c r="N4275" s="24"/>
      <c r="P4275" s="24"/>
    </row>
    <row r="4276" spans="2:16" x14ac:dyDescent="0.25">
      <c r="B4276" s="24"/>
      <c r="E4276" s="24"/>
      <c r="G4276" s="24"/>
      <c r="H4276" s="24"/>
      <c r="J4276" s="24"/>
      <c r="K4276" s="24"/>
      <c r="M4276" s="24"/>
      <c r="N4276" s="24"/>
      <c r="P4276" s="24"/>
    </row>
    <row r="4277" spans="2:16" x14ac:dyDescent="0.25">
      <c r="B4277" s="24"/>
      <c r="E4277" s="24"/>
      <c r="G4277" s="24"/>
      <c r="H4277" s="24"/>
      <c r="J4277" s="24"/>
      <c r="K4277" s="24"/>
      <c r="M4277" s="24"/>
      <c r="N4277" s="24"/>
      <c r="P4277" s="24"/>
    </row>
    <row r="4278" spans="2:16" x14ac:dyDescent="0.25">
      <c r="B4278" s="24"/>
      <c r="E4278" s="24"/>
      <c r="G4278" s="24"/>
      <c r="H4278" s="24"/>
      <c r="J4278" s="24"/>
      <c r="K4278" s="24"/>
      <c r="M4278" s="24"/>
      <c r="N4278" s="24"/>
      <c r="P4278" s="24"/>
    </row>
    <row r="4279" spans="2:16" x14ac:dyDescent="0.25">
      <c r="B4279" s="24"/>
      <c r="E4279" s="24"/>
      <c r="G4279" s="24"/>
      <c r="H4279" s="24"/>
      <c r="J4279" s="24"/>
      <c r="K4279" s="24"/>
      <c r="M4279" s="24"/>
      <c r="N4279" s="24"/>
      <c r="P4279" s="24"/>
    </row>
    <row r="4280" spans="2:16" x14ac:dyDescent="0.25">
      <c r="B4280" s="24"/>
      <c r="E4280" s="24"/>
      <c r="G4280" s="24"/>
      <c r="H4280" s="24"/>
      <c r="J4280" s="24"/>
      <c r="K4280" s="24"/>
      <c r="M4280" s="24"/>
      <c r="N4280" s="24"/>
      <c r="P4280" s="24"/>
    </row>
    <row r="4281" spans="2:16" x14ac:dyDescent="0.25">
      <c r="B4281" s="24"/>
      <c r="E4281" s="24"/>
      <c r="G4281" s="24"/>
      <c r="H4281" s="24"/>
      <c r="J4281" s="24"/>
      <c r="K4281" s="24"/>
      <c r="M4281" s="24"/>
      <c r="N4281" s="24"/>
      <c r="P4281" s="24"/>
    </row>
    <row r="4282" spans="2:16" x14ac:dyDescent="0.25">
      <c r="B4282" s="24"/>
      <c r="E4282" s="24"/>
      <c r="G4282" s="24"/>
      <c r="H4282" s="24"/>
      <c r="J4282" s="24"/>
      <c r="K4282" s="24"/>
      <c r="M4282" s="24"/>
      <c r="N4282" s="24"/>
      <c r="P4282" s="24"/>
    </row>
    <row r="4283" spans="2:16" x14ac:dyDescent="0.25">
      <c r="B4283" s="24"/>
      <c r="E4283" s="24"/>
      <c r="G4283" s="24"/>
      <c r="H4283" s="24"/>
      <c r="J4283" s="24"/>
      <c r="K4283" s="24"/>
      <c r="M4283" s="24"/>
      <c r="N4283" s="24"/>
      <c r="P4283" s="24"/>
    </row>
    <row r="4284" spans="2:16" x14ac:dyDescent="0.25">
      <c r="B4284" s="24"/>
      <c r="E4284" s="24"/>
      <c r="G4284" s="24"/>
      <c r="H4284" s="24"/>
      <c r="J4284" s="24"/>
      <c r="K4284" s="24"/>
      <c r="M4284" s="24"/>
      <c r="N4284" s="24"/>
      <c r="P4284" s="24"/>
    </row>
    <row r="4285" spans="2:16" x14ac:dyDescent="0.25">
      <c r="B4285" s="24"/>
      <c r="E4285" s="24"/>
      <c r="G4285" s="24"/>
      <c r="H4285" s="24"/>
      <c r="J4285" s="24"/>
      <c r="K4285" s="24"/>
      <c r="M4285" s="24"/>
      <c r="N4285" s="24"/>
      <c r="P4285" s="24"/>
    </row>
    <row r="4286" spans="2:16" x14ac:dyDescent="0.25">
      <c r="B4286" s="24"/>
      <c r="E4286" s="24"/>
      <c r="G4286" s="24"/>
      <c r="H4286" s="24"/>
      <c r="J4286" s="24"/>
      <c r="K4286" s="24"/>
      <c r="M4286" s="24"/>
      <c r="N4286" s="24"/>
      <c r="P4286" s="24"/>
    </row>
    <row r="4287" spans="2:16" x14ac:dyDescent="0.25">
      <c r="B4287" s="24"/>
      <c r="E4287" s="24"/>
      <c r="G4287" s="24"/>
      <c r="H4287" s="24"/>
      <c r="J4287" s="24"/>
      <c r="K4287" s="24"/>
      <c r="M4287" s="24"/>
      <c r="N4287" s="24"/>
      <c r="P4287" s="24"/>
    </row>
    <row r="4288" spans="2:16" x14ac:dyDescent="0.25">
      <c r="B4288" s="24"/>
      <c r="E4288" s="24"/>
      <c r="G4288" s="24"/>
      <c r="H4288" s="24"/>
      <c r="J4288" s="24"/>
      <c r="K4288" s="24"/>
      <c r="M4288" s="24"/>
      <c r="N4288" s="24"/>
      <c r="P4288" s="24"/>
    </row>
    <row r="4289" spans="2:16" x14ac:dyDescent="0.25">
      <c r="B4289" s="24"/>
      <c r="E4289" s="24"/>
      <c r="G4289" s="24"/>
      <c r="H4289" s="24"/>
      <c r="J4289" s="24"/>
      <c r="K4289" s="24"/>
      <c r="M4289" s="24"/>
      <c r="N4289" s="24"/>
      <c r="P4289" s="24"/>
    </row>
    <row r="4290" spans="2:16" x14ac:dyDescent="0.25">
      <c r="B4290" s="24"/>
      <c r="E4290" s="24"/>
      <c r="G4290" s="24"/>
      <c r="H4290" s="24"/>
      <c r="J4290" s="24"/>
      <c r="K4290" s="24"/>
      <c r="M4290" s="24"/>
      <c r="N4290" s="24"/>
      <c r="P4290" s="24"/>
    </row>
    <row r="4291" spans="2:16" x14ac:dyDescent="0.25">
      <c r="B4291" s="24"/>
      <c r="E4291" s="24"/>
      <c r="G4291" s="24"/>
      <c r="H4291" s="24"/>
      <c r="J4291" s="24"/>
      <c r="K4291" s="24"/>
      <c r="M4291" s="24"/>
      <c r="N4291" s="24"/>
      <c r="P4291" s="24"/>
    </row>
    <row r="4292" spans="2:16" x14ac:dyDescent="0.25">
      <c r="B4292" s="24"/>
      <c r="E4292" s="24"/>
      <c r="G4292" s="24"/>
      <c r="H4292" s="24"/>
      <c r="J4292" s="24"/>
      <c r="K4292" s="24"/>
      <c r="M4292" s="24"/>
      <c r="N4292" s="24"/>
      <c r="P4292" s="24"/>
    </row>
    <row r="4293" spans="2:16" x14ac:dyDescent="0.25">
      <c r="B4293" s="24"/>
      <c r="E4293" s="24"/>
      <c r="G4293" s="24"/>
      <c r="H4293" s="24"/>
      <c r="J4293" s="24"/>
      <c r="K4293" s="24"/>
      <c r="M4293" s="24"/>
      <c r="N4293" s="24"/>
      <c r="P4293" s="24"/>
    </row>
    <row r="4294" spans="2:16" x14ac:dyDescent="0.25">
      <c r="B4294" s="24"/>
      <c r="E4294" s="24"/>
      <c r="G4294" s="24"/>
      <c r="H4294" s="24"/>
      <c r="J4294" s="24"/>
      <c r="K4294" s="24"/>
      <c r="M4294" s="24"/>
      <c r="N4294" s="24"/>
      <c r="P4294" s="24"/>
    </row>
    <row r="4295" spans="2:16" x14ac:dyDescent="0.25">
      <c r="B4295" s="24"/>
      <c r="E4295" s="24"/>
      <c r="G4295" s="24"/>
      <c r="H4295" s="24"/>
      <c r="J4295" s="24"/>
      <c r="K4295" s="24"/>
      <c r="M4295" s="24"/>
      <c r="N4295" s="24"/>
      <c r="P4295" s="24"/>
    </row>
    <row r="4296" spans="2:16" x14ac:dyDescent="0.25">
      <c r="B4296" s="24"/>
      <c r="E4296" s="24"/>
      <c r="G4296" s="24"/>
      <c r="H4296" s="24"/>
      <c r="J4296" s="24"/>
      <c r="K4296" s="24"/>
      <c r="M4296" s="24"/>
      <c r="N4296" s="24"/>
      <c r="P4296" s="24"/>
    </row>
    <row r="4297" spans="2:16" x14ac:dyDescent="0.25">
      <c r="B4297" s="24"/>
      <c r="E4297" s="24"/>
      <c r="G4297" s="24"/>
      <c r="H4297" s="24"/>
      <c r="J4297" s="24"/>
      <c r="K4297" s="24"/>
      <c r="M4297" s="24"/>
      <c r="N4297" s="24"/>
      <c r="P4297" s="24"/>
    </row>
    <row r="4298" spans="2:16" x14ac:dyDescent="0.25">
      <c r="B4298" s="24"/>
      <c r="E4298" s="24"/>
      <c r="G4298" s="24"/>
      <c r="H4298" s="24"/>
      <c r="J4298" s="24"/>
      <c r="K4298" s="24"/>
      <c r="M4298" s="24"/>
      <c r="N4298" s="24"/>
      <c r="P4298" s="24"/>
    </row>
    <row r="4299" spans="2:16" x14ac:dyDescent="0.25">
      <c r="B4299" s="24"/>
      <c r="E4299" s="24"/>
      <c r="G4299" s="24"/>
      <c r="H4299" s="24"/>
      <c r="J4299" s="24"/>
      <c r="K4299" s="24"/>
      <c r="M4299" s="24"/>
      <c r="N4299" s="24"/>
      <c r="P4299" s="24"/>
    </row>
    <row r="4300" spans="2:16" x14ac:dyDescent="0.25">
      <c r="B4300" s="24"/>
      <c r="E4300" s="24"/>
      <c r="G4300" s="24"/>
      <c r="H4300" s="24"/>
      <c r="J4300" s="24"/>
      <c r="K4300" s="24"/>
      <c r="M4300" s="24"/>
      <c r="N4300" s="24"/>
      <c r="P4300" s="24"/>
    </row>
    <row r="4301" spans="2:16" x14ac:dyDescent="0.25">
      <c r="B4301" s="24"/>
      <c r="E4301" s="24"/>
      <c r="G4301" s="24"/>
      <c r="H4301" s="24"/>
      <c r="J4301" s="24"/>
      <c r="K4301" s="24"/>
      <c r="M4301" s="24"/>
      <c r="N4301" s="24"/>
      <c r="P4301" s="24"/>
    </row>
    <row r="4302" spans="2:16" x14ac:dyDescent="0.25">
      <c r="B4302" s="24"/>
      <c r="E4302" s="24"/>
      <c r="G4302" s="24"/>
      <c r="H4302" s="24"/>
      <c r="J4302" s="24"/>
      <c r="K4302" s="24"/>
      <c r="M4302" s="24"/>
      <c r="N4302" s="24"/>
      <c r="P4302" s="24"/>
    </row>
    <row r="4303" spans="2:16" x14ac:dyDescent="0.25">
      <c r="B4303" s="24"/>
      <c r="E4303" s="24"/>
      <c r="G4303" s="24"/>
      <c r="H4303" s="24"/>
      <c r="J4303" s="24"/>
      <c r="K4303" s="24"/>
      <c r="M4303" s="24"/>
      <c r="N4303" s="24"/>
      <c r="P4303" s="24"/>
    </row>
    <row r="4304" spans="2:16" x14ac:dyDescent="0.25">
      <c r="B4304" s="24"/>
      <c r="E4304" s="24"/>
      <c r="G4304" s="24"/>
      <c r="H4304" s="24"/>
      <c r="J4304" s="24"/>
      <c r="K4304" s="24"/>
      <c r="M4304" s="24"/>
      <c r="N4304" s="24"/>
      <c r="P4304" s="24"/>
    </row>
    <row r="4305" spans="2:16" x14ac:dyDescent="0.25">
      <c r="B4305" s="24"/>
      <c r="E4305" s="24"/>
      <c r="G4305" s="24"/>
      <c r="H4305" s="24"/>
      <c r="J4305" s="24"/>
      <c r="K4305" s="24"/>
      <c r="M4305" s="24"/>
      <c r="N4305" s="24"/>
      <c r="P4305" s="24"/>
    </row>
    <row r="4306" spans="2:16" x14ac:dyDescent="0.25">
      <c r="B4306" s="24"/>
      <c r="E4306" s="24"/>
      <c r="G4306" s="24"/>
      <c r="H4306" s="24"/>
      <c r="J4306" s="24"/>
      <c r="K4306" s="24"/>
      <c r="M4306" s="24"/>
      <c r="N4306" s="24"/>
      <c r="P4306" s="24"/>
    </row>
    <row r="4307" spans="2:16" x14ac:dyDescent="0.25">
      <c r="B4307" s="24"/>
      <c r="E4307" s="24"/>
      <c r="G4307" s="24"/>
      <c r="H4307" s="24"/>
      <c r="J4307" s="24"/>
      <c r="K4307" s="24"/>
      <c r="M4307" s="24"/>
      <c r="N4307" s="24"/>
      <c r="P4307" s="24"/>
    </row>
    <row r="4308" spans="2:16" x14ac:dyDescent="0.25">
      <c r="B4308" s="24"/>
      <c r="E4308" s="24"/>
      <c r="G4308" s="24"/>
      <c r="H4308" s="24"/>
      <c r="J4308" s="24"/>
      <c r="K4308" s="24"/>
      <c r="M4308" s="24"/>
      <c r="N4308" s="24"/>
      <c r="P4308" s="24"/>
    </row>
    <row r="4309" spans="2:16" x14ac:dyDescent="0.25">
      <c r="B4309" s="24"/>
      <c r="E4309" s="24"/>
      <c r="G4309" s="24"/>
      <c r="H4309" s="24"/>
      <c r="J4309" s="24"/>
      <c r="K4309" s="24"/>
      <c r="M4309" s="24"/>
      <c r="N4309" s="24"/>
      <c r="P4309" s="24"/>
    </row>
    <row r="4310" spans="2:16" x14ac:dyDescent="0.25">
      <c r="B4310" s="24"/>
      <c r="E4310" s="24"/>
      <c r="G4310" s="24"/>
      <c r="H4310" s="24"/>
      <c r="J4310" s="24"/>
      <c r="K4310" s="24"/>
      <c r="M4310" s="24"/>
      <c r="N4310" s="24"/>
      <c r="P4310" s="24"/>
    </row>
    <row r="4311" spans="2:16" x14ac:dyDescent="0.25">
      <c r="B4311" s="24"/>
      <c r="E4311" s="24"/>
      <c r="G4311" s="24"/>
      <c r="H4311" s="24"/>
      <c r="J4311" s="24"/>
      <c r="K4311" s="24"/>
      <c r="M4311" s="24"/>
      <c r="N4311" s="24"/>
      <c r="P4311" s="24"/>
    </row>
    <row r="4312" spans="2:16" x14ac:dyDescent="0.25">
      <c r="B4312" s="24"/>
      <c r="E4312" s="24"/>
      <c r="G4312" s="24"/>
      <c r="H4312" s="24"/>
      <c r="J4312" s="24"/>
      <c r="K4312" s="24"/>
      <c r="M4312" s="24"/>
      <c r="N4312" s="24"/>
      <c r="P4312" s="24"/>
    </row>
    <row r="4313" spans="2:16" x14ac:dyDescent="0.25">
      <c r="B4313" s="24"/>
      <c r="E4313" s="24"/>
      <c r="G4313" s="24"/>
      <c r="H4313" s="24"/>
      <c r="J4313" s="24"/>
      <c r="K4313" s="24"/>
      <c r="M4313" s="24"/>
      <c r="N4313" s="24"/>
      <c r="P4313" s="24"/>
    </row>
    <row r="4314" spans="2:16" x14ac:dyDescent="0.25">
      <c r="B4314" s="24"/>
      <c r="E4314" s="24"/>
      <c r="G4314" s="24"/>
      <c r="H4314" s="24"/>
      <c r="J4314" s="24"/>
      <c r="K4314" s="24"/>
      <c r="M4314" s="24"/>
      <c r="N4314" s="24"/>
      <c r="P4314" s="24"/>
    </row>
    <row r="4315" spans="2:16" x14ac:dyDescent="0.25">
      <c r="B4315" s="24"/>
      <c r="E4315" s="24"/>
      <c r="G4315" s="24"/>
      <c r="H4315" s="24"/>
      <c r="J4315" s="24"/>
      <c r="K4315" s="24"/>
      <c r="M4315" s="24"/>
      <c r="N4315" s="24"/>
      <c r="P4315" s="24"/>
    </row>
    <row r="4316" spans="2:16" x14ac:dyDescent="0.25">
      <c r="B4316" s="24"/>
      <c r="E4316" s="24"/>
      <c r="G4316" s="24"/>
      <c r="H4316" s="24"/>
      <c r="J4316" s="24"/>
      <c r="K4316" s="24"/>
      <c r="M4316" s="24"/>
      <c r="N4316" s="24"/>
      <c r="P4316" s="24"/>
    </row>
    <row r="4317" spans="2:16" x14ac:dyDescent="0.25">
      <c r="B4317" s="24"/>
      <c r="E4317" s="24"/>
      <c r="G4317" s="24"/>
      <c r="H4317" s="24"/>
      <c r="J4317" s="24"/>
      <c r="K4317" s="24"/>
      <c r="M4317" s="24"/>
      <c r="N4317" s="24"/>
      <c r="P4317" s="24"/>
    </row>
    <row r="4318" spans="2:16" x14ac:dyDescent="0.25">
      <c r="B4318" s="24"/>
      <c r="E4318" s="24"/>
      <c r="G4318" s="24"/>
      <c r="H4318" s="24"/>
      <c r="J4318" s="24"/>
      <c r="K4318" s="24"/>
      <c r="M4318" s="24"/>
      <c r="N4318" s="24"/>
      <c r="P4318" s="24"/>
    </row>
    <row r="4319" spans="2:16" x14ac:dyDescent="0.25">
      <c r="B4319" s="24"/>
      <c r="E4319" s="24"/>
      <c r="G4319" s="24"/>
      <c r="H4319" s="24"/>
      <c r="J4319" s="24"/>
      <c r="K4319" s="24"/>
      <c r="M4319" s="24"/>
      <c r="N4319" s="24"/>
      <c r="P4319" s="24"/>
    </row>
    <row r="4320" spans="2:16" x14ac:dyDescent="0.25">
      <c r="B4320" s="24"/>
      <c r="E4320" s="24"/>
      <c r="G4320" s="24"/>
      <c r="H4320" s="24"/>
      <c r="J4320" s="24"/>
      <c r="K4320" s="24"/>
      <c r="M4320" s="24"/>
      <c r="N4320" s="24"/>
      <c r="P4320" s="24"/>
    </row>
    <row r="4321" spans="2:16" x14ac:dyDescent="0.25">
      <c r="B4321" s="24"/>
      <c r="E4321" s="24"/>
      <c r="G4321" s="24"/>
      <c r="H4321" s="24"/>
      <c r="J4321" s="24"/>
      <c r="K4321" s="24"/>
      <c r="M4321" s="24"/>
      <c r="N4321" s="24"/>
      <c r="P4321" s="24"/>
    </row>
    <row r="4322" spans="2:16" x14ac:dyDescent="0.25">
      <c r="B4322" s="24"/>
      <c r="E4322" s="24"/>
      <c r="G4322" s="24"/>
      <c r="H4322" s="24"/>
      <c r="J4322" s="24"/>
      <c r="K4322" s="24"/>
      <c r="M4322" s="24"/>
      <c r="N4322" s="24"/>
      <c r="P4322" s="24"/>
    </row>
    <row r="4323" spans="2:16" x14ac:dyDescent="0.25">
      <c r="B4323" s="24"/>
      <c r="E4323" s="24"/>
      <c r="G4323" s="24"/>
      <c r="H4323" s="24"/>
      <c r="J4323" s="24"/>
      <c r="K4323" s="24"/>
      <c r="M4323" s="24"/>
      <c r="N4323" s="24"/>
      <c r="P4323" s="24"/>
    </row>
    <row r="4324" spans="2:16" x14ac:dyDescent="0.25">
      <c r="B4324" s="24"/>
      <c r="E4324" s="24"/>
      <c r="G4324" s="24"/>
      <c r="H4324" s="24"/>
      <c r="J4324" s="24"/>
      <c r="K4324" s="24"/>
      <c r="M4324" s="24"/>
      <c r="N4324" s="24"/>
      <c r="P4324" s="24"/>
    </row>
    <row r="4325" spans="2:16" x14ac:dyDescent="0.25">
      <c r="B4325" s="24"/>
      <c r="E4325" s="24"/>
      <c r="G4325" s="24"/>
      <c r="H4325" s="24"/>
      <c r="J4325" s="24"/>
      <c r="K4325" s="24"/>
      <c r="M4325" s="24"/>
      <c r="N4325" s="24"/>
      <c r="P4325" s="24"/>
    </row>
    <row r="4326" spans="2:16" x14ac:dyDescent="0.25">
      <c r="B4326" s="24"/>
      <c r="E4326" s="24"/>
      <c r="G4326" s="24"/>
      <c r="H4326" s="24"/>
      <c r="J4326" s="24"/>
      <c r="K4326" s="24"/>
      <c r="M4326" s="24"/>
      <c r="N4326" s="24"/>
      <c r="P4326" s="24"/>
    </row>
    <row r="4327" spans="2:16" x14ac:dyDescent="0.25">
      <c r="B4327" s="24"/>
      <c r="E4327" s="24"/>
      <c r="G4327" s="24"/>
      <c r="H4327" s="24"/>
      <c r="J4327" s="24"/>
      <c r="K4327" s="24"/>
      <c r="M4327" s="24"/>
      <c r="N4327" s="24"/>
      <c r="P4327" s="24"/>
    </row>
    <row r="4328" spans="2:16" x14ac:dyDescent="0.25">
      <c r="B4328" s="24"/>
      <c r="E4328" s="24"/>
      <c r="G4328" s="24"/>
      <c r="H4328" s="24"/>
      <c r="J4328" s="24"/>
      <c r="K4328" s="24"/>
      <c r="M4328" s="24"/>
      <c r="N4328" s="24"/>
      <c r="P4328" s="24"/>
    </row>
    <row r="4329" spans="2:16" x14ac:dyDescent="0.25">
      <c r="B4329" s="24"/>
      <c r="E4329" s="24"/>
      <c r="G4329" s="24"/>
      <c r="H4329" s="24"/>
      <c r="J4329" s="24"/>
      <c r="K4329" s="24"/>
      <c r="M4329" s="24"/>
      <c r="N4329" s="24"/>
      <c r="P4329" s="24"/>
    </row>
    <row r="4330" spans="2:16" x14ac:dyDescent="0.25">
      <c r="B4330" s="24"/>
      <c r="E4330" s="24"/>
      <c r="G4330" s="24"/>
      <c r="H4330" s="24"/>
      <c r="J4330" s="24"/>
      <c r="K4330" s="24"/>
      <c r="M4330" s="24"/>
      <c r="N4330" s="24"/>
      <c r="P4330" s="24"/>
    </row>
    <row r="4331" spans="2:16" x14ac:dyDescent="0.25">
      <c r="B4331" s="24"/>
      <c r="E4331" s="24"/>
      <c r="G4331" s="24"/>
      <c r="H4331" s="24"/>
      <c r="J4331" s="24"/>
      <c r="K4331" s="24"/>
      <c r="M4331" s="24"/>
      <c r="N4331" s="24"/>
      <c r="P4331" s="24"/>
    </row>
    <row r="4332" spans="2:16" x14ac:dyDescent="0.25">
      <c r="B4332" s="24"/>
      <c r="E4332" s="24"/>
      <c r="G4332" s="24"/>
      <c r="H4332" s="24"/>
      <c r="J4332" s="24"/>
      <c r="K4332" s="24"/>
      <c r="M4332" s="24"/>
      <c r="N4332" s="24"/>
      <c r="P4332" s="24"/>
    </row>
    <row r="4333" spans="2:16" x14ac:dyDescent="0.25">
      <c r="B4333" s="24"/>
      <c r="E4333" s="24"/>
      <c r="G4333" s="24"/>
      <c r="H4333" s="24"/>
      <c r="J4333" s="24"/>
      <c r="K4333" s="24"/>
      <c r="M4333" s="24"/>
      <c r="N4333" s="24"/>
      <c r="P4333" s="24"/>
    </row>
    <row r="4334" spans="2:16" x14ac:dyDescent="0.25">
      <c r="B4334" s="24"/>
      <c r="E4334" s="24"/>
      <c r="G4334" s="24"/>
      <c r="H4334" s="24"/>
      <c r="J4334" s="24"/>
      <c r="K4334" s="24"/>
      <c r="M4334" s="24"/>
      <c r="N4334" s="24"/>
      <c r="P4334" s="24"/>
    </row>
    <row r="4335" spans="2:16" x14ac:dyDescent="0.25">
      <c r="B4335" s="24"/>
      <c r="E4335" s="24"/>
      <c r="G4335" s="24"/>
      <c r="H4335" s="24"/>
      <c r="J4335" s="24"/>
      <c r="K4335" s="24"/>
      <c r="M4335" s="24"/>
      <c r="N4335" s="24"/>
      <c r="P4335" s="24"/>
    </row>
    <row r="4336" spans="2:16" x14ac:dyDescent="0.25">
      <c r="B4336" s="24"/>
      <c r="E4336" s="24"/>
      <c r="G4336" s="24"/>
      <c r="H4336" s="24"/>
      <c r="J4336" s="24"/>
      <c r="K4336" s="24"/>
      <c r="M4336" s="24"/>
      <c r="N4336" s="24"/>
      <c r="P4336" s="24"/>
    </row>
    <row r="4337" spans="2:16" x14ac:dyDescent="0.25">
      <c r="B4337" s="24"/>
      <c r="E4337" s="24"/>
      <c r="G4337" s="24"/>
      <c r="H4337" s="24"/>
      <c r="J4337" s="24"/>
      <c r="K4337" s="24"/>
      <c r="M4337" s="24"/>
      <c r="N4337" s="24"/>
      <c r="P4337" s="24"/>
    </row>
    <row r="4338" spans="2:16" x14ac:dyDescent="0.25">
      <c r="B4338" s="24"/>
      <c r="E4338" s="24"/>
      <c r="G4338" s="24"/>
      <c r="H4338" s="24"/>
      <c r="J4338" s="24"/>
      <c r="K4338" s="24"/>
      <c r="M4338" s="24"/>
      <c r="N4338" s="24"/>
      <c r="P4338" s="24"/>
    </row>
    <row r="4339" spans="2:16" x14ac:dyDescent="0.25">
      <c r="B4339" s="24"/>
      <c r="E4339" s="24"/>
      <c r="G4339" s="24"/>
      <c r="H4339" s="24"/>
      <c r="J4339" s="24"/>
      <c r="K4339" s="24"/>
      <c r="M4339" s="24"/>
      <c r="N4339" s="24"/>
      <c r="P4339" s="24"/>
    </row>
    <row r="4340" spans="2:16" x14ac:dyDescent="0.25">
      <c r="B4340" s="24"/>
      <c r="E4340" s="24"/>
      <c r="G4340" s="24"/>
      <c r="H4340" s="24"/>
      <c r="J4340" s="24"/>
      <c r="K4340" s="24"/>
      <c r="M4340" s="24"/>
      <c r="N4340" s="24"/>
      <c r="P4340" s="24"/>
    </row>
    <row r="4341" spans="2:16" x14ac:dyDescent="0.25">
      <c r="B4341" s="24"/>
      <c r="E4341" s="24"/>
      <c r="G4341" s="24"/>
      <c r="H4341" s="24"/>
      <c r="J4341" s="24"/>
      <c r="K4341" s="24"/>
      <c r="M4341" s="24"/>
      <c r="N4341" s="24"/>
      <c r="P4341" s="24"/>
    </row>
    <row r="4342" spans="2:16" x14ac:dyDescent="0.25">
      <c r="B4342" s="24"/>
      <c r="E4342" s="24"/>
      <c r="G4342" s="24"/>
      <c r="H4342" s="24"/>
      <c r="J4342" s="24"/>
      <c r="K4342" s="24"/>
      <c r="M4342" s="24"/>
      <c r="N4342" s="24"/>
      <c r="P4342" s="24"/>
    </row>
    <row r="4343" spans="2:16" x14ac:dyDescent="0.25">
      <c r="B4343" s="24"/>
      <c r="E4343" s="24"/>
      <c r="G4343" s="24"/>
      <c r="H4343" s="24"/>
      <c r="J4343" s="24"/>
      <c r="K4343" s="24"/>
      <c r="M4343" s="24"/>
      <c r="N4343" s="24"/>
      <c r="P4343" s="24"/>
    </row>
    <row r="4344" spans="2:16" x14ac:dyDescent="0.25">
      <c r="B4344" s="24"/>
      <c r="E4344" s="24"/>
      <c r="G4344" s="24"/>
      <c r="H4344" s="24"/>
      <c r="J4344" s="24"/>
      <c r="K4344" s="24"/>
      <c r="M4344" s="24"/>
      <c r="N4344" s="24"/>
      <c r="P4344" s="24"/>
    </row>
    <row r="4345" spans="2:16" x14ac:dyDescent="0.25">
      <c r="B4345" s="24"/>
      <c r="E4345" s="24"/>
      <c r="G4345" s="24"/>
      <c r="H4345" s="24"/>
      <c r="J4345" s="24"/>
      <c r="K4345" s="24"/>
      <c r="M4345" s="24"/>
      <c r="N4345" s="24"/>
      <c r="P4345" s="24"/>
    </row>
    <row r="4346" spans="2:16" x14ac:dyDescent="0.25">
      <c r="B4346" s="24"/>
      <c r="E4346" s="24"/>
      <c r="G4346" s="24"/>
      <c r="H4346" s="24"/>
      <c r="J4346" s="24"/>
      <c r="K4346" s="24"/>
      <c r="M4346" s="24"/>
      <c r="N4346" s="24"/>
      <c r="P4346" s="24"/>
    </row>
    <row r="4347" spans="2:16" x14ac:dyDescent="0.25">
      <c r="B4347" s="24"/>
      <c r="E4347" s="24"/>
      <c r="G4347" s="24"/>
      <c r="H4347" s="24"/>
      <c r="J4347" s="24"/>
      <c r="K4347" s="24"/>
      <c r="M4347" s="24"/>
      <c r="N4347" s="24"/>
      <c r="P4347" s="24"/>
    </row>
    <row r="4348" spans="2:16" x14ac:dyDescent="0.25">
      <c r="B4348" s="24"/>
      <c r="E4348" s="24"/>
      <c r="G4348" s="24"/>
      <c r="H4348" s="24"/>
      <c r="J4348" s="24"/>
      <c r="K4348" s="24"/>
      <c r="M4348" s="24"/>
      <c r="N4348" s="24"/>
      <c r="P4348" s="24"/>
    </row>
    <row r="4349" spans="2:16" x14ac:dyDescent="0.25">
      <c r="B4349" s="24"/>
      <c r="E4349" s="24"/>
      <c r="G4349" s="24"/>
      <c r="H4349" s="24"/>
      <c r="J4349" s="24"/>
      <c r="K4349" s="24"/>
      <c r="M4349" s="24"/>
      <c r="N4349" s="24"/>
      <c r="P4349" s="24"/>
    </row>
    <row r="4350" spans="2:16" x14ac:dyDescent="0.25">
      <c r="B4350" s="24"/>
      <c r="E4350" s="24"/>
      <c r="G4350" s="24"/>
      <c r="H4350" s="24"/>
      <c r="J4350" s="24"/>
      <c r="K4350" s="24"/>
      <c r="M4350" s="24"/>
      <c r="N4350" s="24"/>
      <c r="P4350" s="24"/>
    </row>
    <row r="4351" spans="2:16" x14ac:dyDescent="0.25">
      <c r="B4351" s="24"/>
      <c r="E4351" s="24"/>
      <c r="G4351" s="24"/>
      <c r="H4351" s="24"/>
      <c r="J4351" s="24"/>
      <c r="K4351" s="24"/>
      <c r="M4351" s="24"/>
      <c r="N4351" s="24"/>
      <c r="P4351" s="24"/>
    </row>
    <row r="4352" spans="2:16" x14ac:dyDescent="0.25">
      <c r="B4352" s="24"/>
      <c r="E4352" s="24"/>
      <c r="G4352" s="24"/>
      <c r="H4352" s="24"/>
      <c r="J4352" s="24"/>
      <c r="K4352" s="24"/>
      <c r="M4352" s="24"/>
      <c r="N4352" s="24"/>
      <c r="P4352" s="24"/>
    </row>
    <row r="4353" spans="2:16" x14ac:dyDescent="0.25">
      <c r="B4353" s="24"/>
      <c r="E4353" s="24"/>
      <c r="G4353" s="24"/>
      <c r="H4353" s="24"/>
      <c r="J4353" s="24"/>
      <c r="K4353" s="24"/>
      <c r="M4353" s="24"/>
      <c r="N4353" s="24"/>
      <c r="P4353" s="24"/>
    </row>
    <row r="4354" spans="2:16" x14ac:dyDescent="0.25">
      <c r="B4354" s="24"/>
      <c r="E4354" s="24"/>
      <c r="G4354" s="24"/>
      <c r="H4354" s="24"/>
      <c r="J4354" s="24"/>
      <c r="K4354" s="24"/>
      <c r="M4354" s="24"/>
      <c r="N4354" s="24"/>
      <c r="P4354" s="24"/>
    </row>
    <row r="4355" spans="2:16" x14ac:dyDescent="0.25">
      <c r="B4355" s="24"/>
      <c r="E4355" s="24"/>
      <c r="G4355" s="24"/>
      <c r="H4355" s="24"/>
      <c r="J4355" s="24"/>
      <c r="K4355" s="24"/>
      <c r="M4355" s="24"/>
      <c r="N4355" s="24"/>
      <c r="P4355" s="24"/>
    </row>
    <row r="4356" spans="2:16" x14ac:dyDescent="0.25">
      <c r="B4356" s="24"/>
      <c r="E4356" s="24"/>
      <c r="G4356" s="24"/>
      <c r="H4356" s="24"/>
      <c r="J4356" s="24"/>
      <c r="K4356" s="24"/>
      <c r="M4356" s="24"/>
      <c r="N4356" s="24"/>
      <c r="P4356" s="24"/>
    </row>
    <row r="4357" spans="2:16" x14ac:dyDescent="0.25">
      <c r="B4357" s="24"/>
      <c r="E4357" s="24"/>
      <c r="G4357" s="24"/>
      <c r="H4357" s="24"/>
      <c r="J4357" s="24"/>
      <c r="K4357" s="24"/>
      <c r="M4357" s="24"/>
      <c r="N4357" s="24"/>
      <c r="P4357" s="24"/>
    </row>
    <row r="4358" spans="2:16" x14ac:dyDescent="0.25">
      <c r="B4358" s="24"/>
      <c r="E4358" s="24"/>
      <c r="G4358" s="24"/>
      <c r="H4358" s="24"/>
      <c r="J4358" s="24"/>
      <c r="K4358" s="24"/>
      <c r="M4358" s="24"/>
      <c r="N4358" s="24"/>
      <c r="P4358" s="24"/>
    </row>
    <row r="4359" spans="2:16" x14ac:dyDescent="0.25">
      <c r="B4359" s="24"/>
      <c r="E4359" s="24"/>
      <c r="G4359" s="24"/>
      <c r="H4359" s="24"/>
      <c r="J4359" s="24"/>
      <c r="K4359" s="24"/>
      <c r="M4359" s="24"/>
      <c r="N4359" s="24"/>
      <c r="P4359" s="24"/>
    </row>
    <row r="4360" spans="2:16" x14ac:dyDescent="0.25">
      <c r="B4360" s="24"/>
      <c r="E4360" s="24"/>
      <c r="G4360" s="24"/>
      <c r="H4360" s="24"/>
      <c r="J4360" s="24"/>
      <c r="K4360" s="24"/>
      <c r="M4360" s="24"/>
      <c r="N4360" s="24"/>
      <c r="P4360" s="24"/>
    </row>
    <row r="4361" spans="2:16" x14ac:dyDescent="0.25">
      <c r="B4361" s="24"/>
      <c r="E4361" s="24"/>
      <c r="G4361" s="24"/>
      <c r="H4361" s="24"/>
      <c r="J4361" s="24"/>
      <c r="K4361" s="24"/>
      <c r="M4361" s="24"/>
      <c r="N4361" s="24"/>
      <c r="P4361" s="24"/>
    </row>
    <row r="4362" spans="2:16" x14ac:dyDescent="0.25">
      <c r="B4362" s="24"/>
      <c r="E4362" s="24"/>
      <c r="G4362" s="24"/>
      <c r="H4362" s="24"/>
      <c r="J4362" s="24"/>
      <c r="K4362" s="24"/>
      <c r="M4362" s="24"/>
      <c r="N4362" s="24"/>
      <c r="P4362" s="24"/>
    </row>
    <row r="4363" spans="2:16" x14ac:dyDescent="0.25">
      <c r="B4363" s="24"/>
      <c r="E4363" s="24"/>
      <c r="G4363" s="24"/>
      <c r="H4363" s="24"/>
      <c r="J4363" s="24"/>
      <c r="K4363" s="24"/>
      <c r="M4363" s="24"/>
      <c r="N4363" s="24"/>
      <c r="P4363" s="24"/>
    </row>
    <row r="4364" spans="2:16" x14ac:dyDescent="0.25">
      <c r="B4364" s="24"/>
      <c r="E4364" s="24"/>
      <c r="G4364" s="24"/>
      <c r="H4364" s="24"/>
      <c r="J4364" s="24"/>
      <c r="K4364" s="24"/>
      <c r="M4364" s="24"/>
      <c r="N4364" s="24"/>
      <c r="P4364" s="24"/>
    </row>
    <row r="4365" spans="2:16" x14ac:dyDescent="0.25">
      <c r="B4365" s="24"/>
      <c r="E4365" s="24"/>
      <c r="G4365" s="24"/>
      <c r="H4365" s="24"/>
      <c r="J4365" s="24"/>
      <c r="K4365" s="24"/>
      <c r="M4365" s="24"/>
      <c r="N4365" s="24"/>
      <c r="P4365" s="24"/>
    </row>
    <row r="4366" spans="2:16" x14ac:dyDescent="0.25">
      <c r="B4366" s="24"/>
      <c r="E4366" s="24"/>
      <c r="G4366" s="24"/>
      <c r="H4366" s="24"/>
      <c r="J4366" s="24"/>
      <c r="K4366" s="24"/>
      <c r="M4366" s="24"/>
      <c r="N4366" s="24"/>
      <c r="P4366" s="24"/>
    </row>
    <row r="4367" spans="2:16" x14ac:dyDescent="0.25">
      <c r="B4367" s="24"/>
      <c r="E4367" s="24"/>
      <c r="G4367" s="24"/>
      <c r="H4367" s="24"/>
      <c r="J4367" s="24"/>
      <c r="K4367" s="24"/>
      <c r="M4367" s="24"/>
      <c r="N4367" s="24"/>
      <c r="P4367" s="24"/>
    </row>
    <row r="4368" spans="2:16" x14ac:dyDescent="0.25">
      <c r="B4368" s="24"/>
      <c r="E4368" s="24"/>
      <c r="G4368" s="24"/>
      <c r="H4368" s="24"/>
      <c r="J4368" s="24"/>
      <c r="K4368" s="24"/>
      <c r="M4368" s="24"/>
      <c r="N4368" s="24"/>
      <c r="P4368" s="24"/>
    </row>
    <row r="4369" spans="2:16" x14ac:dyDescent="0.25">
      <c r="B4369" s="24"/>
      <c r="E4369" s="24"/>
      <c r="G4369" s="24"/>
      <c r="H4369" s="24"/>
      <c r="J4369" s="24"/>
      <c r="K4369" s="24"/>
      <c r="M4369" s="24"/>
      <c r="N4369" s="24"/>
      <c r="P4369" s="24"/>
    </row>
    <row r="4370" spans="2:16" x14ac:dyDescent="0.25">
      <c r="B4370" s="24"/>
      <c r="E4370" s="24"/>
      <c r="G4370" s="24"/>
      <c r="H4370" s="24"/>
      <c r="J4370" s="24"/>
      <c r="K4370" s="24"/>
      <c r="M4370" s="24"/>
      <c r="N4370" s="24"/>
      <c r="P4370" s="24"/>
    </row>
    <row r="4371" spans="2:16" x14ac:dyDescent="0.25">
      <c r="B4371" s="24"/>
      <c r="E4371" s="24"/>
      <c r="G4371" s="24"/>
      <c r="H4371" s="24"/>
      <c r="J4371" s="24"/>
      <c r="K4371" s="24"/>
      <c r="M4371" s="24"/>
      <c r="N4371" s="24"/>
      <c r="P4371" s="24"/>
    </row>
    <row r="4372" spans="2:16" x14ac:dyDescent="0.25">
      <c r="B4372" s="24"/>
      <c r="E4372" s="24"/>
      <c r="G4372" s="24"/>
      <c r="H4372" s="24"/>
      <c r="J4372" s="24"/>
      <c r="K4372" s="24"/>
      <c r="M4372" s="24"/>
      <c r="N4372" s="24"/>
      <c r="P4372" s="24"/>
    </row>
    <row r="4373" spans="2:16" x14ac:dyDescent="0.25">
      <c r="B4373" s="24"/>
      <c r="E4373" s="24"/>
      <c r="G4373" s="24"/>
      <c r="H4373" s="24"/>
      <c r="J4373" s="24"/>
      <c r="K4373" s="24"/>
      <c r="M4373" s="24"/>
      <c r="N4373" s="24"/>
      <c r="P4373" s="24"/>
    </row>
    <row r="4374" spans="2:16" x14ac:dyDescent="0.25">
      <c r="B4374" s="24"/>
      <c r="E4374" s="24"/>
      <c r="G4374" s="24"/>
      <c r="H4374" s="24"/>
      <c r="J4374" s="24"/>
      <c r="K4374" s="24"/>
      <c r="M4374" s="24"/>
      <c r="N4374" s="24"/>
      <c r="P4374" s="24"/>
    </row>
    <row r="4375" spans="2:16" x14ac:dyDescent="0.25">
      <c r="B4375" s="24"/>
      <c r="E4375" s="24"/>
      <c r="G4375" s="24"/>
      <c r="H4375" s="24"/>
      <c r="J4375" s="24"/>
      <c r="K4375" s="24"/>
      <c r="M4375" s="24"/>
      <c r="N4375" s="24"/>
      <c r="P4375" s="24"/>
    </row>
    <row r="4376" spans="2:16" x14ac:dyDescent="0.25">
      <c r="B4376" s="24"/>
      <c r="E4376" s="24"/>
      <c r="G4376" s="24"/>
      <c r="H4376" s="24"/>
      <c r="J4376" s="24"/>
      <c r="K4376" s="24"/>
      <c r="M4376" s="24"/>
      <c r="N4376" s="24"/>
      <c r="P4376" s="24"/>
    </row>
    <row r="4377" spans="2:16" x14ac:dyDescent="0.25">
      <c r="B4377" s="24"/>
      <c r="E4377" s="24"/>
      <c r="G4377" s="24"/>
      <c r="H4377" s="24"/>
      <c r="J4377" s="24"/>
      <c r="K4377" s="24"/>
      <c r="M4377" s="24"/>
      <c r="N4377" s="24"/>
      <c r="P4377" s="24"/>
    </row>
    <row r="4378" spans="2:16" x14ac:dyDescent="0.25">
      <c r="B4378" s="24"/>
      <c r="E4378" s="24"/>
      <c r="G4378" s="24"/>
      <c r="H4378" s="24"/>
      <c r="J4378" s="24"/>
      <c r="K4378" s="24"/>
      <c r="M4378" s="24"/>
      <c r="N4378" s="24"/>
      <c r="P4378" s="24"/>
    </row>
    <row r="4379" spans="2:16" x14ac:dyDescent="0.25">
      <c r="B4379" s="24"/>
      <c r="E4379" s="24"/>
      <c r="G4379" s="24"/>
      <c r="H4379" s="24"/>
      <c r="J4379" s="24"/>
      <c r="K4379" s="24"/>
      <c r="M4379" s="24"/>
      <c r="N4379" s="24"/>
      <c r="P4379" s="24"/>
    </row>
    <row r="4380" spans="2:16" x14ac:dyDescent="0.25">
      <c r="B4380" s="24"/>
      <c r="E4380" s="24"/>
      <c r="G4380" s="24"/>
      <c r="H4380" s="24"/>
      <c r="J4380" s="24"/>
      <c r="K4380" s="24"/>
      <c r="M4380" s="24"/>
      <c r="N4380" s="24"/>
      <c r="P4380" s="24"/>
    </row>
    <row r="4381" spans="2:16" x14ac:dyDescent="0.25">
      <c r="B4381" s="24"/>
      <c r="E4381" s="24"/>
      <c r="G4381" s="24"/>
      <c r="H4381" s="24"/>
      <c r="J4381" s="24"/>
      <c r="K4381" s="24"/>
      <c r="M4381" s="24"/>
      <c r="N4381" s="24"/>
      <c r="P4381" s="24"/>
    </row>
    <row r="4382" spans="2:16" x14ac:dyDescent="0.25">
      <c r="B4382" s="24"/>
      <c r="E4382" s="24"/>
      <c r="G4382" s="24"/>
      <c r="H4382" s="24"/>
      <c r="J4382" s="24"/>
      <c r="K4382" s="24"/>
      <c r="M4382" s="24"/>
      <c r="N4382" s="24"/>
      <c r="P4382" s="24"/>
    </row>
    <row r="4383" spans="2:16" x14ac:dyDescent="0.25">
      <c r="B4383" s="24"/>
      <c r="E4383" s="24"/>
      <c r="G4383" s="24"/>
      <c r="H4383" s="24"/>
      <c r="J4383" s="24"/>
      <c r="K4383" s="24"/>
      <c r="M4383" s="24"/>
      <c r="N4383" s="24"/>
      <c r="P4383" s="24"/>
    </row>
    <row r="4384" spans="2:16" x14ac:dyDescent="0.25">
      <c r="B4384" s="24"/>
      <c r="E4384" s="24"/>
      <c r="G4384" s="24"/>
      <c r="H4384" s="24"/>
      <c r="J4384" s="24"/>
      <c r="K4384" s="24"/>
      <c r="M4384" s="24"/>
      <c r="N4384" s="24"/>
      <c r="P4384" s="24"/>
    </row>
    <row r="4385" spans="2:16" x14ac:dyDescent="0.25">
      <c r="B4385" s="24"/>
      <c r="E4385" s="24"/>
      <c r="G4385" s="24"/>
      <c r="H4385" s="24"/>
      <c r="J4385" s="24"/>
      <c r="K4385" s="24"/>
      <c r="M4385" s="24"/>
      <c r="N4385" s="24"/>
      <c r="P4385" s="24"/>
    </row>
    <row r="4386" spans="2:16" x14ac:dyDescent="0.25">
      <c r="B4386" s="24"/>
      <c r="E4386" s="24"/>
      <c r="G4386" s="24"/>
      <c r="H4386" s="24"/>
      <c r="J4386" s="24"/>
      <c r="K4386" s="24"/>
      <c r="M4386" s="24"/>
      <c r="N4386" s="24"/>
      <c r="P4386" s="24"/>
    </row>
    <row r="4387" spans="2:16" x14ac:dyDescent="0.25">
      <c r="B4387" s="24"/>
      <c r="E4387" s="24"/>
      <c r="G4387" s="24"/>
      <c r="H4387" s="24"/>
      <c r="J4387" s="24"/>
      <c r="K4387" s="24"/>
      <c r="M4387" s="24"/>
      <c r="N4387" s="24"/>
      <c r="P4387" s="24"/>
    </row>
    <row r="4388" spans="2:16" x14ac:dyDescent="0.25">
      <c r="B4388" s="24"/>
      <c r="E4388" s="24"/>
      <c r="G4388" s="24"/>
      <c r="H4388" s="24"/>
      <c r="J4388" s="24"/>
      <c r="K4388" s="24"/>
      <c r="M4388" s="24"/>
      <c r="N4388" s="24"/>
      <c r="P4388" s="24"/>
    </row>
    <row r="4389" spans="2:16" x14ac:dyDescent="0.25">
      <c r="B4389" s="24"/>
      <c r="E4389" s="24"/>
      <c r="G4389" s="24"/>
      <c r="H4389" s="24"/>
      <c r="J4389" s="24"/>
      <c r="K4389" s="24"/>
      <c r="M4389" s="24"/>
      <c r="N4389" s="24"/>
      <c r="P4389" s="24"/>
    </row>
    <row r="4390" spans="2:16" x14ac:dyDescent="0.25">
      <c r="B4390" s="24"/>
      <c r="E4390" s="24"/>
      <c r="G4390" s="24"/>
      <c r="H4390" s="24"/>
      <c r="J4390" s="24"/>
      <c r="K4390" s="24"/>
      <c r="M4390" s="24"/>
      <c r="N4390" s="24"/>
      <c r="P4390" s="24"/>
    </row>
    <row r="4391" spans="2:16" x14ac:dyDescent="0.25">
      <c r="B4391" s="24"/>
      <c r="E4391" s="24"/>
      <c r="G4391" s="24"/>
      <c r="H4391" s="24"/>
      <c r="J4391" s="24"/>
      <c r="K4391" s="24"/>
      <c r="M4391" s="24"/>
      <c r="N4391" s="24"/>
      <c r="P4391" s="24"/>
    </row>
    <row r="4392" spans="2:16" x14ac:dyDescent="0.25">
      <c r="B4392" s="24"/>
      <c r="E4392" s="24"/>
      <c r="G4392" s="24"/>
      <c r="H4392" s="24"/>
      <c r="J4392" s="24"/>
      <c r="K4392" s="24"/>
      <c r="M4392" s="24"/>
      <c r="N4392" s="24"/>
      <c r="P4392" s="24"/>
    </row>
    <row r="4393" spans="2:16" x14ac:dyDescent="0.25">
      <c r="B4393" s="24"/>
      <c r="E4393" s="24"/>
      <c r="G4393" s="24"/>
      <c r="H4393" s="24"/>
      <c r="J4393" s="24"/>
      <c r="K4393" s="24"/>
      <c r="M4393" s="24"/>
      <c r="N4393" s="24"/>
      <c r="P4393" s="24"/>
    </row>
    <row r="4394" spans="2:16" x14ac:dyDescent="0.25">
      <c r="B4394" s="24"/>
      <c r="E4394" s="24"/>
      <c r="G4394" s="24"/>
      <c r="H4394" s="24"/>
      <c r="J4394" s="24"/>
      <c r="K4394" s="24"/>
      <c r="M4394" s="24"/>
      <c r="N4394" s="24"/>
      <c r="P4394" s="24"/>
    </row>
    <row r="4395" spans="2:16" x14ac:dyDescent="0.25">
      <c r="B4395" s="24"/>
      <c r="E4395" s="24"/>
      <c r="G4395" s="24"/>
      <c r="H4395" s="24"/>
      <c r="J4395" s="24"/>
      <c r="K4395" s="24"/>
      <c r="M4395" s="24"/>
      <c r="N4395" s="24"/>
      <c r="P4395" s="24"/>
    </row>
    <row r="4396" spans="2:16" x14ac:dyDescent="0.25">
      <c r="B4396" s="24"/>
      <c r="E4396" s="24"/>
      <c r="G4396" s="24"/>
      <c r="H4396" s="24"/>
      <c r="J4396" s="24"/>
      <c r="K4396" s="24"/>
      <c r="M4396" s="24"/>
      <c r="N4396" s="24"/>
      <c r="P4396" s="24"/>
    </row>
    <row r="4397" spans="2:16" x14ac:dyDescent="0.25">
      <c r="B4397" s="24"/>
      <c r="E4397" s="24"/>
      <c r="G4397" s="24"/>
      <c r="H4397" s="24"/>
      <c r="J4397" s="24"/>
      <c r="K4397" s="24"/>
      <c r="M4397" s="24"/>
      <c r="N4397" s="24"/>
      <c r="P4397" s="24"/>
    </row>
    <row r="4398" spans="2:16" x14ac:dyDescent="0.25">
      <c r="B4398" s="24"/>
      <c r="E4398" s="24"/>
      <c r="G4398" s="24"/>
      <c r="H4398" s="24"/>
      <c r="J4398" s="24"/>
      <c r="K4398" s="24"/>
      <c r="M4398" s="24"/>
      <c r="N4398" s="24"/>
      <c r="P4398" s="24"/>
    </row>
    <row r="4399" spans="2:16" x14ac:dyDescent="0.25">
      <c r="B4399" s="24"/>
      <c r="E4399" s="24"/>
      <c r="G4399" s="24"/>
      <c r="H4399" s="24"/>
      <c r="J4399" s="24"/>
      <c r="K4399" s="24"/>
      <c r="M4399" s="24"/>
      <c r="N4399" s="24"/>
      <c r="P4399" s="24"/>
    </row>
    <row r="4400" spans="2:16" x14ac:dyDescent="0.25">
      <c r="B4400" s="24"/>
      <c r="E4400" s="24"/>
      <c r="G4400" s="24"/>
      <c r="H4400" s="24"/>
      <c r="J4400" s="24"/>
      <c r="K4400" s="24"/>
      <c r="M4400" s="24"/>
      <c r="N4400" s="24"/>
      <c r="P4400" s="24"/>
    </row>
    <row r="4401" spans="2:16" x14ac:dyDescent="0.25">
      <c r="B4401" s="24"/>
      <c r="E4401" s="24"/>
      <c r="G4401" s="24"/>
      <c r="H4401" s="24"/>
      <c r="J4401" s="24"/>
      <c r="K4401" s="24"/>
      <c r="M4401" s="24"/>
      <c r="N4401" s="24"/>
      <c r="P4401" s="24"/>
    </row>
    <row r="4402" spans="2:16" x14ac:dyDescent="0.25">
      <c r="B4402" s="24"/>
      <c r="E4402" s="24"/>
      <c r="G4402" s="24"/>
      <c r="H4402" s="24"/>
      <c r="J4402" s="24"/>
      <c r="K4402" s="24"/>
      <c r="M4402" s="24"/>
      <c r="N4402" s="24"/>
      <c r="P4402" s="24"/>
    </row>
    <row r="4403" spans="2:16" x14ac:dyDescent="0.25">
      <c r="B4403" s="24"/>
      <c r="E4403" s="24"/>
      <c r="G4403" s="24"/>
      <c r="H4403" s="24"/>
      <c r="J4403" s="24"/>
      <c r="K4403" s="24"/>
      <c r="M4403" s="24"/>
      <c r="N4403" s="24"/>
      <c r="P4403" s="24"/>
    </row>
    <row r="4404" spans="2:16" x14ac:dyDescent="0.25">
      <c r="B4404" s="24"/>
      <c r="E4404" s="24"/>
      <c r="G4404" s="24"/>
      <c r="H4404" s="24"/>
      <c r="J4404" s="24"/>
      <c r="K4404" s="24"/>
      <c r="M4404" s="24"/>
      <c r="N4404" s="24"/>
      <c r="P4404" s="24"/>
    </row>
    <row r="4405" spans="2:16" x14ac:dyDescent="0.25">
      <c r="B4405" s="24"/>
      <c r="E4405" s="24"/>
      <c r="G4405" s="24"/>
      <c r="H4405" s="24"/>
      <c r="J4405" s="24"/>
      <c r="K4405" s="24"/>
      <c r="M4405" s="24"/>
      <c r="N4405" s="24"/>
      <c r="P4405" s="24"/>
    </row>
    <row r="4406" spans="2:16" x14ac:dyDescent="0.25">
      <c r="B4406" s="24"/>
      <c r="E4406" s="24"/>
      <c r="G4406" s="24"/>
      <c r="H4406" s="24"/>
      <c r="J4406" s="24"/>
      <c r="K4406" s="24"/>
      <c r="M4406" s="24"/>
      <c r="N4406" s="24"/>
      <c r="P4406" s="24"/>
    </row>
    <row r="4407" spans="2:16" x14ac:dyDescent="0.25">
      <c r="B4407" s="24"/>
      <c r="E4407" s="24"/>
      <c r="G4407" s="24"/>
      <c r="H4407" s="24"/>
      <c r="J4407" s="24"/>
      <c r="K4407" s="24"/>
      <c r="M4407" s="24"/>
      <c r="N4407" s="24"/>
      <c r="P4407" s="24"/>
    </row>
    <row r="4408" spans="2:16" x14ac:dyDescent="0.25">
      <c r="B4408" s="24"/>
      <c r="E4408" s="24"/>
      <c r="G4408" s="24"/>
      <c r="H4408" s="24"/>
      <c r="J4408" s="24"/>
      <c r="K4408" s="24"/>
      <c r="M4408" s="24"/>
      <c r="N4408" s="24"/>
      <c r="P4408" s="24"/>
    </row>
    <row r="4409" spans="2:16" x14ac:dyDescent="0.25">
      <c r="B4409" s="24"/>
      <c r="E4409" s="24"/>
      <c r="G4409" s="24"/>
      <c r="H4409" s="24"/>
      <c r="J4409" s="24"/>
      <c r="K4409" s="24"/>
      <c r="M4409" s="24"/>
      <c r="N4409" s="24"/>
      <c r="P4409" s="24"/>
    </row>
    <row r="4410" spans="2:16" x14ac:dyDescent="0.25">
      <c r="B4410" s="24"/>
      <c r="E4410" s="24"/>
      <c r="G4410" s="24"/>
      <c r="H4410" s="24"/>
      <c r="J4410" s="24"/>
      <c r="K4410" s="24"/>
      <c r="M4410" s="24"/>
      <c r="N4410" s="24"/>
      <c r="P4410" s="24"/>
    </row>
    <row r="4411" spans="2:16" x14ac:dyDescent="0.25">
      <c r="B4411" s="24"/>
      <c r="E4411" s="24"/>
      <c r="G4411" s="24"/>
      <c r="H4411" s="24"/>
      <c r="J4411" s="24"/>
      <c r="K4411" s="24"/>
      <c r="M4411" s="24"/>
      <c r="N4411" s="24"/>
      <c r="P4411" s="24"/>
    </row>
    <row r="4412" spans="2:16" x14ac:dyDescent="0.25">
      <c r="B4412" s="24"/>
      <c r="E4412" s="24"/>
      <c r="G4412" s="24"/>
      <c r="H4412" s="24"/>
      <c r="J4412" s="24"/>
      <c r="K4412" s="24"/>
      <c r="M4412" s="24"/>
      <c r="N4412" s="24"/>
      <c r="P4412" s="24"/>
    </row>
    <row r="4413" spans="2:16" x14ac:dyDescent="0.25">
      <c r="B4413" s="24"/>
      <c r="E4413" s="24"/>
      <c r="G4413" s="24"/>
      <c r="H4413" s="24"/>
      <c r="J4413" s="24"/>
      <c r="K4413" s="24"/>
      <c r="M4413" s="24"/>
      <c r="N4413" s="24"/>
      <c r="P4413" s="24"/>
    </row>
    <row r="4414" spans="2:16" x14ac:dyDescent="0.25">
      <c r="B4414" s="24"/>
      <c r="E4414" s="24"/>
      <c r="G4414" s="24"/>
      <c r="H4414" s="24"/>
      <c r="J4414" s="24"/>
      <c r="K4414" s="24"/>
      <c r="M4414" s="24"/>
      <c r="N4414" s="24"/>
      <c r="P4414" s="24"/>
    </row>
    <row r="4415" spans="2:16" x14ac:dyDescent="0.25">
      <c r="B4415" s="24"/>
      <c r="E4415" s="24"/>
      <c r="G4415" s="24"/>
      <c r="H4415" s="24"/>
      <c r="J4415" s="24"/>
      <c r="K4415" s="24"/>
      <c r="M4415" s="24"/>
      <c r="N4415" s="24"/>
      <c r="P4415" s="24"/>
    </row>
    <row r="4416" spans="2:16" x14ac:dyDescent="0.25">
      <c r="B4416" s="24"/>
      <c r="E4416" s="24"/>
      <c r="G4416" s="24"/>
      <c r="H4416" s="24"/>
      <c r="J4416" s="24"/>
      <c r="K4416" s="24"/>
      <c r="M4416" s="24"/>
      <c r="N4416" s="24"/>
      <c r="P4416" s="24"/>
    </row>
    <row r="4417" spans="2:16" x14ac:dyDescent="0.25">
      <c r="B4417" s="24"/>
      <c r="E4417" s="24"/>
      <c r="G4417" s="24"/>
      <c r="H4417" s="24"/>
      <c r="J4417" s="24"/>
      <c r="K4417" s="24"/>
      <c r="M4417" s="24"/>
      <c r="N4417" s="24"/>
      <c r="P4417" s="24"/>
    </row>
    <row r="4418" spans="2:16" x14ac:dyDescent="0.25">
      <c r="B4418" s="24"/>
      <c r="E4418" s="24"/>
      <c r="G4418" s="24"/>
      <c r="H4418" s="24"/>
      <c r="J4418" s="24"/>
      <c r="K4418" s="24"/>
      <c r="M4418" s="24"/>
      <c r="N4418" s="24"/>
      <c r="P4418" s="24"/>
    </row>
    <row r="4419" spans="2:16" x14ac:dyDescent="0.25">
      <c r="B4419" s="24"/>
      <c r="E4419" s="24"/>
      <c r="G4419" s="24"/>
      <c r="H4419" s="24"/>
      <c r="J4419" s="24"/>
      <c r="K4419" s="24"/>
      <c r="M4419" s="24"/>
      <c r="N4419" s="24"/>
      <c r="P4419" s="24"/>
    </row>
    <row r="4420" spans="2:16" x14ac:dyDescent="0.25">
      <c r="B4420" s="24"/>
      <c r="E4420" s="24"/>
      <c r="G4420" s="24"/>
      <c r="H4420" s="24"/>
      <c r="J4420" s="24"/>
      <c r="K4420" s="24"/>
      <c r="M4420" s="24"/>
      <c r="N4420" s="24"/>
      <c r="P4420" s="24"/>
    </row>
    <row r="4421" spans="2:16" x14ac:dyDescent="0.25">
      <c r="B4421" s="24"/>
      <c r="E4421" s="24"/>
      <c r="G4421" s="24"/>
      <c r="H4421" s="24"/>
      <c r="J4421" s="24"/>
      <c r="K4421" s="24"/>
      <c r="M4421" s="24"/>
      <c r="N4421" s="24"/>
      <c r="P4421" s="24"/>
    </row>
    <row r="4422" spans="2:16" x14ac:dyDescent="0.25">
      <c r="B4422" s="24"/>
      <c r="E4422" s="24"/>
      <c r="G4422" s="24"/>
      <c r="H4422" s="24"/>
      <c r="J4422" s="24"/>
      <c r="K4422" s="24"/>
      <c r="M4422" s="24"/>
      <c r="N4422" s="24"/>
      <c r="P4422" s="24"/>
    </row>
    <row r="4423" spans="2:16" x14ac:dyDescent="0.25">
      <c r="B4423" s="24"/>
      <c r="E4423" s="24"/>
      <c r="G4423" s="24"/>
      <c r="H4423" s="24"/>
      <c r="J4423" s="24"/>
      <c r="K4423" s="24"/>
      <c r="M4423" s="24"/>
      <c r="N4423" s="24"/>
      <c r="P4423" s="24"/>
    </row>
    <row r="4424" spans="2:16" x14ac:dyDescent="0.25">
      <c r="B4424" s="24"/>
      <c r="E4424" s="24"/>
      <c r="G4424" s="24"/>
      <c r="H4424" s="24"/>
      <c r="J4424" s="24"/>
      <c r="K4424" s="24"/>
      <c r="M4424" s="24"/>
      <c r="N4424" s="24"/>
      <c r="P4424" s="24"/>
    </row>
    <row r="4425" spans="2:16" x14ac:dyDescent="0.25">
      <c r="B4425" s="24"/>
      <c r="E4425" s="24"/>
      <c r="G4425" s="24"/>
      <c r="H4425" s="24"/>
      <c r="J4425" s="24"/>
      <c r="K4425" s="24"/>
      <c r="M4425" s="24"/>
      <c r="N4425" s="24"/>
      <c r="P4425" s="24"/>
    </row>
    <row r="4426" spans="2:16" x14ac:dyDescent="0.25">
      <c r="B4426" s="24"/>
      <c r="E4426" s="24"/>
      <c r="G4426" s="24"/>
      <c r="H4426" s="24"/>
      <c r="J4426" s="24"/>
      <c r="K4426" s="24"/>
      <c r="M4426" s="24"/>
      <c r="N4426" s="24"/>
      <c r="P4426" s="24"/>
    </row>
    <row r="4427" spans="2:16" x14ac:dyDescent="0.25">
      <c r="B4427" s="24"/>
      <c r="E4427" s="24"/>
      <c r="G4427" s="24"/>
      <c r="H4427" s="24"/>
      <c r="J4427" s="24"/>
      <c r="K4427" s="24"/>
      <c r="M4427" s="24"/>
      <c r="N4427" s="24"/>
      <c r="P4427" s="24"/>
    </row>
    <row r="4428" spans="2:16" x14ac:dyDescent="0.25">
      <c r="B4428" s="24"/>
      <c r="E4428" s="24"/>
      <c r="G4428" s="24"/>
      <c r="H4428" s="24"/>
      <c r="J4428" s="24"/>
      <c r="K4428" s="24"/>
      <c r="M4428" s="24"/>
      <c r="N4428" s="24"/>
      <c r="P4428" s="24"/>
    </row>
    <row r="4429" spans="2:16" x14ac:dyDescent="0.25">
      <c r="B4429" s="24"/>
      <c r="E4429" s="24"/>
      <c r="G4429" s="24"/>
      <c r="H4429" s="24"/>
      <c r="J4429" s="24"/>
      <c r="K4429" s="24"/>
      <c r="M4429" s="24"/>
      <c r="N4429" s="24"/>
      <c r="P4429" s="24"/>
    </row>
    <row r="4430" spans="2:16" x14ac:dyDescent="0.25">
      <c r="B4430" s="24"/>
      <c r="E4430" s="24"/>
      <c r="G4430" s="24"/>
      <c r="H4430" s="24"/>
      <c r="J4430" s="24"/>
      <c r="K4430" s="24"/>
      <c r="M4430" s="24"/>
      <c r="N4430" s="24"/>
      <c r="P4430" s="24"/>
    </row>
    <row r="4431" spans="2:16" x14ac:dyDescent="0.25">
      <c r="B4431" s="24"/>
      <c r="E4431" s="24"/>
      <c r="G4431" s="24"/>
      <c r="H4431" s="24"/>
      <c r="J4431" s="24"/>
      <c r="K4431" s="24"/>
      <c r="M4431" s="24"/>
      <c r="N4431" s="24"/>
      <c r="P4431" s="24"/>
    </row>
    <row r="4432" spans="2:16" x14ac:dyDescent="0.25">
      <c r="B4432" s="24"/>
      <c r="E4432" s="24"/>
      <c r="G4432" s="24"/>
      <c r="H4432" s="24"/>
      <c r="J4432" s="24"/>
      <c r="K4432" s="24"/>
      <c r="M4432" s="24"/>
      <c r="N4432" s="24"/>
      <c r="P4432" s="24"/>
    </row>
    <row r="4433" spans="2:16" x14ac:dyDescent="0.25">
      <c r="B4433" s="24"/>
      <c r="E4433" s="24"/>
      <c r="G4433" s="24"/>
      <c r="H4433" s="24"/>
      <c r="J4433" s="24"/>
      <c r="K4433" s="24"/>
      <c r="M4433" s="24"/>
      <c r="N4433" s="24"/>
      <c r="P4433" s="24"/>
    </row>
    <row r="4434" spans="2:16" x14ac:dyDescent="0.25">
      <c r="B4434" s="24"/>
      <c r="E4434" s="24"/>
      <c r="G4434" s="24"/>
      <c r="H4434" s="24"/>
      <c r="J4434" s="24"/>
      <c r="K4434" s="24"/>
      <c r="M4434" s="24"/>
      <c r="N4434" s="24"/>
      <c r="P4434" s="24"/>
    </row>
    <row r="4435" spans="2:16" x14ac:dyDescent="0.25">
      <c r="B4435" s="24"/>
      <c r="E4435" s="24"/>
      <c r="G4435" s="24"/>
      <c r="H4435" s="24"/>
      <c r="J4435" s="24"/>
      <c r="K4435" s="24"/>
      <c r="M4435" s="24"/>
      <c r="N4435" s="24"/>
      <c r="P4435" s="24"/>
    </row>
    <row r="4436" spans="2:16" x14ac:dyDescent="0.25">
      <c r="B4436" s="24"/>
      <c r="E4436" s="24"/>
      <c r="G4436" s="24"/>
      <c r="H4436" s="24"/>
      <c r="J4436" s="24"/>
      <c r="K4436" s="24"/>
      <c r="M4436" s="24"/>
      <c r="N4436" s="24"/>
      <c r="P4436" s="24"/>
    </row>
    <row r="4437" spans="2:16" x14ac:dyDescent="0.25">
      <c r="B4437" s="24"/>
      <c r="E4437" s="24"/>
      <c r="G4437" s="24"/>
      <c r="H4437" s="24"/>
      <c r="J4437" s="24"/>
      <c r="K4437" s="24"/>
      <c r="M4437" s="24"/>
      <c r="N4437" s="24"/>
      <c r="P4437" s="24"/>
    </row>
    <row r="4438" spans="2:16" x14ac:dyDescent="0.25">
      <c r="B4438" s="24"/>
      <c r="E4438" s="24"/>
      <c r="G4438" s="24"/>
      <c r="H4438" s="24"/>
      <c r="J4438" s="24"/>
      <c r="K4438" s="24"/>
      <c r="M4438" s="24"/>
      <c r="N4438" s="24"/>
      <c r="P4438" s="24"/>
    </row>
    <row r="4439" spans="2:16" x14ac:dyDescent="0.25">
      <c r="B4439" s="24"/>
      <c r="E4439" s="24"/>
      <c r="G4439" s="24"/>
      <c r="H4439" s="24"/>
      <c r="J4439" s="24"/>
      <c r="K4439" s="24"/>
      <c r="M4439" s="24"/>
      <c r="N4439" s="24"/>
      <c r="P4439" s="24"/>
    </row>
    <row r="4440" spans="2:16" x14ac:dyDescent="0.25">
      <c r="B4440" s="24"/>
      <c r="E4440" s="24"/>
      <c r="G4440" s="24"/>
      <c r="H4440" s="24"/>
      <c r="J4440" s="24"/>
      <c r="K4440" s="24"/>
      <c r="M4440" s="24"/>
      <c r="N4440" s="24"/>
      <c r="P4440" s="24"/>
    </row>
    <row r="4441" spans="2:16" x14ac:dyDescent="0.25">
      <c r="B4441" s="24"/>
      <c r="E4441" s="24"/>
      <c r="G4441" s="24"/>
      <c r="H4441" s="24"/>
      <c r="J4441" s="24"/>
      <c r="K4441" s="24"/>
      <c r="M4441" s="24"/>
      <c r="N4441" s="24"/>
      <c r="P4441" s="24"/>
    </row>
    <row r="4442" spans="2:16" x14ac:dyDescent="0.25">
      <c r="B4442" s="24"/>
      <c r="E4442" s="24"/>
      <c r="G4442" s="24"/>
      <c r="H4442" s="24"/>
      <c r="J4442" s="24"/>
      <c r="K4442" s="24"/>
      <c r="M4442" s="24"/>
      <c r="N4442" s="24"/>
      <c r="P4442" s="24"/>
    </row>
    <row r="4443" spans="2:16" x14ac:dyDescent="0.25">
      <c r="B4443" s="24"/>
      <c r="E4443" s="24"/>
      <c r="G4443" s="24"/>
      <c r="H4443" s="24"/>
      <c r="J4443" s="24"/>
      <c r="K4443" s="24"/>
      <c r="M4443" s="24"/>
      <c r="N4443" s="24"/>
      <c r="P4443" s="24"/>
    </row>
    <row r="4444" spans="2:16" x14ac:dyDescent="0.25">
      <c r="B4444" s="24"/>
      <c r="E4444" s="24"/>
      <c r="G4444" s="24"/>
      <c r="H4444" s="24"/>
      <c r="J4444" s="24"/>
      <c r="K4444" s="24"/>
      <c r="M4444" s="24"/>
      <c r="N4444" s="24"/>
      <c r="P4444" s="24"/>
    </row>
    <row r="4445" spans="2:16" x14ac:dyDescent="0.25">
      <c r="B4445" s="24"/>
      <c r="E4445" s="24"/>
      <c r="G4445" s="24"/>
      <c r="H4445" s="24"/>
      <c r="J4445" s="24"/>
      <c r="K4445" s="24"/>
      <c r="M4445" s="24"/>
      <c r="N4445" s="24"/>
      <c r="P4445" s="24"/>
    </row>
    <row r="4446" spans="2:16" x14ac:dyDescent="0.25">
      <c r="B4446" s="24"/>
      <c r="E4446" s="24"/>
      <c r="G4446" s="24"/>
      <c r="H4446" s="24"/>
      <c r="J4446" s="24"/>
      <c r="K4446" s="24"/>
      <c r="M4446" s="24"/>
      <c r="N4446" s="24"/>
      <c r="P4446" s="24"/>
    </row>
    <row r="4447" spans="2:16" x14ac:dyDescent="0.25">
      <c r="B4447" s="24"/>
      <c r="E4447" s="24"/>
      <c r="G4447" s="24"/>
      <c r="H4447" s="24"/>
      <c r="J4447" s="24"/>
      <c r="K4447" s="24"/>
      <c r="M4447" s="24"/>
      <c r="N4447" s="24"/>
      <c r="P4447" s="24"/>
    </row>
    <row r="4448" spans="2:16" x14ac:dyDescent="0.25">
      <c r="B4448" s="24"/>
      <c r="E4448" s="24"/>
      <c r="G4448" s="24"/>
      <c r="H4448" s="24"/>
      <c r="J4448" s="24"/>
      <c r="K4448" s="24"/>
      <c r="M4448" s="24"/>
      <c r="N4448" s="24"/>
      <c r="P4448" s="24"/>
    </row>
    <row r="4449" spans="2:16" x14ac:dyDescent="0.25">
      <c r="B4449" s="24"/>
      <c r="E4449" s="24"/>
      <c r="G4449" s="24"/>
      <c r="H4449" s="24"/>
      <c r="J4449" s="24"/>
      <c r="K4449" s="24"/>
      <c r="M4449" s="24"/>
      <c r="N4449" s="24"/>
      <c r="P4449" s="24"/>
    </row>
    <row r="4450" spans="2:16" x14ac:dyDescent="0.25">
      <c r="B4450" s="24"/>
      <c r="E4450" s="24"/>
      <c r="G4450" s="24"/>
      <c r="H4450" s="24"/>
      <c r="J4450" s="24"/>
      <c r="K4450" s="24"/>
      <c r="M4450" s="24"/>
      <c r="N4450" s="24"/>
      <c r="P4450" s="24"/>
    </row>
    <row r="4451" spans="2:16" x14ac:dyDescent="0.25">
      <c r="B4451" s="24"/>
      <c r="E4451" s="24"/>
      <c r="G4451" s="24"/>
      <c r="H4451" s="24"/>
      <c r="J4451" s="24"/>
      <c r="K4451" s="24"/>
      <c r="M4451" s="24"/>
      <c r="N4451" s="24"/>
      <c r="P4451" s="24"/>
    </row>
    <row r="4452" spans="2:16" x14ac:dyDescent="0.25">
      <c r="B4452" s="24"/>
      <c r="E4452" s="24"/>
      <c r="G4452" s="24"/>
      <c r="H4452" s="24"/>
      <c r="J4452" s="24"/>
      <c r="K4452" s="24"/>
      <c r="M4452" s="24"/>
      <c r="N4452" s="24"/>
      <c r="P4452" s="24"/>
    </row>
    <row r="4453" spans="2:16" x14ac:dyDescent="0.25">
      <c r="B4453" s="24"/>
      <c r="E4453" s="24"/>
      <c r="G4453" s="24"/>
      <c r="H4453" s="24"/>
      <c r="J4453" s="24"/>
      <c r="K4453" s="24"/>
      <c r="M4453" s="24"/>
      <c r="N4453" s="24"/>
      <c r="P4453" s="24"/>
    </row>
    <row r="4454" spans="2:16" x14ac:dyDescent="0.25">
      <c r="B4454" s="24"/>
      <c r="E4454" s="24"/>
      <c r="G4454" s="24"/>
      <c r="H4454" s="24"/>
      <c r="J4454" s="24"/>
      <c r="K4454" s="24"/>
      <c r="M4454" s="24"/>
      <c r="N4454" s="24"/>
      <c r="P4454" s="24"/>
    </row>
    <row r="4455" spans="2:16" x14ac:dyDescent="0.25">
      <c r="B4455" s="24"/>
      <c r="E4455" s="24"/>
      <c r="G4455" s="24"/>
      <c r="H4455" s="24"/>
      <c r="J4455" s="24"/>
      <c r="K4455" s="24"/>
      <c r="M4455" s="24"/>
      <c r="N4455" s="24"/>
      <c r="P4455" s="24"/>
    </row>
    <row r="4456" spans="2:16" x14ac:dyDescent="0.25">
      <c r="B4456" s="24"/>
      <c r="E4456" s="24"/>
      <c r="G4456" s="24"/>
      <c r="H4456" s="24"/>
      <c r="J4456" s="24"/>
      <c r="K4456" s="24"/>
      <c r="M4456" s="24"/>
      <c r="N4456" s="24"/>
      <c r="P4456" s="24"/>
    </row>
    <row r="4457" spans="2:16" x14ac:dyDescent="0.25">
      <c r="B4457" s="24"/>
      <c r="E4457" s="24"/>
      <c r="G4457" s="24"/>
      <c r="H4457" s="24"/>
      <c r="J4457" s="24"/>
      <c r="K4457" s="24"/>
      <c r="M4457" s="24"/>
      <c r="N4457" s="24"/>
      <c r="P4457" s="24"/>
    </row>
    <row r="4458" spans="2:16" x14ac:dyDescent="0.25">
      <c r="B4458" s="24"/>
      <c r="E4458" s="24"/>
      <c r="G4458" s="24"/>
      <c r="H4458" s="24"/>
      <c r="J4458" s="24"/>
      <c r="K4458" s="24"/>
      <c r="M4458" s="24"/>
      <c r="N4458" s="24"/>
      <c r="P4458" s="24"/>
    </row>
    <row r="4459" spans="2:16" x14ac:dyDescent="0.25">
      <c r="B4459" s="24"/>
      <c r="E4459" s="24"/>
      <c r="G4459" s="24"/>
      <c r="H4459" s="24"/>
      <c r="J4459" s="24"/>
      <c r="K4459" s="24"/>
      <c r="M4459" s="24"/>
      <c r="N4459" s="24"/>
      <c r="P4459" s="24"/>
    </row>
    <row r="4460" spans="2:16" x14ac:dyDescent="0.25">
      <c r="B4460" s="24"/>
      <c r="E4460" s="24"/>
      <c r="G4460" s="24"/>
      <c r="H4460" s="24"/>
      <c r="J4460" s="24"/>
      <c r="K4460" s="24"/>
      <c r="M4460" s="24"/>
      <c r="N4460" s="24"/>
      <c r="P4460" s="24"/>
    </row>
    <row r="4461" spans="2:16" x14ac:dyDescent="0.25">
      <c r="B4461" s="24"/>
      <c r="E4461" s="24"/>
      <c r="G4461" s="24"/>
      <c r="H4461" s="24"/>
      <c r="J4461" s="24"/>
      <c r="K4461" s="24"/>
      <c r="M4461" s="24"/>
      <c r="N4461" s="24"/>
      <c r="P4461" s="24"/>
    </row>
    <row r="4462" spans="2:16" x14ac:dyDescent="0.25">
      <c r="B4462" s="24"/>
      <c r="E4462" s="24"/>
      <c r="G4462" s="24"/>
      <c r="H4462" s="24"/>
      <c r="J4462" s="24"/>
      <c r="K4462" s="24"/>
      <c r="M4462" s="24"/>
      <c r="N4462" s="24"/>
      <c r="P4462" s="24"/>
    </row>
    <row r="4463" spans="2:16" x14ac:dyDescent="0.25">
      <c r="B4463" s="24"/>
      <c r="E4463" s="24"/>
      <c r="G4463" s="24"/>
      <c r="H4463" s="24"/>
      <c r="J4463" s="24"/>
      <c r="K4463" s="24"/>
      <c r="M4463" s="24"/>
      <c r="N4463" s="24"/>
      <c r="P4463" s="24"/>
    </row>
    <row r="4464" spans="2:16" x14ac:dyDescent="0.25">
      <c r="B4464" s="24"/>
      <c r="E4464" s="24"/>
      <c r="G4464" s="24"/>
      <c r="H4464" s="24"/>
      <c r="J4464" s="24"/>
      <c r="K4464" s="24"/>
      <c r="M4464" s="24"/>
      <c r="N4464" s="24"/>
      <c r="P4464" s="24"/>
    </row>
    <row r="4465" spans="2:16" x14ac:dyDescent="0.25">
      <c r="B4465" s="24"/>
      <c r="E4465" s="24"/>
      <c r="G4465" s="24"/>
      <c r="H4465" s="24"/>
      <c r="J4465" s="24"/>
      <c r="K4465" s="24"/>
      <c r="M4465" s="24"/>
      <c r="N4465" s="24"/>
      <c r="P4465" s="24"/>
    </row>
    <row r="4466" spans="2:16" x14ac:dyDescent="0.25">
      <c r="B4466" s="24"/>
      <c r="E4466" s="24"/>
      <c r="G4466" s="24"/>
      <c r="H4466" s="24"/>
      <c r="J4466" s="24"/>
      <c r="K4466" s="24"/>
      <c r="M4466" s="24"/>
      <c r="N4466" s="24"/>
      <c r="P4466" s="24"/>
    </row>
    <row r="4467" spans="2:16" x14ac:dyDescent="0.25">
      <c r="B4467" s="24"/>
      <c r="E4467" s="24"/>
      <c r="G4467" s="24"/>
      <c r="H4467" s="24"/>
      <c r="J4467" s="24"/>
      <c r="K4467" s="24"/>
      <c r="M4467" s="24"/>
      <c r="N4467" s="24"/>
      <c r="P4467" s="24"/>
    </row>
    <row r="4468" spans="2:16" x14ac:dyDescent="0.25">
      <c r="B4468" s="24"/>
      <c r="E4468" s="24"/>
      <c r="G4468" s="24"/>
      <c r="H4468" s="24"/>
      <c r="J4468" s="24"/>
      <c r="K4468" s="24"/>
      <c r="M4468" s="24"/>
      <c r="N4468" s="24"/>
      <c r="P4468" s="24"/>
    </row>
    <row r="4469" spans="2:16" x14ac:dyDescent="0.25">
      <c r="B4469" s="24"/>
      <c r="E4469" s="24"/>
      <c r="G4469" s="24"/>
      <c r="H4469" s="24"/>
      <c r="J4469" s="24"/>
      <c r="K4469" s="24"/>
      <c r="M4469" s="24"/>
      <c r="N4469" s="24"/>
      <c r="P4469" s="24"/>
    </row>
    <row r="4470" spans="2:16" x14ac:dyDescent="0.25">
      <c r="B4470" s="24"/>
      <c r="E4470" s="24"/>
      <c r="G4470" s="24"/>
      <c r="H4470" s="24"/>
      <c r="J4470" s="24"/>
      <c r="K4470" s="24"/>
      <c r="M4470" s="24"/>
      <c r="N4470" s="24"/>
      <c r="P4470" s="24"/>
    </row>
    <row r="4471" spans="2:16" x14ac:dyDescent="0.25">
      <c r="B4471" s="24"/>
      <c r="E4471" s="24"/>
      <c r="G4471" s="24"/>
      <c r="H4471" s="24"/>
      <c r="J4471" s="24"/>
      <c r="K4471" s="24"/>
      <c r="M4471" s="24"/>
      <c r="N4471" s="24"/>
      <c r="P4471" s="24"/>
    </row>
    <row r="4472" spans="2:16" x14ac:dyDescent="0.25">
      <c r="B4472" s="24"/>
      <c r="E4472" s="24"/>
      <c r="G4472" s="24"/>
      <c r="H4472" s="24"/>
      <c r="J4472" s="24"/>
      <c r="K4472" s="24"/>
      <c r="M4472" s="24"/>
      <c r="N4472" s="24"/>
      <c r="P4472" s="24"/>
    </row>
    <row r="4473" spans="2:16" x14ac:dyDescent="0.25">
      <c r="B4473" s="24"/>
      <c r="E4473" s="24"/>
      <c r="G4473" s="24"/>
      <c r="H4473" s="24"/>
      <c r="J4473" s="24"/>
      <c r="K4473" s="24"/>
      <c r="M4473" s="24"/>
      <c r="N4473" s="24"/>
      <c r="P4473" s="24"/>
    </row>
    <row r="4474" spans="2:16" x14ac:dyDescent="0.25">
      <c r="B4474" s="24"/>
      <c r="E4474" s="24"/>
      <c r="G4474" s="24"/>
      <c r="H4474" s="24"/>
      <c r="J4474" s="24"/>
      <c r="K4474" s="24"/>
      <c r="M4474" s="24"/>
      <c r="N4474" s="24"/>
      <c r="P4474" s="24"/>
    </row>
    <row r="4475" spans="2:16" x14ac:dyDescent="0.25">
      <c r="B4475" s="24"/>
      <c r="E4475" s="24"/>
      <c r="G4475" s="24"/>
      <c r="H4475" s="24"/>
      <c r="J4475" s="24"/>
      <c r="K4475" s="24"/>
      <c r="M4475" s="24"/>
      <c r="N4475" s="24"/>
      <c r="P4475" s="24"/>
    </row>
    <row r="4476" spans="2:16" x14ac:dyDescent="0.25">
      <c r="B4476" s="24"/>
      <c r="E4476" s="24"/>
      <c r="G4476" s="24"/>
      <c r="H4476" s="24"/>
      <c r="J4476" s="24"/>
      <c r="K4476" s="24"/>
      <c r="M4476" s="24"/>
      <c r="N4476" s="24"/>
      <c r="P4476" s="24"/>
    </row>
    <row r="4477" spans="2:16" x14ac:dyDescent="0.25">
      <c r="B4477" s="24"/>
      <c r="E4477" s="24"/>
      <c r="G4477" s="24"/>
      <c r="H4477" s="24"/>
      <c r="J4477" s="24"/>
      <c r="K4477" s="24"/>
      <c r="M4477" s="24"/>
      <c r="N4477" s="24"/>
      <c r="P4477" s="24"/>
    </row>
    <row r="4478" spans="2:16" x14ac:dyDescent="0.25">
      <c r="B4478" s="24"/>
      <c r="E4478" s="24"/>
      <c r="G4478" s="24"/>
      <c r="H4478" s="24"/>
      <c r="J4478" s="24"/>
      <c r="K4478" s="24"/>
      <c r="M4478" s="24"/>
      <c r="N4478" s="24"/>
      <c r="P4478" s="24"/>
    </row>
    <row r="4479" spans="2:16" x14ac:dyDescent="0.25">
      <c r="B4479" s="24"/>
      <c r="E4479" s="24"/>
      <c r="G4479" s="24"/>
      <c r="H4479" s="24"/>
      <c r="J4479" s="24"/>
      <c r="K4479" s="24"/>
      <c r="M4479" s="24"/>
      <c r="N4479" s="24"/>
      <c r="P4479" s="24"/>
    </row>
    <row r="4480" spans="2:16" x14ac:dyDescent="0.25">
      <c r="B4480" s="24"/>
      <c r="E4480" s="24"/>
      <c r="G4480" s="24"/>
      <c r="H4480" s="24"/>
      <c r="J4480" s="24"/>
      <c r="K4480" s="24"/>
      <c r="M4480" s="24"/>
      <c r="N4480" s="24"/>
      <c r="P4480" s="24"/>
    </row>
    <row r="4481" spans="2:16" x14ac:dyDescent="0.25">
      <c r="B4481" s="24"/>
      <c r="E4481" s="24"/>
      <c r="G4481" s="24"/>
      <c r="H4481" s="24"/>
      <c r="J4481" s="24"/>
      <c r="K4481" s="24"/>
      <c r="M4481" s="24"/>
      <c r="N4481" s="24"/>
      <c r="P4481" s="24"/>
    </row>
    <row r="4482" spans="2:16" x14ac:dyDescent="0.25">
      <c r="B4482" s="24"/>
      <c r="E4482" s="24"/>
      <c r="G4482" s="24"/>
      <c r="H4482" s="24"/>
      <c r="J4482" s="24"/>
      <c r="K4482" s="24"/>
      <c r="M4482" s="24"/>
      <c r="N4482" s="24"/>
      <c r="P4482" s="24"/>
    </row>
    <row r="4483" spans="2:16" x14ac:dyDescent="0.25">
      <c r="B4483" s="24"/>
      <c r="E4483" s="24"/>
      <c r="G4483" s="24"/>
      <c r="H4483" s="24"/>
      <c r="J4483" s="24"/>
      <c r="K4483" s="24"/>
      <c r="M4483" s="24"/>
      <c r="N4483" s="24"/>
      <c r="P4483" s="24"/>
    </row>
    <row r="4484" spans="2:16" x14ac:dyDescent="0.25">
      <c r="B4484" s="24"/>
      <c r="E4484" s="24"/>
      <c r="G4484" s="24"/>
      <c r="H4484" s="24"/>
      <c r="J4484" s="24"/>
      <c r="K4484" s="24"/>
      <c r="M4484" s="24"/>
      <c r="N4484" s="24"/>
      <c r="P4484" s="24"/>
    </row>
    <row r="4485" spans="2:16" x14ac:dyDescent="0.25">
      <c r="B4485" s="24"/>
      <c r="E4485" s="24"/>
      <c r="G4485" s="24"/>
      <c r="H4485" s="24"/>
      <c r="J4485" s="24"/>
      <c r="K4485" s="24"/>
      <c r="M4485" s="24"/>
      <c r="N4485" s="24"/>
      <c r="P4485" s="24"/>
    </row>
    <row r="4486" spans="2:16" x14ac:dyDescent="0.25">
      <c r="B4486" s="24"/>
      <c r="E4486" s="24"/>
      <c r="G4486" s="24"/>
      <c r="H4486" s="24"/>
      <c r="J4486" s="24"/>
      <c r="K4486" s="24"/>
      <c r="M4486" s="24"/>
      <c r="N4486" s="24"/>
      <c r="P4486" s="24"/>
    </row>
    <row r="4487" spans="2:16" x14ac:dyDescent="0.25">
      <c r="B4487" s="24"/>
      <c r="E4487" s="24"/>
      <c r="G4487" s="24"/>
      <c r="H4487" s="24"/>
      <c r="J4487" s="24"/>
      <c r="K4487" s="24"/>
      <c r="M4487" s="24"/>
      <c r="N4487" s="24"/>
      <c r="P4487" s="24"/>
    </row>
    <row r="4488" spans="2:16" x14ac:dyDescent="0.25">
      <c r="B4488" s="24"/>
      <c r="E4488" s="24"/>
      <c r="G4488" s="24"/>
      <c r="H4488" s="24"/>
      <c r="J4488" s="24"/>
      <c r="K4488" s="24"/>
      <c r="M4488" s="24"/>
      <c r="N4488" s="24"/>
      <c r="P4488" s="24"/>
    </row>
    <row r="4489" spans="2:16" x14ac:dyDescent="0.25">
      <c r="B4489" s="24"/>
      <c r="E4489" s="24"/>
      <c r="G4489" s="24"/>
      <c r="H4489" s="24"/>
      <c r="J4489" s="24"/>
      <c r="K4489" s="24"/>
      <c r="M4489" s="24"/>
      <c r="N4489" s="24"/>
      <c r="P4489" s="24"/>
    </row>
    <row r="4490" spans="2:16" x14ac:dyDescent="0.25">
      <c r="B4490" s="24"/>
      <c r="E4490" s="24"/>
      <c r="G4490" s="24"/>
      <c r="H4490" s="24"/>
      <c r="J4490" s="24"/>
      <c r="K4490" s="24"/>
      <c r="M4490" s="24"/>
      <c r="N4490" s="24"/>
      <c r="P4490" s="24"/>
    </row>
    <row r="4491" spans="2:16" x14ac:dyDescent="0.25">
      <c r="B4491" s="24"/>
      <c r="E4491" s="24"/>
      <c r="G4491" s="24"/>
      <c r="H4491" s="24"/>
      <c r="J4491" s="24"/>
      <c r="K4491" s="24"/>
      <c r="M4491" s="24"/>
      <c r="N4491" s="24"/>
      <c r="P4491" s="24"/>
    </row>
    <row r="4492" spans="2:16" x14ac:dyDescent="0.25">
      <c r="B4492" s="24"/>
      <c r="E4492" s="24"/>
      <c r="G4492" s="24"/>
      <c r="H4492" s="24"/>
      <c r="J4492" s="24"/>
      <c r="K4492" s="24"/>
      <c r="M4492" s="24"/>
      <c r="N4492" s="24"/>
      <c r="P4492" s="24"/>
    </row>
    <row r="4493" spans="2:16" x14ac:dyDescent="0.25">
      <c r="B4493" s="24"/>
      <c r="E4493" s="24"/>
      <c r="G4493" s="24"/>
      <c r="H4493" s="24"/>
      <c r="J4493" s="24"/>
      <c r="K4493" s="24"/>
      <c r="M4493" s="24"/>
      <c r="N4493" s="24"/>
      <c r="P4493" s="24"/>
    </row>
    <row r="4494" spans="2:16" x14ac:dyDescent="0.25">
      <c r="B4494" s="24"/>
      <c r="E4494" s="24"/>
      <c r="G4494" s="24"/>
      <c r="H4494" s="24"/>
      <c r="J4494" s="24"/>
      <c r="K4494" s="24"/>
      <c r="M4494" s="24"/>
      <c r="N4494" s="24"/>
      <c r="P4494" s="24"/>
    </row>
    <row r="4495" spans="2:16" x14ac:dyDescent="0.25">
      <c r="B4495" s="24"/>
      <c r="E4495" s="24"/>
      <c r="G4495" s="24"/>
      <c r="H4495" s="24"/>
      <c r="J4495" s="24"/>
      <c r="K4495" s="24"/>
      <c r="M4495" s="24"/>
      <c r="N4495" s="24"/>
      <c r="P4495" s="24"/>
    </row>
    <row r="4496" spans="2:16" x14ac:dyDescent="0.25">
      <c r="B4496" s="24"/>
      <c r="E4496" s="24"/>
      <c r="G4496" s="24"/>
      <c r="H4496" s="24"/>
      <c r="J4496" s="24"/>
      <c r="K4496" s="24"/>
      <c r="M4496" s="24"/>
      <c r="N4496" s="24"/>
      <c r="P4496" s="24"/>
    </row>
    <row r="4497" spans="2:16" x14ac:dyDescent="0.25">
      <c r="B4497" s="24"/>
      <c r="E4497" s="24"/>
      <c r="G4497" s="24"/>
      <c r="H4497" s="24"/>
      <c r="J4497" s="24"/>
      <c r="K4497" s="24"/>
      <c r="M4497" s="24"/>
      <c r="N4497" s="24"/>
      <c r="P4497" s="24"/>
    </row>
    <row r="4498" spans="2:16" x14ac:dyDescent="0.25">
      <c r="B4498" s="24"/>
      <c r="E4498" s="24"/>
      <c r="G4498" s="24"/>
      <c r="H4498" s="24"/>
      <c r="J4498" s="24"/>
      <c r="K4498" s="24"/>
      <c r="M4498" s="24"/>
      <c r="N4498" s="24"/>
      <c r="P4498" s="24"/>
    </row>
    <row r="4499" spans="2:16" x14ac:dyDescent="0.25">
      <c r="B4499" s="24"/>
      <c r="E4499" s="24"/>
      <c r="G4499" s="24"/>
      <c r="H4499" s="24"/>
      <c r="J4499" s="24"/>
      <c r="K4499" s="24"/>
      <c r="M4499" s="24"/>
      <c r="N4499" s="24"/>
      <c r="P4499" s="24"/>
    </row>
    <row r="4500" spans="2:16" x14ac:dyDescent="0.25">
      <c r="B4500" s="24"/>
      <c r="E4500" s="24"/>
      <c r="G4500" s="24"/>
      <c r="H4500" s="24"/>
      <c r="J4500" s="24"/>
      <c r="K4500" s="24"/>
      <c r="M4500" s="24"/>
      <c r="N4500" s="24"/>
      <c r="P4500" s="24"/>
    </row>
    <row r="4501" spans="2:16" x14ac:dyDescent="0.25">
      <c r="B4501" s="24"/>
      <c r="E4501" s="24"/>
      <c r="G4501" s="24"/>
      <c r="H4501" s="24"/>
      <c r="J4501" s="24"/>
      <c r="K4501" s="24"/>
      <c r="M4501" s="24"/>
      <c r="N4501" s="24"/>
      <c r="P4501" s="24"/>
    </row>
    <row r="4502" spans="2:16" x14ac:dyDescent="0.25">
      <c r="B4502" s="24"/>
      <c r="E4502" s="24"/>
      <c r="G4502" s="24"/>
      <c r="H4502" s="24"/>
      <c r="J4502" s="24"/>
      <c r="K4502" s="24"/>
      <c r="M4502" s="24"/>
      <c r="N4502" s="24"/>
      <c r="P4502" s="24"/>
    </row>
    <row r="4503" spans="2:16" x14ac:dyDescent="0.25">
      <c r="B4503" s="24"/>
      <c r="E4503" s="24"/>
      <c r="G4503" s="24"/>
      <c r="H4503" s="24"/>
      <c r="J4503" s="24"/>
      <c r="K4503" s="24"/>
      <c r="M4503" s="24"/>
      <c r="N4503" s="24"/>
      <c r="P4503" s="24"/>
    </row>
    <row r="4504" spans="2:16" x14ac:dyDescent="0.25">
      <c r="B4504" s="24"/>
      <c r="E4504" s="24"/>
      <c r="G4504" s="24"/>
      <c r="H4504" s="24"/>
      <c r="J4504" s="24"/>
      <c r="K4504" s="24"/>
      <c r="M4504" s="24"/>
      <c r="N4504" s="24"/>
      <c r="P4504" s="24"/>
    </row>
    <row r="4505" spans="2:16" x14ac:dyDescent="0.25">
      <c r="B4505" s="24"/>
      <c r="E4505" s="24"/>
      <c r="G4505" s="24"/>
      <c r="H4505" s="24"/>
      <c r="J4505" s="24"/>
      <c r="K4505" s="24"/>
      <c r="M4505" s="24"/>
      <c r="N4505" s="24"/>
      <c r="P4505" s="24"/>
    </row>
    <row r="4506" spans="2:16" x14ac:dyDescent="0.25">
      <c r="B4506" s="24"/>
      <c r="E4506" s="24"/>
      <c r="G4506" s="24"/>
      <c r="H4506" s="24"/>
      <c r="J4506" s="24"/>
      <c r="K4506" s="24"/>
      <c r="M4506" s="24"/>
      <c r="N4506" s="24"/>
      <c r="P4506" s="24"/>
    </row>
    <row r="4507" spans="2:16" x14ac:dyDescent="0.25">
      <c r="B4507" s="24"/>
      <c r="E4507" s="24"/>
      <c r="G4507" s="24"/>
      <c r="H4507" s="24"/>
      <c r="J4507" s="24"/>
      <c r="K4507" s="24"/>
      <c r="M4507" s="24"/>
      <c r="N4507" s="24"/>
      <c r="P4507" s="24"/>
    </row>
    <row r="4508" spans="2:16" x14ac:dyDescent="0.25">
      <c r="B4508" s="24"/>
      <c r="E4508" s="24"/>
      <c r="G4508" s="24"/>
      <c r="H4508" s="24"/>
      <c r="J4508" s="24"/>
      <c r="K4508" s="24"/>
      <c r="M4508" s="24"/>
      <c r="N4508" s="24"/>
      <c r="P4508" s="24"/>
    </row>
    <row r="4509" spans="2:16" x14ac:dyDescent="0.25">
      <c r="B4509" s="24"/>
      <c r="E4509" s="24"/>
      <c r="G4509" s="24"/>
      <c r="H4509" s="24"/>
      <c r="J4509" s="24"/>
      <c r="K4509" s="24"/>
      <c r="M4509" s="24"/>
      <c r="N4509" s="24"/>
      <c r="P4509" s="24"/>
    </row>
    <row r="4510" spans="2:16" x14ac:dyDescent="0.25">
      <c r="B4510" s="24"/>
      <c r="E4510" s="24"/>
      <c r="G4510" s="24"/>
      <c r="H4510" s="24"/>
      <c r="J4510" s="24"/>
      <c r="K4510" s="24"/>
      <c r="M4510" s="24"/>
      <c r="N4510" s="24"/>
      <c r="P4510" s="24"/>
    </row>
    <row r="4511" spans="2:16" x14ac:dyDescent="0.25">
      <c r="B4511" s="24"/>
      <c r="E4511" s="24"/>
      <c r="G4511" s="24"/>
      <c r="H4511" s="24"/>
      <c r="J4511" s="24"/>
      <c r="K4511" s="24"/>
      <c r="M4511" s="24"/>
      <c r="N4511" s="24"/>
      <c r="P4511" s="24"/>
    </row>
    <row r="4512" spans="2:16" x14ac:dyDescent="0.25">
      <c r="B4512" s="24"/>
      <c r="E4512" s="24"/>
      <c r="G4512" s="24"/>
      <c r="H4512" s="24"/>
      <c r="J4512" s="24"/>
      <c r="K4512" s="24"/>
      <c r="M4512" s="24"/>
      <c r="N4512" s="24"/>
      <c r="P4512" s="24"/>
    </row>
    <row r="4513" spans="2:16" x14ac:dyDescent="0.25">
      <c r="B4513" s="24"/>
      <c r="E4513" s="24"/>
      <c r="G4513" s="24"/>
      <c r="H4513" s="24"/>
      <c r="J4513" s="24"/>
      <c r="K4513" s="24"/>
      <c r="M4513" s="24"/>
      <c r="N4513" s="24"/>
      <c r="P4513" s="24"/>
    </row>
    <row r="4514" spans="2:16" x14ac:dyDescent="0.25">
      <c r="B4514" s="24"/>
      <c r="E4514" s="24"/>
      <c r="G4514" s="24"/>
      <c r="H4514" s="24"/>
      <c r="J4514" s="24"/>
      <c r="K4514" s="24"/>
      <c r="M4514" s="24"/>
      <c r="N4514" s="24"/>
      <c r="P4514" s="24"/>
    </row>
    <row r="4515" spans="2:16" x14ac:dyDescent="0.25">
      <c r="B4515" s="24"/>
      <c r="E4515" s="24"/>
      <c r="G4515" s="24"/>
      <c r="H4515" s="24"/>
      <c r="J4515" s="24"/>
      <c r="K4515" s="24"/>
      <c r="M4515" s="24"/>
      <c r="N4515" s="24"/>
      <c r="P4515" s="24"/>
    </row>
    <row r="4516" spans="2:16" x14ac:dyDescent="0.25">
      <c r="B4516" s="24"/>
      <c r="E4516" s="24"/>
      <c r="G4516" s="24"/>
      <c r="H4516" s="24"/>
      <c r="J4516" s="24"/>
      <c r="K4516" s="24"/>
      <c r="M4516" s="24"/>
      <c r="N4516" s="24"/>
      <c r="P4516" s="24"/>
    </row>
    <row r="4517" spans="2:16" x14ac:dyDescent="0.25">
      <c r="B4517" s="24"/>
      <c r="E4517" s="24"/>
      <c r="G4517" s="24"/>
      <c r="H4517" s="24"/>
      <c r="J4517" s="24"/>
      <c r="K4517" s="24"/>
      <c r="M4517" s="24"/>
      <c r="N4517" s="24"/>
      <c r="P4517" s="24"/>
    </row>
    <row r="4518" spans="2:16" x14ac:dyDescent="0.25">
      <c r="B4518" s="24"/>
      <c r="E4518" s="24"/>
      <c r="G4518" s="24"/>
      <c r="H4518" s="24"/>
      <c r="J4518" s="24"/>
      <c r="K4518" s="24"/>
      <c r="M4518" s="24"/>
      <c r="N4518" s="24"/>
      <c r="P4518" s="24"/>
    </row>
    <row r="4519" spans="2:16" x14ac:dyDescent="0.25">
      <c r="B4519" s="24"/>
      <c r="E4519" s="24"/>
      <c r="G4519" s="24"/>
      <c r="H4519" s="24"/>
      <c r="J4519" s="24"/>
      <c r="K4519" s="24"/>
      <c r="M4519" s="24"/>
      <c r="N4519" s="24"/>
      <c r="P4519" s="24"/>
    </row>
    <row r="4520" spans="2:16" x14ac:dyDescent="0.25">
      <c r="B4520" s="24"/>
      <c r="E4520" s="24"/>
      <c r="G4520" s="24"/>
      <c r="H4520" s="24"/>
      <c r="J4520" s="24"/>
      <c r="K4520" s="24"/>
      <c r="M4520" s="24"/>
      <c r="N4520" s="24"/>
      <c r="P4520" s="24"/>
    </row>
    <row r="4521" spans="2:16" x14ac:dyDescent="0.25">
      <c r="B4521" s="24"/>
      <c r="E4521" s="24"/>
      <c r="G4521" s="24"/>
      <c r="H4521" s="24"/>
      <c r="J4521" s="24"/>
      <c r="K4521" s="24"/>
      <c r="M4521" s="24"/>
      <c r="N4521" s="24"/>
      <c r="P4521" s="24"/>
    </row>
    <row r="4522" spans="2:16" x14ac:dyDescent="0.25">
      <c r="B4522" s="24"/>
      <c r="E4522" s="24"/>
      <c r="G4522" s="24"/>
      <c r="H4522" s="24"/>
      <c r="J4522" s="24"/>
      <c r="K4522" s="24"/>
      <c r="M4522" s="24"/>
      <c r="N4522" s="24"/>
      <c r="P4522" s="24"/>
    </row>
    <row r="4523" spans="2:16" x14ac:dyDescent="0.25">
      <c r="B4523" s="24"/>
      <c r="E4523" s="24"/>
      <c r="G4523" s="24"/>
      <c r="H4523" s="24"/>
      <c r="J4523" s="24"/>
      <c r="K4523" s="24"/>
      <c r="M4523" s="24"/>
      <c r="N4523" s="24"/>
      <c r="P4523" s="24"/>
    </row>
    <row r="4524" spans="2:16" x14ac:dyDescent="0.25">
      <c r="B4524" s="24"/>
      <c r="E4524" s="24"/>
      <c r="G4524" s="24"/>
      <c r="H4524" s="24"/>
      <c r="J4524" s="24"/>
      <c r="K4524" s="24"/>
      <c r="M4524" s="24"/>
      <c r="N4524" s="24"/>
      <c r="P4524" s="24"/>
    </row>
    <row r="4525" spans="2:16" x14ac:dyDescent="0.25">
      <c r="B4525" s="24"/>
      <c r="E4525" s="24"/>
      <c r="G4525" s="24"/>
      <c r="H4525" s="24"/>
      <c r="J4525" s="24"/>
      <c r="K4525" s="24"/>
      <c r="M4525" s="24"/>
      <c r="N4525" s="24"/>
      <c r="P4525" s="24"/>
    </row>
    <row r="4526" spans="2:16" x14ac:dyDescent="0.25">
      <c r="B4526" s="24"/>
      <c r="E4526" s="24"/>
      <c r="G4526" s="24"/>
      <c r="H4526" s="24"/>
      <c r="J4526" s="24"/>
      <c r="K4526" s="24"/>
      <c r="M4526" s="24"/>
      <c r="N4526" s="24"/>
      <c r="P4526" s="24"/>
    </row>
    <row r="4527" spans="2:16" x14ac:dyDescent="0.25">
      <c r="B4527" s="24"/>
      <c r="E4527" s="24"/>
      <c r="G4527" s="24"/>
      <c r="H4527" s="24"/>
      <c r="J4527" s="24"/>
      <c r="K4527" s="24"/>
      <c r="M4527" s="24"/>
      <c r="N4527" s="24"/>
      <c r="P4527" s="24"/>
    </row>
    <row r="4528" spans="2:16" x14ac:dyDescent="0.25">
      <c r="B4528" s="24"/>
      <c r="E4528" s="24"/>
      <c r="G4528" s="24"/>
      <c r="H4528" s="24"/>
      <c r="J4528" s="24"/>
      <c r="K4528" s="24"/>
      <c r="M4528" s="24"/>
      <c r="N4528" s="24"/>
      <c r="P4528" s="24"/>
    </row>
    <row r="4529" spans="2:16" x14ac:dyDescent="0.25">
      <c r="B4529" s="24"/>
      <c r="E4529" s="24"/>
      <c r="G4529" s="24"/>
      <c r="H4529" s="24"/>
      <c r="J4529" s="24"/>
      <c r="K4529" s="24"/>
      <c r="M4529" s="24"/>
      <c r="N4529" s="24"/>
      <c r="P4529" s="24"/>
    </row>
    <row r="4530" spans="2:16" x14ac:dyDescent="0.25">
      <c r="B4530" s="24"/>
      <c r="E4530" s="24"/>
      <c r="G4530" s="24"/>
      <c r="H4530" s="24"/>
      <c r="J4530" s="24"/>
      <c r="K4530" s="24"/>
      <c r="M4530" s="24"/>
      <c r="N4530" s="24"/>
      <c r="P4530" s="24"/>
    </row>
    <row r="4531" spans="2:16" x14ac:dyDescent="0.25">
      <c r="B4531" s="24"/>
      <c r="E4531" s="24"/>
      <c r="G4531" s="24"/>
      <c r="H4531" s="24"/>
      <c r="J4531" s="24"/>
      <c r="K4531" s="24"/>
      <c r="M4531" s="24"/>
      <c r="N4531" s="24"/>
      <c r="P4531" s="24"/>
    </row>
    <row r="4532" spans="2:16" x14ac:dyDescent="0.25">
      <c r="B4532" s="24"/>
      <c r="E4532" s="24"/>
      <c r="G4532" s="24"/>
      <c r="H4532" s="24"/>
      <c r="J4532" s="24"/>
      <c r="K4532" s="24"/>
      <c r="M4532" s="24"/>
      <c r="N4532" s="24"/>
      <c r="P4532" s="24"/>
    </row>
    <row r="4533" spans="2:16" x14ac:dyDescent="0.25">
      <c r="B4533" s="24"/>
      <c r="E4533" s="24"/>
      <c r="G4533" s="24"/>
      <c r="H4533" s="24"/>
      <c r="J4533" s="24"/>
      <c r="K4533" s="24"/>
      <c r="M4533" s="24"/>
      <c r="N4533" s="24"/>
      <c r="P4533" s="24"/>
    </row>
    <row r="4534" spans="2:16" x14ac:dyDescent="0.25">
      <c r="B4534" s="24"/>
      <c r="E4534" s="24"/>
      <c r="G4534" s="24"/>
      <c r="H4534" s="24"/>
      <c r="J4534" s="24"/>
      <c r="K4534" s="24"/>
      <c r="M4534" s="24"/>
      <c r="N4534" s="24"/>
      <c r="P4534" s="24"/>
    </row>
    <row r="4535" spans="2:16" x14ac:dyDescent="0.25">
      <c r="B4535" s="24"/>
      <c r="E4535" s="24"/>
      <c r="G4535" s="24"/>
      <c r="H4535" s="24"/>
      <c r="J4535" s="24"/>
      <c r="K4535" s="24"/>
      <c r="M4535" s="24"/>
      <c r="N4535" s="24"/>
      <c r="P4535" s="24"/>
    </row>
    <row r="4536" spans="2:16" x14ac:dyDescent="0.25">
      <c r="B4536" s="24"/>
      <c r="E4536" s="24"/>
      <c r="G4536" s="24"/>
      <c r="H4536" s="24"/>
      <c r="J4536" s="24"/>
      <c r="K4536" s="24"/>
      <c r="M4536" s="24"/>
      <c r="N4536" s="24"/>
      <c r="P4536" s="24"/>
    </row>
    <row r="4537" spans="2:16" x14ac:dyDescent="0.25">
      <c r="B4537" s="24"/>
      <c r="E4537" s="24"/>
      <c r="G4537" s="24"/>
      <c r="H4537" s="24"/>
      <c r="J4537" s="24"/>
      <c r="K4537" s="24"/>
      <c r="M4537" s="24"/>
      <c r="N4537" s="24"/>
      <c r="P4537" s="24"/>
    </row>
    <row r="4538" spans="2:16" x14ac:dyDescent="0.25">
      <c r="B4538" s="24"/>
      <c r="E4538" s="24"/>
      <c r="G4538" s="24"/>
      <c r="H4538" s="24"/>
      <c r="J4538" s="24"/>
      <c r="K4538" s="24"/>
      <c r="M4538" s="24"/>
      <c r="N4538" s="24"/>
      <c r="P4538" s="24"/>
    </row>
    <row r="4539" spans="2:16" x14ac:dyDescent="0.25">
      <c r="B4539" s="24"/>
      <c r="E4539" s="24"/>
      <c r="G4539" s="24"/>
      <c r="H4539" s="24"/>
      <c r="J4539" s="24"/>
      <c r="K4539" s="24"/>
      <c r="M4539" s="24"/>
      <c r="N4539" s="24"/>
      <c r="P4539" s="24"/>
    </row>
    <row r="4540" spans="2:16" x14ac:dyDescent="0.25">
      <c r="B4540" s="24"/>
      <c r="E4540" s="24"/>
      <c r="G4540" s="24"/>
      <c r="H4540" s="24"/>
      <c r="J4540" s="24"/>
      <c r="K4540" s="24"/>
      <c r="M4540" s="24"/>
      <c r="N4540" s="24"/>
      <c r="P4540" s="24"/>
    </row>
    <row r="4541" spans="2:16" x14ac:dyDescent="0.25">
      <c r="B4541" s="24"/>
      <c r="E4541" s="24"/>
      <c r="G4541" s="24"/>
      <c r="H4541" s="24"/>
      <c r="J4541" s="24"/>
      <c r="K4541" s="24"/>
      <c r="M4541" s="24"/>
      <c r="N4541" s="24"/>
      <c r="P4541" s="24"/>
    </row>
    <row r="4542" spans="2:16" x14ac:dyDescent="0.25">
      <c r="B4542" s="24"/>
      <c r="E4542" s="24"/>
      <c r="G4542" s="24"/>
      <c r="H4542" s="24"/>
      <c r="J4542" s="24"/>
      <c r="K4542" s="24"/>
      <c r="M4542" s="24"/>
      <c r="N4542" s="24"/>
      <c r="P4542" s="24"/>
    </row>
    <row r="4543" spans="2:16" x14ac:dyDescent="0.25">
      <c r="B4543" s="24"/>
      <c r="E4543" s="24"/>
      <c r="G4543" s="24"/>
      <c r="H4543" s="24"/>
      <c r="J4543" s="24"/>
      <c r="K4543" s="24"/>
      <c r="M4543" s="24"/>
      <c r="N4543" s="24"/>
      <c r="P4543" s="24"/>
    </row>
    <row r="4544" spans="2:16" x14ac:dyDescent="0.25">
      <c r="B4544" s="24"/>
      <c r="E4544" s="24"/>
      <c r="G4544" s="24"/>
      <c r="H4544" s="24"/>
      <c r="J4544" s="24"/>
      <c r="K4544" s="24"/>
      <c r="M4544" s="24"/>
      <c r="N4544" s="24"/>
      <c r="P4544" s="24"/>
    </row>
    <row r="4545" spans="2:16" x14ac:dyDescent="0.25">
      <c r="B4545" s="24"/>
      <c r="E4545" s="24"/>
      <c r="G4545" s="24"/>
      <c r="H4545" s="24"/>
      <c r="J4545" s="24"/>
      <c r="K4545" s="24"/>
      <c r="M4545" s="24"/>
      <c r="N4545" s="24"/>
      <c r="P4545" s="24"/>
    </row>
    <row r="4546" spans="2:16" x14ac:dyDescent="0.25">
      <c r="B4546" s="24"/>
      <c r="E4546" s="24"/>
      <c r="G4546" s="24"/>
      <c r="H4546" s="24"/>
      <c r="J4546" s="24"/>
      <c r="K4546" s="24"/>
      <c r="M4546" s="24"/>
      <c r="N4546" s="24"/>
      <c r="P4546" s="24"/>
    </row>
    <row r="4547" spans="2:16" x14ac:dyDescent="0.25">
      <c r="B4547" s="24"/>
      <c r="E4547" s="24"/>
      <c r="G4547" s="24"/>
      <c r="H4547" s="24"/>
      <c r="J4547" s="24"/>
      <c r="K4547" s="24"/>
      <c r="M4547" s="24"/>
      <c r="N4547" s="24"/>
      <c r="P4547" s="24"/>
    </row>
    <row r="4548" spans="2:16" x14ac:dyDescent="0.25">
      <c r="B4548" s="24"/>
      <c r="E4548" s="24"/>
      <c r="G4548" s="24"/>
      <c r="H4548" s="24"/>
      <c r="J4548" s="24"/>
      <c r="K4548" s="24"/>
      <c r="M4548" s="24"/>
      <c r="N4548" s="24"/>
      <c r="P4548" s="24"/>
    </row>
    <row r="4549" spans="2:16" x14ac:dyDescent="0.25">
      <c r="B4549" s="24"/>
      <c r="E4549" s="24"/>
      <c r="G4549" s="24"/>
      <c r="H4549" s="24"/>
      <c r="J4549" s="24"/>
      <c r="K4549" s="24"/>
      <c r="M4549" s="24"/>
      <c r="N4549" s="24"/>
      <c r="P4549" s="24"/>
    </row>
    <row r="4550" spans="2:16" x14ac:dyDescent="0.25">
      <c r="B4550" s="24"/>
      <c r="E4550" s="24"/>
      <c r="G4550" s="24"/>
      <c r="H4550" s="24"/>
      <c r="J4550" s="24"/>
      <c r="K4550" s="24"/>
      <c r="M4550" s="24"/>
      <c r="N4550" s="24"/>
      <c r="P4550" s="24"/>
    </row>
    <row r="4551" spans="2:16" x14ac:dyDescent="0.25">
      <c r="B4551" s="24"/>
      <c r="E4551" s="24"/>
      <c r="G4551" s="24"/>
      <c r="H4551" s="24"/>
      <c r="J4551" s="24"/>
      <c r="K4551" s="24"/>
      <c r="M4551" s="24"/>
      <c r="N4551" s="24"/>
      <c r="P4551" s="24"/>
    </row>
    <row r="4552" spans="2:16" x14ac:dyDescent="0.25">
      <c r="B4552" s="24"/>
      <c r="E4552" s="24"/>
      <c r="G4552" s="24"/>
      <c r="H4552" s="24"/>
      <c r="J4552" s="24"/>
      <c r="K4552" s="24"/>
      <c r="M4552" s="24"/>
      <c r="N4552" s="24"/>
      <c r="P4552" s="24"/>
    </row>
    <row r="4553" spans="2:16" x14ac:dyDescent="0.25">
      <c r="B4553" s="24"/>
      <c r="E4553" s="24"/>
      <c r="G4553" s="24"/>
      <c r="H4553" s="24"/>
      <c r="J4553" s="24"/>
      <c r="K4553" s="24"/>
      <c r="M4553" s="24"/>
      <c r="N4553" s="24"/>
      <c r="P4553" s="24"/>
    </row>
    <row r="4554" spans="2:16" x14ac:dyDescent="0.25">
      <c r="B4554" s="24"/>
      <c r="E4554" s="24"/>
      <c r="G4554" s="24"/>
      <c r="H4554" s="24"/>
      <c r="J4554" s="24"/>
      <c r="K4554" s="24"/>
      <c r="M4554" s="24"/>
      <c r="N4554" s="24"/>
      <c r="P4554" s="24"/>
    </row>
    <row r="4555" spans="2:16" x14ac:dyDescent="0.25">
      <c r="B4555" s="24"/>
      <c r="E4555" s="24"/>
      <c r="G4555" s="24"/>
      <c r="H4555" s="24"/>
      <c r="J4555" s="24"/>
      <c r="K4555" s="24"/>
      <c r="M4555" s="24"/>
      <c r="N4555" s="24"/>
      <c r="P4555" s="24"/>
    </row>
    <row r="4556" spans="2:16" x14ac:dyDescent="0.25">
      <c r="B4556" s="24"/>
      <c r="E4556" s="24"/>
      <c r="G4556" s="24"/>
      <c r="H4556" s="24"/>
      <c r="J4556" s="24"/>
      <c r="K4556" s="24"/>
      <c r="M4556" s="24"/>
      <c r="N4556" s="24"/>
      <c r="P4556" s="24"/>
    </row>
    <row r="4557" spans="2:16" x14ac:dyDescent="0.25">
      <c r="B4557" s="24"/>
      <c r="E4557" s="24"/>
      <c r="G4557" s="24"/>
      <c r="H4557" s="24"/>
      <c r="J4557" s="24"/>
      <c r="K4557" s="24"/>
      <c r="M4557" s="24"/>
      <c r="N4557" s="24"/>
      <c r="P4557" s="24"/>
    </row>
    <row r="4558" spans="2:16" x14ac:dyDescent="0.25">
      <c r="B4558" s="24"/>
      <c r="E4558" s="24"/>
      <c r="G4558" s="24"/>
      <c r="H4558" s="24"/>
      <c r="J4558" s="24"/>
      <c r="K4558" s="24"/>
      <c r="M4558" s="24"/>
      <c r="N4558" s="24"/>
      <c r="P4558" s="24"/>
    </row>
    <row r="4559" spans="2:16" x14ac:dyDescent="0.25">
      <c r="B4559" s="24"/>
      <c r="E4559" s="24"/>
      <c r="G4559" s="24"/>
      <c r="H4559" s="24"/>
      <c r="J4559" s="24"/>
      <c r="K4559" s="24"/>
      <c r="M4559" s="24"/>
      <c r="N4559" s="24"/>
      <c r="P4559" s="24"/>
    </row>
    <row r="4560" spans="2:16" x14ac:dyDescent="0.25">
      <c r="B4560" s="24"/>
      <c r="E4560" s="24"/>
      <c r="G4560" s="24"/>
      <c r="H4560" s="24"/>
      <c r="J4560" s="24"/>
      <c r="K4560" s="24"/>
      <c r="M4560" s="24"/>
      <c r="N4560" s="24"/>
      <c r="P4560" s="24"/>
    </row>
    <row r="4561" spans="2:16" x14ac:dyDescent="0.25">
      <c r="B4561" s="24"/>
      <c r="E4561" s="24"/>
      <c r="G4561" s="24"/>
      <c r="H4561" s="24"/>
      <c r="J4561" s="24"/>
      <c r="K4561" s="24"/>
      <c r="M4561" s="24"/>
      <c r="N4561" s="24"/>
      <c r="P4561" s="24"/>
    </row>
    <row r="4562" spans="2:16" x14ac:dyDescent="0.25">
      <c r="B4562" s="24"/>
      <c r="E4562" s="24"/>
      <c r="G4562" s="24"/>
      <c r="H4562" s="24"/>
      <c r="J4562" s="24"/>
      <c r="K4562" s="24"/>
      <c r="M4562" s="24"/>
      <c r="N4562" s="24"/>
      <c r="P4562" s="24"/>
    </row>
    <row r="4563" spans="2:16" x14ac:dyDescent="0.25">
      <c r="B4563" s="24"/>
      <c r="E4563" s="24"/>
      <c r="G4563" s="24"/>
      <c r="H4563" s="24"/>
      <c r="J4563" s="24"/>
      <c r="K4563" s="24"/>
      <c r="M4563" s="24"/>
      <c r="N4563" s="24"/>
      <c r="P4563" s="24"/>
    </row>
    <row r="4564" spans="2:16" x14ac:dyDescent="0.25">
      <c r="B4564" s="24"/>
      <c r="E4564" s="24"/>
      <c r="G4564" s="24"/>
      <c r="H4564" s="24"/>
      <c r="J4564" s="24"/>
      <c r="K4564" s="24"/>
      <c r="M4564" s="24"/>
      <c r="N4564" s="24"/>
      <c r="P4564" s="24"/>
    </row>
    <row r="4565" spans="2:16" x14ac:dyDescent="0.25">
      <c r="B4565" s="24"/>
      <c r="E4565" s="24"/>
      <c r="G4565" s="24"/>
      <c r="H4565" s="24"/>
      <c r="J4565" s="24"/>
      <c r="K4565" s="24"/>
      <c r="M4565" s="24"/>
      <c r="N4565" s="24"/>
      <c r="P4565" s="24"/>
    </row>
    <row r="4566" spans="2:16" x14ac:dyDescent="0.25">
      <c r="B4566" s="24"/>
      <c r="E4566" s="24"/>
      <c r="G4566" s="24"/>
      <c r="H4566" s="24"/>
      <c r="J4566" s="24"/>
      <c r="K4566" s="24"/>
      <c r="M4566" s="24"/>
      <c r="N4566" s="24"/>
      <c r="P4566" s="24"/>
    </row>
    <row r="4567" spans="2:16" x14ac:dyDescent="0.25">
      <c r="B4567" s="24"/>
      <c r="E4567" s="24"/>
      <c r="G4567" s="24"/>
      <c r="H4567" s="24"/>
      <c r="J4567" s="24"/>
      <c r="K4567" s="24"/>
      <c r="M4567" s="24"/>
      <c r="N4567" s="24"/>
      <c r="P4567" s="24"/>
    </row>
    <row r="4568" spans="2:16" x14ac:dyDescent="0.25">
      <c r="B4568" s="24"/>
      <c r="E4568" s="24"/>
      <c r="G4568" s="24"/>
      <c r="H4568" s="24"/>
      <c r="J4568" s="24"/>
      <c r="K4568" s="24"/>
      <c r="M4568" s="24"/>
      <c r="N4568" s="24"/>
      <c r="P4568" s="24"/>
    </row>
    <row r="4569" spans="2:16" x14ac:dyDescent="0.25">
      <c r="B4569" s="24"/>
      <c r="E4569" s="24"/>
      <c r="G4569" s="24"/>
      <c r="H4569" s="24"/>
      <c r="J4569" s="24"/>
      <c r="K4569" s="24"/>
      <c r="M4569" s="24"/>
      <c r="N4569" s="24"/>
      <c r="P4569" s="24"/>
    </row>
    <row r="4570" spans="2:16" x14ac:dyDescent="0.25">
      <c r="B4570" s="24"/>
      <c r="E4570" s="24"/>
      <c r="G4570" s="24"/>
      <c r="H4570" s="24"/>
      <c r="J4570" s="24"/>
      <c r="K4570" s="24"/>
      <c r="M4570" s="24"/>
      <c r="N4570" s="24"/>
      <c r="P4570" s="24"/>
    </row>
    <row r="4571" spans="2:16" x14ac:dyDescent="0.25">
      <c r="B4571" s="24"/>
      <c r="E4571" s="24"/>
      <c r="G4571" s="24"/>
      <c r="H4571" s="24"/>
      <c r="J4571" s="24"/>
      <c r="K4571" s="24"/>
      <c r="M4571" s="24"/>
      <c r="N4571" s="24"/>
      <c r="P4571" s="24"/>
    </row>
    <row r="4572" spans="2:16" x14ac:dyDescent="0.25">
      <c r="B4572" s="24"/>
      <c r="E4572" s="24"/>
      <c r="G4572" s="24"/>
      <c r="H4572" s="24"/>
      <c r="J4572" s="24"/>
      <c r="K4572" s="24"/>
      <c r="M4572" s="24"/>
      <c r="N4572" s="24"/>
      <c r="P4572" s="24"/>
    </row>
    <row r="4573" spans="2:16" x14ac:dyDescent="0.25">
      <c r="B4573" s="24"/>
      <c r="E4573" s="24"/>
      <c r="G4573" s="24"/>
      <c r="H4573" s="24"/>
      <c r="J4573" s="24"/>
      <c r="K4573" s="24"/>
      <c r="M4573" s="24"/>
      <c r="N4573" s="24"/>
      <c r="P4573" s="24"/>
    </row>
    <row r="4574" spans="2:16" x14ac:dyDescent="0.25">
      <c r="B4574" s="24"/>
      <c r="E4574" s="24"/>
      <c r="G4574" s="24"/>
      <c r="H4574" s="24"/>
      <c r="J4574" s="24"/>
      <c r="K4574" s="24"/>
      <c r="M4574" s="24"/>
      <c r="N4574" s="24"/>
      <c r="P4574" s="24"/>
    </row>
    <row r="4575" spans="2:16" x14ac:dyDescent="0.25">
      <c r="B4575" s="24"/>
      <c r="E4575" s="24"/>
      <c r="G4575" s="24"/>
      <c r="H4575" s="24"/>
      <c r="J4575" s="24"/>
      <c r="K4575" s="24"/>
      <c r="M4575" s="24"/>
      <c r="N4575" s="24"/>
      <c r="P4575" s="24"/>
    </row>
    <row r="4576" spans="2:16" x14ac:dyDescent="0.25">
      <c r="B4576" s="24"/>
      <c r="E4576" s="24"/>
      <c r="G4576" s="24"/>
      <c r="H4576" s="24"/>
      <c r="J4576" s="24"/>
      <c r="K4576" s="24"/>
      <c r="M4576" s="24"/>
      <c r="N4576" s="24"/>
      <c r="P4576" s="24"/>
    </row>
    <row r="4577" spans="2:16" x14ac:dyDescent="0.25">
      <c r="B4577" s="24"/>
      <c r="E4577" s="24"/>
      <c r="G4577" s="24"/>
      <c r="H4577" s="24"/>
      <c r="J4577" s="24"/>
      <c r="K4577" s="24"/>
      <c r="M4577" s="24"/>
      <c r="N4577" s="24"/>
      <c r="P4577" s="24"/>
    </row>
    <row r="4578" spans="2:16" x14ac:dyDescent="0.25">
      <c r="B4578" s="24"/>
      <c r="E4578" s="24"/>
      <c r="G4578" s="24"/>
      <c r="H4578" s="24"/>
      <c r="J4578" s="24"/>
      <c r="K4578" s="24"/>
      <c r="M4578" s="24"/>
      <c r="N4578" s="24"/>
      <c r="P4578" s="24"/>
    </row>
    <row r="4579" spans="2:16" x14ac:dyDescent="0.25">
      <c r="B4579" s="24"/>
      <c r="E4579" s="24"/>
      <c r="G4579" s="24"/>
      <c r="H4579" s="24"/>
      <c r="J4579" s="24"/>
      <c r="K4579" s="24"/>
      <c r="M4579" s="24"/>
      <c r="N4579" s="24"/>
      <c r="P4579" s="24"/>
    </row>
    <row r="4580" spans="2:16" x14ac:dyDescent="0.25">
      <c r="B4580" s="24"/>
      <c r="E4580" s="24"/>
      <c r="G4580" s="24"/>
      <c r="H4580" s="24"/>
      <c r="J4580" s="24"/>
      <c r="K4580" s="24"/>
      <c r="M4580" s="24"/>
      <c r="N4580" s="24"/>
      <c r="P4580" s="24"/>
    </row>
    <row r="4581" spans="2:16" x14ac:dyDescent="0.25">
      <c r="B4581" s="24"/>
      <c r="E4581" s="24"/>
      <c r="G4581" s="24"/>
      <c r="H4581" s="24"/>
      <c r="J4581" s="24"/>
      <c r="K4581" s="24"/>
      <c r="M4581" s="24"/>
      <c r="N4581" s="24"/>
      <c r="P4581" s="24"/>
    </row>
    <row r="4582" spans="2:16" x14ac:dyDescent="0.25">
      <c r="B4582" s="24"/>
      <c r="E4582" s="24"/>
      <c r="G4582" s="24"/>
      <c r="H4582" s="24"/>
      <c r="J4582" s="24"/>
      <c r="K4582" s="24"/>
      <c r="M4582" s="24"/>
      <c r="N4582" s="24"/>
      <c r="P4582" s="24"/>
    </row>
    <row r="4583" spans="2:16" x14ac:dyDescent="0.25">
      <c r="B4583" s="24"/>
      <c r="E4583" s="24"/>
      <c r="G4583" s="24"/>
      <c r="H4583" s="24"/>
      <c r="J4583" s="24"/>
      <c r="K4583" s="24"/>
      <c r="M4583" s="24"/>
      <c r="N4583" s="24"/>
      <c r="P4583" s="24"/>
    </row>
    <row r="4584" spans="2:16" x14ac:dyDescent="0.25">
      <c r="B4584" s="24"/>
      <c r="E4584" s="24"/>
      <c r="G4584" s="24"/>
      <c r="H4584" s="24"/>
      <c r="J4584" s="24"/>
      <c r="K4584" s="24"/>
      <c r="M4584" s="24"/>
      <c r="N4584" s="24"/>
      <c r="P4584" s="24"/>
    </row>
    <row r="4585" spans="2:16" x14ac:dyDescent="0.25">
      <c r="B4585" s="24"/>
      <c r="E4585" s="24"/>
      <c r="G4585" s="24"/>
      <c r="H4585" s="24"/>
      <c r="J4585" s="24"/>
      <c r="K4585" s="24"/>
      <c r="M4585" s="24"/>
      <c r="N4585" s="24"/>
      <c r="P4585" s="24"/>
    </row>
    <row r="4586" spans="2:16" x14ac:dyDescent="0.25">
      <c r="B4586" s="24"/>
      <c r="E4586" s="24"/>
      <c r="G4586" s="24"/>
      <c r="H4586" s="24"/>
      <c r="J4586" s="24"/>
      <c r="K4586" s="24"/>
      <c r="M4586" s="24"/>
      <c r="N4586" s="24"/>
      <c r="P4586" s="24"/>
    </row>
    <row r="4587" spans="2:16" x14ac:dyDescent="0.25">
      <c r="B4587" s="24"/>
      <c r="E4587" s="24"/>
      <c r="G4587" s="24"/>
      <c r="H4587" s="24"/>
      <c r="J4587" s="24"/>
      <c r="K4587" s="24"/>
      <c r="M4587" s="24"/>
      <c r="N4587" s="24"/>
      <c r="P4587" s="24"/>
    </row>
    <row r="4588" spans="2:16" x14ac:dyDescent="0.25">
      <c r="B4588" s="24"/>
      <c r="E4588" s="24"/>
      <c r="G4588" s="24"/>
      <c r="H4588" s="24"/>
      <c r="J4588" s="24"/>
      <c r="K4588" s="24"/>
      <c r="M4588" s="24"/>
      <c r="N4588" s="24"/>
      <c r="P4588" s="24"/>
    </row>
    <row r="4589" spans="2:16" x14ac:dyDescent="0.25">
      <c r="B4589" s="24"/>
      <c r="E4589" s="24"/>
      <c r="G4589" s="24"/>
      <c r="H4589" s="24"/>
      <c r="J4589" s="24"/>
      <c r="K4589" s="24"/>
      <c r="M4589" s="24"/>
      <c r="N4589" s="24"/>
      <c r="P4589" s="24"/>
    </row>
    <row r="4590" spans="2:16" x14ac:dyDescent="0.25">
      <c r="B4590" s="24"/>
      <c r="E4590" s="24"/>
      <c r="G4590" s="24"/>
      <c r="H4590" s="24"/>
      <c r="J4590" s="24"/>
      <c r="K4590" s="24"/>
      <c r="M4590" s="24"/>
      <c r="N4590" s="24"/>
      <c r="P4590" s="24"/>
    </row>
    <row r="4591" spans="2:16" x14ac:dyDescent="0.25">
      <c r="B4591" s="24"/>
      <c r="E4591" s="24"/>
      <c r="G4591" s="24"/>
      <c r="H4591" s="24"/>
      <c r="J4591" s="24"/>
      <c r="K4591" s="24"/>
      <c r="M4591" s="24"/>
      <c r="N4591" s="24"/>
      <c r="P4591" s="24"/>
    </row>
    <row r="4592" spans="2:16" x14ac:dyDescent="0.25">
      <c r="B4592" s="24"/>
      <c r="E4592" s="24"/>
      <c r="G4592" s="24"/>
      <c r="H4592" s="24"/>
      <c r="J4592" s="24"/>
      <c r="K4592" s="24"/>
      <c r="M4592" s="24"/>
      <c r="N4592" s="24"/>
      <c r="P4592" s="24"/>
    </row>
    <row r="4593" spans="2:16" x14ac:dyDescent="0.25">
      <c r="B4593" s="24"/>
      <c r="E4593" s="24"/>
      <c r="G4593" s="24"/>
      <c r="H4593" s="24"/>
      <c r="J4593" s="24"/>
      <c r="K4593" s="24"/>
      <c r="M4593" s="24"/>
      <c r="N4593" s="24"/>
      <c r="P4593" s="24"/>
    </row>
    <row r="4594" spans="2:16" x14ac:dyDescent="0.25">
      <c r="B4594" s="24"/>
      <c r="E4594" s="24"/>
      <c r="G4594" s="24"/>
      <c r="H4594" s="24"/>
      <c r="J4594" s="24"/>
      <c r="K4594" s="24"/>
      <c r="M4594" s="24"/>
      <c r="N4594" s="24"/>
      <c r="P4594" s="24"/>
    </row>
    <row r="4595" spans="2:16" x14ac:dyDescent="0.25">
      <c r="B4595" s="24"/>
      <c r="E4595" s="24"/>
      <c r="G4595" s="24"/>
      <c r="H4595" s="24"/>
      <c r="J4595" s="24"/>
      <c r="K4595" s="24"/>
      <c r="M4595" s="24"/>
      <c r="N4595" s="24"/>
      <c r="P4595" s="24"/>
    </row>
    <row r="4596" spans="2:16" x14ac:dyDescent="0.25">
      <c r="B4596" s="24"/>
      <c r="E4596" s="24"/>
      <c r="G4596" s="24"/>
      <c r="H4596" s="24"/>
      <c r="J4596" s="24"/>
      <c r="K4596" s="24"/>
      <c r="M4596" s="24"/>
      <c r="N4596" s="24"/>
      <c r="P4596" s="24"/>
    </row>
    <row r="4597" spans="2:16" x14ac:dyDescent="0.25">
      <c r="B4597" s="24"/>
      <c r="E4597" s="24"/>
      <c r="G4597" s="24"/>
      <c r="H4597" s="24"/>
      <c r="J4597" s="24"/>
      <c r="K4597" s="24"/>
      <c r="M4597" s="24"/>
      <c r="N4597" s="24"/>
      <c r="P4597" s="24"/>
    </row>
    <row r="4598" spans="2:16" x14ac:dyDescent="0.25">
      <c r="B4598" s="24"/>
      <c r="E4598" s="24"/>
      <c r="G4598" s="24"/>
      <c r="H4598" s="24"/>
      <c r="J4598" s="24"/>
      <c r="K4598" s="24"/>
      <c r="M4598" s="24"/>
      <c r="N4598" s="24"/>
      <c r="P4598" s="24"/>
    </row>
    <row r="4599" spans="2:16" x14ac:dyDescent="0.25">
      <c r="B4599" s="24"/>
      <c r="E4599" s="24"/>
      <c r="G4599" s="24"/>
      <c r="H4599" s="24"/>
      <c r="J4599" s="24"/>
      <c r="K4599" s="24"/>
      <c r="M4599" s="24"/>
      <c r="N4599" s="24"/>
      <c r="P4599" s="24"/>
    </row>
    <row r="4600" spans="2:16" x14ac:dyDescent="0.25">
      <c r="B4600" s="24"/>
      <c r="E4600" s="24"/>
      <c r="G4600" s="24"/>
      <c r="H4600" s="24"/>
      <c r="J4600" s="24"/>
      <c r="K4600" s="24"/>
      <c r="M4600" s="24"/>
      <c r="N4600" s="24"/>
      <c r="P4600" s="24"/>
    </row>
    <row r="4601" spans="2:16" x14ac:dyDescent="0.25">
      <c r="B4601" s="24"/>
      <c r="E4601" s="24"/>
      <c r="G4601" s="24"/>
      <c r="H4601" s="24"/>
      <c r="J4601" s="24"/>
      <c r="K4601" s="24"/>
      <c r="M4601" s="24"/>
      <c r="N4601" s="24"/>
      <c r="P4601" s="24"/>
    </row>
    <row r="4602" spans="2:16" x14ac:dyDescent="0.25">
      <c r="B4602" s="24"/>
      <c r="E4602" s="24"/>
      <c r="G4602" s="24"/>
      <c r="H4602" s="24"/>
      <c r="J4602" s="24"/>
      <c r="K4602" s="24"/>
      <c r="M4602" s="24"/>
      <c r="N4602" s="24"/>
      <c r="P4602" s="24"/>
    </row>
    <row r="4603" spans="2:16" x14ac:dyDescent="0.25">
      <c r="B4603" s="24"/>
      <c r="E4603" s="24"/>
      <c r="G4603" s="24"/>
      <c r="H4603" s="24"/>
      <c r="J4603" s="24"/>
      <c r="K4603" s="24"/>
      <c r="M4603" s="24"/>
      <c r="N4603" s="24"/>
      <c r="P4603" s="24"/>
    </row>
    <row r="4604" spans="2:16" x14ac:dyDescent="0.25">
      <c r="B4604" s="24"/>
      <c r="E4604" s="24"/>
      <c r="G4604" s="24"/>
      <c r="H4604" s="24"/>
      <c r="J4604" s="24"/>
      <c r="K4604" s="24"/>
      <c r="M4604" s="24"/>
      <c r="N4604" s="24"/>
      <c r="P4604" s="24"/>
    </row>
    <row r="4605" spans="2:16" x14ac:dyDescent="0.25">
      <c r="B4605" s="24"/>
      <c r="E4605" s="24"/>
      <c r="G4605" s="24"/>
      <c r="H4605" s="24"/>
      <c r="J4605" s="24"/>
      <c r="K4605" s="24"/>
      <c r="M4605" s="24"/>
      <c r="N4605" s="24"/>
      <c r="P4605" s="24"/>
    </row>
    <row r="4606" spans="2:16" x14ac:dyDescent="0.25">
      <c r="B4606" s="24"/>
      <c r="E4606" s="24"/>
      <c r="G4606" s="24"/>
      <c r="H4606" s="24"/>
      <c r="J4606" s="24"/>
      <c r="K4606" s="24"/>
      <c r="M4606" s="24"/>
      <c r="N4606" s="24"/>
      <c r="P4606" s="24"/>
    </row>
    <row r="4607" spans="2:16" x14ac:dyDescent="0.25">
      <c r="B4607" s="24"/>
      <c r="E4607" s="24"/>
      <c r="G4607" s="24"/>
      <c r="H4607" s="24"/>
      <c r="J4607" s="24"/>
      <c r="K4607" s="24"/>
      <c r="M4607" s="24"/>
      <c r="N4607" s="24"/>
      <c r="P4607" s="24"/>
    </row>
    <row r="4608" spans="2:16" x14ac:dyDescent="0.25">
      <c r="B4608" s="24"/>
      <c r="E4608" s="24"/>
      <c r="G4608" s="24"/>
      <c r="H4608" s="24"/>
      <c r="J4608" s="24"/>
      <c r="K4608" s="24"/>
      <c r="M4608" s="24"/>
      <c r="N4608" s="24"/>
      <c r="P4608" s="24"/>
    </row>
    <row r="4609" spans="2:16" x14ac:dyDescent="0.25">
      <c r="B4609" s="24"/>
      <c r="E4609" s="24"/>
      <c r="G4609" s="24"/>
      <c r="H4609" s="24"/>
      <c r="J4609" s="24"/>
      <c r="K4609" s="24"/>
      <c r="M4609" s="24"/>
      <c r="N4609" s="24"/>
      <c r="P4609" s="24"/>
    </row>
    <row r="4610" spans="2:16" x14ac:dyDescent="0.25">
      <c r="B4610" s="24"/>
      <c r="E4610" s="24"/>
      <c r="G4610" s="24"/>
      <c r="H4610" s="24"/>
      <c r="J4610" s="24"/>
      <c r="K4610" s="24"/>
      <c r="M4610" s="24"/>
      <c r="N4610" s="24"/>
      <c r="P4610" s="24"/>
    </row>
    <row r="4611" spans="2:16" x14ac:dyDescent="0.25">
      <c r="B4611" s="24"/>
      <c r="E4611" s="24"/>
      <c r="G4611" s="24"/>
      <c r="H4611" s="24"/>
      <c r="J4611" s="24"/>
      <c r="K4611" s="24"/>
      <c r="M4611" s="24"/>
      <c r="N4611" s="24"/>
      <c r="P4611" s="24"/>
    </row>
    <row r="4612" spans="2:16" x14ac:dyDescent="0.25">
      <c r="B4612" s="24"/>
      <c r="E4612" s="24"/>
      <c r="G4612" s="24"/>
      <c r="H4612" s="24"/>
      <c r="J4612" s="24"/>
      <c r="K4612" s="24"/>
      <c r="M4612" s="24"/>
      <c r="N4612" s="24"/>
      <c r="P4612" s="24"/>
    </row>
    <row r="4613" spans="2:16" x14ac:dyDescent="0.25">
      <c r="B4613" s="24"/>
      <c r="E4613" s="24"/>
      <c r="G4613" s="24"/>
      <c r="H4613" s="24"/>
      <c r="J4613" s="24"/>
      <c r="K4613" s="24"/>
      <c r="M4613" s="24"/>
      <c r="N4613" s="24"/>
      <c r="P4613" s="24"/>
    </row>
    <row r="4614" spans="2:16" x14ac:dyDescent="0.25">
      <c r="B4614" s="24"/>
      <c r="E4614" s="24"/>
      <c r="G4614" s="24"/>
      <c r="H4614" s="24"/>
      <c r="J4614" s="24"/>
      <c r="K4614" s="24"/>
      <c r="M4614" s="24"/>
      <c r="N4614" s="24"/>
      <c r="P4614" s="24"/>
    </row>
    <row r="4615" spans="2:16" x14ac:dyDescent="0.25">
      <c r="B4615" s="24"/>
      <c r="E4615" s="24"/>
      <c r="G4615" s="24"/>
      <c r="H4615" s="24"/>
      <c r="J4615" s="24"/>
      <c r="K4615" s="24"/>
      <c r="M4615" s="24"/>
      <c r="N4615" s="24"/>
      <c r="P4615" s="24"/>
    </row>
    <row r="4616" spans="2:16" x14ac:dyDescent="0.25">
      <c r="B4616" s="24"/>
      <c r="E4616" s="24"/>
      <c r="G4616" s="24"/>
      <c r="H4616" s="24"/>
      <c r="J4616" s="24"/>
      <c r="K4616" s="24"/>
      <c r="M4616" s="24"/>
      <c r="N4616" s="24"/>
      <c r="P4616" s="24"/>
    </row>
    <row r="4617" spans="2:16" x14ac:dyDescent="0.25">
      <c r="B4617" s="24"/>
      <c r="E4617" s="24"/>
      <c r="G4617" s="24"/>
      <c r="H4617" s="24"/>
      <c r="J4617" s="24"/>
      <c r="K4617" s="24"/>
      <c r="M4617" s="24"/>
      <c r="N4617" s="24"/>
      <c r="P4617" s="24"/>
    </row>
    <row r="4618" spans="2:16" x14ac:dyDescent="0.25">
      <c r="B4618" s="24"/>
      <c r="E4618" s="24"/>
      <c r="G4618" s="24"/>
      <c r="H4618" s="24"/>
      <c r="J4618" s="24"/>
      <c r="K4618" s="24"/>
      <c r="M4618" s="24"/>
      <c r="N4618" s="24"/>
      <c r="P4618" s="24"/>
    </row>
    <row r="4619" spans="2:16" x14ac:dyDescent="0.25">
      <c r="B4619" s="24"/>
      <c r="E4619" s="24"/>
      <c r="G4619" s="24"/>
      <c r="H4619" s="24"/>
      <c r="J4619" s="24"/>
      <c r="K4619" s="24"/>
      <c r="M4619" s="24"/>
      <c r="N4619" s="24"/>
      <c r="P4619" s="24"/>
    </row>
    <row r="4620" spans="2:16" x14ac:dyDescent="0.25">
      <c r="B4620" s="24"/>
      <c r="E4620" s="24"/>
      <c r="G4620" s="24"/>
      <c r="H4620" s="24"/>
      <c r="J4620" s="24"/>
      <c r="K4620" s="24"/>
      <c r="M4620" s="24"/>
      <c r="N4620" s="24"/>
      <c r="P4620" s="24"/>
    </row>
    <row r="4621" spans="2:16" x14ac:dyDescent="0.25">
      <c r="B4621" s="24"/>
      <c r="E4621" s="24"/>
      <c r="G4621" s="24"/>
      <c r="H4621" s="24"/>
      <c r="J4621" s="24"/>
      <c r="K4621" s="24"/>
      <c r="M4621" s="24"/>
      <c r="N4621" s="24"/>
      <c r="P4621" s="24"/>
    </row>
    <row r="4622" spans="2:16" x14ac:dyDescent="0.25">
      <c r="B4622" s="24"/>
      <c r="E4622" s="24"/>
      <c r="G4622" s="24"/>
      <c r="H4622" s="24"/>
      <c r="J4622" s="24"/>
      <c r="K4622" s="24"/>
      <c r="M4622" s="24"/>
      <c r="N4622" s="24"/>
      <c r="P4622" s="24"/>
    </row>
    <row r="4623" spans="2:16" x14ac:dyDescent="0.25">
      <c r="B4623" s="24"/>
      <c r="E4623" s="24"/>
      <c r="G4623" s="24"/>
      <c r="H4623" s="24"/>
      <c r="J4623" s="24"/>
      <c r="K4623" s="24"/>
      <c r="M4623" s="24"/>
      <c r="N4623" s="24"/>
      <c r="P4623" s="24"/>
    </row>
    <row r="4624" spans="2:16" x14ac:dyDescent="0.25">
      <c r="B4624" s="24"/>
      <c r="E4624" s="24"/>
      <c r="G4624" s="24"/>
      <c r="H4624" s="24"/>
      <c r="J4624" s="24"/>
      <c r="K4624" s="24"/>
      <c r="M4624" s="24"/>
      <c r="N4624" s="24"/>
      <c r="P4624" s="24"/>
    </row>
    <row r="4625" spans="2:16" x14ac:dyDescent="0.25">
      <c r="B4625" s="24"/>
      <c r="E4625" s="24"/>
      <c r="G4625" s="24"/>
      <c r="H4625" s="24"/>
      <c r="J4625" s="24"/>
      <c r="K4625" s="24"/>
      <c r="M4625" s="24"/>
      <c r="N4625" s="24"/>
      <c r="P4625" s="24"/>
    </row>
    <row r="4626" spans="2:16" x14ac:dyDescent="0.25">
      <c r="B4626" s="24"/>
      <c r="E4626" s="24"/>
      <c r="G4626" s="24"/>
      <c r="H4626" s="24"/>
      <c r="J4626" s="24"/>
      <c r="K4626" s="24"/>
      <c r="M4626" s="24"/>
      <c r="N4626" s="24"/>
      <c r="P4626" s="24"/>
    </row>
    <row r="4627" spans="2:16" x14ac:dyDescent="0.25">
      <c r="B4627" s="24"/>
      <c r="E4627" s="24"/>
      <c r="G4627" s="24"/>
      <c r="H4627" s="24"/>
      <c r="J4627" s="24"/>
      <c r="K4627" s="24"/>
      <c r="M4627" s="24"/>
      <c r="N4627" s="24"/>
      <c r="P4627" s="24"/>
    </row>
    <row r="4628" spans="2:16" x14ac:dyDescent="0.25">
      <c r="B4628" s="24"/>
      <c r="E4628" s="24"/>
      <c r="G4628" s="24"/>
      <c r="H4628" s="24"/>
      <c r="J4628" s="24"/>
      <c r="K4628" s="24"/>
      <c r="M4628" s="24"/>
      <c r="N4628" s="24"/>
      <c r="P4628" s="24"/>
    </row>
    <row r="4629" spans="2:16" x14ac:dyDescent="0.25">
      <c r="B4629" s="24"/>
      <c r="E4629" s="24"/>
      <c r="G4629" s="24"/>
      <c r="H4629" s="24"/>
      <c r="J4629" s="24"/>
      <c r="K4629" s="24"/>
      <c r="M4629" s="24"/>
      <c r="N4629" s="24"/>
      <c r="P4629" s="24"/>
    </row>
    <row r="4630" spans="2:16" x14ac:dyDescent="0.25">
      <c r="B4630" s="24"/>
      <c r="E4630" s="24"/>
      <c r="G4630" s="24"/>
      <c r="H4630" s="24"/>
      <c r="J4630" s="24"/>
      <c r="K4630" s="24"/>
      <c r="M4630" s="24"/>
      <c r="N4630" s="24"/>
      <c r="P4630" s="24"/>
    </row>
    <row r="4631" spans="2:16" x14ac:dyDescent="0.25">
      <c r="B4631" s="24"/>
      <c r="E4631" s="24"/>
      <c r="G4631" s="24"/>
      <c r="H4631" s="24"/>
      <c r="J4631" s="24"/>
      <c r="K4631" s="24"/>
      <c r="M4631" s="24"/>
      <c r="N4631" s="24"/>
      <c r="P4631" s="24"/>
    </row>
    <row r="4632" spans="2:16" x14ac:dyDescent="0.25">
      <c r="B4632" s="24"/>
      <c r="E4632" s="24"/>
      <c r="G4632" s="24"/>
      <c r="H4632" s="24"/>
      <c r="J4632" s="24"/>
      <c r="K4632" s="24"/>
      <c r="M4632" s="24"/>
      <c r="N4632" s="24"/>
      <c r="P4632" s="24"/>
    </row>
    <row r="4633" spans="2:16" x14ac:dyDescent="0.25">
      <c r="B4633" s="24"/>
      <c r="E4633" s="24"/>
      <c r="G4633" s="24"/>
      <c r="H4633" s="24"/>
      <c r="J4633" s="24"/>
      <c r="K4633" s="24"/>
      <c r="M4633" s="24"/>
      <c r="N4633" s="24"/>
      <c r="P4633" s="24"/>
    </row>
    <row r="4634" spans="2:16" x14ac:dyDescent="0.25">
      <c r="B4634" s="24"/>
      <c r="E4634" s="24"/>
      <c r="G4634" s="24"/>
      <c r="H4634" s="24"/>
      <c r="J4634" s="24"/>
      <c r="K4634" s="24"/>
      <c r="M4634" s="24"/>
      <c r="N4634" s="24"/>
      <c r="P4634" s="24"/>
    </row>
    <row r="4635" spans="2:16" x14ac:dyDescent="0.25">
      <c r="B4635" s="24"/>
      <c r="E4635" s="24"/>
      <c r="G4635" s="24"/>
      <c r="H4635" s="24"/>
      <c r="J4635" s="24"/>
      <c r="K4635" s="24"/>
      <c r="M4635" s="24"/>
      <c r="N4635" s="24"/>
      <c r="P4635" s="24"/>
    </row>
    <row r="4636" spans="2:16" x14ac:dyDescent="0.25">
      <c r="B4636" s="24"/>
      <c r="E4636" s="24"/>
      <c r="G4636" s="24"/>
      <c r="H4636" s="24"/>
      <c r="J4636" s="24"/>
      <c r="K4636" s="24"/>
      <c r="M4636" s="24"/>
      <c r="N4636" s="24"/>
      <c r="P4636" s="24"/>
    </row>
    <row r="4637" spans="2:16" x14ac:dyDescent="0.25">
      <c r="B4637" s="24"/>
      <c r="E4637" s="24"/>
      <c r="G4637" s="24"/>
      <c r="H4637" s="24"/>
      <c r="J4637" s="24"/>
      <c r="K4637" s="24"/>
      <c r="M4637" s="24"/>
      <c r="N4637" s="24"/>
      <c r="P4637" s="24"/>
    </row>
    <row r="4638" spans="2:16" x14ac:dyDescent="0.25">
      <c r="B4638" s="24"/>
      <c r="E4638" s="24"/>
      <c r="G4638" s="24"/>
      <c r="H4638" s="24"/>
      <c r="J4638" s="24"/>
      <c r="K4638" s="24"/>
      <c r="M4638" s="24"/>
      <c r="N4638" s="24"/>
      <c r="P4638" s="24"/>
    </row>
    <row r="4639" spans="2:16" x14ac:dyDescent="0.25">
      <c r="B4639" s="24"/>
      <c r="E4639" s="24"/>
      <c r="G4639" s="24"/>
      <c r="H4639" s="24"/>
      <c r="J4639" s="24"/>
      <c r="K4639" s="24"/>
      <c r="M4639" s="24"/>
      <c r="N4639" s="24"/>
      <c r="P4639" s="24"/>
    </row>
    <row r="4640" spans="2:16" x14ac:dyDescent="0.25">
      <c r="B4640" s="24"/>
      <c r="E4640" s="24"/>
      <c r="G4640" s="24"/>
      <c r="H4640" s="24"/>
      <c r="J4640" s="24"/>
      <c r="K4640" s="24"/>
      <c r="M4640" s="24"/>
      <c r="N4640" s="24"/>
      <c r="P4640" s="24"/>
    </row>
    <row r="4641" spans="2:16" x14ac:dyDescent="0.25">
      <c r="B4641" s="24"/>
      <c r="E4641" s="24"/>
      <c r="G4641" s="24"/>
      <c r="H4641" s="24"/>
      <c r="J4641" s="24"/>
      <c r="K4641" s="24"/>
      <c r="M4641" s="24"/>
      <c r="N4641" s="24"/>
      <c r="P4641" s="24"/>
    </row>
    <row r="4642" spans="2:16" x14ac:dyDescent="0.25">
      <c r="B4642" s="24"/>
      <c r="E4642" s="24"/>
      <c r="G4642" s="24"/>
      <c r="H4642" s="24"/>
      <c r="J4642" s="24"/>
      <c r="K4642" s="24"/>
      <c r="M4642" s="24"/>
      <c r="N4642" s="24"/>
      <c r="P4642" s="24"/>
    </row>
    <row r="4643" spans="2:16" x14ac:dyDescent="0.25">
      <c r="B4643" s="24"/>
      <c r="E4643" s="24"/>
      <c r="G4643" s="24"/>
      <c r="H4643" s="24"/>
      <c r="J4643" s="24"/>
      <c r="K4643" s="24"/>
      <c r="M4643" s="24"/>
      <c r="N4643" s="24"/>
      <c r="P4643" s="24"/>
    </row>
    <row r="4644" spans="2:16" x14ac:dyDescent="0.25">
      <c r="B4644" s="24"/>
      <c r="E4644" s="24"/>
      <c r="G4644" s="24"/>
      <c r="H4644" s="24"/>
      <c r="J4644" s="24"/>
      <c r="K4644" s="24"/>
      <c r="M4644" s="24"/>
      <c r="N4644" s="24"/>
      <c r="P4644" s="24"/>
    </row>
    <row r="4645" spans="2:16" x14ac:dyDescent="0.25">
      <c r="B4645" s="24"/>
      <c r="E4645" s="24"/>
      <c r="G4645" s="24"/>
      <c r="H4645" s="24"/>
      <c r="J4645" s="24"/>
      <c r="K4645" s="24"/>
      <c r="M4645" s="24"/>
      <c r="N4645" s="24"/>
      <c r="P4645" s="24"/>
    </row>
    <row r="4646" spans="2:16" x14ac:dyDescent="0.25">
      <c r="B4646" s="24"/>
      <c r="E4646" s="24"/>
      <c r="G4646" s="24"/>
      <c r="H4646" s="24"/>
      <c r="J4646" s="24"/>
      <c r="K4646" s="24"/>
      <c r="M4646" s="24"/>
      <c r="N4646" s="24"/>
      <c r="P4646" s="24"/>
    </row>
    <row r="4647" spans="2:16" x14ac:dyDescent="0.25">
      <c r="B4647" s="24"/>
      <c r="E4647" s="24"/>
      <c r="G4647" s="24"/>
      <c r="H4647" s="24"/>
      <c r="J4647" s="24"/>
      <c r="K4647" s="24"/>
      <c r="M4647" s="24"/>
      <c r="N4647" s="24"/>
      <c r="P4647" s="24"/>
    </row>
    <row r="4648" spans="2:16" x14ac:dyDescent="0.25">
      <c r="B4648" s="24"/>
      <c r="E4648" s="24"/>
      <c r="G4648" s="24"/>
      <c r="H4648" s="24"/>
      <c r="J4648" s="24"/>
      <c r="K4648" s="24"/>
      <c r="M4648" s="24"/>
      <c r="N4648" s="24"/>
      <c r="P4648" s="24"/>
    </row>
    <row r="4649" spans="2:16" x14ac:dyDescent="0.25">
      <c r="B4649" s="24"/>
      <c r="E4649" s="24"/>
      <c r="G4649" s="24"/>
      <c r="H4649" s="24"/>
      <c r="J4649" s="24"/>
      <c r="K4649" s="24"/>
      <c r="M4649" s="24"/>
      <c r="N4649" s="24"/>
      <c r="P4649" s="24"/>
    </row>
    <row r="4650" spans="2:16" x14ac:dyDescent="0.25">
      <c r="B4650" s="24"/>
      <c r="E4650" s="24"/>
      <c r="G4650" s="24"/>
      <c r="H4650" s="24"/>
      <c r="J4650" s="24"/>
      <c r="K4650" s="24"/>
      <c r="M4650" s="24"/>
      <c r="N4650" s="24"/>
      <c r="P4650" s="24"/>
    </row>
    <row r="4651" spans="2:16" x14ac:dyDescent="0.25">
      <c r="B4651" s="24"/>
      <c r="E4651" s="24"/>
      <c r="G4651" s="24"/>
      <c r="H4651" s="24"/>
      <c r="J4651" s="24"/>
      <c r="K4651" s="24"/>
      <c r="M4651" s="24"/>
      <c r="N4651" s="24"/>
      <c r="P4651" s="24"/>
    </row>
    <row r="4652" spans="2:16" x14ac:dyDescent="0.25">
      <c r="B4652" s="24"/>
      <c r="E4652" s="24"/>
      <c r="G4652" s="24"/>
      <c r="H4652" s="24"/>
      <c r="J4652" s="24"/>
      <c r="K4652" s="24"/>
      <c r="M4652" s="24"/>
      <c r="N4652" s="24"/>
      <c r="P4652" s="24"/>
    </row>
    <row r="4653" spans="2:16" x14ac:dyDescent="0.25">
      <c r="B4653" s="24"/>
      <c r="E4653" s="24"/>
      <c r="G4653" s="24"/>
      <c r="H4653" s="24"/>
      <c r="J4653" s="24"/>
      <c r="K4653" s="24"/>
      <c r="M4653" s="24"/>
      <c r="N4653" s="24"/>
      <c r="P4653" s="24"/>
    </row>
    <row r="4654" spans="2:16" x14ac:dyDescent="0.25">
      <c r="B4654" s="24"/>
      <c r="E4654" s="24"/>
      <c r="G4654" s="24"/>
      <c r="H4654" s="24"/>
      <c r="J4654" s="24"/>
      <c r="K4654" s="24"/>
      <c r="M4654" s="24"/>
      <c r="N4654" s="24"/>
      <c r="P4654" s="24"/>
    </row>
    <row r="4655" spans="2:16" x14ac:dyDescent="0.25">
      <c r="B4655" s="24"/>
      <c r="E4655" s="24"/>
      <c r="G4655" s="24"/>
      <c r="H4655" s="24"/>
      <c r="J4655" s="24"/>
      <c r="K4655" s="24"/>
      <c r="M4655" s="24"/>
      <c r="N4655" s="24"/>
      <c r="P4655" s="24"/>
    </row>
    <row r="4656" spans="2:16" x14ac:dyDescent="0.25">
      <c r="B4656" s="24"/>
      <c r="E4656" s="24"/>
      <c r="G4656" s="24"/>
      <c r="H4656" s="24"/>
      <c r="J4656" s="24"/>
      <c r="K4656" s="24"/>
      <c r="M4656" s="24"/>
      <c r="N4656" s="24"/>
      <c r="P4656" s="24"/>
    </row>
    <row r="4657" spans="2:16" x14ac:dyDescent="0.25">
      <c r="B4657" s="24"/>
      <c r="E4657" s="24"/>
      <c r="G4657" s="24"/>
      <c r="H4657" s="24"/>
      <c r="J4657" s="24"/>
      <c r="K4657" s="24"/>
      <c r="M4657" s="24"/>
      <c r="N4657" s="24"/>
      <c r="P4657" s="24"/>
    </row>
    <row r="4658" spans="2:16" x14ac:dyDescent="0.25">
      <c r="B4658" s="24"/>
      <c r="E4658" s="24"/>
      <c r="G4658" s="24"/>
      <c r="H4658" s="24"/>
      <c r="J4658" s="24"/>
      <c r="K4658" s="24"/>
      <c r="M4658" s="24"/>
      <c r="N4658" s="24"/>
      <c r="P4658" s="24"/>
    </row>
    <row r="4659" spans="2:16" x14ac:dyDescent="0.25">
      <c r="B4659" s="24"/>
      <c r="E4659" s="24"/>
      <c r="G4659" s="24"/>
      <c r="H4659" s="24"/>
      <c r="J4659" s="24"/>
      <c r="K4659" s="24"/>
      <c r="M4659" s="24"/>
      <c r="N4659" s="24"/>
      <c r="P4659" s="24"/>
    </row>
    <row r="4660" spans="2:16" x14ac:dyDescent="0.25">
      <c r="B4660" s="24"/>
      <c r="E4660" s="24"/>
      <c r="G4660" s="24"/>
      <c r="H4660" s="24"/>
      <c r="J4660" s="24"/>
      <c r="K4660" s="24"/>
      <c r="M4660" s="24"/>
      <c r="N4660" s="24"/>
      <c r="P4660" s="24"/>
    </row>
    <row r="4661" spans="2:16" x14ac:dyDescent="0.25">
      <c r="B4661" s="24"/>
      <c r="E4661" s="24"/>
      <c r="G4661" s="24"/>
      <c r="H4661" s="24"/>
      <c r="J4661" s="24"/>
      <c r="K4661" s="24"/>
      <c r="M4661" s="24"/>
      <c r="N4661" s="24"/>
      <c r="P4661" s="24"/>
    </row>
    <row r="4662" spans="2:16" x14ac:dyDescent="0.25">
      <c r="B4662" s="24"/>
      <c r="E4662" s="24"/>
      <c r="G4662" s="24"/>
      <c r="H4662" s="24"/>
      <c r="J4662" s="24"/>
      <c r="K4662" s="24"/>
      <c r="M4662" s="24"/>
      <c r="N4662" s="24"/>
      <c r="P4662" s="24"/>
    </row>
    <row r="4663" spans="2:16" x14ac:dyDescent="0.25">
      <c r="B4663" s="24"/>
      <c r="E4663" s="24"/>
      <c r="G4663" s="24"/>
      <c r="H4663" s="24"/>
      <c r="J4663" s="24"/>
      <c r="K4663" s="24"/>
      <c r="M4663" s="24"/>
      <c r="N4663" s="24"/>
      <c r="P4663" s="24"/>
    </row>
    <row r="4664" spans="2:16" x14ac:dyDescent="0.25">
      <c r="B4664" s="24"/>
      <c r="E4664" s="24"/>
      <c r="G4664" s="24"/>
      <c r="H4664" s="24"/>
      <c r="J4664" s="24"/>
      <c r="K4664" s="24"/>
      <c r="M4664" s="24"/>
      <c r="N4664" s="24"/>
      <c r="P4664" s="24"/>
    </row>
    <row r="4665" spans="2:16" x14ac:dyDescent="0.25">
      <c r="B4665" s="24"/>
      <c r="E4665" s="24"/>
      <c r="G4665" s="24"/>
      <c r="H4665" s="24"/>
      <c r="J4665" s="24"/>
      <c r="K4665" s="24"/>
      <c r="M4665" s="24"/>
      <c r="N4665" s="24"/>
      <c r="P4665" s="24"/>
    </row>
    <row r="4666" spans="2:16" x14ac:dyDescent="0.25">
      <c r="B4666" s="24"/>
      <c r="E4666" s="24"/>
      <c r="G4666" s="24"/>
      <c r="H4666" s="24"/>
      <c r="J4666" s="24"/>
      <c r="K4666" s="24"/>
      <c r="M4666" s="24"/>
      <c r="N4666" s="24"/>
      <c r="P4666" s="24"/>
    </row>
    <row r="4667" spans="2:16" x14ac:dyDescent="0.25">
      <c r="B4667" s="24"/>
      <c r="E4667" s="24"/>
      <c r="G4667" s="24"/>
      <c r="H4667" s="24"/>
      <c r="J4667" s="24"/>
      <c r="K4667" s="24"/>
      <c r="M4667" s="24"/>
      <c r="N4667" s="24"/>
      <c r="P4667" s="24"/>
    </row>
    <row r="4668" spans="2:16" x14ac:dyDescent="0.25">
      <c r="B4668" s="24"/>
      <c r="E4668" s="24"/>
      <c r="G4668" s="24"/>
      <c r="H4668" s="24"/>
      <c r="J4668" s="24"/>
      <c r="K4668" s="24"/>
      <c r="M4668" s="24"/>
      <c r="N4668" s="24"/>
      <c r="P4668" s="24"/>
    </row>
    <row r="4669" spans="2:16" x14ac:dyDescent="0.25">
      <c r="B4669" s="24"/>
      <c r="E4669" s="24"/>
      <c r="G4669" s="24"/>
      <c r="H4669" s="24"/>
      <c r="J4669" s="24"/>
      <c r="K4669" s="24"/>
      <c r="M4669" s="24"/>
      <c r="N4669" s="24"/>
      <c r="P4669" s="24"/>
    </row>
    <row r="4670" spans="2:16" x14ac:dyDescent="0.25">
      <c r="B4670" s="24"/>
      <c r="E4670" s="24"/>
      <c r="G4670" s="24"/>
      <c r="H4670" s="24"/>
      <c r="J4670" s="24"/>
      <c r="K4670" s="24"/>
      <c r="M4670" s="24"/>
      <c r="N4670" s="24"/>
      <c r="P4670" s="24"/>
    </row>
    <row r="4671" spans="2:16" x14ac:dyDescent="0.25">
      <c r="B4671" s="24"/>
      <c r="E4671" s="24"/>
      <c r="G4671" s="24"/>
      <c r="H4671" s="24"/>
      <c r="J4671" s="24"/>
      <c r="K4671" s="24"/>
      <c r="M4671" s="24"/>
      <c r="N4671" s="24"/>
      <c r="P4671" s="24"/>
    </row>
    <row r="4672" spans="2:16" x14ac:dyDescent="0.25">
      <c r="B4672" s="24"/>
      <c r="E4672" s="24"/>
      <c r="G4672" s="24"/>
      <c r="H4672" s="24"/>
      <c r="J4672" s="24"/>
      <c r="K4672" s="24"/>
      <c r="M4672" s="24"/>
      <c r="N4672" s="24"/>
      <c r="P4672" s="24"/>
    </row>
    <row r="4673" spans="2:16" x14ac:dyDescent="0.25">
      <c r="B4673" s="24"/>
      <c r="E4673" s="24"/>
      <c r="G4673" s="24"/>
      <c r="H4673" s="24"/>
      <c r="J4673" s="24"/>
      <c r="K4673" s="24"/>
      <c r="M4673" s="24"/>
      <c r="N4673" s="24"/>
      <c r="P4673" s="24"/>
    </row>
    <row r="4674" spans="2:16" x14ac:dyDescent="0.25">
      <c r="B4674" s="24"/>
      <c r="E4674" s="24"/>
      <c r="G4674" s="24"/>
      <c r="H4674" s="24"/>
      <c r="J4674" s="24"/>
      <c r="K4674" s="24"/>
      <c r="M4674" s="24"/>
      <c r="N4674" s="24"/>
      <c r="P4674" s="24"/>
    </row>
    <row r="4675" spans="2:16" x14ac:dyDescent="0.25">
      <c r="B4675" s="24"/>
      <c r="E4675" s="24"/>
      <c r="G4675" s="24"/>
      <c r="H4675" s="24"/>
      <c r="J4675" s="24"/>
      <c r="K4675" s="24"/>
      <c r="M4675" s="24"/>
      <c r="N4675" s="24"/>
      <c r="P4675" s="24"/>
    </row>
    <row r="4676" spans="2:16" x14ac:dyDescent="0.25">
      <c r="B4676" s="24"/>
      <c r="E4676" s="24"/>
      <c r="G4676" s="24"/>
      <c r="H4676" s="24"/>
      <c r="J4676" s="24"/>
      <c r="K4676" s="24"/>
      <c r="M4676" s="24"/>
      <c r="N4676" s="24"/>
      <c r="P4676" s="24"/>
    </row>
    <row r="4677" spans="2:16" x14ac:dyDescent="0.25">
      <c r="B4677" s="24"/>
      <c r="E4677" s="24"/>
      <c r="G4677" s="24"/>
      <c r="H4677" s="24"/>
      <c r="J4677" s="24"/>
      <c r="K4677" s="24"/>
      <c r="M4677" s="24"/>
      <c r="N4677" s="24"/>
      <c r="P4677" s="24"/>
    </row>
    <row r="4678" spans="2:16" x14ac:dyDescent="0.25">
      <c r="B4678" s="24"/>
      <c r="E4678" s="24"/>
      <c r="G4678" s="24"/>
      <c r="H4678" s="24"/>
      <c r="J4678" s="24"/>
      <c r="K4678" s="24"/>
      <c r="M4678" s="24"/>
      <c r="N4678" s="24"/>
      <c r="P4678" s="24"/>
    </row>
    <row r="4679" spans="2:16" x14ac:dyDescent="0.25">
      <c r="B4679" s="24"/>
      <c r="E4679" s="24"/>
      <c r="G4679" s="24"/>
      <c r="H4679" s="24"/>
      <c r="J4679" s="24"/>
      <c r="K4679" s="24"/>
      <c r="M4679" s="24"/>
      <c r="N4679" s="24"/>
      <c r="P4679" s="24"/>
    </row>
    <row r="4680" spans="2:16" x14ac:dyDescent="0.25">
      <c r="B4680" s="24"/>
      <c r="E4680" s="24"/>
      <c r="G4680" s="24"/>
      <c r="H4680" s="24"/>
      <c r="J4680" s="24"/>
      <c r="K4680" s="24"/>
      <c r="M4680" s="24"/>
      <c r="N4680" s="24"/>
      <c r="P4680" s="24"/>
    </row>
    <row r="4681" spans="2:16" x14ac:dyDescent="0.25">
      <c r="B4681" s="24"/>
      <c r="E4681" s="24"/>
      <c r="G4681" s="24"/>
      <c r="H4681" s="24"/>
      <c r="J4681" s="24"/>
      <c r="K4681" s="24"/>
      <c r="M4681" s="24"/>
      <c r="N4681" s="24"/>
      <c r="P4681" s="24"/>
    </row>
    <row r="4682" spans="2:16" x14ac:dyDescent="0.25">
      <c r="B4682" s="24"/>
      <c r="E4682" s="24"/>
      <c r="G4682" s="24"/>
      <c r="H4682" s="24"/>
      <c r="J4682" s="24"/>
      <c r="K4682" s="24"/>
      <c r="M4682" s="24"/>
      <c r="N4682" s="24"/>
      <c r="P4682" s="24"/>
    </row>
    <row r="4683" spans="2:16" x14ac:dyDescent="0.25">
      <c r="B4683" s="24"/>
      <c r="E4683" s="24"/>
      <c r="G4683" s="24"/>
      <c r="H4683" s="24"/>
      <c r="J4683" s="24"/>
      <c r="K4683" s="24"/>
      <c r="M4683" s="24"/>
      <c r="N4683" s="24"/>
      <c r="P4683" s="24"/>
    </row>
    <row r="4684" spans="2:16" x14ac:dyDescent="0.25">
      <c r="B4684" s="24"/>
      <c r="E4684" s="24"/>
      <c r="G4684" s="24"/>
      <c r="H4684" s="24"/>
      <c r="J4684" s="24"/>
      <c r="K4684" s="24"/>
      <c r="M4684" s="24"/>
      <c r="N4684" s="24"/>
      <c r="P4684" s="24"/>
    </row>
    <row r="4685" spans="2:16" x14ac:dyDescent="0.25">
      <c r="B4685" s="24"/>
      <c r="E4685" s="24"/>
      <c r="G4685" s="24"/>
      <c r="H4685" s="24"/>
      <c r="J4685" s="24"/>
      <c r="K4685" s="24"/>
      <c r="M4685" s="24"/>
      <c r="N4685" s="24"/>
      <c r="P4685" s="24"/>
    </row>
    <row r="4686" spans="2:16" x14ac:dyDescent="0.25">
      <c r="B4686" s="24"/>
      <c r="E4686" s="24"/>
      <c r="G4686" s="24"/>
      <c r="H4686" s="24"/>
      <c r="J4686" s="24"/>
      <c r="K4686" s="24"/>
      <c r="M4686" s="24"/>
      <c r="N4686" s="24"/>
      <c r="P4686" s="24"/>
    </row>
    <row r="4687" spans="2:16" x14ac:dyDescent="0.25">
      <c r="B4687" s="24"/>
      <c r="E4687" s="24"/>
      <c r="G4687" s="24"/>
      <c r="H4687" s="24"/>
      <c r="J4687" s="24"/>
      <c r="K4687" s="24"/>
      <c r="M4687" s="24"/>
      <c r="N4687" s="24"/>
      <c r="P4687" s="24"/>
    </row>
    <row r="4688" spans="2:16" x14ac:dyDescent="0.25">
      <c r="B4688" s="24"/>
      <c r="E4688" s="24"/>
      <c r="G4688" s="24"/>
      <c r="H4688" s="24"/>
      <c r="J4688" s="24"/>
      <c r="K4688" s="24"/>
      <c r="M4688" s="24"/>
      <c r="N4688" s="24"/>
      <c r="P4688" s="24"/>
    </row>
    <row r="4689" spans="2:16" x14ac:dyDescent="0.25">
      <c r="B4689" s="24"/>
      <c r="E4689" s="24"/>
      <c r="G4689" s="24"/>
      <c r="H4689" s="24"/>
      <c r="J4689" s="24"/>
      <c r="K4689" s="24"/>
      <c r="M4689" s="24"/>
      <c r="N4689" s="24"/>
      <c r="P4689" s="24"/>
    </row>
    <row r="4690" spans="2:16" x14ac:dyDescent="0.25">
      <c r="B4690" s="24"/>
      <c r="E4690" s="24"/>
      <c r="G4690" s="24"/>
      <c r="H4690" s="24"/>
      <c r="J4690" s="24"/>
      <c r="K4690" s="24"/>
      <c r="M4690" s="24"/>
      <c r="N4690" s="24"/>
      <c r="P4690" s="24"/>
    </row>
    <row r="4691" spans="2:16" x14ac:dyDescent="0.25">
      <c r="B4691" s="24"/>
      <c r="E4691" s="24"/>
      <c r="G4691" s="24"/>
      <c r="H4691" s="24"/>
      <c r="J4691" s="24"/>
      <c r="K4691" s="24"/>
      <c r="M4691" s="24"/>
      <c r="N4691" s="24"/>
      <c r="P4691" s="24"/>
    </row>
    <row r="4692" spans="2:16" x14ac:dyDescent="0.25">
      <c r="B4692" s="24"/>
      <c r="E4692" s="24"/>
      <c r="G4692" s="24"/>
      <c r="H4692" s="24"/>
      <c r="J4692" s="24"/>
      <c r="K4692" s="24"/>
      <c r="M4692" s="24"/>
      <c r="N4692" s="24"/>
      <c r="P4692" s="24"/>
    </row>
    <row r="4693" spans="2:16" x14ac:dyDescent="0.25">
      <c r="B4693" s="24"/>
      <c r="E4693" s="24"/>
      <c r="G4693" s="24"/>
      <c r="H4693" s="24"/>
      <c r="J4693" s="24"/>
      <c r="K4693" s="24"/>
      <c r="M4693" s="24"/>
      <c r="N4693" s="24"/>
      <c r="P4693" s="24"/>
    </row>
    <row r="4694" spans="2:16" x14ac:dyDescent="0.25">
      <c r="B4694" s="24"/>
      <c r="E4694" s="24"/>
      <c r="G4694" s="24"/>
      <c r="H4694" s="24"/>
      <c r="J4694" s="24"/>
      <c r="K4694" s="24"/>
      <c r="M4694" s="24"/>
      <c r="N4694" s="24"/>
      <c r="P4694" s="24"/>
    </row>
    <row r="4695" spans="2:16" x14ac:dyDescent="0.25">
      <c r="B4695" s="24"/>
      <c r="E4695" s="24"/>
      <c r="G4695" s="24"/>
      <c r="H4695" s="24"/>
      <c r="J4695" s="24"/>
      <c r="K4695" s="24"/>
      <c r="M4695" s="24"/>
      <c r="N4695" s="24"/>
      <c r="P4695" s="24"/>
    </row>
    <row r="4696" spans="2:16" x14ac:dyDescent="0.25">
      <c r="B4696" s="24"/>
      <c r="E4696" s="24"/>
      <c r="G4696" s="24"/>
      <c r="H4696" s="24"/>
      <c r="J4696" s="24"/>
      <c r="K4696" s="24"/>
      <c r="M4696" s="24"/>
      <c r="N4696" s="24"/>
      <c r="P4696" s="24"/>
    </row>
    <row r="4697" spans="2:16" x14ac:dyDescent="0.25">
      <c r="B4697" s="24"/>
      <c r="E4697" s="24"/>
      <c r="G4697" s="24"/>
      <c r="H4697" s="24"/>
      <c r="J4697" s="24"/>
      <c r="K4697" s="24"/>
      <c r="M4697" s="24"/>
      <c r="N4697" s="24"/>
      <c r="P4697" s="24"/>
    </row>
    <row r="4698" spans="2:16" x14ac:dyDescent="0.25">
      <c r="B4698" s="24"/>
      <c r="E4698" s="24"/>
      <c r="G4698" s="24"/>
      <c r="H4698" s="24"/>
      <c r="J4698" s="24"/>
      <c r="K4698" s="24"/>
      <c r="M4698" s="24"/>
      <c r="N4698" s="24"/>
      <c r="P4698" s="24"/>
    </row>
    <row r="4699" spans="2:16" x14ac:dyDescent="0.25">
      <c r="B4699" s="24"/>
      <c r="E4699" s="24"/>
      <c r="G4699" s="24"/>
      <c r="H4699" s="24"/>
      <c r="J4699" s="24"/>
      <c r="K4699" s="24"/>
      <c r="M4699" s="24"/>
      <c r="N4699" s="24"/>
      <c r="P4699" s="24"/>
    </row>
    <row r="4700" spans="2:16" x14ac:dyDescent="0.25">
      <c r="B4700" s="24"/>
      <c r="E4700" s="24"/>
      <c r="G4700" s="24"/>
      <c r="H4700" s="24"/>
      <c r="J4700" s="24"/>
      <c r="K4700" s="24"/>
      <c r="M4700" s="24"/>
      <c r="N4700" s="24"/>
      <c r="P4700" s="24"/>
    </row>
    <row r="4701" spans="2:16" x14ac:dyDescent="0.25">
      <c r="B4701" s="24"/>
      <c r="E4701" s="24"/>
      <c r="G4701" s="24"/>
      <c r="H4701" s="24"/>
      <c r="J4701" s="24"/>
      <c r="K4701" s="24"/>
      <c r="M4701" s="24"/>
      <c r="N4701" s="24"/>
      <c r="P4701" s="24"/>
    </row>
    <row r="4702" spans="2:16" x14ac:dyDescent="0.25">
      <c r="B4702" s="24"/>
      <c r="E4702" s="24"/>
      <c r="G4702" s="24"/>
      <c r="H4702" s="24"/>
      <c r="J4702" s="24"/>
      <c r="K4702" s="24"/>
      <c r="M4702" s="24"/>
      <c r="N4702" s="24"/>
      <c r="P4702" s="24"/>
    </row>
    <row r="4703" spans="2:16" x14ac:dyDescent="0.25">
      <c r="B4703" s="24"/>
      <c r="E4703" s="24"/>
      <c r="G4703" s="24"/>
      <c r="H4703" s="24"/>
      <c r="J4703" s="24"/>
      <c r="K4703" s="24"/>
      <c r="M4703" s="24"/>
      <c r="N4703" s="24"/>
      <c r="P4703" s="24"/>
    </row>
    <row r="4704" spans="2:16" x14ac:dyDescent="0.25">
      <c r="B4704" s="24"/>
      <c r="E4704" s="24"/>
      <c r="G4704" s="24"/>
      <c r="H4704" s="24"/>
      <c r="J4704" s="24"/>
      <c r="K4704" s="24"/>
      <c r="M4704" s="24"/>
      <c r="N4704" s="24"/>
      <c r="P4704" s="24"/>
    </row>
    <row r="4705" spans="2:16" x14ac:dyDescent="0.25">
      <c r="B4705" s="24"/>
      <c r="E4705" s="24"/>
      <c r="G4705" s="24"/>
      <c r="H4705" s="24"/>
      <c r="J4705" s="24"/>
      <c r="K4705" s="24"/>
      <c r="M4705" s="24"/>
      <c r="N4705" s="24"/>
      <c r="P4705" s="24"/>
    </row>
    <row r="4706" spans="2:16" x14ac:dyDescent="0.25">
      <c r="B4706" s="24"/>
      <c r="E4706" s="24"/>
      <c r="G4706" s="24"/>
      <c r="H4706" s="24"/>
      <c r="J4706" s="24"/>
      <c r="K4706" s="24"/>
      <c r="M4706" s="24"/>
      <c r="N4706" s="24"/>
      <c r="P4706" s="24"/>
    </row>
    <row r="4707" spans="2:16" x14ac:dyDescent="0.25">
      <c r="B4707" s="24"/>
      <c r="E4707" s="24"/>
      <c r="G4707" s="24"/>
      <c r="H4707" s="24"/>
      <c r="J4707" s="24"/>
      <c r="K4707" s="24"/>
      <c r="M4707" s="24"/>
      <c r="N4707" s="24"/>
      <c r="P4707" s="24"/>
    </row>
    <row r="4708" spans="2:16" x14ac:dyDescent="0.25">
      <c r="B4708" s="24"/>
      <c r="E4708" s="24"/>
      <c r="G4708" s="24"/>
      <c r="H4708" s="24"/>
      <c r="J4708" s="24"/>
      <c r="K4708" s="24"/>
      <c r="M4708" s="24"/>
      <c r="N4708" s="24"/>
      <c r="P4708" s="24"/>
    </row>
    <row r="4709" spans="2:16" x14ac:dyDescent="0.25">
      <c r="B4709" s="24"/>
      <c r="E4709" s="24"/>
      <c r="G4709" s="24"/>
      <c r="H4709" s="24"/>
      <c r="J4709" s="24"/>
      <c r="K4709" s="24"/>
      <c r="M4709" s="24"/>
      <c r="N4709" s="24"/>
      <c r="P4709" s="24"/>
    </row>
    <row r="4710" spans="2:16" x14ac:dyDescent="0.25">
      <c r="B4710" s="24"/>
      <c r="E4710" s="24"/>
      <c r="G4710" s="24"/>
      <c r="H4710" s="24"/>
      <c r="J4710" s="24"/>
      <c r="K4710" s="24"/>
      <c r="M4710" s="24"/>
      <c r="N4710" s="24"/>
      <c r="P4710" s="24"/>
    </row>
    <row r="4711" spans="2:16" x14ac:dyDescent="0.25">
      <c r="B4711" s="24"/>
      <c r="E4711" s="24"/>
      <c r="G4711" s="24"/>
      <c r="H4711" s="24"/>
      <c r="J4711" s="24"/>
      <c r="K4711" s="24"/>
      <c r="M4711" s="24"/>
      <c r="N4711" s="24"/>
      <c r="P4711" s="24"/>
    </row>
    <row r="4712" spans="2:16" x14ac:dyDescent="0.25">
      <c r="B4712" s="24"/>
      <c r="E4712" s="24"/>
      <c r="G4712" s="24"/>
      <c r="H4712" s="24"/>
      <c r="J4712" s="24"/>
      <c r="K4712" s="24"/>
      <c r="M4712" s="24"/>
      <c r="N4712" s="24"/>
      <c r="P4712" s="24"/>
    </row>
    <row r="4713" spans="2:16" x14ac:dyDescent="0.25">
      <c r="B4713" s="24"/>
      <c r="E4713" s="24"/>
      <c r="G4713" s="24"/>
      <c r="H4713" s="24"/>
      <c r="J4713" s="24"/>
      <c r="K4713" s="24"/>
      <c r="M4713" s="24"/>
      <c r="N4713" s="24"/>
      <c r="P4713" s="24"/>
    </row>
    <row r="4714" spans="2:16" x14ac:dyDescent="0.25">
      <c r="B4714" s="24"/>
      <c r="E4714" s="24"/>
      <c r="G4714" s="24"/>
      <c r="H4714" s="24"/>
      <c r="J4714" s="24"/>
      <c r="K4714" s="24"/>
      <c r="M4714" s="24"/>
      <c r="N4714" s="24"/>
      <c r="P4714" s="24"/>
    </row>
    <row r="4715" spans="2:16" x14ac:dyDescent="0.25">
      <c r="B4715" s="24"/>
      <c r="E4715" s="24"/>
      <c r="G4715" s="24"/>
      <c r="H4715" s="24"/>
      <c r="J4715" s="24"/>
      <c r="K4715" s="24"/>
      <c r="M4715" s="24"/>
      <c r="N4715" s="24"/>
      <c r="P4715" s="24"/>
    </row>
    <row r="4716" spans="2:16" x14ac:dyDescent="0.25">
      <c r="B4716" s="24"/>
      <c r="E4716" s="24"/>
      <c r="G4716" s="24"/>
      <c r="H4716" s="24"/>
      <c r="J4716" s="24"/>
      <c r="K4716" s="24"/>
      <c r="M4716" s="24"/>
      <c r="N4716" s="24"/>
      <c r="P4716" s="24"/>
    </row>
    <row r="4717" spans="2:16" x14ac:dyDescent="0.25">
      <c r="B4717" s="24"/>
      <c r="E4717" s="24"/>
      <c r="G4717" s="24"/>
      <c r="H4717" s="24"/>
      <c r="J4717" s="24"/>
      <c r="K4717" s="24"/>
      <c r="M4717" s="24"/>
      <c r="N4717" s="24"/>
      <c r="P4717" s="24"/>
    </row>
    <row r="4718" spans="2:16" x14ac:dyDescent="0.25">
      <c r="B4718" s="24"/>
      <c r="E4718" s="24"/>
      <c r="G4718" s="24"/>
      <c r="H4718" s="24"/>
      <c r="J4718" s="24"/>
      <c r="K4718" s="24"/>
      <c r="M4718" s="24"/>
      <c r="N4718" s="24"/>
      <c r="P4718" s="24"/>
    </row>
    <row r="4719" spans="2:16" x14ac:dyDescent="0.25">
      <c r="B4719" s="24"/>
      <c r="E4719" s="24"/>
      <c r="G4719" s="24"/>
      <c r="H4719" s="24"/>
      <c r="J4719" s="24"/>
      <c r="K4719" s="24"/>
      <c r="M4719" s="24"/>
      <c r="N4719" s="24"/>
      <c r="P4719" s="24"/>
    </row>
    <row r="4720" spans="2:16" x14ac:dyDescent="0.25">
      <c r="B4720" s="24"/>
      <c r="E4720" s="24"/>
      <c r="G4720" s="24"/>
      <c r="H4720" s="24"/>
      <c r="J4720" s="24"/>
      <c r="K4720" s="24"/>
      <c r="M4720" s="24"/>
      <c r="N4720" s="24"/>
      <c r="P4720" s="24"/>
    </row>
    <row r="4721" spans="2:16" x14ac:dyDescent="0.25">
      <c r="B4721" s="24"/>
      <c r="E4721" s="24"/>
      <c r="G4721" s="24"/>
      <c r="H4721" s="24"/>
      <c r="J4721" s="24"/>
      <c r="K4721" s="24"/>
      <c r="M4721" s="24"/>
      <c r="N4721" s="24"/>
      <c r="P4721" s="24"/>
    </row>
    <row r="4722" spans="2:16" x14ac:dyDescent="0.25">
      <c r="B4722" s="24"/>
      <c r="E4722" s="24"/>
      <c r="G4722" s="24"/>
      <c r="H4722" s="24"/>
      <c r="J4722" s="24"/>
      <c r="K4722" s="24"/>
      <c r="M4722" s="24"/>
      <c r="N4722" s="24"/>
      <c r="P4722" s="24"/>
    </row>
    <row r="4723" spans="2:16" x14ac:dyDescent="0.25">
      <c r="B4723" s="24"/>
      <c r="E4723" s="24"/>
      <c r="G4723" s="24"/>
      <c r="H4723" s="24"/>
      <c r="J4723" s="24"/>
      <c r="K4723" s="24"/>
      <c r="M4723" s="24"/>
      <c r="N4723" s="24"/>
      <c r="P4723" s="24"/>
    </row>
    <row r="4724" spans="2:16" x14ac:dyDescent="0.25">
      <c r="B4724" s="24"/>
      <c r="E4724" s="24"/>
      <c r="G4724" s="24"/>
      <c r="H4724" s="24"/>
      <c r="J4724" s="24"/>
      <c r="K4724" s="24"/>
      <c r="M4724" s="24"/>
      <c r="N4724" s="24"/>
      <c r="P4724" s="24"/>
    </row>
    <row r="4725" spans="2:16" x14ac:dyDescent="0.25">
      <c r="B4725" s="24"/>
      <c r="E4725" s="24"/>
      <c r="G4725" s="24"/>
      <c r="H4725" s="24"/>
      <c r="J4725" s="24"/>
      <c r="K4725" s="24"/>
      <c r="M4725" s="24"/>
      <c r="N4725" s="24"/>
      <c r="P4725" s="24"/>
    </row>
    <row r="4726" spans="2:16" x14ac:dyDescent="0.25">
      <c r="B4726" s="24"/>
      <c r="E4726" s="24"/>
      <c r="G4726" s="24"/>
      <c r="H4726" s="24"/>
      <c r="J4726" s="24"/>
      <c r="K4726" s="24"/>
      <c r="M4726" s="24"/>
      <c r="N4726" s="24"/>
      <c r="P4726" s="24"/>
    </row>
    <row r="4727" spans="2:16" x14ac:dyDescent="0.25">
      <c r="B4727" s="24"/>
      <c r="E4727" s="24"/>
      <c r="G4727" s="24"/>
      <c r="H4727" s="24"/>
      <c r="J4727" s="24"/>
      <c r="K4727" s="24"/>
      <c r="M4727" s="24"/>
      <c r="N4727" s="24"/>
      <c r="P4727" s="24"/>
    </row>
    <row r="4728" spans="2:16" x14ac:dyDescent="0.25">
      <c r="B4728" s="24"/>
      <c r="E4728" s="24"/>
      <c r="G4728" s="24"/>
      <c r="H4728" s="24"/>
      <c r="J4728" s="24"/>
      <c r="K4728" s="24"/>
      <c r="M4728" s="24"/>
      <c r="N4728" s="24"/>
      <c r="P4728" s="24"/>
    </row>
    <row r="4729" spans="2:16" x14ac:dyDescent="0.25">
      <c r="B4729" s="24"/>
      <c r="E4729" s="24"/>
      <c r="G4729" s="24"/>
      <c r="H4729" s="24"/>
      <c r="J4729" s="24"/>
      <c r="K4729" s="24"/>
      <c r="M4729" s="24"/>
      <c r="N4729" s="24"/>
      <c r="P4729" s="24"/>
    </row>
    <row r="4730" spans="2:16" x14ac:dyDescent="0.25">
      <c r="B4730" s="24"/>
      <c r="E4730" s="24"/>
      <c r="G4730" s="24"/>
      <c r="H4730" s="24"/>
      <c r="J4730" s="24"/>
      <c r="K4730" s="24"/>
      <c r="M4730" s="24"/>
      <c r="N4730" s="24"/>
      <c r="P4730" s="24"/>
    </row>
    <row r="4731" spans="2:16" x14ac:dyDescent="0.25">
      <c r="B4731" s="24"/>
      <c r="E4731" s="24"/>
      <c r="G4731" s="24"/>
      <c r="H4731" s="24"/>
      <c r="J4731" s="24"/>
      <c r="K4731" s="24"/>
      <c r="M4731" s="24"/>
      <c r="N4731" s="24"/>
      <c r="P4731" s="24"/>
    </row>
    <row r="4732" spans="2:16" x14ac:dyDescent="0.25">
      <c r="B4732" s="24"/>
      <c r="E4732" s="24"/>
      <c r="G4732" s="24"/>
      <c r="H4732" s="24"/>
      <c r="J4732" s="24"/>
      <c r="K4732" s="24"/>
      <c r="M4732" s="24"/>
      <c r="N4732" s="24"/>
      <c r="P4732" s="24"/>
    </row>
    <row r="4733" spans="2:16" x14ac:dyDescent="0.25">
      <c r="B4733" s="24"/>
      <c r="E4733" s="24"/>
      <c r="G4733" s="24"/>
      <c r="H4733" s="24"/>
      <c r="J4733" s="24"/>
      <c r="K4733" s="24"/>
      <c r="M4733" s="24"/>
      <c r="N4733" s="24"/>
      <c r="P4733" s="24"/>
    </row>
    <row r="4734" spans="2:16" x14ac:dyDescent="0.25">
      <c r="B4734" s="24"/>
      <c r="E4734" s="24"/>
      <c r="G4734" s="24"/>
      <c r="H4734" s="24"/>
      <c r="J4734" s="24"/>
      <c r="K4734" s="24"/>
      <c r="M4734" s="24"/>
      <c r="N4734" s="24"/>
      <c r="P4734" s="24"/>
    </row>
    <row r="4735" spans="2:16" x14ac:dyDescent="0.25">
      <c r="B4735" s="24"/>
      <c r="E4735" s="24"/>
      <c r="G4735" s="24"/>
      <c r="H4735" s="24"/>
      <c r="J4735" s="24"/>
      <c r="K4735" s="24"/>
      <c r="M4735" s="24"/>
      <c r="N4735" s="24"/>
      <c r="P4735" s="24"/>
    </row>
    <row r="4736" spans="2:16" x14ac:dyDescent="0.25">
      <c r="B4736" s="24"/>
      <c r="E4736" s="24"/>
      <c r="G4736" s="24"/>
      <c r="H4736" s="24"/>
      <c r="J4736" s="24"/>
      <c r="K4736" s="24"/>
      <c r="M4736" s="24"/>
      <c r="N4736" s="24"/>
      <c r="P4736" s="24"/>
    </row>
    <row r="4737" spans="2:16" x14ac:dyDescent="0.25">
      <c r="B4737" s="24"/>
      <c r="E4737" s="24"/>
      <c r="G4737" s="24"/>
      <c r="H4737" s="24"/>
      <c r="J4737" s="24"/>
      <c r="K4737" s="24"/>
      <c r="M4737" s="24"/>
      <c r="N4737" s="24"/>
      <c r="P4737" s="24"/>
    </row>
    <row r="4738" spans="2:16" x14ac:dyDescent="0.25">
      <c r="B4738" s="24"/>
      <c r="E4738" s="24"/>
      <c r="G4738" s="24"/>
      <c r="H4738" s="24"/>
      <c r="J4738" s="24"/>
      <c r="K4738" s="24"/>
      <c r="M4738" s="24"/>
      <c r="N4738" s="24"/>
      <c r="P4738" s="24"/>
    </row>
    <row r="4739" spans="2:16" x14ac:dyDescent="0.25">
      <c r="B4739" s="24"/>
      <c r="E4739" s="24"/>
      <c r="G4739" s="24"/>
      <c r="H4739" s="24"/>
      <c r="J4739" s="24"/>
      <c r="K4739" s="24"/>
      <c r="M4739" s="24"/>
      <c r="N4739" s="24"/>
      <c r="P4739" s="24"/>
    </row>
    <row r="4740" spans="2:16" x14ac:dyDescent="0.25">
      <c r="B4740" s="24"/>
      <c r="E4740" s="24"/>
      <c r="G4740" s="24"/>
      <c r="H4740" s="24"/>
      <c r="J4740" s="24"/>
      <c r="K4740" s="24"/>
      <c r="M4740" s="24"/>
      <c r="N4740" s="24"/>
      <c r="P4740" s="24"/>
    </row>
    <row r="4741" spans="2:16" x14ac:dyDescent="0.25">
      <c r="B4741" s="24"/>
      <c r="E4741" s="24"/>
      <c r="G4741" s="24"/>
      <c r="H4741" s="24"/>
      <c r="J4741" s="24"/>
      <c r="K4741" s="24"/>
      <c r="M4741" s="24"/>
      <c r="N4741" s="24"/>
      <c r="P4741" s="24"/>
    </row>
    <row r="4742" spans="2:16" x14ac:dyDescent="0.25">
      <c r="B4742" s="24"/>
      <c r="E4742" s="24"/>
      <c r="G4742" s="24"/>
      <c r="H4742" s="24"/>
      <c r="J4742" s="24"/>
      <c r="K4742" s="24"/>
      <c r="M4742" s="24"/>
      <c r="N4742" s="24"/>
      <c r="P4742" s="24"/>
    </row>
    <row r="4743" spans="2:16" x14ac:dyDescent="0.25">
      <c r="B4743" s="24"/>
      <c r="E4743" s="24"/>
      <c r="G4743" s="24"/>
      <c r="H4743" s="24"/>
      <c r="J4743" s="24"/>
      <c r="K4743" s="24"/>
      <c r="M4743" s="24"/>
      <c r="N4743" s="24"/>
      <c r="P4743" s="24"/>
    </row>
    <row r="4744" spans="2:16" x14ac:dyDescent="0.25">
      <c r="B4744" s="24"/>
      <c r="E4744" s="24"/>
      <c r="G4744" s="24"/>
      <c r="H4744" s="24"/>
      <c r="J4744" s="24"/>
      <c r="K4744" s="24"/>
      <c r="M4744" s="24"/>
      <c r="N4744" s="24"/>
      <c r="P4744" s="24"/>
    </row>
    <row r="4745" spans="2:16" x14ac:dyDescent="0.25">
      <c r="B4745" s="24"/>
      <c r="E4745" s="24"/>
      <c r="G4745" s="24"/>
      <c r="H4745" s="24"/>
      <c r="J4745" s="24"/>
      <c r="K4745" s="24"/>
      <c r="M4745" s="24"/>
      <c r="N4745" s="24"/>
      <c r="P4745" s="24"/>
    </row>
    <row r="4746" spans="2:16" x14ac:dyDescent="0.25">
      <c r="B4746" s="24"/>
      <c r="E4746" s="24"/>
      <c r="G4746" s="24"/>
      <c r="H4746" s="24"/>
      <c r="J4746" s="24"/>
      <c r="K4746" s="24"/>
      <c r="M4746" s="24"/>
      <c r="N4746" s="24"/>
      <c r="P4746" s="24"/>
    </row>
    <row r="4747" spans="2:16" x14ac:dyDescent="0.25">
      <c r="B4747" s="24"/>
      <c r="E4747" s="24"/>
      <c r="G4747" s="24"/>
      <c r="H4747" s="24"/>
      <c r="J4747" s="24"/>
      <c r="K4747" s="24"/>
      <c r="M4747" s="24"/>
      <c r="N4747" s="24"/>
      <c r="P4747" s="24"/>
    </row>
    <row r="4748" spans="2:16" x14ac:dyDescent="0.25">
      <c r="B4748" s="24"/>
      <c r="E4748" s="24"/>
      <c r="G4748" s="24"/>
      <c r="H4748" s="24"/>
      <c r="J4748" s="24"/>
      <c r="K4748" s="24"/>
      <c r="M4748" s="24"/>
      <c r="N4748" s="24"/>
      <c r="P4748" s="24"/>
    </row>
    <row r="4749" spans="2:16" x14ac:dyDescent="0.25">
      <c r="B4749" s="24"/>
      <c r="E4749" s="24"/>
      <c r="G4749" s="24"/>
      <c r="H4749" s="24"/>
      <c r="J4749" s="24"/>
      <c r="K4749" s="24"/>
      <c r="M4749" s="24"/>
      <c r="N4749" s="24"/>
      <c r="P4749" s="24"/>
    </row>
    <row r="4750" spans="2:16" x14ac:dyDescent="0.25">
      <c r="B4750" s="24"/>
      <c r="E4750" s="24"/>
      <c r="G4750" s="24"/>
      <c r="H4750" s="24"/>
      <c r="J4750" s="24"/>
      <c r="K4750" s="24"/>
      <c r="M4750" s="24"/>
      <c r="N4750" s="24"/>
      <c r="P4750" s="24"/>
    </row>
    <row r="4751" spans="2:16" x14ac:dyDescent="0.25">
      <c r="B4751" s="24"/>
      <c r="E4751" s="24"/>
      <c r="G4751" s="24"/>
      <c r="H4751" s="24"/>
      <c r="J4751" s="24"/>
      <c r="K4751" s="24"/>
      <c r="M4751" s="24"/>
      <c r="N4751" s="24"/>
      <c r="P4751" s="24"/>
    </row>
    <row r="4752" spans="2:16" x14ac:dyDescent="0.25">
      <c r="B4752" s="24"/>
      <c r="E4752" s="24"/>
      <c r="G4752" s="24"/>
      <c r="H4752" s="24"/>
      <c r="J4752" s="24"/>
      <c r="K4752" s="24"/>
      <c r="M4752" s="24"/>
      <c r="N4752" s="24"/>
      <c r="P4752" s="24"/>
    </row>
    <row r="4753" spans="2:16" x14ac:dyDescent="0.25">
      <c r="B4753" s="24"/>
      <c r="E4753" s="24"/>
      <c r="G4753" s="24"/>
      <c r="H4753" s="24"/>
      <c r="J4753" s="24"/>
      <c r="K4753" s="24"/>
      <c r="M4753" s="24"/>
      <c r="N4753" s="24"/>
      <c r="P4753" s="24"/>
    </row>
    <row r="4754" spans="2:16" x14ac:dyDescent="0.25">
      <c r="B4754" s="24"/>
      <c r="E4754" s="24"/>
      <c r="G4754" s="24"/>
      <c r="H4754" s="24"/>
      <c r="J4754" s="24"/>
      <c r="K4754" s="24"/>
      <c r="M4754" s="24"/>
      <c r="N4754" s="24"/>
      <c r="P4754" s="24"/>
    </row>
    <row r="4755" spans="2:16" x14ac:dyDescent="0.25">
      <c r="B4755" s="24"/>
      <c r="E4755" s="24"/>
      <c r="G4755" s="24"/>
      <c r="H4755" s="24"/>
      <c r="J4755" s="24"/>
      <c r="K4755" s="24"/>
      <c r="M4755" s="24"/>
      <c r="N4755" s="24"/>
      <c r="P4755" s="24"/>
    </row>
    <row r="4756" spans="2:16" x14ac:dyDescent="0.25">
      <c r="B4756" s="24"/>
      <c r="E4756" s="24"/>
      <c r="G4756" s="24"/>
      <c r="H4756" s="24"/>
      <c r="J4756" s="24"/>
      <c r="K4756" s="24"/>
      <c r="M4756" s="24"/>
      <c r="N4756" s="24"/>
      <c r="P4756" s="24"/>
    </row>
    <row r="4757" spans="2:16" x14ac:dyDescent="0.25">
      <c r="B4757" s="24"/>
      <c r="E4757" s="24"/>
      <c r="G4757" s="24"/>
      <c r="H4757" s="24"/>
      <c r="J4757" s="24"/>
      <c r="K4757" s="24"/>
      <c r="M4757" s="24"/>
      <c r="N4757" s="24"/>
      <c r="P4757" s="24"/>
    </row>
    <row r="4758" spans="2:16" x14ac:dyDescent="0.25">
      <c r="B4758" s="24"/>
      <c r="E4758" s="24"/>
      <c r="G4758" s="24"/>
      <c r="H4758" s="24"/>
      <c r="J4758" s="24"/>
      <c r="K4758" s="24"/>
      <c r="M4758" s="24"/>
      <c r="N4758" s="24"/>
      <c r="P4758" s="24"/>
    </row>
    <row r="4759" spans="2:16" x14ac:dyDescent="0.25">
      <c r="B4759" s="24"/>
      <c r="E4759" s="24"/>
      <c r="G4759" s="24"/>
      <c r="H4759" s="24"/>
      <c r="J4759" s="24"/>
      <c r="K4759" s="24"/>
      <c r="M4759" s="24"/>
      <c r="N4759" s="24"/>
      <c r="P4759" s="24"/>
    </row>
    <row r="4760" spans="2:16" x14ac:dyDescent="0.25">
      <c r="B4760" s="24"/>
      <c r="E4760" s="24"/>
      <c r="G4760" s="24"/>
      <c r="H4760" s="24"/>
      <c r="J4760" s="24"/>
      <c r="K4760" s="24"/>
      <c r="M4760" s="24"/>
      <c r="N4760" s="24"/>
      <c r="P4760" s="24"/>
    </row>
    <row r="4761" spans="2:16" x14ac:dyDescent="0.25">
      <c r="B4761" s="24"/>
      <c r="E4761" s="24"/>
      <c r="G4761" s="24"/>
      <c r="H4761" s="24"/>
      <c r="J4761" s="24"/>
      <c r="K4761" s="24"/>
      <c r="M4761" s="24"/>
      <c r="N4761" s="24"/>
      <c r="P4761" s="24"/>
    </row>
    <row r="4762" spans="2:16" x14ac:dyDescent="0.25">
      <c r="B4762" s="24"/>
      <c r="E4762" s="24"/>
      <c r="G4762" s="24"/>
      <c r="H4762" s="24"/>
      <c r="J4762" s="24"/>
      <c r="K4762" s="24"/>
      <c r="M4762" s="24"/>
      <c r="N4762" s="24"/>
      <c r="P4762" s="24"/>
    </row>
    <row r="4763" spans="2:16" x14ac:dyDescent="0.25">
      <c r="B4763" s="24"/>
      <c r="E4763" s="24"/>
      <c r="G4763" s="24"/>
      <c r="H4763" s="24"/>
      <c r="J4763" s="24"/>
      <c r="K4763" s="24"/>
      <c r="M4763" s="24"/>
      <c r="N4763" s="24"/>
      <c r="P4763" s="24"/>
    </row>
    <row r="4764" spans="2:16" x14ac:dyDescent="0.25">
      <c r="B4764" s="24"/>
      <c r="E4764" s="24"/>
      <c r="G4764" s="24"/>
      <c r="H4764" s="24"/>
      <c r="J4764" s="24"/>
      <c r="K4764" s="24"/>
      <c r="M4764" s="24"/>
      <c r="N4764" s="24"/>
      <c r="P4764" s="24"/>
    </row>
    <row r="4765" spans="2:16" x14ac:dyDescent="0.25">
      <c r="B4765" s="24"/>
      <c r="E4765" s="24"/>
      <c r="G4765" s="24"/>
      <c r="H4765" s="24"/>
      <c r="J4765" s="24"/>
      <c r="K4765" s="24"/>
      <c r="M4765" s="24"/>
      <c r="N4765" s="24"/>
      <c r="P4765" s="24"/>
    </row>
    <row r="4766" spans="2:16" x14ac:dyDescent="0.25">
      <c r="B4766" s="24"/>
      <c r="E4766" s="24"/>
      <c r="G4766" s="24"/>
      <c r="H4766" s="24"/>
      <c r="J4766" s="24"/>
      <c r="K4766" s="24"/>
      <c r="M4766" s="24"/>
      <c r="N4766" s="24"/>
      <c r="P4766" s="24"/>
    </row>
    <row r="4767" spans="2:16" x14ac:dyDescent="0.25">
      <c r="B4767" s="24"/>
      <c r="E4767" s="24"/>
      <c r="G4767" s="24"/>
      <c r="H4767" s="24"/>
      <c r="J4767" s="24"/>
      <c r="K4767" s="24"/>
      <c r="M4767" s="24"/>
      <c r="N4767" s="24"/>
      <c r="P4767" s="24"/>
    </row>
    <row r="4768" spans="2:16" x14ac:dyDescent="0.25">
      <c r="B4768" s="24"/>
      <c r="E4768" s="24"/>
      <c r="G4768" s="24"/>
      <c r="H4768" s="24"/>
      <c r="J4768" s="24"/>
      <c r="K4768" s="24"/>
      <c r="M4768" s="24"/>
      <c r="N4768" s="24"/>
      <c r="P4768" s="24"/>
    </row>
    <row r="4769" spans="2:16" x14ac:dyDescent="0.25">
      <c r="B4769" s="24"/>
      <c r="E4769" s="24"/>
      <c r="G4769" s="24"/>
      <c r="H4769" s="24"/>
      <c r="J4769" s="24"/>
      <c r="K4769" s="24"/>
      <c r="M4769" s="24"/>
      <c r="N4769" s="24"/>
      <c r="P4769" s="24"/>
    </row>
    <row r="4770" spans="2:16" x14ac:dyDescent="0.25">
      <c r="B4770" s="24"/>
      <c r="E4770" s="24"/>
      <c r="G4770" s="24"/>
      <c r="H4770" s="24"/>
      <c r="J4770" s="24"/>
      <c r="K4770" s="24"/>
      <c r="M4770" s="24"/>
      <c r="N4770" s="24"/>
      <c r="P4770" s="24"/>
    </row>
    <row r="4771" spans="2:16" x14ac:dyDescent="0.25">
      <c r="B4771" s="24"/>
      <c r="E4771" s="24"/>
      <c r="G4771" s="24"/>
      <c r="H4771" s="24"/>
      <c r="J4771" s="24"/>
      <c r="K4771" s="24"/>
      <c r="M4771" s="24"/>
      <c r="N4771" s="24"/>
      <c r="P4771" s="24"/>
    </row>
    <row r="4772" spans="2:16" x14ac:dyDescent="0.25">
      <c r="B4772" s="24"/>
      <c r="E4772" s="24"/>
      <c r="G4772" s="24"/>
      <c r="H4772" s="24"/>
      <c r="J4772" s="24"/>
      <c r="K4772" s="24"/>
      <c r="M4772" s="24"/>
      <c r="N4772" s="24"/>
      <c r="P4772" s="24"/>
    </row>
    <row r="4773" spans="2:16" x14ac:dyDescent="0.25">
      <c r="B4773" s="24"/>
      <c r="E4773" s="24"/>
      <c r="G4773" s="24"/>
      <c r="H4773" s="24"/>
      <c r="J4773" s="24"/>
      <c r="K4773" s="24"/>
      <c r="M4773" s="24"/>
      <c r="N4773" s="24"/>
      <c r="P4773" s="24"/>
    </row>
    <row r="4774" spans="2:16" x14ac:dyDescent="0.25">
      <c r="B4774" s="24"/>
      <c r="E4774" s="24"/>
      <c r="G4774" s="24"/>
      <c r="H4774" s="24"/>
      <c r="J4774" s="24"/>
      <c r="K4774" s="24"/>
      <c r="M4774" s="24"/>
      <c r="N4774" s="24"/>
      <c r="P4774" s="24"/>
    </row>
    <row r="4775" spans="2:16" x14ac:dyDescent="0.25">
      <c r="B4775" s="24"/>
      <c r="E4775" s="24"/>
      <c r="G4775" s="24"/>
      <c r="H4775" s="24"/>
      <c r="J4775" s="24"/>
      <c r="K4775" s="24"/>
      <c r="M4775" s="24"/>
      <c r="N4775" s="24"/>
      <c r="P4775" s="24"/>
    </row>
    <row r="4776" spans="2:16" x14ac:dyDescent="0.25">
      <c r="B4776" s="24"/>
      <c r="E4776" s="24"/>
      <c r="G4776" s="24"/>
      <c r="H4776" s="24"/>
      <c r="J4776" s="24"/>
      <c r="K4776" s="24"/>
      <c r="M4776" s="24"/>
      <c r="N4776" s="24"/>
      <c r="P4776" s="24"/>
    </row>
    <row r="4777" spans="2:16" x14ac:dyDescent="0.25">
      <c r="B4777" s="24"/>
      <c r="E4777" s="24"/>
      <c r="G4777" s="24"/>
      <c r="H4777" s="24"/>
      <c r="J4777" s="24"/>
      <c r="K4777" s="24"/>
      <c r="M4777" s="24"/>
      <c r="N4777" s="24"/>
      <c r="P4777" s="24"/>
    </row>
    <row r="4778" spans="2:16" x14ac:dyDescent="0.25">
      <c r="B4778" s="24"/>
      <c r="E4778" s="24"/>
      <c r="G4778" s="24"/>
      <c r="H4778" s="24"/>
      <c r="J4778" s="24"/>
      <c r="K4778" s="24"/>
      <c r="M4778" s="24"/>
      <c r="N4778" s="24"/>
      <c r="P4778" s="24"/>
    </row>
    <row r="4779" spans="2:16" x14ac:dyDescent="0.25">
      <c r="B4779" s="24"/>
      <c r="E4779" s="24"/>
      <c r="G4779" s="24"/>
      <c r="H4779" s="24"/>
      <c r="J4779" s="24"/>
      <c r="K4779" s="24"/>
      <c r="M4779" s="24"/>
      <c r="N4779" s="24"/>
      <c r="P4779" s="24"/>
    </row>
    <row r="4780" spans="2:16" x14ac:dyDescent="0.25">
      <c r="B4780" s="24"/>
      <c r="E4780" s="24"/>
      <c r="G4780" s="24"/>
      <c r="H4780" s="24"/>
      <c r="J4780" s="24"/>
      <c r="K4780" s="24"/>
      <c r="M4780" s="24"/>
      <c r="N4780" s="24"/>
      <c r="P4780" s="24"/>
    </row>
    <row r="4781" spans="2:16" x14ac:dyDescent="0.25">
      <c r="B4781" s="24"/>
      <c r="E4781" s="24"/>
      <c r="G4781" s="24"/>
      <c r="H4781" s="24"/>
      <c r="J4781" s="24"/>
      <c r="K4781" s="24"/>
      <c r="M4781" s="24"/>
      <c r="N4781" s="24"/>
      <c r="P4781" s="24"/>
    </row>
    <row r="4782" spans="2:16" x14ac:dyDescent="0.25">
      <c r="B4782" s="24"/>
      <c r="E4782" s="24"/>
      <c r="G4782" s="24"/>
      <c r="H4782" s="24"/>
      <c r="J4782" s="24"/>
      <c r="K4782" s="24"/>
      <c r="M4782" s="24"/>
      <c r="N4782" s="24"/>
      <c r="P4782" s="24"/>
    </row>
    <row r="4783" spans="2:16" x14ac:dyDescent="0.25">
      <c r="B4783" s="24"/>
      <c r="E4783" s="24"/>
      <c r="G4783" s="24"/>
      <c r="H4783" s="24"/>
      <c r="J4783" s="24"/>
      <c r="K4783" s="24"/>
      <c r="M4783" s="24"/>
      <c r="N4783" s="24"/>
      <c r="P4783" s="24"/>
    </row>
    <row r="4784" spans="2:16" x14ac:dyDescent="0.25">
      <c r="B4784" s="24"/>
      <c r="E4784" s="24"/>
      <c r="G4784" s="24"/>
      <c r="H4784" s="24"/>
      <c r="J4784" s="24"/>
      <c r="K4784" s="24"/>
      <c r="M4784" s="24"/>
      <c r="N4784" s="24"/>
      <c r="P4784" s="24"/>
    </row>
    <row r="4785" spans="2:16" x14ac:dyDescent="0.25">
      <c r="B4785" s="24"/>
      <c r="E4785" s="24"/>
      <c r="G4785" s="24"/>
      <c r="H4785" s="24"/>
      <c r="J4785" s="24"/>
      <c r="K4785" s="24"/>
      <c r="M4785" s="24"/>
      <c r="N4785" s="24"/>
      <c r="P4785" s="24"/>
    </row>
    <row r="4786" spans="2:16" x14ac:dyDescent="0.25">
      <c r="B4786" s="24"/>
      <c r="E4786" s="24"/>
      <c r="G4786" s="24"/>
      <c r="H4786" s="24"/>
      <c r="J4786" s="24"/>
      <c r="K4786" s="24"/>
      <c r="M4786" s="24"/>
      <c r="N4786" s="24"/>
      <c r="P4786" s="24"/>
    </row>
    <row r="4787" spans="2:16" x14ac:dyDescent="0.25">
      <c r="B4787" s="24"/>
      <c r="E4787" s="24"/>
      <c r="G4787" s="24"/>
      <c r="H4787" s="24"/>
      <c r="J4787" s="24"/>
      <c r="K4787" s="24"/>
      <c r="M4787" s="24"/>
      <c r="N4787" s="24"/>
      <c r="P4787" s="24"/>
    </row>
    <row r="4788" spans="2:16" x14ac:dyDescent="0.25">
      <c r="B4788" s="24"/>
      <c r="E4788" s="24"/>
      <c r="G4788" s="24"/>
      <c r="H4788" s="24"/>
      <c r="J4788" s="24"/>
      <c r="K4788" s="24"/>
      <c r="M4788" s="24"/>
      <c r="N4788" s="24"/>
      <c r="P4788" s="24"/>
    </row>
    <row r="4789" spans="2:16" x14ac:dyDescent="0.25">
      <c r="B4789" s="24"/>
      <c r="E4789" s="24"/>
      <c r="G4789" s="24"/>
      <c r="H4789" s="24"/>
      <c r="J4789" s="24"/>
      <c r="K4789" s="24"/>
      <c r="M4789" s="24"/>
      <c r="N4789" s="24"/>
      <c r="P4789" s="24"/>
    </row>
    <row r="4790" spans="2:16" x14ac:dyDescent="0.25">
      <c r="B4790" s="24"/>
      <c r="E4790" s="24"/>
      <c r="G4790" s="24"/>
      <c r="H4790" s="24"/>
      <c r="J4790" s="24"/>
      <c r="K4790" s="24"/>
      <c r="M4790" s="24"/>
      <c r="N4790" s="24"/>
      <c r="P4790" s="24"/>
    </row>
    <row r="4791" spans="2:16" x14ac:dyDescent="0.25">
      <c r="B4791" s="24"/>
      <c r="E4791" s="24"/>
      <c r="G4791" s="24"/>
      <c r="H4791" s="24"/>
      <c r="J4791" s="24"/>
      <c r="K4791" s="24"/>
      <c r="M4791" s="24"/>
      <c r="N4791" s="24"/>
      <c r="P4791" s="24"/>
    </row>
    <row r="4792" spans="2:16" x14ac:dyDescent="0.25">
      <c r="B4792" s="24"/>
      <c r="E4792" s="24"/>
      <c r="G4792" s="24"/>
      <c r="H4792" s="24"/>
      <c r="J4792" s="24"/>
      <c r="K4792" s="24"/>
      <c r="M4792" s="24"/>
      <c r="N4792" s="24"/>
      <c r="P4792" s="24"/>
    </row>
    <row r="4793" spans="2:16" x14ac:dyDescent="0.25">
      <c r="B4793" s="24"/>
      <c r="E4793" s="24"/>
      <c r="G4793" s="24"/>
      <c r="H4793" s="24"/>
      <c r="J4793" s="24"/>
      <c r="K4793" s="24"/>
      <c r="M4793" s="24"/>
      <c r="N4793" s="24"/>
      <c r="P4793" s="24"/>
    </row>
    <row r="4794" spans="2:16" x14ac:dyDescent="0.25">
      <c r="B4794" s="24"/>
      <c r="E4794" s="24"/>
      <c r="G4794" s="24"/>
      <c r="H4794" s="24"/>
      <c r="J4794" s="24"/>
      <c r="K4794" s="24"/>
      <c r="M4794" s="24"/>
      <c r="N4794" s="24"/>
      <c r="P4794" s="24"/>
    </row>
    <row r="4795" spans="2:16" x14ac:dyDescent="0.25">
      <c r="B4795" s="24"/>
      <c r="E4795" s="24"/>
      <c r="G4795" s="24"/>
      <c r="H4795" s="24"/>
      <c r="J4795" s="24"/>
      <c r="K4795" s="24"/>
      <c r="M4795" s="24"/>
      <c r="N4795" s="24"/>
      <c r="P4795" s="24"/>
    </row>
    <row r="4796" spans="2:16" x14ac:dyDescent="0.25">
      <c r="B4796" s="24"/>
      <c r="E4796" s="24"/>
      <c r="G4796" s="24"/>
      <c r="H4796" s="24"/>
      <c r="J4796" s="24"/>
      <c r="K4796" s="24"/>
      <c r="M4796" s="24"/>
      <c r="N4796" s="24"/>
      <c r="P4796" s="24"/>
    </row>
    <row r="4797" spans="2:16" x14ac:dyDescent="0.25">
      <c r="B4797" s="24"/>
      <c r="E4797" s="24"/>
      <c r="G4797" s="24"/>
      <c r="H4797" s="24"/>
      <c r="J4797" s="24"/>
      <c r="K4797" s="24"/>
      <c r="M4797" s="24"/>
      <c r="N4797" s="24"/>
      <c r="P4797" s="24"/>
    </row>
    <row r="4798" spans="2:16" x14ac:dyDescent="0.25">
      <c r="B4798" s="24"/>
      <c r="E4798" s="24"/>
      <c r="G4798" s="24"/>
      <c r="H4798" s="24"/>
      <c r="J4798" s="24"/>
      <c r="K4798" s="24"/>
      <c r="M4798" s="24"/>
      <c r="N4798" s="24"/>
      <c r="P4798" s="24"/>
    </row>
    <row r="4799" spans="2:16" x14ac:dyDescent="0.25">
      <c r="B4799" s="24"/>
      <c r="E4799" s="24"/>
      <c r="G4799" s="24"/>
      <c r="H4799" s="24"/>
      <c r="J4799" s="24"/>
      <c r="K4799" s="24"/>
      <c r="M4799" s="24"/>
      <c r="N4799" s="24"/>
      <c r="P4799" s="24"/>
    </row>
    <row r="4800" spans="2:16" x14ac:dyDescent="0.25">
      <c r="B4800" s="24"/>
      <c r="E4800" s="24"/>
      <c r="G4800" s="24"/>
      <c r="H4800" s="24"/>
      <c r="J4800" s="24"/>
      <c r="K4800" s="24"/>
      <c r="M4800" s="24"/>
      <c r="N4800" s="24"/>
      <c r="P4800" s="24"/>
    </row>
    <row r="4801" spans="2:16" x14ac:dyDescent="0.25">
      <c r="B4801" s="24"/>
      <c r="E4801" s="24"/>
      <c r="G4801" s="24"/>
      <c r="H4801" s="24"/>
      <c r="J4801" s="24"/>
      <c r="K4801" s="24"/>
      <c r="M4801" s="24"/>
      <c r="N4801" s="24"/>
      <c r="P4801" s="24"/>
    </row>
    <row r="4802" spans="2:16" x14ac:dyDescent="0.25">
      <c r="B4802" s="24"/>
      <c r="E4802" s="24"/>
      <c r="G4802" s="24"/>
      <c r="H4802" s="24"/>
      <c r="J4802" s="24"/>
      <c r="K4802" s="24"/>
      <c r="M4802" s="24"/>
      <c r="N4802" s="24"/>
      <c r="P4802" s="24"/>
    </row>
    <row r="4803" spans="2:16" x14ac:dyDescent="0.25">
      <c r="B4803" s="24"/>
      <c r="E4803" s="24"/>
      <c r="G4803" s="24"/>
      <c r="H4803" s="24"/>
      <c r="J4803" s="24"/>
      <c r="K4803" s="24"/>
      <c r="M4803" s="24"/>
      <c r="N4803" s="24"/>
      <c r="P4803" s="24"/>
    </row>
    <row r="4804" spans="2:16" x14ac:dyDescent="0.25">
      <c r="B4804" s="24"/>
      <c r="E4804" s="24"/>
      <c r="G4804" s="24"/>
      <c r="H4804" s="24"/>
      <c r="J4804" s="24"/>
      <c r="K4804" s="24"/>
      <c r="M4804" s="24"/>
      <c r="N4804" s="24"/>
      <c r="P4804" s="24"/>
    </row>
    <row r="4805" spans="2:16" x14ac:dyDescent="0.25">
      <c r="B4805" s="24"/>
      <c r="E4805" s="24"/>
      <c r="G4805" s="24"/>
      <c r="H4805" s="24"/>
      <c r="J4805" s="24"/>
      <c r="K4805" s="24"/>
      <c r="M4805" s="24"/>
      <c r="N4805" s="24"/>
      <c r="P4805" s="24"/>
    </row>
    <row r="4806" spans="2:16" x14ac:dyDescent="0.25">
      <c r="B4806" s="24"/>
      <c r="E4806" s="24"/>
      <c r="G4806" s="24"/>
      <c r="H4806" s="24"/>
      <c r="J4806" s="24"/>
      <c r="K4806" s="24"/>
      <c r="M4806" s="24"/>
      <c r="N4806" s="24"/>
      <c r="P4806" s="24"/>
    </row>
    <row r="4807" spans="2:16" x14ac:dyDescent="0.25">
      <c r="B4807" s="24"/>
      <c r="E4807" s="24"/>
      <c r="G4807" s="24"/>
      <c r="H4807" s="24"/>
      <c r="J4807" s="24"/>
      <c r="K4807" s="24"/>
      <c r="M4807" s="24"/>
      <c r="N4807" s="24"/>
      <c r="P4807" s="24"/>
    </row>
    <row r="4808" spans="2:16" x14ac:dyDescent="0.25">
      <c r="B4808" s="24"/>
      <c r="E4808" s="24"/>
      <c r="G4808" s="24"/>
      <c r="H4808" s="24"/>
      <c r="J4808" s="24"/>
      <c r="K4808" s="24"/>
      <c r="M4808" s="24"/>
      <c r="N4808" s="24"/>
      <c r="P4808" s="24"/>
    </row>
    <row r="4809" spans="2:16" x14ac:dyDescent="0.25">
      <c r="B4809" s="24"/>
      <c r="E4809" s="24"/>
      <c r="G4809" s="24"/>
      <c r="H4809" s="24"/>
      <c r="J4809" s="24"/>
      <c r="K4809" s="24"/>
      <c r="M4809" s="24"/>
      <c r="N4809" s="24"/>
      <c r="P4809" s="24"/>
    </row>
    <row r="4810" spans="2:16" x14ac:dyDescent="0.25">
      <c r="B4810" s="24"/>
      <c r="E4810" s="24"/>
      <c r="G4810" s="24"/>
      <c r="H4810" s="24"/>
      <c r="J4810" s="24"/>
      <c r="K4810" s="24"/>
      <c r="M4810" s="24"/>
      <c r="N4810" s="24"/>
      <c r="P4810" s="24"/>
    </row>
    <row r="4811" spans="2:16" x14ac:dyDescent="0.25">
      <c r="B4811" s="24"/>
      <c r="E4811" s="24"/>
      <c r="G4811" s="24"/>
      <c r="H4811" s="24"/>
      <c r="J4811" s="24"/>
      <c r="K4811" s="24"/>
      <c r="M4811" s="24"/>
      <c r="N4811" s="24"/>
      <c r="P4811" s="24"/>
    </row>
    <row r="4812" spans="2:16" x14ac:dyDescent="0.25">
      <c r="B4812" s="24"/>
      <c r="E4812" s="24"/>
      <c r="G4812" s="24"/>
      <c r="H4812" s="24"/>
      <c r="J4812" s="24"/>
      <c r="K4812" s="24"/>
      <c r="M4812" s="24"/>
      <c r="N4812" s="24"/>
      <c r="P4812" s="24"/>
    </row>
    <row r="4813" spans="2:16" x14ac:dyDescent="0.25">
      <c r="B4813" s="24"/>
      <c r="E4813" s="24"/>
      <c r="G4813" s="24"/>
      <c r="H4813" s="24"/>
      <c r="J4813" s="24"/>
      <c r="K4813" s="24"/>
      <c r="M4813" s="24"/>
      <c r="N4813" s="24"/>
      <c r="P4813" s="24"/>
    </row>
    <row r="4814" spans="2:16" x14ac:dyDescent="0.25">
      <c r="B4814" s="24"/>
      <c r="E4814" s="24"/>
      <c r="G4814" s="24"/>
      <c r="H4814" s="24"/>
      <c r="J4814" s="24"/>
      <c r="K4814" s="24"/>
      <c r="M4814" s="24"/>
      <c r="N4814" s="24"/>
      <c r="P4814" s="24"/>
    </row>
    <row r="4815" spans="2:16" x14ac:dyDescent="0.25">
      <c r="B4815" s="24"/>
      <c r="E4815" s="24"/>
      <c r="G4815" s="24"/>
      <c r="H4815" s="24"/>
      <c r="J4815" s="24"/>
      <c r="K4815" s="24"/>
      <c r="M4815" s="24"/>
      <c r="N4815" s="24"/>
      <c r="P4815" s="24"/>
    </row>
    <row r="4816" spans="2:16" x14ac:dyDescent="0.25">
      <c r="B4816" s="24"/>
      <c r="E4816" s="24"/>
      <c r="G4816" s="24"/>
      <c r="H4816" s="24"/>
      <c r="J4816" s="24"/>
      <c r="K4816" s="24"/>
      <c r="M4816" s="24"/>
      <c r="N4816" s="24"/>
      <c r="P4816" s="24"/>
    </row>
    <row r="4817" spans="2:16" x14ac:dyDescent="0.25">
      <c r="B4817" s="24"/>
      <c r="E4817" s="24"/>
      <c r="G4817" s="24"/>
      <c r="H4817" s="24"/>
      <c r="J4817" s="24"/>
      <c r="K4817" s="24"/>
      <c r="M4817" s="24"/>
      <c r="N4817" s="24"/>
      <c r="P4817" s="24"/>
    </row>
    <row r="4818" spans="2:16" x14ac:dyDescent="0.25">
      <c r="B4818" s="24"/>
      <c r="E4818" s="24"/>
      <c r="G4818" s="24"/>
      <c r="H4818" s="24"/>
      <c r="J4818" s="24"/>
      <c r="K4818" s="24"/>
      <c r="M4818" s="24"/>
      <c r="N4818" s="24"/>
      <c r="P4818" s="24"/>
    </row>
    <row r="4819" spans="2:16" x14ac:dyDescent="0.25">
      <c r="B4819" s="24"/>
      <c r="E4819" s="24"/>
      <c r="G4819" s="24"/>
      <c r="H4819" s="24"/>
      <c r="J4819" s="24"/>
      <c r="K4819" s="24"/>
      <c r="M4819" s="24"/>
      <c r="N4819" s="24"/>
      <c r="P4819" s="24"/>
    </row>
    <row r="4820" spans="2:16" x14ac:dyDescent="0.25">
      <c r="B4820" s="24"/>
      <c r="E4820" s="24"/>
      <c r="G4820" s="24"/>
      <c r="H4820" s="24"/>
      <c r="J4820" s="24"/>
      <c r="K4820" s="24"/>
      <c r="M4820" s="24"/>
      <c r="N4820" s="24"/>
      <c r="P4820" s="24"/>
    </row>
    <row r="4821" spans="2:16" x14ac:dyDescent="0.25">
      <c r="B4821" s="24"/>
      <c r="E4821" s="24"/>
      <c r="G4821" s="24"/>
      <c r="H4821" s="24"/>
      <c r="J4821" s="24"/>
      <c r="K4821" s="24"/>
      <c r="M4821" s="24"/>
      <c r="N4821" s="24"/>
      <c r="P4821" s="24"/>
    </row>
    <row r="4822" spans="2:16" x14ac:dyDescent="0.25">
      <c r="B4822" s="24"/>
      <c r="E4822" s="24"/>
      <c r="G4822" s="24"/>
      <c r="H4822" s="24"/>
      <c r="J4822" s="24"/>
      <c r="K4822" s="24"/>
      <c r="M4822" s="24"/>
      <c r="N4822" s="24"/>
      <c r="P4822" s="24"/>
    </row>
    <row r="4823" spans="2:16" x14ac:dyDescent="0.25">
      <c r="B4823" s="24"/>
      <c r="E4823" s="24"/>
      <c r="G4823" s="24"/>
      <c r="H4823" s="24"/>
      <c r="J4823" s="24"/>
      <c r="K4823" s="24"/>
      <c r="M4823" s="24"/>
      <c r="N4823" s="24"/>
      <c r="P4823" s="24"/>
    </row>
    <row r="4824" spans="2:16" x14ac:dyDescent="0.25">
      <c r="B4824" s="24"/>
      <c r="E4824" s="24"/>
      <c r="G4824" s="24"/>
      <c r="H4824" s="24"/>
      <c r="J4824" s="24"/>
      <c r="K4824" s="24"/>
      <c r="M4824" s="24"/>
      <c r="N4824" s="24"/>
      <c r="P4824" s="24"/>
    </row>
    <row r="4825" spans="2:16" x14ac:dyDescent="0.25">
      <c r="B4825" s="24"/>
      <c r="E4825" s="24"/>
      <c r="G4825" s="24"/>
      <c r="H4825" s="24"/>
      <c r="J4825" s="24"/>
      <c r="K4825" s="24"/>
      <c r="M4825" s="24"/>
      <c r="N4825" s="24"/>
      <c r="P4825" s="24"/>
    </row>
    <row r="4826" spans="2:16" x14ac:dyDescent="0.25">
      <c r="B4826" s="24"/>
      <c r="E4826" s="24"/>
      <c r="G4826" s="24"/>
      <c r="H4826" s="24"/>
      <c r="J4826" s="24"/>
      <c r="K4826" s="24"/>
      <c r="M4826" s="24"/>
      <c r="N4826" s="24"/>
      <c r="P4826" s="24"/>
    </row>
    <row r="4827" spans="2:16" x14ac:dyDescent="0.25">
      <c r="B4827" s="24"/>
      <c r="E4827" s="24"/>
      <c r="G4827" s="24"/>
      <c r="H4827" s="24"/>
      <c r="J4827" s="24"/>
      <c r="K4827" s="24"/>
      <c r="M4827" s="24"/>
      <c r="N4827" s="24"/>
      <c r="P4827" s="24"/>
    </row>
    <row r="4828" spans="2:16" x14ac:dyDescent="0.25">
      <c r="B4828" s="24"/>
      <c r="E4828" s="24"/>
      <c r="G4828" s="24"/>
      <c r="H4828" s="24"/>
      <c r="J4828" s="24"/>
      <c r="K4828" s="24"/>
      <c r="M4828" s="24"/>
      <c r="N4828" s="24"/>
      <c r="P4828" s="24"/>
    </row>
    <row r="4829" spans="2:16" x14ac:dyDescent="0.25">
      <c r="B4829" s="24"/>
      <c r="E4829" s="24"/>
      <c r="G4829" s="24"/>
      <c r="H4829" s="24"/>
      <c r="J4829" s="24"/>
      <c r="K4829" s="24"/>
      <c r="M4829" s="24"/>
      <c r="N4829" s="24"/>
      <c r="P4829" s="24"/>
    </row>
    <row r="4830" spans="2:16" x14ac:dyDescent="0.25">
      <c r="B4830" s="24"/>
      <c r="E4830" s="24"/>
      <c r="G4830" s="24"/>
      <c r="H4830" s="24"/>
      <c r="J4830" s="24"/>
      <c r="K4830" s="24"/>
      <c r="M4830" s="24"/>
      <c r="N4830" s="24"/>
      <c r="P4830" s="24"/>
    </row>
    <row r="4831" spans="2:16" x14ac:dyDescent="0.25">
      <c r="B4831" s="24"/>
      <c r="E4831" s="24"/>
      <c r="G4831" s="24"/>
      <c r="H4831" s="24"/>
      <c r="J4831" s="24"/>
      <c r="K4831" s="24"/>
      <c r="M4831" s="24"/>
      <c r="N4831" s="24"/>
      <c r="P4831" s="24"/>
    </row>
    <row r="4832" spans="2:16" x14ac:dyDescent="0.25">
      <c r="B4832" s="24"/>
      <c r="E4832" s="24"/>
      <c r="G4832" s="24"/>
      <c r="H4832" s="24"/>
      <c r="J4832" s="24"/>
      <c r="K4832" s="24"/>
      <c r="M4832" s="24"/>
      <c r="N4832" s="24"/>
      <c r="P4832" s="24"/>
    </row>
    <row r="4833" spans="2:16" x14ac:dyDescent="0.25">
      <c r="B4833" s="24"/>
      <c r="E4833" s="24"/>
      <c r="G4833" s="24"/>
      <c r="H4833" s="24"/>
      <c r="J4833" s="24"/>
      <c r="K4833" s="24"/>
      <c r="M4833" s="24"/>
      <c r="N4833" s="24"/>
      <c r="P4833" s="24"/>
    </row>
    <row r="4834" spans="2:16" x14ac:dyDescent="0.25">
      <c r="B4834" s="24"/>
      <c r="E4834" s="24"/>
      <c r="G4834" s="24"/>
      <c r="H4834" s="24"/>
      <c r="J4834" s="24"/>
      <c r="K4834" s="24"/>
      <c r="M4834" s="24"/>
      <c r="N4834" s="24"/>
      <c r="P4834" s="24"/>
    </row>
    <row r="4835" spans="2:16" x14ac:dyDescent="0.25">
      <c r="B4835" s="24"/>
      <c r="E4835" s="24"/>
      <c r="G4835" s="24"/>
      <c r="H4835" s="24"/>
      <c r="J4835" s="24"/>
      <c r="K4835" s="24"/>
      <c r="M4835" s="24"/>
      <c r="N4835" s="24"/>
      <c r="P4835" s="24"/>
    </row>
    <row r="4836" spans="2:16" x14ac:dyDescent="0.25">
      <c r="B4836" s="24"/>
      <c r="E4836" s="24"/>
      <c r="G4836" s="24"/>
      <c r="H4836" s="24"/>
      <c r="J4836" s="24"/>
      <c r="K4836" s="24"/>
      <c r="M4836" s="24"/>
      <c r="N4836" s="24"/>
      <c r="P4836" s="24"/>
    </row>
    <row r="4837" spans="2:16" x14ac:dyDescent="0.25">
      <c r="B4837" s="24"/>
      <c r="E4837" s="24"/>
      <c r="G4837" s="24"/>
      <c r="H4837" s="24"/>
      <c r="J4837" s="24"/>
      <c r="K4837" s="24"/>
      <c r="M4837" s="24"/>
      <c r="N4837" s="24"/>
      <c r="P4837" s="24"/>
    </row>
    <row r="4838" spans="2:16" x14ac:dyDescent="0.25">
      <c r="B4838" s="24"/>
      <c r="E4838" s="24"/>
      <c r="G4838" s="24"/>
      <c r="H4838" s="24"/>
      <c r="J4838" s="24"/>
      <c r="K4838" s="24"/>
      <c r="M4838" s="24"/>
      <c r="N4838" s="24"/>
      <c r="P4838" s="24"/>
    </row>
    <row r="4839" spans="2:16" x14ac:dyDescent="0.25">
      <c r="B4839" s="24"/>
      <c r="E4839" s="24"/>
      <c r="G4839" s="24"/>
      <c r="H4839" s="24"/>
      <c r="J4839" s="24"/>
      <c r="K4839" s="24"/>
      <c r="M4839" s="24"/>
      <c r="N4839" s="24"/>
      <c r="P4839" s="24"/>
    </row>
    <row r="4840" spans="2:16" x14ac:dyDescent="0.25">
      <c r="B4840" s="24"/>
      <c r="E4840" s="24"/>
      <c r="G4840" s="24"/>
      <c r="H4840" s="24"/>
      <c r="J4840" s="24"/>
      <c r="K4840" s="24"/>
      <c r="M4840" s="24"/>
      <c r="N4840" s="24"/>
      <c r="P4840" s="24"/>
    </row>
    <row r="4841" spans="2:16" x14ac:dyDescent="0.25">
      <c r="B4841" s="24"/>
      <c r="E4841" s="24"/>
      <c r="G4841" s="24"/>
      <c r="H4841" s="24"/>
      <c r="J4841" s="24"/>
      <c r="K4841" s="24"/>
      <c r="M4841" s="24"/>
      <c r="N4841" s="24"/>
      <c r="P4841" s="24"/>
    </row>
    <row r="4842" spans="2:16" x14ac:dyDescent="0.25">
      <c r="B4842" s="24"/>
      <c r="E4842" s="24"/>
      <c r="G4842" s="24"/>
      <c r="H4842" s="24"/>
      <c r="J4842" s="24"/>
      <c r="K4842" s="24"/>
      <c r="M4842" s="24"/>
      <c r="N4842" s="24"/>
      <c r="P4842" s="24"/>
    </row>
    <row r="4843" spans="2:16" x14ac:dyDescent="0.25">
      <c r="B4843" s="24"/>
      <c r="E4843" s="24"/>
      <c r="G4843" s="24"/>
      <c r="H4843" s="24"/>
      <c r="J4843" s="24"/>
      <c r="K4843" s="24"/>
      <c r="M4843" s="24"/>
      <c r="N4843" s="24"/>
      <c r="P4843" s="24"/>
    </row>
    <row r="4844" spans="2:16" x14ac:dyDescent="0.25">
      <c r="B4844" s="24"/>
      <c r="E4844" s="24"/>
      <c r="G4844" s="24"/>
      <c r="H4844" s="24"/>
      <c r="J4844" s="24"/>
      <c r="K4844" s="24"/>
      <c r="M4844" s="24"/>
      <c r="N4844" s="24"/>
      <c r="P4844" s="24"/>
    </row>
    <row r="4845" spans="2:16" x14ac:dyDescent="0.25">
      <c r="B4845" s="24"/>
      <c r="E4845" s="24"/>
      <c r="G4845" s="24"/>
      <c r="H4845" s="24"/>
      <c r="J4845" s="24"/>
      <c r="K4845" s="24"/>
      <c r="M4845" s="24"/>
      <c r="N4845" s="24"/>
      <c r="P4845" s="24"/>
    </row>
    <row r="4846" spans="2:16" x14ac:dyDescent="0.25">
      <c r="B4846" s="24"/>
      <c r="E4846" s="24"/>
      <c r="G4846" s="24"/>
      <c r="H4846" s="24"/>
      <c r="J4846" s="24"/>
      <c r="K4846" s="24"/>
      <c r="M4846" s="24"/>
      <c r="N4846" s="24"/>
      <c r="P4846" s="24"/>
    </row>
    <row r="4847" spans="2:16" x14ac:dyDescent="0.25">
      <c r="B4847" s="24"/>
      <c r="E4847" s="24"/>
      <c r="G4847" s="24"/>
      <c r="H4847" s="24"/>
      <c r="J4847" s="24"/>
      <c r="K4847" s="24"/>
      <c r="M4847" s="24"/>
      <c r="N4847" s="24"/>
      <c r="P4847" s="24"/>
    </row>
    <row r="4848" spans="2:16" x14ac:dyDescent="0.25">
      <c r="B4848" s="24"/>
      <c r="E4848" s="24"/>
      <c r="G4848" s="24"/>
      <c r="H4848" s="24"/>
      <c r="J4848" s="24"/>
      <c r="K4848" s="24"/>
      <c r="M4848" s="24"/>
      <c r="N4848" s="24"/>
      <c r="P4848" s="24"/>
    </row>
    <row r="4849" spans="2:16" x14ac:dyDescent="0.25">
      <c r="B4849" s="24"/>
      <c r="E4849" s="24"/>
      <c r="G4849" s="24"/>
      <c r="H4849" s="24"/>
      <c r="J4849" s="24"/>
      <c r="K4849" s="24"/>
      <c r="M4849" s="24"/>
      <c r="N4849" s="24"/>
      <c r="P4849" s="24"/>
    </row>
    <row r="4850" spans="2:16" x14ac:dyDescent="0.25">
      <c r="B4850" s="24"/>
      <c r="E4850" s="24"/>
      <c r="G4850" s="24"/>
      <c r="H4850" s="24"/>
      <c r="J4850" s="24"/>
      <c r="K4850" s="24"/>
      <c r="M4850" s="24"/>
      <c r="N4850" s="24"/>
      <c r="P4850" s="24"/>
    </row>
    <row r="4851" spans="2:16" x14ac:dyDescent="0.25">
      <c r="B4851" s="24"/>
      <c r="E4851" s="24"/>
      <c r="G4851" s="24"/>
      <c r="H4851" s="24"/>
      <c r="J4851" s="24"/>
      <c r="K4851" s="24"/>
      <c r="M4851" s="24"/>
      <c r="N4851" s="24"/>
      <c r="P4851" s="24"/>
    </row>
    <row r="4852" spans="2:16" x14ac:dyDescent="0.25">
      <c r="B4852" s="24"/>
      <c r="E4852" s="24"/>
      <c r="G4852" s="24"/>
      <c r="H4852" s="24"/>
      <c r="J4852" s="24"/>
      <c r="K4852" s="24"/>
      <c r="M4852" s="24"/>
      <c r="N4852" s="24"/>
      <c r="P4852" s="24"/>
    </row>
    <row r="4853" spans="2:16" x14ac:dyDescent="0.25">
      <c r="B4853" s="24"/>
      <c r="E4853" s="24"/>
      <c r="G4853" s="24"/>
      <c r="H4853" s="24"/>
      <c r="J4853" s="24"/>
      <c r="K4853" s="24"/>
      <c r="M4853" s="24"/>
      <c r="N4853" s="24"/>
      <c r="P4853" s="24"/>
    </row>
    <row r="4854" spans="2:16" x14ac:dyDescent="0.25">
      <c r="B4854" s="24"/>
      <c r="E4854" s="24"/>
      <c r="G4854" s="24"/>
      <c r="H4854" s="24"/>
      <c r="J4854" s="24"/>
      <c r="K4854" s="24"/>
      <c r="M4854" s="24"/>
      <c r="N4854" s="24"/>
      <c r="P4854" s="24"/>
    </row>
    <row r="4855" spans="2:16" x14ac:dyDescent="0.25">
      <c r="B4855" s="24"/>
      <c r="E4855" s="24"/>
      <c r="G4855" s="24"/>
      <c r="H4855" s="24"/>
      <c r="J4855" s="24"/>
      <c r="K4855" s="24"/>
      <c r="M4855" s="24"/>
      <c r="N4855" s="24"/>
      <c r="P4855" s="24"/>
    </row>
    <row r="4856" spans="2:16" x14ac:dyDescent="0.25">
      <c r="B4856" s="24"/>
      <c r="E4856" s="24"/>
      <c r="G4856" s="24"/>
      <c r="H4856" s="24"/>
      <c r="J4856" s="24"/>
      <c r="K4856" s="24"/>
      <c r="M4856" s="24"/>
      <c r="N4856" s="24"/>
      <c r="P4856" s="24"/>
    </row>
    <row r="4857" spans="2:16" x14ac:dyDescent="0.25">
      <c r="B4857" s="24"/>
      <c r="E4857" s="24"/>
      <c r="G4857" s="24"/>
      <c r="H4857" s="24"/>
      <c r="J4857" s="24"/>
      <c r="K4857" s="24"/>
      <c r="M4857" s="24"/>
      <c r="N4857" s="24"/>
      <c r="P4857" s="24"/>
    </row>
    <row r="4858" spans="2:16" x14ac:dyDescent="0.25">
      <c r="B4858" s="24"/>
      <c r="E4858" s="24"/>
      <c r="G4858" s="24"/>
      <c r="H4858" s="24"/>
      <c r="J4858" s="24"/>
      <c r="K4858" s="24"/>
      <c r="M4858" s="24"/>
      <c r="N4858" s="24"/>
      <c r="P4858" s="24"/>
    </row>
    <row r="4859" spans="2:16" x14ac:dyDescent="0.25">
      <c r="B4859" s="24"/>
      <c r="E4859" s="24"/>
      <c r="G4859" s="24"/>
      <c r="H4859" s="24"/>
      <c r="J4859" s="24"/>
      <c r="K4859" s="24"/>
      <c r="M4859" s="24"/>
      <c r="N4859" s="24"/>
      <c r="P4859" s="24"/>
    </row>
    <row r="4860" spans="2:16" x14ac:dyDescent="0.25">
      <c r="B4860" s="24"/>
      <c r="E4860" s="24"/>
      <c r="G4860" s="24"/>
      <c r="H4860" s="24"/>
      <c r="J4860" s="24"/>
      <c r="K4860" s="24"/>
      <c r="M4860" s="24"/>
      <c r="N4860" s="24"/>
      <c r="P4860" s="24"/>
    </row>
    <row r="4861" spans="2:16" x14ac:dyDescent="0.25">
      <c r="B4861" s="24"/>
      <c r="E4861" s="24"/>
      <c r="G4861" s="24"/>
      <c r="H4861" s="24"/>
      <c r="J4861" s="24"/>
      <c r="K4861" s="24"/>
      <c r="M4861" s="24"/>
      <c r="N4861" s="24"/>
      <c r="P4861" s="24"/>
    </row>
    <row r="4862" spans="2:16" x14ac:dyDescent="0.25">
      <c r="B4862" s="24"/>
      <c r="E4862" s="24"/>
      <c r="G4862" s="24"/>
      <c r="H4862" s="24"/>
      <c r="J4862" s="24"/>
      <c r="K4862" s="24"/>
      <c r="M4862" s="24"/>
      <c r="N4862" s="24"/>
      <c r="P4862" s="24"/>
    </row>
    <row r="4863" spans="2:16" x14ac:dyDescent="0.25">
      <c r="B4863" s="24"/>
      <c r="E4863" s="24"/>
      <c r="G4863" s="24"/>
      <c r="H4863" s="24"/>
      <c r="J4863" s="24"/>
      <c r="K4863" s="24"/>
      <c r="M4863" s="24"/>
      <c r="N4863" s="24"/>
      <c r="P4863" s="24"/>
    </row>
    <row r="4864" spans="2:16" x14ac:dyDescent="0.25">
      <c r="B4864" s="24"/>
      <c r="E4864" s="24"/>
      <c r="G4864" s="24"/>
      <c r="H4864" s="24"/>
      <c r="J4864" s="24"/>
      <c r="K4864" s="24"/>
      <c r="M4864" s="24"/>
      <c r="N4864" s="24"/>
      <c r="P4864" s="24"/>
    </row>
    <row r="4865" spans="2:16" x14ac:dyDescent="0.25">
      <c r="B4865" s="24"/>
      <c r="E4865" s="24"/>
      <c r="G4865" s="24"/>
      <c r="H4865" s="24"/>
      <c r="J4865" s="24"/>
      <c r="K4865" s="24"/>
      <c r="M4865" s="24"/>
      <c r="N4865" s="24"/>
      <c r="P4865" s="24"/>
    </row>
    <row r="4866" spans="2:16" x14ac:dyDescent="0.25">
      <c r="B4866" s="24"/>
      <c r="E4866" s="24"/>
      <c r="G4866" s="24"/>
      <c r="H4866" s="24"/>
      <c r="J4866" s="24"/>
      <c r="K4866" s="24"/>
      <c r="M4866" s="24"/>
      <c r="N4866" s="24"/>
      <c r="P4866" s="24"/>
    </row>
    <row r="4867" spans="2:16" x14ac:dyDescent="0.25">
      <c r="B4867" s="24"/>
      <c r="E4867" s="24"/>
      <c r="G4867" s="24"/>
      <c r="H4867" s="24"/>
      <c r="J4867" s="24"/>
      <c r="K4867" s="24"/>
      <c r="M4867" s="24"/>
      <c r="N4867" s="24"/>
      <c r="P4867" s="24"/>
    </row>
    <row r="4868" spans="2:16" x14ac:dyDescent="0.25">
      <c r="B4868" s="24"/>
      <c r="E4868" s="24"/>
      <c r="G4868" s="24"/>
      <c r="H4868" s="24"/>
      <c r="J4868" s="24"/>
      <c r="K4868" s="24"/>
      <c r="M4868" s="24"/>
      <c r="N4868" s="24"/>
      <c r="P4868" s="24"/>
    </row>
    <row r="4869" spans="2:16" x14ac:dyDescent="0.25">
      <c r="B4869" s="24"/>
      <c r="E4869" s="24"/>
      <c r="G4869" s="24"/>
      <c r="H4869" s="24"/>
      <c r="J4869" s="24"/>
      <c r="K4869" s="24"/>
      <c r="M4869" s="24"/>
      <c r="N4869" s="24"/>
      <c r="P4869" s="24"/>
    </row>
    <row r="4870" spans="2:16" x14ac:dyDescent="0.25">
      <c r="B4870" s="24"/>
      <c r="E4870" s="24"/>
      <c r="G4870" s="24"/>
      <c r="H4870" s="24"/>
      <c r="J4870" s="24"/>
      <c r="K4870" s="24"/>
      <c r="M4870" s="24"/>
      <c r="N4870" s="24"/>
      <c r="P4870" s="24"/>
    </row>
    <row r="4871" spans="2:16" x14ac:dyDescent="0.25">
      <c r="B4871" s="24"/>
      <c r="E4871" s="24"/>
      <c r="G4871" s="24"/>
      <c r="H4871" s="24"/>
      <c r="J4871" s="24"/>
      <c r="K4871" s="24"/>
      <c r="M4871" s="24"/>
      <c r="N4871" s="24"/>
      <c r="P4871" s="24"/>
    </row>
    <row r="4872" spans="2:16" x14ac:dyDescent="0.25">
      <c r="B4872" s="24"/>
      <c r="E4872" s="24"/>
      <c r="G4872" s="24"/>
      <c r="H4872" s="24"/>
      <c r="J4872" s="24"/>
      <c r="K4872" s="24"/>
      <c r="M4872" s="24"/>
      <c r="N4872" s="24"/>
      <c r="P4872" s="24"/>
    </row>
    <row r="4873" spans="2:16" x14ac:dyDescent="0.25">
      <c r="B4873" s="24"/>
      <c r="E4873" s="24"/>
      <c r="G4873" s="24"/>
      <c r="H4873" s="24"/>
      <c r="J4873" s="24"/>
      <c r="K4873" s="24"/>
      <c r="M4873" s="24"/>
      <c r="N4873" s="24"/>
      <c r="P4873" s="24"/>
    </row>
    <row r="4874" spans="2:16" x14ac:dyDescent="0.25">
      <c r="B4874" s="24"/>
      <c r="E4874" s="24"/>
      <c r="G4874" s="24"/>
      <c r="H4874" s="24"/>
      <c r="J4874" s="24"/>
      <c r="K4874" s="24"/>
      <c r="M4874" s="24"/>
      <c r="N4874" s="24"/>
      <c r="P4874" s="24"/>
    </row>
    <row r="4875" spans="2:16" x14ac:dyDescent="0.25">
      <c r="B4875" s="24"/>
      <c r="E4875" s="24"/>
      <c r="G4875" s="24"/>
      <c r="H4875" s="24"/>
      <c r="J4875" s="24"/>
      <c r="K4875" s="24"/>
      <c r="M4875" s="24"/>
      <c r="N4875" s="24"/>
      <c r="P4875" s="24"/>
    </row>
    <row r="4876" spans="2:16" x14ac:dyDescent="0.25">
      <c r="B4876" s="24"/>
      <c r="E4876" s="24"/>
      <c r="G4876" s="24"/>
      <c r="H4876" s="24"/>
      <c r="J4876" s="24"/>
      <c r="K4876" s="24"/>
      <c r="M4876" s="24"/>
      <c r="N4876" s="24"/>
      <c r="P4876" s="24"/>
    </row>
    <row r="4877" spans="2:16" x14ac:dyDescent="0.25">
      <c r="B4877" s="24"/>
      <c r="E4877" s="24"/>
      <c r="G4877" s="24"/>
      <c r="H4877" s="24"/>
      <c r="J4877" s="24"/>
      <c r="K4877" s="24"/>
      <c r="M4877" s="24"/>
      <c r="N4877" s="24"/>
      <c r="P4877" s="24"/>
    </row>
    <row r="4878" spans="2:16" x14ac:dyDescent="0.25">
      <c r="B4878" s="24"/>
      <c r="E4878" s="24"/>
      <c r="G4878" s="24"/>
      <c r="H4878" s="24"/>
      <c r="J4878" s="24"/>
      <c r="K4878" s="24"/>
      <c r="M4878" s="24"/>
      <c r="N4878" s="24"/>
      <c r="P4878" s="24"/>
    </row>
    <row r="4879" spans="2:16" x14ac:dyDescent="0.25">
      <c r="B4879" s="24"/>
      <c r="E4879" s="24"/>
      <c r="G4879" s="24"/>
      <c r="H4879" s="24"/>
      <c r="J4879" s="24"/>
      <c r="K4879" s="24"/>
      <c r="M4879" s="24"/>
      <c r="N4879" s="24"/>
      <c r="P4879" s="24"/>
    </row>
    <row r="4880" spans="2:16" x14ac:dyDescent="0.25">
      <c r="B4880" s="24"/>
      <c r="E4880" s="24"/>
      <c r="G4880" s="24"/>
      <c r="H4880" s="24"/>
      <c r="J4880" s="24"/>
      <c r="K4880" s="24"/>
      <c r="M4880" s="24"/>
      <c r="N4880" s="24"/>
      <c r="P4880" s="24"/>
    </row>
    <row r="4881" spans="2:16" x14ac:dyDescent="0.25">
      <c r="B4881" s="24"/>
      <c r="E4881" s="24"/>
      <c r="G4881" s="24"/>
      <c r="H4881" s="24"/>
      <c r="J4881" s="24"/>
      <c r="K4881" s="24"/>
      <c r="M4881" s="24"/>
      <c r="N4881" s="24"/>
      <c r="P4881" s="24"/>
    </row>
    <row r="4882" spans="2:16" x14ac:dyDescent="0.25">
      <c r="B4882" s="24"/>
      <c r="E4882" s="24"/>
      <c r="G4882" s="24"/>
      <c r="H4882" s="24"/>
      <c r="J4882" s="24"/>
      <c r="K4882" s="24"/>
      <c r="M4882" s="24"/>
      <c r="N4882" s="24"/>
      <c r="P4882" s="24"/>
    </row>
    <row r="4883" spans="2:16" x14ac:dyDescent="0.25">
      <c r="B4883" s="24"/>
      <c r="E4883" s="24"/>
      <c r="G4883" s="24"/>
      <c r="H4883" s="24"/>
      <c r="J4883" s="24"/>
      <c r="K4883" s="24"/>
      <c r="M4883" s="24"/>
      <c r="N4883" s="24"/>
      <c r="P4883" s="24"/>
    </row>
    <row r="4884" spans="2:16" x14ac:dyDescent="0.25">
      <c r="B4884" s="24"/>
      <c r="E4884" s="24"/>
      <c r="G4884" s="24"/>
      <c r="H4884" s="24"/>
      <c r="J4884" s="24"/>
      <c r="K4884" s="24"/>
      <c r="M4884" s="24"/>
      <c r="N4884" s="24"/>
      <c r="P4884" s="24"/>
    </row>
    <row r="4885" spans="2:16" x14ac:dyDescent="0.25">
      <c r="B4885" s="24"/>
      <c r="E4885" s="24"/>
      <c r="G4885" s="24"/>
      <c r="H4885" s="24"/>
      <c r="J4885" s="24"/>
      <c r="K4885" s="24"/>
      <c r="M4885" s="24"/>
      <c r="N4885" s="24"/>
      <c r="P4885" s="24"/>
    </row>
    <row r="4886" spans="2:16" x14ac:dyDescent="0.25">
      <c r="B4886" s="24"/>
      <c r="E4886" s="24"/>
      <c r="G4886" s="24"/>
      <c r="H4886" s="24"/>
      <c r="J4886" s="24"/>
      <c r="K4886" s="24"/>
      <c r="M4886" s="24"/>
      <c r="N4886" s="24"/>
      <c r="P4886" s="24"/>
    </row>
    <row r="4887" spans="2:16" x14ac:dyDescent="0.25">
      <c r="B4887" s="24"/>
      <c r="E4887" s="24"/>
      <c r="G4887" s="24"/>
      <c r="H4887" s="24"/>
      <c r="J4887" s="24"/>
      <c r="K4887" s="24"/>
      <c r="M4887" s="24"/>
      <c r="N4887" s="24"/>
      <c r="P4887" s="24"/>
    </row>
    <row r="4888" spans="2:16" x14ac:dyDescent="0.25">
      <c r="B4888" s="24"/>
      <c r="E4888" s="24"/>
      <c r="G4888" s="24"/>
      <c r="H4888" s="24"/>
      <c r="J4888" s="24"/>
      <c r="K4888" s="24"/>
      <c r="M4888" s="24"/>
      <c r="N4888" s="24"/>
      <c r="P4888" s="24"/>
    </row>
    <row r="4889" spans="2:16" x14ac:dyDescent="0.25">
      <c r="B4889" s="24"/>
      <c r="E4889" s="24"/>
      <c r="G4889" s="24"/>
      <c r="H4889" s="24"/>
      <c r="J4889" s="24"/>
      <c r="K4889" s="24"/>
      <c r="M4889" s="24"/>
      <c r="N4889" s="24"/>
      <c r="P4889" s="24"/>
    </row>
    <row r="4890" spans="2:16" x14ac:dyDescent="0.25">
      <c r="B4890" s="24"/>
      <c r="E4890" s="24"/>
      <c r="G4890" s="24"/>
      <c r="H4890" s="24"/>
      <c r="J4890" s="24"/>
      <c r="K4890" s="24"/>
      <c r="M4890" s="24"/>
      <c r="N4890" s="24"/>
      <c r="P4890" s="24"/>
    </row>
    <row r="4891" spans="2:16" x14ac:dyDescent="0.25">
      <c r="B4891" s="24"/>
      <c r="E4891" s="24"/>
      <c r="G4891" s="24"/>
      <c r="H4891" s="24"/>
      <c r="J4891" s="24"/>
      <c r="K4891" s="24"/>
      <c r="M4891" s="24"/>
      <c r="N4891" s="24"/>
      <c r="P4891" s="24"/>
    </row>
    <row r="4892" spans="2:16" x14ac:dyDescent="0.25">
      <c r="B4892" s="24"/>
      <c r="E4892" s="24"/>
      <c r="G4892" s="24"/>
      <c r="H4892" s="24"/>
      <c r="J4892" s="24"/>
      <c r="K4892" s="24"/>
      <c r="M4892" s="24"/>
      <c r="N4892" s="24"/>
      <c r="P4892" s="24"/>
    </row>
    <row r="4893" spans="2:16" x14ac:dyDescent="0.25">
      <c r="B4893" s="24"/>
      <c r="E4893" s="24"/>
      <c r="G4893" s="24"/>
      <c r="H4893" s="24"/>
      <c r="J4893" s="24"/>
      <c r="K4893" s="24"/>
      <c r="M4893" s="24"/>
      <c r="N4893" s="24"/>
      <c r="P4893" s="24"/>
    </row>
    <row r="4894" spans="2:16" x14ac:dyDescent="0.25">
      <c r="B4894" s="24"/>
      <c r="E4894" s="24"/>
      <c r="G4894" s="24"/>
      <c r="H4894" s="24"/>
      <c r="J4894" s="24"/>
      <c r="K4894" s="24"/>
      <c r="M4894" s="24"/>
      <c r="N4894" s="24"/>
      <c r="P4894" s="24"/>
    </row>
    <row r="4895" spans="2:16" x14ac:dyDescent="0.25">
      <c r="B4895" s="24"/>
      <c r="E4895" s="24"/>
      <c r="G4895" s="24"/>
      <c r="H4895" s="24"/>
      <c r="J4895" s="24"/>
      <c r="K4895" s="24"/>
      <c r="M4895" s="24"/>
      <c r="N4895" s="24"/>
      <c r="P4895" s="24"/>
    </row>
    <row r="4896" spans="2:16" x14ac:dyDescent="0.25">
      <c r="B4896" s="24"/>
      <c r="E4896" s="24"/>
      <c r="G4896" s="24"/>
      <c r="H4896" s="24"/>
      <c r="J4896" s="24"/>
      <c r="K4896" s="24"/>
      <c r="M4896" s="24"/>
      <c r="N4896" s="24"/>
      <c r="P4896" s="24"/>
    </row>
    <row r="4897" spans="2:16" x14ac:dyDescent="0.25">
      <c r="B4897" s="24"/>
      <c r="E4897" s="24"/>
      <c r="G4897" s="24"/>
      <c r="H4897" s="24"/>
      <c r="J4897" s="24"/>
      <c r="K4897" s="24"/>
      <c r="M4897" s="24"/>
      <c r="N4897" s="24"/>
      <c r="P4897" s="24"/>
    </row>
    <row r="4898" spans="2:16" x14ac:dyDescent="0.25">
      <c r="B4898" s="24"/>
      <c r="E4898" s="24"/>
      <c r="G4898" s="24"/>
      <c r="H4898" s="24"/>
      <c r="J4898" s="24"/>
      <c r="K4898" s="24"/>
      <c r="M4898" s="24"/>
      <c r="N4898" s="24"/>
      <c r="P4898" s="24"/>
    </row>
    <row r="4899" spans="2:16" x14ac:dyDescent="0.25">
      <c r="B4899" s="24"/>
      <c r="E4899" s="24"/>
      <c r="G4899" s="24"/>
      <c r="H4899" s="24"/>
      <c r="J4899" s="24"/>
      <c r="K4899" s="24"/>
      <c r="M4899" s="24"/>
      <c r="N4899" s="24"/>
      <c r="P4899" s="24"/>
    </row>
    <row r="4900" spans="2:16" x14ac:dyDescent="0.25">
      <c r="B4900" s="24"/>
      <c r="E4900" s="24"/>
      <c r="G4900" s="24"/>
      <c r="H4900" s="24"/>
      <c r="J4900" s="24"/>
      <c r="K4900" s="24"/>
      <c r="M4900" s="24"/>
      <c r="N4900" s="24"/>
      <c r="P4900" s="24"/>
    </row>
    <row r="4901" spans="2:16" x14ac:dyDescent="0.25">
      <c r="B4901" s="24"/>
      <c r="E4901" s="24"/>
      <c r="G4901" s="24"/>
      <c r="H4901" s="24"/>
      <c r="J4901" s="24"/>
      <c r="K4901" s="24"/>
      <c r="M4901" s="24"/>
      <c r="N4901" s="24"/>
      <c r="P4901" s="24"/>
    </row>
    <row r="4902" spans="2:16" x14ac:dyDescent="0.25">
      <c r="B4902" s="24"/>
      <c r="E4902" s="24"/>
      <c r="G4902" s="24"/>
      <c r="H4902" s="24"/>
      <c r="J4902" s="24"/>
      <c r="K4902" s="24"/>
      <c r="M4902" s="24"/>
      <c r="N4902" s="24"/>
      <c r="P4902" s="24"/>
    </row>
    <row r="4903" spans="2:16" x14ac:dyDescent="0.25">
      <c r="B4903" s="24"/>
      <c r="E4903" s="24"/>
      <c r="G4903" s="24"/>
      <c r="H4903" s="24"/>
      <c r="J4903" s="24"/>
      <c r="K4903" s="24"/>
      <c r="M4903" s="24"/>
      <c r="N4903" s="24"/>
      <c r="P4903" s="24"/>
    </row>
    <row r="4904" spans="2:16" x14ac:dyDescent="0.25">
      <c r="B4904" s="24"/>
      <c r="E4904" s="24"/>
      <c r="G4904" s="24"/>
      <c r="H4904" s="24"/>
      <c r="J4904" s="24"/>
      <c r="K4904" s="24"/>
      <c r="M4904" s="24"/>
      <c r="N4904" s="24"/>
      <c r="P4904" s="24"/>
    </row>
    <row r="4905" spans="2:16" x14ac:dyDescent="0.25">
      <c r="B4905" s="24"/>
      <c r="E4905" s="24"/>
      <c r="G4905" s="24"/>
      <c r="H4905" s="24"/>
      <c r="J4905" s="24"/>
      <c r="K4905" s="24"/>
      <c r="M4905" s="24"/>
      <c r="N4905" s="24"/>
      <c r="P4905" s="24"/>
    </row>
    <row r="4906" spans="2:16" x14ac:dyDescent="0.25">
      <c r="B4906" s="24"/>
      <c r="E4906" s="24"/>
      <c r="G4906" s="24"/>
      <c r="H4906" s="24"/>
      <c r="J4906" s="24"/>
      <c r="K4906" s="24"/>
      <c r="M4906" s="24"/>
      <c r="N4906" s="24"/>
      <c r="P4906" s="24"/>
    </row>
    <row r="4907" spans="2:16" x14ac:dyDescent="0.25">
      <c r="B4907" s="24"/>
      <c r="E4907" s="24"/>
      <c r="G4907" s="24"/>
      <c r="H4907" s="24"/>
      <c r="J4907" s="24"/>
      <c r="K4907" s="24"/>
      <c r="M4907" s="24"/>
      <c r="N4907" s="24"/>
      <c r="P4907" s="24"/>
    </row>
    <row r="4908" spans="2:16" x14ac:dyDescent="0.25">
      <c r="B4908" s="24"/>
      <c r="E4908" s="24"/>
      <c r="G4908" s="24"/>
      <c r="H4908" s="24"/>
      <c r="J4908" s="24"/>
      <c r="K4908" s="24"/>
      <c r="M4908" s="24"/>
      <c r="N4908" s="24"/>
      <c r="P4908" s="24"/>
    </row>
    <row r="4909" spans="2:16" x14ac:dyDescent="0.25">
      <c r="B4909" s="24"/>
      <c r="E4909" s="24"/>
      <c r="G4909" s="24"/>
      <c r="H4909" s="24"/>
      <c r="J4909" s="24"/>
      <c r="K4909" s="24"/>
      <c r="M4909" s="24"/>
      <c r="N4909" s="24"/>
      <c r="P4909" s="24"/>
    </row>
    <row r="4910" spans="2:16" x14ac:dyDescent="0.25">
      <c r="B4910" s="24"/>
      <c r="E4910" s="24"/>
      <c r="G4910" s="24"/>
      <c r="H4910" s="24"/>
      <c r="J4910" s="24"/>
      <c r="K4910" s="24"/>
      <c r="M4910" s="24"/>
      <c r="N4910" s="24"/>
      <c r="P4910" s="24"/>
    </row>
    <row r="4911" spans="2:16" x14ac:dyDescent="0.25">
      <c r="B4911" s="24"/>
      <c r="E4911" s="24"/>
      <c r="G4911" s="24"/>
      <c r="H4911" s="24"/>
      <c r="J4911" s="24"/>
      <c r="K4911" s="24"/>
      <c r="M4911" s="24"/>
      <c r="N4911" s="24"/>
      <c r="P4911" s="24"/>
    </row>
    <row r="4912" spans="2:16" x14ac:dyDescent="0.25">
      <c r="B4912" s="24"/>
      <c r="E4912" s="24"/>
      <c r="G4912" s="24"/>
      <c r="H4912" s="24"/>
      <c r="J4912" s="24"/>
      <c r="K4912" s="24"/>
      <c r="M4912" s="24"/>
      <c r="N4912" s="24"/>
      <c r="P4912" s="24"/>
    </row>
    <row r="4913" spans="2:16" x14ac:dyDescent="0.25">
      <c r="B4913" s="24"/>
      <c r="E4913" s="24"/>
      <c r="G4913" s="24"/>
      <c r="H4913" s="24"/>
      <c r="J4913" s="24"/>
      <c r="K4913" s="24"/>
      <c r="M4913" s="24"/>
      <c r="N4913" s="24"/>
      <c r="P4913" s="24"/>
    </row>
    <row r="4914" spans="2:16" x14ac:dyDescent="0.25">
      <c r="B4914" s="24"/>
      <c r="E4914" s="24"/>
      <c r="G4914" s="24"/>
      <c r="H4914" s="24"/>
      <c r="J4914" s="24"/>
      <c r="K4914" s="24"/>
      <c r="M4914" s="24"/>
      <c r="N4914" s="24"/>
      <c r="P4914" s="24"/>
    </row>
    <row r="4915" spans="2:16" x14ac:dyDescent="0.25">
      <c r="B4915" s="24"/>
      <c r="E4915" s="24"/>
      <c r="G4915" s="24"/>
      <c r="H4915" s="24"/>
      <c r="J4915" s="24"/>
      <c r="K4915" s="24"/>
      <c r="M4915" s="24"/>
      <c r="N4915" s="24"/>
      <c r="P4915" s="24"/>
    </row>
    <row r="4916" spans="2:16" x14ac:dyDescent="0.25">
      <c r="B4916" s="24"/>
      <c r="E4916" s="24"/>
      <c r="G4916" s="24"/>
      <c r="H4916" s="24"/>
      <c r="J4916" s="24"/>
      <c r="K4916" s="24"/>
      <c r="M4916" s="24"/>
      <c r="N4916" s="24"/>
      <c r="P4916" s="24"/>
    </row>
    <row r="4917" spans="2:16" x14ac:dyDescent="0.25">
      <c r="B4917" s="24"/>
      <c r="E4917" s="24"/>
      <c r="G4917" s="24"/>
      <c r="H4917" s="24"/>
      <c r="J4917" s="24"/>
      <c r="K4917" s="24"/>
      <c r="M4917" s="24"/>
      <c r="N4917" s="24"/>
      <c r="P4917" s="24"/>
    </row>
    <row r="4918" spans="2:16" x14ac:dyDescent="0.25">
      <c r="B4918" s="24"/>
      <c r="E4918" s="24"/>
      <c r="G4918" s="24"/>
      <c r="H4918" s="24"/>
      <c r="J4918" s="24"/>
      <c r="K4918" s="24"/>
      <c r="M4918" s="24"/>
      <c r="N4918" s="24"/>
      <c r="P4918" s="24"/>
    </row>
    <row r="4919" spans="2:16" x14ac:dyDescent="0.25">
      <c r="B4919" s="24"/>
      <c r="E4919" s="24"/>
      <c r="G4919" s="24"/>
      <c r="H4919" s="24"/>
      <c r="J4919" s="24"/>
      <c r="K4919" s="24"/>
      <c r="M4919" s="24"/>
      <c r="N4919" s="24"/>
      <c r="P4919" s="24"/>
    </row>
    <row r="4920" spans="2:16" x14ac:dyDescent="0.25">
      <c r="B4920" s="24"/>
      <c r="E4920" s="24"/>
      <c r="G4920" s="24"/>
      <c r="H4920" s="24"/>
      <c r="J4920" s="24"/>
      <c r="K4920" s="24"/>
      <c r="M4920" s="24"/>
      <c r="N4920" s="24"/>
      <c r="P4920" s="24"/>
    </row>
    <row r="4921" spans="2:16" x14ac:dyDescent="0.25">
      <c r="B4921" s="24"/>
      <c r="E4921" s="24"/>
      <c r="G4921" s="24"/>
      <c r="H4921" s="24"/>
      <c r="J4921" s="24"/>
      <c r="K4921" s="24"/>
      <c r="M4921" s="24"/>
      <c r="N4921" s="24"/>
      <c r="P4921" s="24"/>
    </row>
    <row r="4922" spans="2:16" x14ac:dyDescent="0.25">
      <c r="B4922" s="24"/>
      <c r="E4922" s="24"/>
      <c r="G4922" s="24"/>
      <c r="H4922" s="24"/>
      <c r="J4922" s="24"/>
      <c r="K4922" s="24"/>
      <c r="M4922" s="24"/>
      <c r="N4922" s="24"/>
      <c r="P4922" s="24"/>
    </row>
    <row r="4923" spans="2:16" x14ac:dyDescent="0.25">
      <c r="B4923" s="24"/>
      <c r="E4923" s="24"/>
      <c r="G4923" s="24"/>
      <c r="H4923" s="24"/>
      <c r="J4923" s="24"/>
      <c r="K4923" s="24"/>
      <c r="M4923" s="24"/>
      <c r="N4923" s="24"/>
      <c r="P4923" s="24"/>
    </row>
    <row r="4924" spans="2:16" x14ac:dyDescent="0.25">
      <c r="B4924" s="24"/>
      <c r="E4924" s="24"/>
      <c r="G4924" s="24"/>
      <c r="H4924" s="24"/>
      <c r="J4924" s="24"/>
      <c r="K4924" s="24"/>
      <c r="M4924" s="24"/>
      <c r="N4924" s="24"/>
      <c r="P4924" s="24"/>
    </row>
    <row r="4925" spans="2:16" x14ac:dyDescent="0.25">
      <c r="B4925" s="24"/>
      <c r="E4925" s="24"/>
      <c r="G4925" s="24"/>
      <c r="H4925" s="24"/>
      <c r="J4925" s="24"/>
      <c r="K4925" s="24"/>
      <c r="M4925" s="24"/>
      <c r="N4925" s="24"/>
      <c r="P4925" s="24"/>
    </row>
    <row r="4926" spans="2:16" x14ac:dyDescent="0.25">
      <c r="B4926" s="24"/>
      <c r="E4926" s="24"/>
      <c r="G4926" s="24"/>
      <c r="H4926" s="24"/>
      <c r="J4926" s="24"/>
      <c r="K4926" s="24"/>
      <c r="M4926" s="24"/>
      <c r="N4926" s="24"/>
      <c r="P4926" s="24"/>
    </row>
    <row r="4927" spans="2:16" x14ac:dyDescent="0.25">
      <c r="B4927" s="24"/>
      <c r="E4927" s="24"/>
      <c r="G4927" s="24"/>
      <c r="H4927" s="24"/>
      <c r="J4927" s="24"/>
      <c r="K4927" s="24"/>
      <c r="M4927" s="24"/>
      <c r="N4927" s="24"/>
      <c r="P4927" s="24"/>
    </row>
    <row r="4928" spans="2:16" x14ac:dyDescent="0.25">
      <c r="B4928" s="24"/>
      <c r="E4928" s="24"/>
      <c r="G4928" s="24"/>
      <c r="H4928" s="24"/>
      <c r="J4928" s="24"/>
      <c r="K4928" s="24"/>
      <c r="M4928" s="24"/>
      <c r="N4928" s="24"/>
      <c r="P4928" s="24"/>
    </row>
    <row r="4929" spans="2:16" x14ac:dyDescent="0.25">
      <c r="B4929" s="24"/>
      <c r="E4929" s="24"/>
      <c r="G4929" s="24"/>
      <c r="H4929" s="24"/>
      <c r="J4929" s="24"/>
      <c r="K4929" s="24"/>
      <c r="M4929" s="24"/>
      <c r="N4929" s="24"/>
      <c r="P4929" s="24"/>
    </row>
    <row r="4930" spans="2:16" x14ac:dyDescent="0.25">
      <c r="B4930" s="24"/>
      <c r="E4930" s="24"/>
      <c r="G4930" s="24"/>
      <c r="H4930" s="24"/>
      <c r="J4930" s="24"/>
      <c r="K4930" s="24"/>
      <c r="M4930" s="24"/>
      <c r="N4930" s="24"/>
      <c r="P4930" s="24"/>
    </row>
    <row r="4931" spans="2:16" x14ac:dyDescent="0.25">
      <c r="B4931" s="24"/>
      <c r="E4931" s="24"/>
      <c r="G4931" s="24"/>
      <c r="H4931" s="24"/>
      <c r="J4931" s="24"/>
      <c r="K4931" s="24"/>
      <c r="M4931" s="24"/>
      <c r="N4931" s="24"/>
      <c r="P4931" s="24"/>
    </row>
    <row r="4932" spans="2:16" x14ac:dyDescent="0.25">
      <c r="B4932" s="24"/>
      <c r="E4932" s="24"/>
      <c r="G4932" s="24"/>
      <c r="H4932" s="24"/>
      <c r="J4932" s="24"/>
      <c r="K4932" s="24"/>
      <c r="M4932" s="24"/>
      <c r="N4932" s="24"/>
      <c r="P4932" s="24"/>
    </row>
    <row r="4933" spans="2:16" x14ac:dyDescent="0.25">
      <c r="B4933" s="24"/>
      <c r="E4933" s="24"/>
      <c r="G4933" s="24"/>
      <c r="H4933" s="24"/>
      <c r="J4933" s="24"/>
      <c r="K4933" s="24"/>
      <c r="M4933" s="24"/>
      <c r="N4933" s="24"/>
      <c r="P4933" s="24"/>
    </row>
    <row r="4934" spans="2:16" x14ac:dyDescent="0.25">
      <c r="B4934" s="24"/>
      <c r="E4934" s="24"/>
      <c r="G4934" s="24"/>
      <c r="H4934" s="24"/>
      <c r="J4934" s="24"/>
      <c r="K4934" s="24"/>
      <c r="M4934" s="24"/>
      <c r="N4934" s="24"/>
      <c r="P4934" s="24"/>
    </row>
    <row r="4935" spans="2:16" x14ac:dyDescent="0.25">
      <c r="B4935" s="24"/>
      <c r="E4935" s="24"/>
      <c r="G4935" s="24"/>
      <c r="H4935" s="24"/>
      <c r="J4935" s="24"/>
      <c r="K4935" s="24"/>
      <c r="M4935" s="24"/>
      <c r="N4935" s="24"/>
      <c r="P4935" s="24"/>
    </row>
    <row r="4936" spans="2:16" x14ac:dyDescent="0.25">
      <c r="B4936" s="24"/>
      <c r="E4936" s="24"/>
      <c r="G4936" s="24"/>
      <c r="H4936" s="24"/>
      <c r="J4936" s="24"/>
      <c r="K4936" s="24"/>
      <c r="M4936" s="24"/>
      <c r="N4936" s="24"/>
      <c r="P4936" s="24"/>
    </row>
    <row r="4937" spans="2:16" x14ac:dyDescent="0.25">
      <c r="B4937" s="24"/>
      <c r="E4937" s="24"/>
      <c r="G4937" s="24"/>
      <c r="H4937" s="24"/>
      <c r="J4937" s="24"/>
      <c r="K4937" s="24"/>
      <c r="M4937" s="24"/>
      <c r="N4937" s="24"/>
      <c r="P4937" s="24"/>
    </row>
    <row r="4938" spans="2:16" x14ac:dyDescent="0.25">
      <c r="B4938" s="24"/>
      <c r="E4938" s="24"/>
      <c r="G4938" s="24"/>
      <c r="H4938" s="24"/>
      <c r="J4938" s="24"/>
      <c r="K4938" s="24"/>
      <c r="M4938" s="24"/>
      <c r="N4938" s="24"/>
      <c r="P4938" s="24"/>
    </row>
    <row r="4939" spans="2:16" x14ac:dyDescent="0.25">
      <c r="B4939" s="24"/>
      <c r="E4939" s="24"/>
      <c r="G4939" s="24"/>
      <c r="H4939" s="24"/>
      <c r="J4939" s="24"/>
      <c r="K4939" s="24"/>
      <c r="M4939" s="24"/>
      <c r="N4939" s="24"/>
      <c r="P4939" s="24"/>
    </row>
    <row r="4940" spans="2:16" x14ac:dyDescent="0.25">
      <c r="B4940" s="24"/>
      <c r="E4940" s="24"/>
      <c r="G4940" s="24"/>
      <c r="H4940" s="24"/>
      <c r="J4940" s="24"/>
      <c r="K4940" s="24"/>
      <c r="M4940" s="24"/>
      <c r="N4940" s="24"/>
      <c r="P4940" s="24"/>
    </row>
    <row r="4941" spans="2:16" x14ac:dyDescent="0.25">
      <c r="B4941" s="24"/>
      <c r="E4941" s="24"/>
      <c r="G4941" s="24"/>
      <c r="H4941" s="24"/>
      <c r="J4941" s="24"/>
      <c r="K4941" s="24"/>
      <c r="M4941" s="24"/>
      <c r="N4941" s="24"/>
      <c r="P4941" s="24"/>
    </row>
    <row r="4942" spans="2:16" x14ac:dyDescent="0.25">
      <c r="B4942" s="24"/>
      <c r="E4942" s="24"/>
      <c r="G4942" s="24"/>
      <c r="H4942" s="24"/>
      <c r="J4942" s="24"/>
      <c r="K4942" s="24"/>
      <c r="M4942" s="24"/>
      <c r="N4942" s="24"/>
      <c r="P4942" s="24"/>
    </row>
    <row r="4943" spans="2:16" x14ac:dyDescent="0.25">
      <c r="B4943" s="24"/>
      <c r="E4943" s="24"/>
      <c r="G4943" s="24"/>
      <c r="H4943" s="24"/>
      <c r="J4943" s="24"/>
      <c r="K4943" s="24"/>
      <c r="M4943" s="24"/>
      <c r="N4943" s="24"/>
      <c r="P4943" s="24"/>
    </row>
    <row r="4944" spans="2:16" x14ac:dyDescent="0.25">
      <c r="B4944" s="24"/>
      <c r="E4944" s="24"/>
      <c r="G4944" s="24"/>
      <c r="H4944" s="24"/>
      <c r="J4944" s="24"/>
      <c r="K4944" s="24"/>
      <c r="M4944" s="24"/>
      <c r="N4944" s="24"/>
      <c r="P4944" s="24"/>
    </row>
    <row r="4945" spans="2:16" x14ac:dyDescent="0.25">
      <c r="B4945" s="24"/>
      <c r="E4945" s="24"/>
      <c r="G4945" s="24"/>
      <c r="H4945" s="24"/>
      <c r="J4945" s="24"/>
      <c r="K4945" s="24"/>
      <c r="M4945" s="24"/>
      <c r="N4945" s="24"/>
      <c r="P4945" s="24"/>
    </row>
    <row r="4946" spans="2:16" x14ac:dyDescent="0.25">
      <c r="B4946" s="24"/>
      <c r="E4946" s="24"/>
      <c r="G4946" s="24"/>
      <c r="H4946" s="24"/>
      <c r="J4946" s="24"/>
      <c r="K4946" s="24"/>
      <c r="M4946" s="24"/>
      <c r="N4946" s="24"/>
      <c r="P4946" s="24"/>
    </row>
    <row r="4947" spans="2:16" x14ac:dyDescent="0.25">
      <c r="B4947" s="24"/>
      <c r="E4947" s="24"/>
      <c r="G4947" s="24"/>
      <c r="H4947" s="24"/>
      <c r="J4947" s="24"/>
      <c r="K4947" s="24"/>
      <c r="M4947" s="24"/>
      <c r="N4947" s="24"/>
      <c r="P4947" s="24"/>
    </row>
    <row r="4948" spans="2:16" x14ac:dyDescent="0.25">
      <c r="B4948" s="24"/>
      <c r="E4948" s="24"/>
      <c r="G4948" s="24"/>
      <c r="H4948" s="24"/>
      <c r="J4948" s="24"/>
      <c r="K4948" s="24"/>
      <c r="M4948" s="24"/>
      <c r="N4948" s="24"/>
      <c r="P4948" s="24"/>
    </row>
    <row r="4949" spans="2:16" x14ac:dyDescent="0.25">
      <c r="B4949" s="24"/>
      <c r="E4949" s="24"/>
      <c r="G4949" s="24"/>
      <c r="H4949" s="24"/>
      <c r="J4949" s="24"/>
      <c r="K4949" s="24"/>
      <c r="M4949" s="24"/>
      <c r="N4949" s="24"/>
      <c r="P4949" s="24"/>
    </row>
    <row r="4950" spans="2:16" x14ac:dyDescent="0.25">
      <c r="B4950" s="24"/>
      <c r="E4950" s="24"/>
      <c r="G4950" s="24"/>
      <c r="H4950" s="24"/>
      <c r="J4950" s="24"/>
      <c r="K4950" s="24"/>
      <c r="M4950" s="24"/>
      <c r="N4950" s="24"/>
      <c r="P4950" s="24"/>
    </row>
    <row r="4951" spans="2:16" x14ac:dyDescent="0.25">
      <c r="B4951" s="24"/>
      <c r="E4951" s="24"/>
      <c r="G4951" s="24"/>
      <c r="H4951" s="24"/>
      <c r="J4951" s="24"/>
      <c r="K4951" s="24"/>
      <c r="M4951" s="24"/>
      <c r="N4951" s="24"/>
      <c r="P4951" s="24"/>
    </row>
    <row r="4952" spans="2:16" x14ac:dyDescent="0.25">
      <c r="B4952" s="24"/>
      <c r="E4952" s="24"/>
      <c r="G4952" s="24"/>
      <c r="H4952" s="24"/>
      <c r="J4952" s="24"/>
      <c r="K4952" s="24"/>
      <c r="M4952" s="24"/>
      <c r="N4952" s="24"/>
      <c r="P4952" s="24"/>
    </row>
    <row r="4953" spans="2:16" x14ac:dyDescent="0.25">
      <c r="B4953" s="24"/>
      <c r="E4953" s="24"/>
      <c r="G4953" s="24"/>
      <c r="H4953" s="24"/>
      <c r="J4953" s="24"/>
      <c r="K4953" s="24"/>
      <c r="M4953" s="24"/>
      <c r="N4953" s="24"/>
      <c r="P4953" s="24"/>
    </row>
    <row r="4954" spans="2:16" x14ac:dyDescent="0.25">
      <c r="B4954" s="24"/>
      <c r="E4954" s="24"/>
      <c r="G4954" s="24"/>
      <c r="H4954" s="24"/>
      <c r="J4954" s="24"/>
      <c r="K4954" s="24"/>
      <c r="M4954" s="24"/>
      <c r="N4954" s="24"/>
      <c r="P4954" s="24"/>
    </row>
    <row r="4955" spans="2:16" x14ac:dyDescent="0.25">
      <c r="B4955" s="24"/>
      <c r="E4955" s="24"/>
      <c r="G4955" s="24"/>
      <c r="H4955" s="24"/>
      <c r="J4955" s="24"/>
      <c r="K4955" s="24"/>
      <c r="M4955" s="24"/>
      <c r="N4955" s="24"/>
      <c r="P4955" s="24"/>
    </row>
    <row r="4956" spans="2:16" x14ac:dyDescent="0.25">
      <c r="B4956" s="24"/>
      <c r="E4956" s="24"/>
      <c r="G4956" s="24"/>
      <c r="H4956" s="24"/>
      <c r="J4956" s="24"/>
      <c r="K4956" s="24"/>
      <c r="M4956" s="24"/>
      <c r="N4956" s="24"/>
      <c r="P4956" s="24"/>
    </row>
    <row r="4957" spans="2:16" x14ac:dyDescent="0.25">
      <c r="B4957" s="24"/>
      <c r="E4957" s="24"/>
      <c r="G4957" s="24"/>
      <c r="H4957" s="24"/>
      <c r="J4957" s="24"/>
      <c r="K4957" s="24"/>
      <c r="M4957" s="24"/>
      <c r="N4957" s="24"/>
      <c r="P4957" s="24"/>
    </row>
    <row r="4958" spans="2:16" x14ac:dyDescent="0.25">
      <c r="B4958" s="24"/>
      <c r="E4958" s="24"/>
      <c r="G4958" s="24"/>
      <c r="H4958" s="24"/>
      <c r="J4958" s="24"/>
      <c r="K4958" s="24"/>
      <c r="M4958" s="24"/>
      <c r="N4958" s="24"/>
      <c r="P4958" s="24"/>
    </row>
    <row r="4959" spans="2:16" x14ac:dyDescent="0.25">
      <c r="B4959" s="24"/>
      <c r="E4959" s="24"/>
      <c r="G4959" s="24"/>
      <c r="H4959" s="24"/>
      <c r="J4959" s="24"/>
      <c r="K4959" s="24"/>
      <c r="M4959" s="24"/>
      <c r="N4959" s="24"/>
      <c r="P4959" s="24"/>
    </row>
    <row r="4960" spans="2:16" x14ac:dyDescent="0.25">
      <c r="B4960" s="24"/>
      <c r="E4960" s="24"/>
      <c r="G4960" s="24"/>
      <c r="H4960" s="24"/>
      <c r="J4960" s="24"/>
      <c r="K4960" s="24"/>
      <c r="M4960" s="24"/>
      <c r="N4960" s="24"/>
      <c r="P4960" s="24"/>
    </row>
    <row r="4961" spans="2:16" x14ac:dyDescent="0.25">
      <c r="B4961" s="24"/>
      <c r="E4961" s="24"/>
      <c r="G4961" s="24"/>
      <c r="H4961" s="24"/>
      <c r="J4961" s="24"/>
      <c r="K4961" s="24"/>
      <c r="M4961" s="24"/>
      <c r="N4961" s="24"/>
      <c r="P4961" s="24"/>
    </row>
    <row r="4962" spans="2:16" x14ac:dyDescent="0.25">
      <c r="B4962" s="24"/>
      <c r="E4962" s="24"/>
      <c r="G4962" s="24"/>
      <c r="H4962" s="24"/>
      <c r="J4962" s="24"/>
      <c r="K4962" s="24"/>
      <c r="M4962" s="24"/>
      <c r="N4962" s="24"/>
      <c r="P4962" s="24"/>
    </row>
    <row r="4963" spans="2:16" x14ac:dyDescent="0.25">
      <c r="B4963" s="24"/>
      <c r="E4963" s="24"/>
      <c r="G4963" s="24"/>
      <c r="H4963" s="24"/>
      <c r="J4963" s="24"/>
      <c r="K4963" s="24"/>
      <c r="M4963" s="24"/>
      <c r="N4963" s="24"/>
      <c r="P4963" s="24"/>
    </row>
    <row r="4964" spans="2:16" x14ac:dyDescent="0.25">
      <c r="B4964" s="24"/>
      <c r="E4964" s="24"/>
      <c r="G4964" s="24"/>
      <c r="H4964" s="24"/>
      <c r="J4964" s="24"/>
      <c r="K4964" s="24"/>
      <c r="M4964" s="24"/>
      <c r="N4964" s="24"/>
      <c r="P4964" s="24"/>
    </row>
    <row r="4965" spans="2:16" x14ac:dyDescent="0.25">
      <c r="B4965" s="24"/>
      <c r="E4965" s="24"/>
      <c r="G4965" s="24"/>
      <c r="H4965" s="24"/>
      <c r="J4965" s="24"/>
      <c r="K4965" s="24"/>
      <c r="M4965" s="24"/>
      <c r="N4965" s="24"/>
      <c r="P4965" s="24"/>
    </row>
    <row r="4966" spans="2:16" x14ac:dyDescent="0.25">
      <c r="B4966" s="24"/>
      <c r="E4966" s="24"/>
      <c r="G4966" s="24"/>
      <c r="H4966" s="24"/>
      <c r="J4966" s="24"/>
      <c r="K4966" s="24"/>
      <c r="M4966" s="24"/>
      <c r="N4966" s="24"/>
      <c r="P4966" s="24"/>
    </row>
    <row r="4967" spans="2:16" x14ac:dyDescent="0.25">
      <c r="B4967" s="24"/>
      <c r="E4967" s="24"/>
      <c r="G4967" s="24"/>
      <c r="H4967" s="24"/>
      <c r="J4967" s="24"/>
      <c r="K4967" s="24"/>
      <c r="M4967" s="24"/>
      <c r="N4967" s="24"/>
      <c r="P4967" s="24"/>
    </row>
    <row r="4968" spans="2:16" x14ac:dyDescent="0.25">
      <c r="B4968" s="24"/>
      <c r="E4968" s="24"/>
      <c r="G4968" s="24"/>
      <c r="H4968" s="24"/>
      <c r="J4968" s="24"/>
      <c r="K4968" s="24"/>
      <c r="M4968" s="24"/>
      <c r="N4968" s="24"/>
      <c r="P4968" s="24"/>
    </row>
    <row r="4969" spans="2:16" x14ac:dyDescent="0.25">
      <c r="B4969" s="24"/>
      <c r="E4969" s="24"/>
      <c r="G4969" s="24"/>
      <c r="H4969" s="24"/>
      <c r="J4969" s="24"/>
      <c r="K4969" s="24"/>
      <c r="M4969" s="24"/>
      <c r="N4969" s="24"/>
      <c r="P4969" s="24"/>
    </row>
    <row r="4970" spans="2:16" x14ac:dyDescent="0.25">
      <c r="B4970" s="24"/>
      <c r="E4970" s="24"/>
      <c r="G4970" s="24"/>
      <c r="H4970" s="24"/>
      <c r="J4970" s="24"/>
      <c r="K4970" s="24"/>
      <c r="M4970" s="24"/>
      <c r="N4970" s="24"/>
      <c r="P4970" s="24"/>
    </row>
    <row r="4971" spans="2:16" x14ac:dyDescent="0.25">
      <c r="B4971" s="24"/>
      <c r="E4971" s="24"/>
      <c r="G4971" s="24"/>
      <c r="H4971" s="24"/>
      <c r="J4971" s="24"/>
      <c r="K4971" s="24"/>
      <c r="M4971" s="24"/>
      <c r="N4971" s="24"/>
      <c r="P4971" s="24"/>
    </row>
    <row r="4972" spans="2:16" x14ac:dyDescent="0.25">
      <c r="B4972" s="24"/>
      <c r="E4972" s="24"/>
      <c r="G4972" s="24"/>
      <c r="H4972" s="24"/>
      <c r="J4972" s="24"/>
      <c r="K4972" s="24"/>
      <c r="M4972" s="24"/>
      <c r="N4972" s="24"/>
      <c r="P4972" s="24"/>
    </row>
    <row r="4973" spans="2:16" x14ac:dyDescent="0.25">
      <c r="B4973" s="24"/>
      <c r="E4973" s="24"/>
      <c r="G4973" s="24"/>
      <c r="H4973" s="24"/>
      <c r="J4973" s="24"/>
      <c r="K4973" s="24"/>
      <c r="M4973" s="24"/>
      <c r="N4973" s="24"/>
      <c r="P4973" s="24"/>
    </row>
    <row r="4974" spans="2:16" x14ac:dyDescent="0.25">
      <c r="B4974" s="24"/>
      <c r="E4974" s="24"/>
      <c r="G4974" s="24"/>
      <c r="H4974" s="24"/>
      <c r="J4974" s="24"/>
      <c r="K4974" s="24"/>
      <c r="M4974" s="24"/>
      <c r="N4974" s="24"/>
      <c r="P4974" s="24"/>
    </row>
    <row r="4975" spans="2:16" x14ac:dyDescent="0.25">
      <c r="B4975" s="24"/>
      <c r="E4975" s="24"/>
      <c r="G4975" s="24"/>
      <c r="H4975" s="24"/>
      <c r="J4975" s="24"/>
      <c r="K4975" s="24"/>
      <c r="M4975" s="24"/>
      <c r="N4975" s="24"/>
      <c r="P4975" s="24"/>
    </row>
    <row r="4976" spans="2:16" x14ac:dyDescent="0.25">
      <c r="B4976" s="24"/>
      <c r="E4976" s="24"/>
      <c r="G4976" s="24"/>
      <c r="H4976" s="24"/>
      <c r="J4976" s="24"/>
      <c r="K4976" s="24"/>
      <c r="M4976" s="24"/>
      <c r="N4976" s="24"/>
      <c r="P4976" s="24"/>
    </row>
    <row r="4977" spans="2:16" x14ac:dyDescent="0.25">
      <c r="B4977" s="24"/>
      <c r="E4977" s="24"/>
      <c r="G4977" s="24"/>
      <c r="H4977" s="24"/>
      <c r="J4977" s="24"/>
      <c r="K4977" s="24"/>
      <c r="M4977" s="24"/>
      <c r="N4977" s="24"/>
      <c r="P4977" s="24"/>
    </row>
    <row r="4978" spans="2:16" x14ac:dyDescent="0.25">
      <c r="B4978" s="24"/>
      <c r="E4978" s="24"/>
      <c r="G4978" s="24"/>
      <c r="H4978" s="24"/>
      <c r="J4978" s="24"/>
      <c r="K4978" s="24"/>
      <c r="M4978" s="24"/>
      <c r="N4978" s="24"/>
      <c r="P4978" s="24"/>
    </row>
    <row r="4979" spans="2:16" x14ac:dyDescent="0.25">
      <c r="B4979" s="24"/>
      <c r="E4979" s="24"/>
      <c r="G4979" s="24"/>
      <c r="H4979" s="24"/>
      <c r="J4979" s="24"/>
      <c r="K4979" s="24"/>
      <c r="M4979" s="24"/>
      <c r="N4979" s="24"/>
      <c r="P4979" s="24"/>
    </row>
    <row r="4980" spans="2:16" x14ac:dyDescent="0.25">
      <c r="B4980" s="24"/>
      <c r="E4980" s="24"/>
      <c r="G4980" s="24"/>
      <c r="H4980" s="24"/>
      <c r="J4980" s="24"/>
      <c r="K4980" s="24"/>
      <c r="M4980" s="24"/>
      <c r="N4980" s="24"/>
      <c r="P4980" s="24"/>
    </row>
    <row r="4981" spans="2:16" x14ac:dyDescent="0.25">
      <c r="B4981" s="24"/>
      <c r="E4981" s="24"/>
      <c r="G4981" s="24"/>
      <c r="H4981" s="24"/>
      <c r="J4981" s="24"/>
      <c r="K4981" s="24"/>
      <c r="M4981" s="24"/>
      <c r="N4981" s="24"/>
      <c r="P4981" s="24"/>
    </row>
    <row r="4982" spans="2:16" x14ac:dyDescent="0.25">
      <c r="B4982" s="24"/>
      <c r="E4982" s="24"/>
      <c r="G4982" s="24"/>
      <c r="H4982" s="24"/>
      <c r="J4982" s="24"/>
      <c r="K4982" s="24"/>
      <c r="M4982" s="24"/>
      <c r="N4982" s="24"/>
      <c r="P4982" s="24"/>
    </row>
    <row r="4983" spans="2:16" x14ac:dyDescent="0.25">
      <c r="B4983" s="24"/>
      <c r="E4983" s="24"/>
      <c r="G4983" s="24"/>
      <c r="H4983" s="24"/>
      <c r="J4983" s="24"/>
      <c r="K4983" s="24"/>
      <c r="M4983" s="24"/>
      <c r="N4983" s="24"/>
      <c r="P4983" s="24"/>
    </row>
    <row r="4984" spans="2:16" x14ac:dyDescent="0.25">
      <c r="B4984" s="24"/>
      <c r="E4984" s="24"/>
      <c r="G4984" s="24"/>
      <c r="H4984" s="24"/>
      <c r="J4984" s="24"/>
      <c r="K4984" s="24"/>
      <c r="M4984" s="24"/>
      <c r="N4984" s="24"/>
      <c r="P4984" s="24"/>
    </row>
    <row r="4985" spans="2:16" x14ac:dyDescent="0.25">
      <c r="B4985" s="24"/>
      <c r="E4985" s="24"/>
      <c r="G4985" s="24"/>
      <c r="H4985" s="24"/>
      <c r="J4985" s="24"/>
      <c r="K4985" s="24"/>
      <c r="M4985" s="24"/>
      <c r="N4985" s="24"/>
      <c r="P4985" s="24"/>
    </row>
    <row r="4986" spans="2:16" x14ac:dyDescent="0.25">
      <c r="B4986" s="24"/>
      <c r="E4986" s="24"/>
      <c r="G4986" s="24"/>
      <c r="H4986" s="24"/>
      <c r="J4986" s="24"/>
      <c r="K4986" s="24"/>
      <c r="M4986" s="24"/>
      <c r="N4986" s="24"/>
      <c r="P4986" s="24"/>
    </row>
    <row r="4987" spans="2:16" x14ac:dyDescent="0.25">
      <c r="B4987" s="24"/>
      <c r="E4987" s="24"/>
      <c r="G4987" s="24"/>
      <c r="H4987" s="24"/>
      <c r="J4987" s="24"/>
      <c r="K4987" s="24"/>
      <c r="M4987" s="24"/>
      <c r="N4987" s="24"/>
      <c r="P4987" s="24"/>
    </row>
    <row r="4988" spans="2:16" x14ac:dyDescent="0.25">
      <c r="B4988" s="24"/>
      <c r="E4988" s="24"/>
      <c r="G4988" s="24"/>
      <c r="H4988" s="24"/>
      <c r="J4988" s="24"/>
      <c r="K4988" s="24"/>
      <c r="M4988" s="24"/>
      <c r="N4988" s="24"/>
      <c r="P4988" s="24"/>
    </row>
    <row r="4989" spans="2:16" x14ac:dyDescent="0.25">
      <c r="B4989" s="24"/>
      <c r="E4989" s="24"/>
      <c r="G4989" s="24"/>
      <c r="H4989" s="24"/>
      <c r="J4989" s="24"/>
      <c r="K4989" s="24"/>
      <c r="M4989" s="24"/>
      <c r="N4989" s="24"/>
      <c r="P4989" s="24"/>
    </row>
    <row r="4990" spans="2:16" x14ac:dyDescent="0.25">
      <c r="B4990" s="24"/>
      <c r="E4990" s="24"/>
      <c r="G4990" s="24"/>
      <c r="H4990" s="24"/>
      <c r="J4990" s="24"/>
      <c r="K4990" s="24"/>
      <c r="M4990" s="24"/>
      <c r="N4990" s="24"/>
      <c r="P4990" s="24"/>
    </row>
    <row r="4991" spans="2:16" x14ac:dyDescent="0.25">
      <c r="B4991" s="24"/>
      <c r="E4991" s="24"/>
      <c r="G4991" s="24"/>
      <c r="H4991" s="24"/>
      <c r="J4991" s="24"/>
      <c r="K4991" s="24"/>
      <c r="M4991" s="24"/>
      <c r="N4991" s="24"/>
      <c r="P4991" s="24"/>
    </row>
    <row r="4992" spans="2:16" x14ac:dyDescent="0.25">
      <c r="B4992" s="24"/>
      <c r="E4992" s="24"/>
      <c r="G4992" s="24"/>
      <c r="H4992" s="24"/>
      <c r="J4992" s="24"/>
      <c r="K4992" s="24"/>
      <c r="M4992" s="24"/>
      <c r="N4992" s="24"/>
      <c r="P4992" s="24"/>
    </row>
    <row r="4993" spans="2:16" x14ac:dyDescent="0.25">
      <c r="B4993" s="24"/>
      <c r="E4993" s="24"/>
      <c r="G4993" s="24"/>
      <c r="H4993" s="24"/>
      <c r="J4993" s="24"/>
      <c r="K4993" s="24"/>
      <c r="M4993" s="24"/>
      <c r="N4993" s="24"/>
      <c r="P4993" s="24"/>
    </row>
    <row r="4994" spans="2:16" x14ac:dyDescent="0.25">
      <c r="B4994" s="24"/>
      <c r="E4994" s="24"/>
      <c r="G4994" s="24"/>
      <c r="H4994" s="24"/>
      <c r="J4994" s="24"/>
      <c r="K4994" s="24"/>
      <c r="M4994" s="24"/>
      <c r="N4994" s="24"/>
      <c r="P4994" s="24"/>
    </row>
    <row r="4995" spans="2:16" x14ac:dyDescent="0.25">
      <c r="B4995" s="24"/>
      <c r="E4995" s="24"/>
      <c r="G4995" s="24"/>
      <c r="H4995" s="24"/>
      <c r="J4995" s="24"/>
      <c r="K4995" s="24"/>
      <c r="M4995" s="24"/>
      <c r="N4995" s="24"/>
      <c r="P4995" s="24"/>
    </row>
    <row r="4996" spans="2:16" x14ac:dyDescent="0.25">
      <c r="B4996" s="24"/>
      <c r="E4996" s="24"/>
      <c r="G4996" s="24"/>
      <c r="H4996" s="24"/>
      <c r="J4996" s="24"/>
      <c r="K4996" s="24"/>
      <c r="M4996" s="24"/>
      <c r="N4996" s="24"/>
      <c r="P4996" s="24"/>
    </row>
    <row r="4997" spans="2:16" x14ac:dyDescent="0.25">
      <c r="B4997" s="24"/>
      <c r="E4997" s="24"/>
      <c r="G4997" s="24"/>
      <c r="H4997" s="24"/>
      <c r="J4997" s="24"/>
      <c r="K4997" s="24"/>
      <c r="M4997" s="24"/>
      <c r="N4997" s="24"/>
      <c r="P4997" s="24"/>
    </row>
    <row r="4998" spans="2:16" x14ac:dyDescent="0.25">
      <c r="B4998" s="24"/>
      <c r="E4998" s="24"/>
      <c r="G4998" s="24"/>
      <c r="H4998" s="24"/>
      <c r="J4998" s="24"/>
      <c r="K4998" s="24"/>
      <c r="M4998" s="24"/>
      <c r="N4998" s="24"/>
      <c r="P4998" s="24"/>
    </row>
    <row r="4999" spans="2:16" x14ac:dyDescent="0.25">
      <c r="B4999" s="24"/>
      <c r="E4999" s="24"/>
      <c r="G4999" s="24"/>
      <c r="H4999" s="24"/>
      <c r="J4999" s="24"/>
      <c r="K4999" s="24"/>
      <c r="M4999" s="24"/>
      <c r="N4999" s="24"/>
      <c r="P4999" s="24"/>
    </row>
    <row r="5000" spans="2:16" x14ac:dyDescent="0.25">
      <c r="B5000" s="24"/>
      <c r="E5000" s="24"/>
      <c r="G5000" s="24"/>
      <c r="H5000" s="24"/>
      <c r="J5000" s="24"/>
      <c r="K5000" s="24"/>
      <c r="M5000" s="24"/>
      <c r="N5000" s="24"/>
      <c r="P5000" s="24"/>
    </row>
    <row r="5001" spans="2:16" x14ac:dyDescent="0.25">
      <c r="B5001" s="24"/>
      <c r="E5001" s="24"/>
      <c r="G5001" s="24"/>
      <c r="H5001" s="24"/>
      <c r="J5001" s="24"/>
      <c r="K5001" s="24"/>
      <c r="M5001" s="24"/>
      <c r="N5001" s="24"/>
      <c r="P5001" s="24"/>
    </row>
    <row r="5002" spans="2:16" x14ac:dyDescent="0.25">
      <c r="B5002" s="24"/>
      <c r="E5002" s="24"/>
      <c r="G5002" s="24"/>
      <c r="H5002" s="24"/>
      <c r="J5002" s="24"/>
      <c r="K5002" s="24"/>
      <c r="M5002" s="24"/>
      <c r="N5002" s="24"/>
      <c r="P5002" s="24"/>
    </row>
    <row r="5003" spans="2:16" x14ac:dyDescent="0.25">
      <c r="B5003" s="24"/>
      <c r="E5003" s="24"/>
      <c r="G5003" s="24"/>
      <c r="H5003" s="24"/>
      <c r="J5003" s="24"/>
      <c r="K5003" s="24"/>
      <c r="M5003" s="24"/>
      <c r="N5003" s="24"/>
      <c r="P5003" s="24"/>
    </row>
    <row r="5004" spans="2:16" x14ac:dyDescent="0.25">
      <c r="B5004" s="24"/>
      <c r="E5004" s="24"/>
      <c r="G5004" s="24"/>
      <c r="H5004" s="24"/>
      <c r="J5004" s="24"/>
      <c r="K5004" s="24"/>
      <c r="M5004" s="24"/>
      <c r="N5004" s="24"/>
      <c r="P5004" s="24"/>
    </row>
    <row r="5005" spans="2:16" x14ac:dyDescent="0.25">
      <c r="B5005" s="24"/>
      <c r="E5005" s="24"/>
      <c r="G5005" s="24"/>
      <c r="H5005" s="24"/>
      <c r="J5005" s="24"/>
      <c r="K5005" s="24"/>
      <c r="M5005" s="24"/>
      <c r="N5005" s="24"/>
      <c r="P5005" s="24"/>
    </row>
    <row r="5006" spans="2:16" x14ac:dyDescent="0.25">
      <c r="B5006" s="24"/>
      <c r="E5006" s="24"/>
      <c r="G5006" s="24"/>
      <c r="H5006" s="24"/>
      <c r="J5006" s="24"/>
      <c r="K5006" s="24"/>
      <c r="M5006" s="24"/>
      <c r="N5006" s="24"/>
      <c r="P5006" s="24"/>
    </row>
    <row r="5007" spans="2:16" x14ac:dyDescent="0.25">
      <c r="B5007" s="24"/>
      <c r="E5007" s="24"/>
      <c r="G5007" s="24"/>
      <c r="H5007" s="24"/>
      <c r="J5007" s="24"/>
      <c r="K5007" s="24"/>
      <c r="M5007" s="24"/>
      <c r="N5007" s="24"/>
      <c r="P5007" s="24"/>
    </row>
    <row r="5008" spans="2:16" x14ac:dyDescent="0.25">
      <c r="B5008" s="24"/>
      <c r="E5008" s="24"/>
      <c r="G5008" s="24"/>
      <c r="H5008" s="24"/>
      <c r="J5008" s="24"/>
      <c r="K5008" s="24"/>
      <c r="M5008" s="24"/>
      <c r="N5008" s="24"/>
      <c r="P5008" s="24"/>
    </row>
    <row r="5009" spans="2:16" x14ac:dyDescent="0.25">
      <c r="B5009" s="24"/>
      <c r="E5009" s="24"/>
      <c r="G5009" s="24"/>
      <c r="H5009" s="24"/>
      <c r="J5009" s="24"/>
      <c r="K5009" s="24"/>
      <c r="M5009" s="24"/>
      <c r="N5009" s="24"/>
      <c r="P5009" s="24"/>
    </row>
    <row r="5010" spans="2:16" x14ac:dyDescent="0.25">
      <c r="B5010" s="24"/>
      <c r="E5010" s="24"/>
      <c r="G5010" s="24"/>
      <c r="H5010" s="24"/>
      <c r="J5010" s="24"/>
      <c r="K5010" s="24"/>
      <c r="M5010" s="24"/>
      <c r="N5010" s="24"/>
      <c r="P5010" s="24"/>
    </row>
    <row r="5011" spans="2:16" x14ac:dyDescent="0.25">
      <c r="B5011" s="24"/>
      <c r="E5011" s="24"/>
      <c r="G5011" s="24"/>
      <c r="H5011" s="24"/>
      <c r="J5011" s="24"/>
      <c r="K5011" s="24"/>
      <c r="M5011" s="24"/>
      <c r="N5011" s="24"/>
      <c r="P5011" s="24"/>
    </row>
    <row r="5012" spans="2:16" x14ac:dyDescent="0.25">
      <c r="B5012" s="24"/>
      <c r="E5012" s="24"/>
      <c r="G5012" s="24"/>
      <c r="H5012" s="24"/>
      <c r="J5012" s="24"/>
      <c r="K5012" s="24"/>
      <c r="M5012" s="24"/>
      <c r="N5012" s="24"/>
      <c r="P5012" s="24"/>
    </row>
    <row r="5013" spans="2:16" x14ac:dyDescent="0.25">
      <c r="B5013" s="24"/>
      <c r="E5013" s="24"/>
      <c r="G5013" s="24"/>
      <c r="H5013" s="24"/>
      <c r="J5013" s="24"/>
      <c r="K5013" s="24"/>
      <c r="M5013" s="24"/>
      <c r="N5013" s="24"/>
      <c r="P5013" s="24"/>
    </row>
    <row r="5014" spans="2:16" x14ac:dyDescent="0.25">
      <c r="B5014" s="24"/>
      <c r="E5014" s="24"/>
      <c r="G5014" s="24"/>
      <c r="H5014" s="24"/>
      <c r="J5014" s="24"/>
      <c r="K5014" s="24"/>
      <c r="M5014" s="24"/>
      <c r="N5014" s="24"/>
      <c r="P5014" s="24"/>
    </row>
    <row r="5015" spans="2:16" x14ac:dyDescent="0.25">
      <c r="B5015" s="24"/>
      <c r="E5015" s="24"/>
      <c r="G5015" s="24"/>
      <c r="H5015" s="24"/>
      <c r="J5015" s="24"/>
      <c r="K5015" s="24"/>
      <c r="M5015" s="24"/>
      <c r="N5015" s="24"/>
      <c r="P5015" s="24"/>
    </row>
    <row r="5016" spans="2:16" x14ac:dyDescent="0.25">
      <c r="B5016" s="24"/>
      <c r="E5016" s="24"/>
      <c r="G5016" s="24"/>
      <c r="H5016" s="24"/>
      <c r="J5016" s="24"/>
      <c r="K5016" s="24"/>
      <c r="M5016" s="24"/>
      <c r="N5016" s="24"/>
      <c r="P5016" s="24"/>
    </row>
    <row r="5017" spans="2:16" x14ac:dyDescent="0.25">
      <c r="B5017" s="24"/>
      <c r="E5017" s="24"/>
      <c r="G5017" s="24"/>
      <c r="H5017" s="24"/>
      <c r="J5017" s="24"/>
      <c r="K5017" s="24"/>
      <c r="M5017" s="24"/>
      <c r="N5017" s="24"/>
      <c r="P5017" s="24"/>
    </row>
    <row r="5018" spans="2:16" x14ac:dyDescent="0.25">
      <c r="B5018" s="24"/>
      <c r="E5018" s="24"/>
      <c r="G5018" s="24"/>
      <c r="H5018" s="24"/>
      <c r="J5018" s="24"/>
      <c r="K5018" s="24"/>
      <c r="M5018" s="24"/>
      <c r="N5018" s="24"/>
      <c r="P5018" s="24"/>
    </row>
    <row r="5019" spans="2:16" x14ac:dyDescent="0.25">
      <c r="B5019" s="24"/>
      <c r="E5019" s="24"/>
      <c r="G5019" s="24"/>
      <c r="H5019" s="24"/>
      <c r="J5019" s="24"/>
      <c r="K5019" s="24"/>
      <c r="M5019" s="24"/>
      <c r="N5019" s="24"/>
      <c r="P5019" s="24"/>
    </row>
    <row r="5020" spans="2:16" x14ac:dyDescent="0.25">
      <c r="B5020" s="24"/>
      <c r="E5020" s="24"/>
      <c r="G5020" s="24"/>
      <c r="H5020" s="24"/>
      <c r="J5020" s="24"/>
      <c r="K5020" s="24"/>
      <c r="M5020" s="24"/>
      <c r="N5020" s="24"/>
      <c r="P5020" s="24"/>
    </row>
    <row r="5021" spans="2:16" x14ac:dyDescent="0.25">
      <c r="B5021" s="24"/>
      <c r="E5021" s="24"/>
      <c r="G5021" s="24"/>
      <c r="H5021" s="24"/>
      <c r="J5021" s="24"/>
      <c r="K5021" s="24"/>
      <c r="M5021" s="24"/>
      <c r="N5021" s="24"/>
      <c r="P5021" s="24"/>
    </row>
    <row r="5022" spans="2:16" x14ac:dyDescent="0.25">
      <c r="B5022" s="24"/>
      <c r="E5022" s="24"/>
      <c r="G5022" s="24"/>
      <c r="H5022" s="24"/>
      <c r="J5022" s="24"/>
      <c r="K5022" s="24"/>
      <c r="M5022" s="24"/>
      <c r="N5022" s="24"/>
      <c r="P5022" s="24"/>
    </row>
    <row r="5023" spans="2:16" x14ac:dyDescent="0.25">
      <c r="B5023" s="24"/>
      <c r="E5023" s="24"/>
      <c r="G5023" s="24"/>
      <c r="H5023" s="24"/>
      <c r="J5023" s="24"/>
      <c r="K5023" s="24"/>
      <c r="M5023" s="24"/>
      <c r="N5023" s="24"/>
      <c r="P5023" s="24"/>
    </row>
    <row r="5024" spans="2:16" x14ac:dyDescent="0.25">
      <c r="B5024" s="24"/>
      <c r="E5024" s="24"/>
      <c r="G5024" s="24"/>
      <c r="H5024" s="24"/>
      <c r="J5024" s="24"/>
      <c r="K5024" s="24"/>
      <c r="M5024" s="24"/>
      <c r="N5024" s="24"/>
      <c r="P5024" s="24"/>
    </row>
    <row r="5025" spans="2:16" x14ac:dyDescent="0.25">
      <c r="B5025" s="24"/>
      <c r="E5025" s="24"/>
      <c r="G5025" s="24"/>
      <c r="H5025" s="24"/>
      <c r="J5025" s="24"/>
      <c r="K5025" s="24"/>
      <c r="M5025" s="24"/>
      <c r="N5025" s="24"/>
      <c r="P5025" s="24"/>
    </row>
    <row r="5026" spans="2:16" x14ac:dyDescent="0.25">
      <c r="B5026" s="24"/>
      <c r="E5026" s="24"/>
      <c r="G5026" s="24"/>
      <c r="H5026" s="24"/>
      <c r="J5026" s="24"/>
      <c r="K5026" s="24"/>
      <c r="M5026" s="24"/>
      <c r="N5026" s="24"/>
      <c r="P5026" s="24"/>
    </row>
    <row r="5027" spans="2:16" x14ac:dyDescent="0.25">
      <c r="B5027" s="24"/>
      <c r="E5027" s="24"/>
      <c r="G5027" s="24"/>
      <c r="H5027" s="24"/>
      <c r="J5027" s="24"/>
      <c r="K5027" s="24"/>
      <c r="M5027" s="24"/>
      <c r="N5027" s="24"/>
      <c r="P5027" s="24"/>
    </row>
    <row r="5028" spans="2:16" x14ac:dyDescent="0.25">
      <c r="B5028" s="24"/>
      <c r="E5028" s="24"/>
      <c r="G5028" s="24"/>
      <c r="H5028" s="24"/>
      <c r="J5028" s="24"/>
      <c r="K5028" s="24"/>
      <c r="M5028" s="24"/>
      <c r="N5028" s="24"/>
      <c r="P5028" s="24"/>
    </row>
    <row r="5029" spans="2:16" x14ac:dyDescent="0.25">
      <c r="B5029" s="24"/>
      <c r="E5029" s="24"/>
      <c r="G5029" s="24"/>
      <c r="H5029" s="24"/>
      <c r="J5029" s="24"/>
      <c r="K5029" s="24"/>
      <c r="M5029" s="24"/>
      <c r="N5029" s="24"/>
      <c r="P5029" s="24"/>
    </row>
    <row r="5030" spans="2:16" x14ac:dyDescent="0.25">
      <c r="B5030" s="24"/>
      <c r="E5030" s="24"/>
      <c r="G5030" s="24"/>
      <c r="H5030" s="24"/>
      <c r="J5030" s="24"/>
      <c r="K5030" s="24"/>
      <c r="M5030" s="24"/>
      <c r="N5030" s="24"/>
      <c r="P5030" s="24"/>
    </row>
    <row r="5031" spans="2:16" x14ac:dyDescent="0.25">
      <c r="B5031" s="24"/>
      <c r="E5031" s="24"/>
      <c r="G5031" s="24"/>
      <c r="H5031" s="24"/>
      <c r="J5031" s="24"/>
      <c r="K5031" s="24"/>
      <c r="M5031" s="24"/>
      <c r="N5031" s="24"/>
      <c r="P5031" s="24"/>
    </row>
    <row r="5032" spans="2:16" x14ac:dyDescent="0.25">
      <c r="B5032" s="24"/>
      <c r="E5032" s="24"/>
      <c r="G5032" s="24"/>
      <c r="H5032" s="24"/>
      <c r="J5032" s="24"/>
      <c r="K5032" s="24"/>
      <c r="M5032" s="24"/>
      <c r="N5032" s="24"/>
      <c r="P5032" s="24"/>
    </row>
    <row r="5033" spans="2:16" x14ac:dyDescent="0.25">
      <c r="B5033" s="24"/>
      <c r="E5033" s="24"/>
      <c r="G5033" s="24"/>
      <c r="H5033" s="24"/>
      <c r="J5033" s="24"/>
      <c r="K5033" s="24"/>
      <c r="M5033" s="24"/>
      <c r="N5033" s="24"/>
      <c r="P5033" s="24"/>
    </row>
    <row r="5034" spans="2:16" x14ac:dyDescent="0.25">
      <c r="B5034" s="24"/>
      <c r="E5034" s="24"/>
      <c r="G5034" s="24"/>
      <c r="H5034" s="24"/>
      <c r="J5034" s="24"/>
      <c r="K5034" s="24"/>
      <c r="M5034" s="24"/>
      <c r="N5034" s="24"/>
      <c r="P5034" s="24"/>
    </row>
    <row r="5035" spans="2:16" x14ac:dyDescent="0.25">
      <c r="B5035" s="24"/>
      <c r="E5035" s="24"/>
      <c r="G5035" s="24"/>
      <c r="H5035" s="24"/>
      <c r="J5035" s="24"/>
      <c r="K5035" s="24"/>
      <c r="M5035" s="24"/>
      <c r="N5035" s="24"/>
      <c r="P5035" s="24"/>
    </row>
    <row r="5036" spans="2:16" x14ac:dyDescent="0.25">
      <c r="B5036" s="24"/>
      <c r="E5036" s="24"/>
      <c r="G5036" s="24"/>
      <c r="H5036" s="24"/>
      <c r="J5036" s="24"/>
      <c r="K5036" s="24"/>
      <c r="M5036" s="24"/>
      <c r="N5036" s="24"/>
      <c r="P5036" s="24"/>
    </row>
    <row r="5037" spans="2:16" x14ac:dyDescent="0.25">
      <c r="B5037" s="24"/>
      <c r="E5037" s="24"/>
      <c r="G5037" s="24"/>
      <c r="H5037" s="24"/>
      <c r="J5037" s="24"/>
      <c r="K5037" s="24"/>
      <c r="M5037" s="24"/>
      <c r="N5037" s="24"/>
      <c r="P5037" s="24"/>
    </row>
    <row r="5038" spans="2:16" x14ac:dyDescent="0.25">
      <c r="B5038" s="24"/>
      <c r="E5038" s="24"/>
      <c r="G5038" s="24"/>
      <c r="H5038" s="24"/>
      <c r="J5038" s="24"/>
      <c r="K5038" s="24"/>
      <c r="M5038" s="24"/>
      <c r="N5038" s="24"/>
      <c r="P5038" s="24"/>
    </row>
    <row r="5039" spans="2:16" x14ac:dyDescent="0.25">
      <c r="B5039" s="24"/>
      <c r="E5039" s="24"/>
      <c r="G5039" s="24"/>
      <c r="H5039" s="24"/>
      <c r="J5039" s="24"/>
      <c r="K5039" s="24"/>
      <c r="M5039" s="24"/>
      <c r="N5039" s="24"/>
      <c r="P5039" s="24"/>
    </row>
    <row r="5040" spans="2:16" x14ac:dyDescent="0.25">
      <c r="B5040" s="24"/>
      <c r="E5040" s="24"/>
      <c r="G5040" s="24"/>
      <c r="H5040" s="24"/>
      <c r="J5040" s="24"/>
      <c r="K5040" s="24"/>
      <c r="M5040" s="24"/>
      <c r="N5040" s="24"/>
      <c r="P5040" s="24"/>
    </row>
    <row r="5041" spans="2:16" x14ac:dyDescent="0.25">
      <c r="B5041" s="24"/>
      <c r="E5041" s="24"/>
      <c r="G5041" s="24"/>
      <c r="H5041" s="24"/>
      <c r="J5041" s="24"/>
      <c r="K5041" s="24"/>
      <c r="M5041" s="24"/>
      <c r="N5041" s="24"/>
      <c r="P5041" s="24"/>
    </row>
    <row r="5042" spans="2:16" x14ac:dyDescent="0.25">
      <c r="B5042" s="24"/>
      <c r="E5042" s="24"/>
      <c r="G5042" s="24"/>
      <c r="H5042" s="24"/>
      <c r="J5042" s="24"/>
      <c r="K5042" s="24"/>
      <c r="M5042" s="24"/>
      <c r="N5042" s="24"/>
      <c r="P5042" s="24"/>
    </row>
    <row r="5043" spans="2:16" x14ac:dyDescent="0.25">
      <c r="B5043" s="24"/>
      <c r="E5043" s="24"/>
      <c r="G5043" s="24"/>
      <c r="H5043" s="24"/>
      <c r="J5043" s="24"/>
      <c r="K5043" s="24"/>
      <c r="M5043" s="24"/>
      <c r="N5043" s="24"/>
      <c r="P5043" s="24"/>
    </row>
    <row r="5044" spans="2:16" x14ac:dyDescent="0.25">
      <c r="B5044" s="24"/>
      <c r="E5044" s="24"/>
      <c r="G5044" s="24"/>
      <c r="H5044" s="24"/>
      <c r="J5044" s="24"/>
      <c r="K5044" s="24"/>
      <c r="M5044" s="24"/>
      <c r="N5044" s="24"/>
      <c r="P5044" s="24"/>
    </row>
    <row r="5045" spans="2:16" x14ac:dyDescent="0.25">
      <c r="B5045" s="24"/>
      <c r="E5045" s="24"/>
      <c r="G5045" s="24"/>
      <c r="H5045" s="24"/>
      <c r="J5045" s="24"/>
      <c r="K5045" s="24"/>
      <c r="M5045" s="24"/>
      <c r="N5045" s="24"/>
      <c r="P5045" s="24"/>
    </row>
    <row r="5046" spans="2:16" x14ac:dyDescent="0.25">
      <c r="B5046" s="24"/>
      <c r="E5046" s="24"/>
      <c r="G5046" s="24"/>
      <c r="H5046" s="24"/>
      <c r="J5046" s="24"/>
      <c r="K5046" s="24"/>
      <c r="M5046" s="24"/>
      <c r="N5046" s="24"/>
      <c r="P5046" s="24"/>
    </row>
    <row r="5047" spans="2:16" x14ac:dyDescent="0.25">
      <c r="B5047" s="24"/>
      <c r="E5047" s="24"/>
      <c r="G5047" s="24"/>
      <c r="H5047" s="24"/>
      <c r="J5047" s="24"/>
      <c r="K5047" s="24"/>
      <c r="M5047" s="24"/>
      <c r="N5047" s="24"/>
      <c r="P5047" s="24"/>
    </row>
    <row r="5048" spans="2:16" x14ac:dyDescent="0.25">
      <c r="B5048" s="24"/>
      <c r="E5048" s="24"/>
      <c r="G5048" s="24"/>
      <c r="H5048" s="24"/>
      <c r="J5048" s="24"/>
      <c r="K5048" s="24"/>
      <c r="M5048" s="24"/>
      <c r="N5048" s="24"/>
      <c r="P5048" s="24"/>
    </row>
    <row r="5049" spans="2:16" x14ac:dyDescent="0.25">
      <c r="B5049" s="24"/>
      <c r="E5049" s="24"/>
      <c r="G5049" s="24"/>
      <c r="H5049" s="24"/>
      <c r="J5049" s="24"/>
      <c r="K5049" s="24"/>
      <c r="M5049" s="24"/>
      <c r="N5049" s="24"/>
      <c r="P5049" s="24"/>
    </row>
    <row r="5050" spans="2:16" x14ac:dyDescent="0.25">
      <c r="B5050" s="24"/>
      <c r="E5050" s="24"/>
      <c r="G5050" s="24"/>
      <c r="H5050" s="24"/>
      <c r="J5050" s="24"/>
      <c r="K5050" s="24"/>
      <c r="M5050" s="24"/>
      <c r="N5050" s="24"/>
      <c r="P5050" s="24"/>
    </row>
    <row r="5051" spans="2:16" x14ac:dyDescent="0.25">
      <c r="B5051" s="24"/>
      <c r="E5051" s="24"/>
      <c r="G5051" s="24"/>
      <c r="H5051" s="24"/>
      <c r="J5051" s="24"/>
      <c r="K5051" s="24"/>
      <c r="M5051" s="24"/>
      <c r="N5051" s="24"/>
      <c r="P5051" s="24"/>
    </row>
    <row r="5052" spans="2:16" x14ac:dyDescent="0.25">
      <c r="B5052" s="24"/>
      <c r="E5052" s="24"/>
      <c r="G5052" s="24"/>
      <c r="H5052" s="24"/>
      <c r="J5052" s="24"/>
      <c r="K5052" s="24"/>
      <c r="M5052" s="24"/>
      <c r="N5052" s="24"/>
      <c r="P5052" s="24"/>
    </row>
    <row r="5053" spans="2:16" x14ac:dyDescent="0.25">
      <c r="B5053" s="24"/>
      <c r="E5053" s="24"/>
      <c r="G5053" s="24"/>
      <c r="H5053" s="24"/>
      <c r="J5053" s="24"/>
      <c r="K5053" s="24"/>
      <c r="M5053" s="24"/>
      <c r="N5053" s="24"/>
      <c r="P5053" s="24"/>
    </row>
    <row r="5054" spans="2:16" x14ac:dyDescent="0.25">
      <c r="B5054" s="24"/>
      <c r="E5054" s="24"/>
      <c r="G5054" s="24"/>
      <c r="H5054" s="24"/>
      <c r="J5054" s="24"/>
      <c r="K5054" s="24"/>
      <c r="M5054" s="24"/>
      <c r="N5054" s="24"/>
      <c r="P5054" s="24"/>
    </row>
    <row r="5055" spans="2:16" x14ac:dyDescent="0.25">
      <c r="B5055" s="24"/>
      <c r="E5055" s="24"/>
      <c r="G5055" s="24"/>
      <c r="H5055" s="24"/>
      <c r="J5055" s="24"/>
      <c r="K5055" s="24"/>
      <c r="M5055" s="24"/>
      <c r="N5055" s="24"/>
      <c r="P5055" s="24"/>
    </row>
    <row r="5056" spans="2:16" x14ac:dyDescent="0.25">
      <c r="B5056" s="24"/>
      <c r="E5056" s="24"/>
      <c r="G5056" s="24"/>
      <c r="H5056" s="24"/>
      <c r="J5056" s="24"/>
      <c r="K5056" s="24"/>
      <c r="M5056" s="24"/>
      <c r="N5056" s="24"/>
      <c r="P5056" s="24"/>
    </row>
    <row r="5057" spans="2:16" x14ac:dyDescent="0.25">
      <c r="B5057" s="24"/>
      <c r="E5057" s="24"/>
      <c r="G5057" s="24"/>
      <c r="H5057" s="24"/>
      <c r="J5057" s="24"/>
      <c r="K5057" s="24"/>
      <c r="M5057" s="24"/>
      <c r="N5057" s="24"/>
      <c r="P5057" s="24"/>
    </row>
    <row r="5058" spans="2:16" x14ac:dyDescent="0.25">
      <c r="B5058" s="24"/>
      <c r="E5058" s="24"/>
      <c r="G5058" s="24"/>
      <c r="H5058" s="24"/>
      <c r="J5058" s="24"/>
      <c r="K5058" s="24"/>
      <c r="M5058" s="24"/>
      <c r="N5058" s="24"/>
      <c r="P5058" s="24"/>
    </row>
    <row r="5059" spans="2:16" x14ac:dyDescent="0.25">
      <c r="B5059" s="24"/>
      <c r="E5059" s="24"/>
      <c r="G5059" s="24"/>
      <c r="H5059" s="24"/>
      <c r="J5059" s="24"/>
      <c r="K5059" s="24"/>
      <c r="M5059" s="24"/>
      <c r="N5059" s="24"/>
      <c r="P5059" s="24"/>
    </row>
    <row r="5060" spans="2:16" x14ac:dyDescent="0.25">
      <c r="B5060" s="24"/>
      <c r="E5060" s="24"/>
      <c r="G5060" s="24"/>
      <c r="H5060" s="24"/>
      <c r="J5060" s="24"/>
      <c r="K5060" s="24"/>
      <c r="M5060" s="24"/>
      <c r="N5060" s="24"/>
      <c r="P5060" s="24"/>
    </row>
    <row r="5061" spans="2:16" x14ac:dyDescent="0.25">
      <c r="B5061" s="24"/>
      <c r="E5061" s="24"/>
      <c r="G5061" s="24"/>
      <c r="H5061" s="24"/>
      <c r="J5061" s="24"/>
      <c r="K5061" s="24"/>
      <c r="M5061" s="24"/>
      <c r="N5061" s="24"/>
      <c r="P5061" s="24"/>
    </row>
    <row r="5062" spans="2:16" x14ac:dyDescent="0.25">
      <c r="B5062" s="24"/>
      <c r="E5062" s="24"/>
      <c r="G5062" s="24"/>
      <c r="H5062" s="24"/>
      <c r="J5062" s="24"/>
      <c r="K5062" s="24"/>
      <c r="M5062" s="24"/>
      <c r="N5062" s="24"/>
      <c r="P5062" s="24"/>
    </row>
    <row r="5063" spans="2:16" x14ac:dyDescent="0.25">
      <c r="B5063" s="24"/>
      <c r="E5063" s="24"/>
      <c r="G5063" s="24"/>
      <c r="H5063" s="24"/>
      <c r="J5063" s="24"/>
      <c r="K5063" s="24"/>
      <c r="M5063" s="24"/>
      <c r="N5063" s="24"/>
      <c r="P5063" s="24"/>
    </row>
    <row r="5064" spans="2:16" x14ac:dyDescent="0.25">
      <c r="B5064" s="24"/>
      <c r="E5064" s="24"/>
      <c r="G5064" s="24"/>
      <c r="H5064" s="24"/>
      <c r="J5064" s="24"/>
      <c r="K5064" s="24"/>
      <c r="M5064" s="24"/>
      <c r="N5064" s="24"/>
      <c r="P5064" s="24"/>
    </row>
    <row r="5065" spans="2:16" x14ac:dyDescent="0.25">
      <c r="B5065" s="24"/>
      <c r="E5065" s="24"/>
      <c r="G5065" s="24"/>
      <c r="H5065" s="24"/>
      <c r="J5065" s="24"/>
      <c r="K5065" s="24"/>
      <c r="M5065" s="24"/>
      <c r="N5065" s="24"/>
      <c r="P5065" s="24"/>
    </row>
    <row r="5066" spans="2:16" x14ac:dyDescent="0.25">
      <c r="B5066" s="24"/>
      <c r="E5066" s="24"/>
      <c r="G5066" s="24"/>
      <c r="H5066" s="24"/>
      <c r="J5066" s="24"/>
      <c r="K5066" s="24"/>
      <c r="M5066" s="24"/>
      <c r="N5066" s="24"/>
      <c r="P5066" s="24"/>
    </row>
    <row r="5067" spans="2:16" x14ac:dyDescent="0.25">
      <c r="B5067" s="24"/>
      <c r="E5067" s="24"/>
      <c r="G5067" s="24"/>
      <c r="H5067" s="24"/>
      <c r="J5067" s="24"/>
      <c r="K5067" s="24"/>
      <c r="M5067" s="24"/>
      <c r="N5067" s="24"/>
      <c r="P5067" s="24"/>
    </row>
    <row r="5068" spans="2:16" x14ac:dyDescent="0.25">
      <c r="B5068" s="24"/>
      <c r="E5068" s="24"/>
      <c r="G5068" s="24"/>
      <c r="H5068" s="24"/>
      <c r="J5068" s="24"/>
      <c r="K5068" s="24"/>
      <c r="M5068" s="24"/>
      <c r="N5068" s="24"/>
      <c r="P5068" s="24"/>
    </row>
    <row r="5069" spans="2:16" x14ac:dyDescent="0.25">
      <c r="B5069" s="24"/>
      <c r="E5069" s="24"/>
      <c r="G5069" s="24"/>
      <c r="H5069" s="24"/>
      <c r="J5069" s="24"/>
      <c r="K5069" s="24"/>
      <c r="M5069" s="24"/>
      <c r="N5069" s="24"/>
      <c r="P5069" s="24"/>
    </row>
    <row r="5070" spans="2:16" x14ac:dyDescent="0.25">
      <c r="B5070" s="24"/>
      <c r="E5070" s="24"/>
      <c r="G5070" s="24"/>
      <c r="H5070" s="24"/>
      <c r="J5070" s="24"/>
      <c r="K5070" s="24"/>
      <c r="M5070" s="24"/>
      <c r="N5070" s="24"/>
      <c r="P5070" s="24"/>
    </row>
    <row r="5071" spans="2:16" x14ac:dyDescent="0.25">
      <c r="B5071" s="24"/>
      <c r="E5071" s="24"/>
      <c r="G5071" s="24"/>
      <c r="H5071" s="24"/>
      <c r="J5071" s="24"/>
      <c r="K5071" s="24"/>
      <c r="M5071" s="24"/>
      <c r="N5071" s="24"/>
      <c r="P5071" s="24"/>
    </row>
    <row r="5072" spans="2:16" x14ac:dyDescent="0.25">
      <c r="B5072" s="24"/>
      <c r="E5072" s="24"/>
      <c r="G5072" s="24"/>
      <c r="H5072" s="24"/>
      <c r="J5072" s="24"/>
      <c r="K5072" s="24"/>
      <c r="M5072" s="24"/>
      <c r="N5072" s="24"/>
      <c r="P5072" s="24"/>
    </row>
    <row r="5073" spans="2:16" x14ac:dyDescent="0.25">
      <c r="B5073" s="24"/>
      <c r="E5073" s="24"/>
      <c r="G5073" s="24"/>
      <c r="H5073" s="24"/>
      <c r="J5073" s="24"/>
      <c r="K5073" s="24"/>
      <c r="M5073" s="24"/>
      <c r="N5073" s="24"/>
      <c r="P5073" s="24"/>
    </row>
    <row r="5074" spans="2:16" x14ac:dyDescent="0.25">
      <c r="B5074" s="24"/>
      <c r="E5074" s="24"/>
      <c r="G5074" s="24"/>
      <c r="H5074" s="24"/>
      <c r="J5074" s="24"/>
      <c r="K5074" s="24"/>
      <c r="M5074" s="24"/>
      <c r="N5074" s="24"/>
      <c r="P5074" s="24"/>
    </row>
    <row r="5075" spans="2:16" x14ac:dyDescent="0.25">
      <c r="B5075" s="24"/>
      <c r="E5075" s="24"/>
      <c r="G5075" s="24"/>
      <c r="H5075" s="24"/>
      <c r="J5075" s="24"/>
      <c r="K5075" s="24"/>
      <c r="M5075" s="24"/>
      <c r="N5075" s="24"/>
      <c r="P5075" s="24"/>
    </row>
    <row r="5076" spans="2:16" x14ac:dyDescent="0.25">
      <c r="B5076" s="24"/>
      <c r="E5076" s="24"/>
      <c r="G5076" s="24"/>
      <c r="H5076" s="24"/>
      <c r="J5076" s="24"/>
      <c r="K5076" s="24"/>
      <c r="M5076" s="24"/>
      <c r="N5076" s="24"/>
      <c r="P5076" s="24"/>
    </row>
    <row r="5077" spans="2:16" x14ac:dyDescent="0.25">
      <c r="B5077" s="24"/>
      <c r="E5077" s="24"/>
      <c r="G5077" s="24"/>
      <c r="H5077" s="24"/>
      <c r="J5077" s="24"/>
      <c r="K5077" s="24"/>
      <c r="M5077" s="24"/>
      <c r="N5077" s="24"/>
      <c r="P5077" s="24"/>
    </row>
    <row r="5078" spans="2:16" x14ac:dyDescent="0.25">
      <c r="B5078" s="24"/>
      <c r="E5078" s="24"/>
      <c r="G5078" s="24"/>
      <c r="H5078" s="24"/>
      <c r="J5078" s="24"/>
      <c r="K5078" s="24"/>
      <c r="M5078" s="24"/>
      <c r="N5078" s="24"/>
      <c r="P5078" s="24"/>
    </row>
    <row r="5079" spans="2:16" x14ac:dyDescent="0.25">
      <c r="B5079" s="24"/>
      <c r="E5079" s="24"/>
      <c r="G5079" s="24"/>
      <c r="H5079" s="24"/>
      <c r="J5079" s="24"/>
      <c r="K5079" s="24"/>
      <c r="M5079" s="24"/>
      <c r="N5079" s="24"/>
      <c r="P5079" s="24"/>
    </row>
    <row r="5080" spans="2:16" x14ac:dyDescent="0.25">
      <c r="B5080" s="24"/>
      <c r="E5080" s="24"/>
      <c r="G5080" s="24"/>
      <c r="H5080" s="24"/>
      <c r="J5080" s="24"/>
      <c r="K5080" s="24"/>
      <c r="M5080" s="24"/>
      <c r="N5080" s="24"/>
      <c r="P5080" s="24"/>
    </row>
    <row r="5081" spans="2:16" x14ac:dyDescent="0.25">
      <c r="B5081" s="24"/>
      <c r="E5081" s="24"/>
      <c r="G5081" s="24"/>
      <c r="H5081" s="24"/>
      <c r="J5081" s="24"/>
      <c r="K5081" s="24"/>
      <c r="M5081" s="24"/>
      <c r="N5081" s="24"/>
      <c r="P5081" s="24"/>
    </row>
    <row r="5082" spans="2:16" x14ac:dyDescent="0.25">
      <c r="B5082" s="24"/>
      <c r="E5082" s="24"/>
      <c r="G5082" s="24"/>
      <c r="H5082" s="24"/>
      <c r="J5082" s="24"/>
      <c r="K5082" s="24"/>
      <c r="M5082" s="24"/>
      <c r="N5082" s="24"/>
      <c r="P5082" s="24"/>
    </row>
    <row r="5083" spans="2:16" x14ac:dyDescent="0.25">
      <c r="B5083" s="24"/>
      <c r="E5083" s="24"/>
      <c r="G5083" s="24"/>
      <c r="H5083" s="24"/>
      <c r="J5083" s="24"/>
      <c r="K5083" s="24"/>
      <c r="M5083" s="24"/>
      <c r="N5083" s="24"/>
      <c r="P5083" s="24"/>
    </row>
    <row r="5084" spans="2:16" x14ac:dyDescent="0.25">
      <c r="B5084" s="24"/>
      <c r="E5084" s="24"/>
      <c r="G5084" s="24"/>
      <c r="H5084" s="24"/>
      <c r="J5084" s="24"/>
      <c r="K5084" s="24"/>
      <c r="M5084" s="24"/>
      <c r="N5084" s="24"/>
      <c r="P5084" s="24"/>
    </row>
    <row r="5085" spans="2:16" x14ac:dyDescent="0.25">
      <c r="B5085" s="24"/>
      <c r="E5085" s="24"/>
      <c r="G5085" s="24"/>
      <c r="H5085" s="24"/>
      <c r="J5085" s="24"/>
      <c r="K5085" s="24"/>
      <c r="M5085" s="24"/>
      <c r="N5085" s="24"/>
      <c r="P5085" s="24"/>
    </row>
    <row r="5086" spans="2:16" x14ac:dyDescent="0.25">
      <c r="B5086" s="24"/>
      <c r="E5086" s="24"/>
      <c r="G5086" s="24"/>
      <c r="H5086" s="24"/>
      <c r="J5086" s="24"/>
      <c r="K5086" s="24"/>
      <c r="M5086" s="24"/>
      <c r="N5086" s="24"/>
      <c r="P5086" s="24"/>
    </row>
    <row r="5087" spans="2:16" x14ac:dyDescent="0.25">
      <c r="B5087" s="24"/>
      <c r="E5087" s="24"/>
      <c r="G5087" s="24"/>
      <c r="H5087" s="24"/>
      <c r="J5087" s="24"/>
      <c r="K5087" s="24"/>
      <c r="M5087" s="24"/>
      <c r="N5087" s="24"/>
      <c r="P5087" s="24"/>
    </row>
    <row r="5088" spans="2:16" x14ac:dyDescent="0.25">
      <c r="B5088" s="24"/>
      <c r="E5088" s="24"/>
      <c r="G5088" s="24"/>
      <c r="H5088" s="24"/>
      <c r="J5088" s="24"/>
      <c r="K5088" s="24"/>
      <c r="M5088" s="24"/>
      <c r="N5088" s="24"/>
      <c r="P5088" s="24"/>
    </row>
    <row r="5089" spans="2:16" x14ac:dyDescent="0.25">
      <c r="B5089" s="24"/>
      <c r="E5089" s="24"/>
      <c r="G5089" s="24"/>
      <c r="H5089" s="24"/>
      <c r="J5089" s="24"/>
      <c r="K5089" s="24"/>
      <c r="M5089" s="24"/>
      <c r="N5089" s="24"/>
      <c r="P5089" s="24"/>
    </row>
    <row r="5090" spans="2:16" x14ac:dyDescent="0.25">
      <c r="B5090" s="24"/>
      <c r="E5090" s="24"/>
      <c r="G5090" s="24"/>
      <c r="H5090" s="24"/>
      <c r="J5090" s="24"/>
      <c r="K5090" s="24"/>
      <c r="M5090" s="24"/>
      <c r="N5090" s="24"/>
      <c r="P5090" s="24"/>
    </row>
    <row r="5091" spans="2:16" x14ac:dyDescent="0.25">
      <c r="B5091" s="24"/>
      <c r="E5091" s="24"/>
      <c r="G5091" s="24"/>
      <c r="H5091" s="24"/>
      <c r="J5091" s="24"/>
      <c r="K5091" s="24"/>
      <c r="M5091" s="24"/>
      <c r="N5091" s="24"/>
      <c r="P5091" s="24"/>
    </row>
    <row r="5092" spans="2:16" x14ac:dyDescent="0.25">
      <c r="B5092" s="24"/>
      <c r="E5092" s="24"/>
      <c r="G5092" s="24"/>
      <c r="H5092" s="24"/>
      <c r="J5092" s="24"/>
      <c r="K5092" s="24"/>
      <c r="M5092" s="24"/>
      <c r="N5092" s="24"/>
      <c r="P5092" s="24"/>
    </row>
    <row r="5093" spans="2:16" x14ac:dyDescent="0.25">
      <c r="B5093" s="24"/>
      <c r="E5093" s="24"/>
      <c r="G5093" s="24"/>
      <c r="H5093" s="24"/>
      <c r="J5093" s="24"/>
      <c r="K5093" s="24"/>
      <c r="M5093" s="24"/>
      <c r="N5093" s="24"/>
      <c r="P5093" s="24"/>
    </row>
    <row r="5094" spans="2:16" x14ac:dyDescent="0.25">
      <c r="B5094" s="24"/>
      <c r="E5094" s="24"/>
      <c r="G5094" s="24"/>
      <c r="H5094" s="24"/>
      <c r="J5094" s="24"/>
      <c r="K5094" s="24"/>
      <c r="M5094" s="24"/>
      <c r="N5094" s="24"/>
      <c r="P5094" s="24"/>
    </row>
    <row r="5095" spans="2:16" x14ac:dyDescent="0.25">
      <c r="B5095" s="24"/>
      <c r="E5095" s="24"/>
      <c r="G5095" s="24"/>
      <c r="H5095" s="24"/>
      <c r="J5095" s="24"/>
      <c r="K5095" s="24"/>
      <c r="M5095" s="24"/>
      <c r="N5095" s="24"/>
      <c r="P5095" s="24"/>
    </row>
    <row r="5096" spans="2:16" x14ac:dyDescent="0.25">
      <c r="B5096" s="24"/>
      <c r="E5096" s="24"/>
      <c r="G5096" s="24"/>
      <c r="H5096" s="24"/>
      <c r="J5096" s="24"/>
      <c r="K5096" s="24"/>
      <c r="M5096" s="24"/>
      <c r="N5096" s="24"/>
      <c r="P5096" s="24"/>
    </row>
    <row r="5097" spans="2:16" x14ac:dyDescent="0.25">
      <c r="B5097" s="24"/>
      <c r="E5097" s="24"/>
      <c r="G5097" s="24"/>
      <c r="H5097" s="24"/>
      <c r="J5097" s="24"/>
      <c r="K5097" s="24"/>
      <c r="M5097" s="24"/>
      <c r="N5097" s="24"/>
      <c r="P5097" s="24"/>
    </row>
    <row r="5098" spans="2:16" x14ac:dyDescent="0.25">
      <c r="B5098" s="24"/>
      <c r="E5098" s="24"/>
      <c r="G5098" s="24"/>
      <c r="H5098" s="24"/>
      <c r="J5098" s="24"/>
      <c r="K5098" s="24"/>
      <c r="M5098" s="24"/>
      <c r="N5098" s="24"/>
      <c r="P5098" s="24"/>
    </row>
    <row r="5099" spans="2:16" x14ac:dyDescent="0.25">
      <c r="B5099" s="24"/>
      <c r="E5099" s="24"/>
      <c r="G5099" s="24"/>
      <c r="H5099" s="24"/>
      <c r="J5099" s="24"/>
      <c r="K5099" s="24"/>
      <c r="M5099" s="24"/>
      <c r="N5099" s="24"/>
      <c r="P5099" s="24"/>
    </row>
    <row r="5100" spans="2:16" x14ac:dyDescent="0.25">
      <c r="B5100" s="24"/>
      <c r="E5100" s="24"/>
      <c r="G5100" s="24"/>
      <c r="H5100" s="24"/>
      <c r="J5100" s="24"/>
      <c r="K5100" s="24"/>
      <c r="M5100" s="24"/>
      <c r="N5100" s="24"/>
      <c r="P5100" s="24"/>
    </row>
    <row r="5101" spans="2:16" x14ac:dyDescent="0.25">
      <c r="B5101" s="24"/>
      <c r="E5101" s="24"/>
      <c r="G5101" s="24"/>
      <c r="H5101" s="24"/>
      <c r="J5101" s="24"/>
      <c r="K5101" s="24"/>
      <c r="M5101" s="24"/>
      <c r="N5101" s="24"/>
      <c r="P5101" s="24"/>
    </row>
    <row r="5102" spans="2:16" x14ac:dyDescent="0.25">
      <c r="B5102" s="24"/>
      <c r="E5102" s="24"/>
      <c r="G5102" s="24"/>
      <c r="H5102" s="24"/>
      <c r="J5102" s="24"/>
      <c r="K5102" s="24"/>
      <c r="M5102" s="24"/>
      <c r="N5102" s="24"/>
      <c r="P5102" s="24"/>
    </row>
    <row r="5103" spans="2:16" x14ac:dyDescent="0.25">
      <c r="B5103" s="24"/>
      <c r="E5103" s="24"/>
      <c r="G5103" s="24"/>
      <c r="H5103" s="24"/>
      <c r="J5103" s="24"/>
      <c r="K5103" s="24"/>
      <c r="M5103" s="24"/>
      <c r="N5103" s="24"/>
      <c r="P5103" s="24"/>
    </row>
    <row r="5104" spans="2:16" x14ac:dyDescent="0.25">
      <c r="B5104" s="24"/>
      <c r="E5104" s="24"/>
      <c r="G5104" s="24"/>
      <c r="H5104" s="24"/>
      <c r="J5104" s="24"/>
      <c r="K5104" s="24"/>
      <c r="M5104" s="24"/>
      <c r="N5104" s="24"/>
      <c r="P5104" s="24"/>
    </row>
    <row r="5105" spans="2:16" x14ac:dyDescent="0.25">
      <c r="B5105" s="24"/>
      <c r="E5105" s="24"/>
      <c r="G5105" s="24"/>
      <c r="H5105" s="24"/>
      <c r="J5105" s="24"/>
      <c r="K5105" s="24"/>
      <c r="M5105" s="24"/>
      <c r="N5105" s="24"/>
      <c r="P5105" s="24"/>
    </row>
    <row r="5106" spans="2:16" x14ac:dyDescent="0.25">
      <c r="B5106" s="24"/>
      <c r="E5106" s="24"/>
      <c r="G5106" s="24"/>
      <c r="H5106" s="24"/>
      <c r="J5106" s="24"/>
      <c r="K5106" s="24"/>
      <c r="M5106" s="24"/>
      <c r="N5106" s="24"/>
      <c r="P5106" s="24"/>
    </row>
    <row r="5107" spans="2:16" x14ac:dyDescent="0.25">
      <c r="B5107" s="24"/>
      <c r="E5107" s="24"/>
      <c r="G5107" s="24"/>
      <c r="H5107" s="24"/>
      <c r="J5107" s="24"/>
      <c r="K5107" s="24"/>
      <c r="M5107" s="24"/>
      <c r="N5107" s="24"/>
      <c r="P5107" s="24"/>
    </row>
    <row r="5108" spans="2:16" x14ac:dyDescent="0.25">
      <c r="B5108" s="24"/>
      <c r="E5108" s="24"/>
      <c r="G5108" s="24"/>
      <c r="H5108" s="24"/>
      <c r="J5108" s="24"/>
      <c r="K5108" s="24"/>
      <c r="M5108" s="24"/>
      <c r="N5108" s="24"/>
      <c r="P5108" s="24"/>
    </row>
    <row r="5109" spans="2:16" x14ac:dyDescent="0.25">
      <c r="B5109" s="24"/>
      <c r="E5109" s="24"/>
      <c r="G5109" s="24"/>
      <c r="H5109" s="24"/>
      <c r="J5109" s="24"/>
      <c r="K5109" s="24"/>
      <c r="M5109" s="24"/>
      <c r="N5109" s="24"/>
      <c r="P5109" s="24"/>
    </row>
    <row r="5110" spans="2:16" x14ac:dyDescent="0.25">
      <c r="B5110" s="24"/>
      <c r="E5110" s="24"/>
      <c r="G5110" s="24"/>
      <c r="H5110" s="24"/>
      <c r="J5110" s="24"/>
      <c r="K5110" s="24"/>
      <c r="M5110" s="24"/>
      <c r="N5110" s="24"/>
      <c r="P5110" s="24"/>
    </row>
    <row r="5111" spans="2:16" x14ac:dyDescent="0.25">
      <c r="B5111" s="24"/>
      <c r="E5111" s="24"/>
      <c r="G5111" s="24"/>
      <c r="H5111" s="24"/>
      <c r="J5111" s="24"/>
      <c r="K5111" s="24"/>
      <c r="M5111" s="24"/>
      <c r="N5111" s="24"/>
      <c r="P5111" s="24"/>
    </row>
    <row r="5112" spans="2:16" x14ac:dyDescent="0.25">
      <c r="B5112" s="24"/>
      <c r="E5112" s="24"/>
      <c r="G5112" s="24"/>
      <c r="H5112" s="24"/>
      <c r="J5112" s="24"/>
      <c r="K5112" s="24"/>
      <c r="M5112" s="24"/>
      <c r="N5112" s="24"/>
      <c r="P5112" s="24"/>
    </row>
    <row r="5113" spans="2:16" x14ac:dyDescent="0.25">
      <c r="B5113" s="24"/>
      <c r="E5113" s="24"/>
      <c r="G5113" s="24"/>
      <c r="H5113" s="24"/>
      <c r="J5113" s="24"/>
      <c r="K5113" s="24"/>
      <c r="M5113" s="24"/>
      <c r="N5113" s="24"/>
      <c r="P5113" s="24"/>
    </row>
    <row r="5114" spans="2:16" x14ac:dyDescent="0.25">
      <c r="B5114" s="24"/>
      <c r="E5114" s="24"/>
      <c r="G5114" s="24"/>
      <c r="H5114" s="24"/>
      <c r="J5114" s="24"/>
      <c r="K5114" s="24"/>
      <c r="M5114" s="24"/>
      <c r="N5114" s="24"/>
      <c r="P5114" s="24"/>
    </row>
    <row r="5115" spans="2:16" x14ac:dyDescent="0.25">
      <c r="B5115" s="24"/>
      <c r="E5115" s="24"/>
      <c r="G5115" s="24"/>
      <c r="H5115" s="24"/>
      <c r="J5115" s="24"/>
      <c r="K5115" s="24"/>
      <c r="M5115" s="24"/>
      <c r="N5115" s="24"/>
      <c r="P5115" s="24"/>
    </row>
    <row r="5116" spans="2:16" x14ac:dyDescent="0.25">
      <c r="B5116" s="24"/>
      <c r="E5116" s="24"/>
      <c r="G5116" s="24"/>
      <c r="H5116" s="24"/>
      <c r="J5116" s="24"/>
      <c r="K5116" s="24"/>
      <c r="M5116" s="24"/>
      <c r="N5116" s="24"/>
      <c r="P5116" s="24"/>
    </row>
    <row r="5117" spans="2:16" x14ac:dyDescent="0.25">
      <c r="B5117" s="24"/>
      <c r="E5117" s="24"/>
      <c r="G5117" s="24"/>
      <c r="H5117" s="24"/>
      <c r="J5117" s="24"/>
      <c r="K5117" s="24"/>
      <c r="M5117" s="24"/>
      <c r="N5117" s="24"/>
      <c r="P5117" s="24"/>
    </row>
    <row r="5118" spans="2:16" x14ac:dyDescent="0.25">
      <c r="B5118" s="24"/>
      <c r="E5118" s="24"/>
      <c r="G5118" s="24"/>
      <c r="H5118" s="24"/>
      <c r="J5118" s="24"/>
      <c r="K5118" s="24"/>
      <c r="M5118" s="24"/>
      <c r="N5118" s="24"/>
      <c r="P5118" s="24"/>
    </row>
    <row r="5119" spans="2:16" x14ac:dyDescent="0.25">
      <c r="B5119" s="24"/>
      <c r="E5119" s="24"/>
      <c r="G5119" s="24"/>
      <c r="H5119" s="24"/>
      <c r="J5119" s="24"/>
      <c r="K5119" s="24"/>
      <c r="M5119" s="24"/>
      <c r="N5119" s="24"/>
      <c r="P5119" s="24"/>
    </row>
    <row r="5120" spans="2:16" x14ac:dyDescent="0.25">
      <c r="B5120" s="24"/>
      <c r="E5120" s="24"/>
      <c r="G5120" s="24"/>
      <c r="H5120" s="24"/>
      <c r="J5120" s="24"/>
      <c r="K5120" s="24"/>
      <c r="M5120" s="24"/>
      <c r="N5120" s="24"/>
      <c r="P5120" s="24"/>
    </row>
    <row r="5121" spans="2:16" x14ac:dyDescent="0.25">
      <c r="B5121" s="24"/>
      <c r="E5121" s="24"/>
      <c r="G5121" s="24"/>
      <c r="H5121" s="24"/>
      <c r="J5121" s="24"/>
      <c r="K5121" s="24"/>
      <c r="M5121" s="24"/>
      <c r="N5121" s="24"/>
      <c r="P5121" s="24"/>
    </row>
    <row r="5122" spans="2:16" x14ac:dyDescent="0.25">
      <c r="B5122" s="24"/>
      <c r="E5122" s="24"/>
      <c r="G5122" s="24"/>
      <c r="H5122" s="24"/>
      <c r="J5122" s="24"/>
      <c r="K5122" s="24"/>
      <c r="M5122" s="24"/>
      <c r="N5122" s="24"/>
      <c r="P5122" s="24"/>
    </row>
    <row r="5123" spans="2:16" x14ac:dyDescent="0.25">
      <c r="B5123" s="24"/>
      <c r="E5123" s="24"/>
      <c r="G5123" s="24"/>
      <c r="H5123" s="24"/>
      <c r="J5123" s="24"/>
      <c r="K5123" s="24"/>
      <c r="M5123" s="24"/>
      <c r="N5123" s="24"/>
      <c r="P5123" s="24"/>
    </row>
    <row r="5124" spans="2:16" x14ac:dyDescent="0.25">
      <c r="B5124" s="24"/>
      <c r="E5124" s="24"/>
      <c r="G5124" s="24"/>
      <c r="H5124" s="24"/>
      <c r="J5124" s="24"/>
      <c r="K5124" s="24"/>
      <c r="M5124" s="24"/>
      <c r="N5124" s="24"/>
      <c r="P5124" s="24"/>
    </row>
    <row r="5125" spans="2:16" x14ac:dyDescent="0.25">
      <c r="B5125" s="24"/>
      <c r="E5125" s="24"/>
      <c r="G5125" s="24"/>
      <c r="H5125" s="24"/>
      <c r="J5125" s="24"/>
      <c r="K5125" s="24"/>
      <c r="M5125" s="24"/>
      <c r="N5125" s="24"/>
      <c r="P5125" s="24"/>
    </row>
    <row r="5126" spans="2:16" x14ac:dyDescent="0.25">
      <c r="B5126" s="24"/>
      <c r="E5126" s="24"/>
      <c r="G5126" s="24"/>
      <c r="H5126" s="24"/>
      <c r="J5126" s="24"/>
      <c r="K5126" s="24"/>
      <c r="M5126" s="24"/>
      <c r="N5126" s="24"/>
      <c r="P5126" s="24"/>
    </row>
    <row r="5127" spans="2:16" x14ac:dyDescent="0.25">
      <c r="B5127" s="24"/>
      <c r="E5127" s="24"/>
      <c r="G5127" s="24"/>
      <c r="H5127" s="24"/>
      <c r="J5127" s="24"/>
      <c r="K5127" s="24"/>
      <c r="M5127" s="24"/>
      <c r="N5127" s="24"/>
      <c r="P5127" s="24"/>
    </row>
    <row r="5128" spans="2:16" x14ac:dyDescent="0.25">
      <c r="B5128" s="24"/>
      <c r="E5128" s="24"/>
      <c r="G5128" s="24"/>
      <c r="H5128" s="24"/>
      <c r="J5128" s="24"/>
      <c r="K5128" s="24"/>
      <c r="M5128" s="24"/>
      <c r="N5128" s="24"/>
      <c r="P5128" s="24"/>
    </row>
    <row r="5129" spans="2:16" x14ac:dyDescent="0.25">
      <c r="B5129" s="24"/>
      <c r="E5129" s="24"/>
      <c r="G5129" s="24"/>
      <c r="H5129" s="24"/>
      <c r="J5129" s="24"/>
      <c r="K5129" s="24"/>
      <c r="M5129" s="24"/>
      <c r="N5129" s="24"/>
      <c r="P5129" s="24"/>
    </row>
    <row r="5130" spans="2:16" x14ac:dyDescent="0.25">
      <c r="B5130" s="24"/>
      <c r="E5130" s="24"/>
      <c r="G5130" s="24"/>
      <c r="H5130" s="24"/>
      <c r="J5130" s="24"/>
      <c r="K5130" s="24"/>
      <c r="M5130" s="24"/>
      <c r="N5130" s="24"/>
      <c r="P5130" s="24"/>
    </row>
    <row r="5131" spans="2:16" x14ac:dyDescent="0.25">
      <c r="B5131" s="24"/>
      <c r="E5131" s="24"/>
      <c r="G5131" s="24"/>
      <c r="H5131" s="24"/>
      <c r="J5131" s="24"/>
      <c r="K5131" s="24"/>
      <c r="M5131" s="24"/>
      <c r="N5131" s="24"/>
      <c r="P5131" s="24"/>
    </row>
    <row r="5132" spans="2:16" x14ac:dyDescent="0.25">
      <c r="B5132" s="24"/>
      <c r="E5132" s="24"/>
      <c r="G5132" s="24"/>
      <c r="H5132" s="24"/>
      <c r="J5132" s="24"/>
      <c r="K5132" s="24"/>
      <c r="M5132" s="24"/>
      <c r="N5132" s="24"/>
      <c r="P5132" s="24"/>
    </row>
    <row r="5133" spans="2:16" x14ac:dyDescent="0.25">
      <c r="B5133" s="24"/>
      <c r="E5133" s="24"/>
      <c r="G5133" s="24"/>
      <c r="H5133" s="24"/>
      <c r="J5133" s="24"/>
      <c r="K5133" s="24"/>
      <c r="M5133" s="24"/>
      <c r="N5133" s="24"/>
      <c r="P5133" s="24"/>
    </row>
    <row r="5134" spans="2:16" x14ac:dyDescent="0.25">
      <c r="B5134" s="24"/>
      <c r="E5134" s="24"/>
      <c r="G5134" s="24"/>
      <c r="H5134" s="24"/>
      <c r="J5134" s="24"/>
      <c r="K5134" s="24"/>
      <c r="M5134" s="24"/>
      <c r="N5134" s="24"/>
      <c r="P5134" s="24"/>
    </row>
    <row r="5135" spans="2:16" x14ac:dyDescent="0.25">
      <c r="B5135" s="24"/>
      <c r="E5135" s="24"/>
      <c r="G5135" s="24"/>
      <c r="H5135" s="24"/>
      <c r="J5135" s="24"/>
      <c r="K5135" s="24"/>
      <c r="M5135" s="24"/>
      <c r="N5135" s="24"/>
      <c r="P5135" s="24"/>
    </row>
    <row r="5136" spans="2:16" x14ac:dyDescent="0.25">
      <c r="B5136" s="24"/>
      <c r="E5136" s="24"/>
      <c r="G5136" s="24"/>
      <c r="H5136" s="24"/>
      <c r="J5136" s="24"/>
      <c r="K5136" s="24"/>
      <c r="M5136" s="24"/>
      <c r="N5136" s="24"/>
      <c r="P5136" s="24"/>
    </row>
    <row r="5137" spans="2:16" x14ac:dyDescent="0.25">
      <c r="B5137" s="24"/>
      <c r="E5137" s="24"/>
      <c r="G5137" s="24"/>
      <c r="H5137" s="24"/>
      <c r="J5137" s="24"/>
      <c r="K5137" s="24"/>
      <c r="M5137" s="24"/>
      <c r="N5137" s="24"/>
      <c r="P5137" s="24"/>
    </row>
    <row r="5138" spans="2:16" x14ac:dyDescent="0.25">
      <c r="B5138" s="24"/>
      <c r="E5138" s="24"/>
      <c r="G5138" s="24"/>
      <c r="H5138" s="24"/>
      <c r="J5138" s="24"/>
      <c r="K5138" s="24"/>
      <c r="M5138" s="24"/>
      <c r="N5138" s="24"/>
      <c r="P5138" s="24"/>
    </row>
    <row r="5139" spans="2:16" x14ac:dyDescent="0.25">
      <c r="B5139" s="24"/>
      <c r="E5139" s="24"/>
      <c r="G5139" s="24"/>
      <c r="H5139" s="24"/>
      <c r="J5139" s="24"/>
      <c r="K5139" s="24"/>
      <c r="M5139" s="24"/>
      <c r="N5139" s="24"/>
      <c r="P5139" s="24"/>
    </row>
    <row r="5140" spans="2:16" x14ac:dyDescent="0.25">
      <c r="B5140" s="24"/>
      <c r="E5140" s="24"/>
      <c r="G5140" s="24"/>
      <c r="H5140" s="24"/>
      <c r="J5140" s="24"/>
      <c r="K5140" s="24"/>
      <c r="M5140" s="24"/>
      <c r="N5140" s="24"/>
      <c r="P5140" s="24"/>
    </row>
    <row r="5141" spans="2:16" x14ac:dyDescent="0.25">
      <c r="B5141" s="24"/>
      <c r="E5141" s="24"/>
      <c r="G5141" s="24"/>
      <c r="H5141" s="24"/>
      <c r="J5141" s="24"/>
      <c r="K5141" s="24"/>
      <c r="M5141" s="24"/>
      <c r="N5141" s="24"/>
      <c r="P5141" s="24"/>
    </row>
    <row r="5142" spans="2:16" x14ac:dyDescent="0.25">
      <c r="B5142" s="24"/>
      <c r="E5142" s="24"/>
      <c r="G5142" s="24"/>
      <c r="H5142" s="24"/>
      <c r="J5142" s="24"/>
      <c r="K5142" s="24"/>
      <c r="M5142" s="24"/>
      <c r="N5142" s="24"/>
      <c r="P5142" s="24"/>
    </row>
    <row r="5143" spans="2:16" x14ac:dyDescent="0.25">
      <c r="B5143" s="24"/>
      <c r="E5143" s="24"/>
      <c r="G5143" s="24"/>
      <c r="H5143" s="24"/>
      <c r="J5143" s="24"/>
      <c r="K5143" s="24"/>
      <c r="M5143" s="24"/>
      <c r="N5143" s="24"/>
      <c r="P5143" s="24"/>
    </row>
    <row r="5144" spans="2:16" x14ac:dyDescent="0.25">
      <c r="B5144" s="24"/>
      <c r="E5144" s="24"/>
      <c r="G5144" s="24"/>
      <c r="H5144" s="24"/>
      <c r="J5144" s="24"/>
      <c r="K5144" s="24"/>
      <c r="M5144" s="24"/>
      <c r="N5144" s="24"/>
      <c r="P5144" s="24"/>
    </row>
    <row r="5145" spans="2:16" x14ac:dyDescent="0.25">
      <c r="B5145" s="24"/>
      <c r="E5145" s="24"/>
      <c r="G5145" s="24"/>
      <c r="H5145" s="24"/>
      <c r="J5145" s="24"/>
      <c r="K5145" s="24"/>
      <c r="M5145" s="24"/>
      <c r="N5145" s="24"/>
      <c r="P5145" s="24"/>
    </row>
    <row r="5146" spans="2:16" x14ac:dyDescent="0.25">
      <c r="B5146" s="24"/>
      <c r="E5146" s="24"/>
      <c r="G5146" s="24"/>
      <c r="H5146" s="24"/>
      <c r="J5146" s="24"/>
      <c r="K5146" s="24"/>
      <c r="M5146" s="24"/>
      <c r="N5146" s="24"/>
      <c r="P5146" s="24"/>
    </row>
    <row r="5147" spans="2:16" x14ac:dyDescent="0.25">
      <c r="B5147" s="24"/>
      <c r="E5147" s="24"/>
      <c r="G5147" s="24"/>
      <c r="H5147" s="24"/>
      <c r="J5147" s="24"/>
      <c r="K5147" s="24"/>
      <c r="M5147" s="24"/>
      <c r="N5147" s="24"/>
      <c r="P5147" s="24"/>
    </row>
    <row r="5148" spans="2:16" x14ac:dyDescent="0.25">
      <c r="B5148" s="24"/>
      <c r="E5148" s="24"/>
      <c r="G5148" s="24"/>
      <c r="H5148" s="24"/>
      <c r="J5148" s="24"/>
      <c r="K5148" s="24"/>
      <c r="M5148" s="24"/>
      <c r="N5148" s="24"/>
      <c r="P5148" s="24"/>
    </row>
    <row r="5149" spans="2:16" x14ac:dyDescent="0.25">
      <c r="B5149" s="24"/>
      <c r="E5149" s="24"/>
      <c r="G5149" s="24"/>
      <c r="H5149" s="24"/>
      <c r="J5149" s="24"/>
      <c r="K5149" s="24"/>
      <c r="M5149" s="24"/>
      <c r="N5149" s="24"/>
      <c r="P5149" s="24"/>
    </row>
    <row r="5150" spans="2:16" x14ac:dyDescent="0.25">
      <c r="B5150" s="24"/>
      <c r="E5150" s="24"/>
      <c r="G5150" s="24"/>
      <c r="H5150" s="24"/>
      <c r="J5150" s="24"/>
      <c r="K5150" s="24"/>
      <c r="M5150" s="24"/>
      <c r="N5150" s="24"/>
      <c r="P5150" s="24"/>
    </row>
    <row r="5151" spans="2:16" x14ac:dyDescent="0.25">
      <c r="B5151" s="24"/>
      <c r="E5151" s="24"/>
      <c r="G5151" s="24"/>
      <c r="H5151" s="24"/>
      <c r="J5151" s="24"/>
      <c r="K5151" s="24"/>
      <c r="M5151" s="24"/>
      <c r="N5151" s="24"/>
      <c r="P5151" s="24"/>
    </row>
    <row r="5152" spans="2:16" x14ac:dyDescent="0.25">
      <c r="B5152" s="24"/>
      <c r="E5152" s="24"/>
      <c r="G5152" s="24"/>
      <c r="H5152" s="24"/>
      <c r="J5152" s="24"/>
      <c r="K5152" s="24"/>
      <c r="M5152" s="24"/>
      <c r="N5152" s="24"/>
      <c r="P5152" s="24"/>
    </row>
    <row r="5153" spans="2:16" x14ac:dyDescent="0.25">
      <c r="B5153" s="24"/>
      <c r="E5153" s="24"/>
      <c r="G5153" s="24"/>
      <c r="H5153" s="24"/>
      <c r="J5153" s="24"/>
      <c r="K5153" s="24"/>
      <c r="M5153" s="24"/>
      <c r="N5153" s="24"/>
      <c r="P5153" s="24"/>
    </row>
    <row r="5154" spans="2:16" x14ac:dyDescent="0.25">
      <c r="B5154" s="24"/>
      <c r="E5154" s="24"/>
      <c r="G5154" s="24"/>
      <c r="H5154" s="24"/>
      <c r="J5154" s="24"/>
      <c r="K5154" s="24"/>
      <c r="M5154" s="24"/>
      <c r="N5154" s="24"/>
      <c r="P5154" s="24"/>
    </row>
    <row r="5155" spans="2:16" x14ac:dyDescent="0.25">
      <c r="B5155" s="24"/>
      <c r="E5155" s="24"/>
      <c r="G5155" s="24"/>
      <c r="H5155" s="24"/>
      <c r="J5155" s="24"/>
      <c r="K5155" s="24"/>
      <c r="M5155" s="24"/>
      <c r="N5155" s="24"/>
      <c r="P5155" s="24"/>
    </row>
    <row r="5156" spans="2:16" x14ac:dyDescent="0.25">
      <c r="B5156" s="24"/>
      <c r="E5156" s="24"/>
      <c r="G5156" s="24"/>
      <c r="H5156" s="24"/>
      <c r="J5156" s="24"/>
      <c r="K5156" s="24"/>
      <c r="M5156" s="24"/>
      <c r="N5156" s="24"/>
      <c r="P5156" s="24"/>
    </row>
    <row r="5157" spans="2:16" x14ac:dyDescent="0.25">
      <c r="B5157" s="24"/>
      <c r="E5157" s="24"/>
      <c r="G5157" s="24"/>
      <c r="H5157" s="24"/>
      <c r="J5157" s="24"/>
      <c r="K5157" s="24"/>
      <c r="M5157" s="24"/>
      <c r="N5157" s="24"/>
      <c r="P5157" s="24"/>
    </row>
    <row r="5158" spans="2:16" x14ac:dyDescent="0.25">
      <c r="B5158" s="24"/>
      <c r="E5158" s="24"/>
      <c r="G5158" s="24"/>
      <c r="H5158" s="24"/>
      <c r="J5158" s="24"/>
      <c r="K5158" s="24"/>
      <c r="M5158" s="24"/>
      <c r="N5158" s="24"/>
      <c r="P5158" s="24"/>
    </row>
    <row r="5159" spans="2:16" x14ac:dyDescent="0.25">
      <c r="B5159" s="24"/>
      <c r="E5159" s="24"/>
      <c r="G5159" s="24"/>
      <c r="H5159" s="24"/>
      <c r="J5159" s="24"/>
      <c r="K5159" s="24"/>
      <c r="M5159" s="24"/>
      <c r="N5159" s="24"/>
      <c r="P5159" s="24"/>
    </row>
    <row r="5160" spans="2:16" x14ac:dyDescent="0.25">
      <c r="B5160" s="24"/>
      <c r="E5160" s="24"/>
      <c r="G5160" s="24"/>
      <c r="H5160" s="24"/>
      <c r="J5160" s="24"/>
      <c r="K5160" s="24"/>
      <c r="M5160" s="24"/>
      <c r="N5160" s="24"/>
      <c r="P5160" s="24"/>
    </row>
    <row r="5161" spans="2:16" x14ac:dyDescent="0.25">
      <c r="B5161" s="24"/>
      <c r="E5161" s="24"/>
      <c r="G5161" s="24"/>
      <c r="H5161" s="24"/>
      <c r="J5161" s="24"/>
      <c r="K5161" s="24"/>
      <c r="M5161" s="24"/>
      <c r="N5161" s="24"/>
      <c r="P5161" s="24"/>
    </row>
    <row r="5162" spans="2:16" x14ac:dyDescent="0.25">
      <c r="B5162" s="24"/>
      <c r="E5162" s="24"/>
      <c r="G5162" s="24"/>
      <c r="H5162" s="24"/>
      <c r="J5162" s="24"/>
      <c r="K5162" s="24"/>
      <c r="M5162" s="24"/>
      <c r="N5162" s="24"/>
      <c r="P5162" s="24"/>
    </row>
    <row r="5163" spans="2:16" x14ac:dyDescent="0.25">
      <c r="B5163" s="24"/>
      <c r="E5163" s="24"/>
      <c r="G5163" s="24"/>
      <c r="H5163" s="24"/>
      <c r="J5163" s="24"/>
      <c r="K5163" s="24"/>
      <c r="M5163" s="24"/>
      <c r="N5163" s="24"/>
      <c r="P5163" s="24"/>
    </row>
    <row r="5164" spans="2:16" x14ac:dyDescent="0.25">
      <c r="B5164" s="24"/>
      <c r="E5164" s="24"/>
      <c r="G5164" s="24"/>
      <c r="H5164" s="24"/>
      <c r="J5164" s="24"/>
      <c r="K5164" s="24"/>
      <c r="M5164" s="24"/>
      <c r="N5164" s="24"/>
      <c r="P5164" s="24"/>
    </row>
    <row r="5165" spans="2:16" x14ac:dyDescent="0.25">
      <c r="B5165" s="24"/>
      <c r="E5165" s="24"/>
      <c r="G5165" s="24"/>
      <c r="H5165" s="24"/>
      <c r="J5165" s="24"/>
      <c r="K5165" s="24"/>
      <c r="M5165" s="24"/>
      <c r="N5165" s="24"/>
      <c r="P5165" s="24"/>
    </row>
    <row r="5166" spans="2:16" x14ac:dyDescent="0.25">
      <c r="B5166" s="24"/>
      <c r="E5166" s="24"/>
      <c r="G5166" s="24"/>
      <c r="H5166" s="24"/>
      <c r="J5166" s="24"/>
      <c r="K5166" s="24"/>
      <c r="M5166" s="24"/>
      <c r="N5166" s="24"/>
      <c r="P5166" s="24"/>
    </row>
    <row r="5167" spans="2:16" x14ac:dyDescent="0.25">
      <c r="B5167" s="24"/>
      <c r="E5167" s="24"/>
      <c r="G5167" s="24"/>
      <c r="H5167" s="24"/>
      <c r="J5167" s="24"/>
      <c r="K5167" s="24"/>
      <c r="M5167" s="24"/>
      <c r="N5167" s="24"/>
      <c r="P5167" s="24"/>
    </row>
    <row r="5168" spans="2:16" x14ac:dyDescent="0.25">
      <c r="B5168" s="24"/>
      <c r="E5168" s="24"/>
      <c r="G5168" s="24"/>
      <c r="H5168" s="24"/>
      <c r="J5168" s="24"/>
      <c r="K5168" s="24"/>
      <c r="M5168" s="24"/>
      <c r="N5168" s="24"/>
      <c r="P5168" s="24"/>
    </row>
    <row r="5169" spans="2:16" x14ac:dyDescent="0.25">
      <c r="B5169" s="24"/>
      <c r="E5169" s="24"/>
      <c r="G5169" s="24"/>
      <c r="H5169" s="24"/>
      <c r="J5169" s="24"/>
      <c r="K5169" s="24"/>
      <c r="M5169" s="24"/>
      <c r="N5169" s="24"/>
      <c r="P5169" s="24"/>
    </row>
    <row r="5170" spans="2:16" x14ac:dyDescent="0.25">
      <c r="B5170" s="24"/>
      <c r="E5170" s="24"/>
      <c r="G5170" s="24"/>
      <c r="H5170" s="24"/>
      <c r="J5170" s="24"/>
      <c r="K5170" s="24"/>
      <c r="M5170" s="24"/>
      <c r="N5170" s="24"/>
      <c r="P5170" s="24"/>
    </row>
    <row r="5171" spans="2:16" x14ac:dyDescent="0.25">
      <c r="B5171" s="24"/>
      <c r="E5171" s="24"/>
      <c r="G5171" s="24"/>
      <c r="H5171" s="24"/>
      <c r="J5171" s="24"/>
      <c r="K5171" s="24"/>
      <c r="M5171" s="24"/>
      <c r="N5171" s="24"/>
      <c r="P5171" s="24"/>
    </row>
    <row r="5172" spans="2:16" x14ac:dyDescent="0.25">
      <c r="B5172" s="24"/>
      <c r="E5172" s="24"/>
      <c r="G5172" s="24"/>
      <c r="H5172" s="24"/>
      <c r="J5172" s="24"/>
      <c r="K5172" s="24"/>
      <c r="M5172" s="24"/>
      <c r="N5172" s="24"/>
      <c r="P5172" s="24"/>
    </row>
    <row r="5173" spans="2:16" x14ac:dyDescent="0.25">
      <c r="B5173" s="24"/>
      <c r="E5173" s="24"/>
      <c r="G5173" s="24"/>
      <c r="H5173" s="24"/>
      <c r="J5173" s="24"/>
      <c r="K5173" s="24"/>
      <c r="M5173" s="24"/>
      <c r="N5173" s="24"/>
      <c r="P5173" s="24"/>
    </row>
    <row r="5174" spans="2:16" x14ac:dyDescent="0.25">
      <c r="B5174" s="24"/>
      <c r="E5174" s="24"/>
      <c r="G5174" s="24"/>
      <c r="H5174" s="24"/>
      <c r="J5174" s="24"/>
      <c r="K5174" s="24"/>
      <c r="M5174" s="24"/>
      <c r="N5174" s="24"/>
      <c r="P5174" s="24"/>
    </row>
    <row r="5175" spans="2:16" x14ac:dyDescent="0.25">
      <c r="B5175" s="24"/>
      <c r="E5175" s="24"/>
      <c r="G5175" s="24"/>
      <c r="H5175" s="24"/>
      <c r="J5175" s="24"/>
      <c r="K5175" s="24"/>
      <c r="M5175" s="24"/>
      <c r="N5175" s="24"/>
      <c r="P5175" s="24"/>
    </row>
    <row r="5176" spans="2:16" x14ac:dyDescent="0.25">
      <c r="B5176" s="24"/>
      <c r="E5176" s="24"/>
      <c r="G5176" s="24"/>
      <c r="H5176" s="24"/>
      <c r="J5176" s="24"/>
      <c r="K5176" s="24"/>
      <c r="M5176" s="24"/>
      <c r="N5176" s="24"/>
      <c r="P5176" s="24"/>
    </row>
    <row r="5177" spans="2:16" x14ac:dyDescent="0.25">
      <c r="B5177" s="24"/>
      <c r="E5177" s="24"/>
      <c r="G5177" s="24"/>
      <c r="H5177" s="24"/>
      <c r="J5177" s="24"/>
      <c r="K5177" s="24"/>
      <c r="M5177" s="24"/>
      <c r="N5177" s="24"/>
      <c r="P5177" s="24"/>
    </row>
    <row r="5178" spans="2:16" x14ac:dyDescent="0.25">
      <c r="B5178" s="24"/>
      <c r="E5178" s="24"/>
      <c r="G5178" s="24"/>
      <c r="H5178" s="24"/>
      <c r="J5178" s="24"/>
      <c r="K5178" s="24"/>
      <c r="M5178" s="24"/>
      <c r="N5178" s="24"/>
      <c r="P5178" s="24"/>
    </row>
    <row r="5179" spans="2:16" x14ac:dyDescent="0.25">
      <c r="B5179" s="24"/>
      <c r="E5179" s="24"/>
      <c r="G5179" s="24"/>
      <c r="H5179" s="24"/>
      <c r="J5179" s="24"/>
      <c r="K5179" s="24"/>
      <c r="M5179" s="24"/>
      <c r="N5179" s="24"/>
      <c r="P5179" s="24"/>
    </row>
    <row r="5180" spans="2:16" x14ac:dyDescent="0.25">
      <c r="B5180" s="24"/>
      <c r="E5180" s="24"/>
      <c r="G5180" s="24"/>
      <c r="H5180" s="24"/>
      <c r="J5180" s="24"/>
      <c r="K5180" s="24"/>
      <c r="M5180" s="24"/>
      <c r="N5180" s="24"/>
      <c r="P5180" s="24"/>
    </row>
    <row r="5181" spans="2:16" x14ac:dyDescent="0.25">
      <c r="B5181" s="24"/>
      <c r="E5181" s="24"/>
      <c r="G5181" s="24"/>
      <c r="H5181" s="24"/>
      <c r="J5181" s="24"/>
      <c r="K5181" s="24"/>
      <c r="M5181" s="24"/>
      <c r="N5181" s="24"/>
      <c r="P5181" s="24"/>
    </row>
    <row r="5182" spans="2:16" x14ac:dyDescent="0.25">
      <c r="B5182" s="24"/>
      <c r="E5182" s="24"/>
      <c r="G5182" s="24"/>
      <c r="H5182" s="24"/>
      <c r="J5182" s="24"/>
      <c r="K5182" s="24"/>
      <c r="M5182" s="24"/>
      <c r="N5182" s="24"/>
      <c r="P5182" s="24"/>
    </row>
    <row r="5183" spans="2:16" x14ac:dyDescent="0.25">
      <c r="B5183" s="24"/>
      <c r="E5183" s="24"/>
      <c r="G5183" s="24"/>
      <c r="H5183" s="24"/>
      <c r="J5183" s="24"/>
      <c r="K5183" s="24"/>
      <c r="M5183" s="24"/>
      <c r="N5183" s="24"/>
      <c r="P5183" s="24"/>
    </row>
    <row r="5184" spans="2:16" x14ac:dyDescent="0.25">
      <c r="B5184" s="24"/>
      <c r="E5184" s="24"/>
      <c r="G5184" s="24"/>
      <c r="H5184" s="24"/>
      <c r="J5184" s="24"/>
      <c r="K5184" s="24"/>
      <c r="M5184" s="24"/>
      <c r="N5184" s="24"/>
      <c r="P5184" s="24"/>
    </row>
    <row r="5185" spans="2:16" x14ac:dyDescent="0.25">
      <c r="B5185" s="24"/>
      <c r="E5185" s="24"/>
      <c r="G5185" s="24"/>
      <c r="H5185" s="24"/>
      <c r="J5185" s="24"/>
      <c r="K5185" s="24"/>
      <c r="M5185" s="24"/>
      <c r="N5185" s="24"/>
      <c r="P5185" s="24"/>
    </row>
    <row r="5186" spans="2:16" x14ac:dyDescent="0.25">
      <c r="B5186" s="24"/>
      <c r="E5186" s="24"/>
      <c r="G5186" s="24"/>
      <c r="H5186" s="24"/>
      <c r="J5186" s="24"/>
      <c r="K5186" s="24"/>
      <c r="M5186" s="24"/>
      <c r="N5186" s="24"/>
      <c r="P5186" s="24"/>
    </row>
    <row r="5187" spans="2:16" x14ac:dyDescent="0.25">
      <c r="B5187" s="24"/>
      <c r="E5187" s="24"/>
      <c r="G5187" s="24"/>
      <c r="H5187" s="24"/>
      <c r="J5187" s="24"/>
      <c r="K5187" s="24"/>
      <c r="M5187" s="24"/>
      <c r="N5187" s="24"/>
      <c r="P5187" s="24"/>
    </row>
    <row r="5188" spans="2:16" x14ac:dyDescent="0.25">
      <c r="B5188" s="24"/>
      <c r="E5188" s="24"/>
      <c r="G5188" s="24"/>
      <c r="H5188" s="24"/>
      <c r="J5188" s="24"/>
      <c r="K5188" s="24"/>
      <c r="M5188" s="24"/>
      <c r="N5188" s="24"/>
      <c r="P5188" s="24"/>
    </row>
    <row r="5189" spans="2:16" x14ac:dyDescent="0.25">
      <c r="B5189" s="24"/>
      <c r="E5189" s="24"/>
      <c r="G5189" s="24"/>
      <c r="H5189" s="24"/>
      <c r="J5189" s="24"/>
      <c r="K5189" s="24"/>
      <c r="M5189" s="24"/>
      <c r="N5189" s="24"/>
      <c r="P5189" s="24"/>
    </row>
    <row r="5190" spans="2:16" x14ac:dyDescent="0.25">
      <c r="B5190" s="24"/>
      <c r="E5190" s="24"/>
      <c r="G5190" s="24"/>
      <c r="H5190" s="24"/>
      <c r="J5190" s="24"/>
      <c r="K5190" s="24"/>
      <c r="M5190" s="24"/>
      <c r="N5190" s="24"/>
      <c r="P5190" s="24"/>
    </row>
    <row r="5191" spans="2:16" x14ac:dyDescent="0.25">
      <c r="B5191" s="24"/>
      <c r="E5191" s="24"/>
      <c r="G5191" s="24"/>
      <c r="H5191" s="24"/>
      <c r="J5191" s="24"/>
      <c r="K5191" s="24"/>
      <c r="M5191" s="24"/>
      <c r="N5191" s="24"/>
      <c r="P5191" s="24"/>
    </row>
    <row r="5192" spans="2:16" x14ac:dyDescent="0.25">
      <c r="B5192" s="24"/>
      <c r="E5192" s="24"/>
      <c r="G5192" s="24"/>
      <c r="H5192" s="24"/>
      <c r="J5192" s="24"/>
      <c r="K5192" s="24"/>
      <c r="M5192" s="24"/>
      <c r="N5192" s="24"/>
      <c r="P5192" s="24"/>
    </row>
    <row r="5193" spans="2:16" x14ac:dyDescent="0.25">
      <c r="B5193" s="24"/>
      <c r="E5193" s="24"/>
      <c r="G5193" s="24"/>
      <c r="H5193" s="24"/>
      <c r="J5193" s="24"/>
      <c r="K5193" s="24"/>
      <c r="M5193" s="24"/>
      <c r="N5193" s="24"/>
      <c r="P5193" s="24"/>
    </row>
    <row r="5194" spans="2:16" x14ac:dyDescent="0.25">
      <c r="B5194" s="24"/>
      <c r="E5194" s="24"/>
      <c r="G5194" s="24"/>
      <c r="H5194" s="24"/>
      <c r="J5194" s="24"/>
      <c r="K5194" s="24"/>
      <c r="M5194" s="24"/>
      <c r="N5194" s="24"/>
      <c r="P5194" s="24"/>
    </row>
    <row r="5195" spans="2:16" x14ac:dyDescent="0.25">
      <c r="B5195" s="24"/>
      <c r="E5195" s="24"/>
      <c r="G5195" s="24"/>
      <c r="H5195" s="24"/>
      <c r="J5195" s="24"/>
      <c r="K5195" s="24"/>
      <c r="M5195" s="24"/>
      <c r="N5195" s="24"/>
      <c r="P5195" s="24"/>
    </row>
    <row r="5196" spans="2:16" x14ac:dyDescent="0.25">
      <c r="B5196" s="24"/>
      <c r="E5196" s="24"/>
      <c r="G5196" s="24"/>
      <c r="H5196" s="24"/>
      <c r="J5196" s="24"/>
      <c r="K5196" s="24"/>
      <c r="M5196" s="24"/>
      <c r="N5196" s="24"/>
      <c r="P5196" s="24"/>
    </row>
    <row r="5197" spans="2:16" x14ac:dyDescent="0.25">
      <c r="B5197" s="24"/>
      <c r="E5197" s="24"/>
      <c r="G5197" s="24"/>
      <c r="H5197" s="24"/>
      <c r="J5197" s="24"/>
      <c r="K5197" s="24"/>
      <c r="M5197" s="24"/>
      <c r="N5197" s="24"/>
      <c r="P5197" s="24"/>
    </row>
    <row r="5198" spans="2:16" x14ac:dyDescent="0.25">
      <c r="B5198" s="24"/>
      <c r="E5198" s="24"/>
      <c r="G5198" s="24"/>
      <c r="H5198" s="24"/>
      <c r="J5198" s="24"/>
      <c r="K5198" s="24"/>
      <c r="M5198" s="24"/>
      <c r="N5198" s="24"/>
      <c r="P5198" s="24"/>
    </row>
    <row r="5199" spans="2:16" x14ac:dyDescent="0.25">
      <c r="B5199" s="24"/>
      <c r="E5199" s="24"/>
      <c r="G5199" s="24"/>
      <c r="H5199" s="24"/>
      <c r="J5199" s="24"/>
      <c r="K5199" s="24"/>
      <c r="M5199" s="24"/>
      <c r="N5199" s="24"/>
      <c r="P5199" s="24"/>
    </row>
    <row r="5200" spans="2:16" x14ac:dyDescent="0.25">
      <c r="B5200" s="24"/>
      <c r="E5200" s="24"/>
      <c r="G5200" s="24"/>
      <c r="H5200" s="24"/>
      <c r="J5200" s="24"/>
      <c r="K5200" s="24"/>
      <c r="M5200" s="24"/>
      <c r="N5200" s="24"/>
      <c r="P5200" s="24"/>
    </row>
    <row r="5201" spans="2:16" x14ac:dyDescent="0.25">
      <c r="B5201" s="24"/>
      <c r="E5201" s="24"/>
      <c r="G5201" s="24"/>
      <c r="H5201" s="24"/>
      <c r="J5201" s="24"/>
      <c r="K5201" s="24"/>
      <c r="M5201" s="24"/>
      <c r="N5201" s="24"/>
      <c r="P5201" s="24"/>
    </row>
    <row r="5202" spans="2:16" x14ac:dyDescent="0.25">
      <c r="B5202" s="24"/>
      <c r="E5202" s="24"/>
      <c r="G5202" s="24"/>
      <c r="H5202" s="24"/>
      <c r="J5202" s="24"/>
      <c r="K5202" s="24"/>
      <c r="M5202" s="24"/>
      <c r="N5202" s="24"/>
      <c r="P5202" s="24"/>
    </row>
    <row r="5203" spans="2:16" x14ac:dyDescent="0.25">
      <c r="B5203" s="24"/>
      <c r="E5203" s="24"/>
      <c r="G5203" s="24"/>
      <c r="H5203" s="24"/>
      <c r="J5203" s="24"/>
      <c r="K5203" s="24"/>
      <c r="M5203" s="24"/>
      <c r="N5203" s="24"/>
      <c r="P5203" s="24"/>
    </row>
    <row r="5204" spans="2:16" x14ac:dyDescent="0.25">
      <c r="B5204" s="24"/>
      <c r="E5204" s="24"/>
      <c r="G5204" s="24"/>
      <c r="H5204" s="24"/>
      <c r="J5204" s="24"/>
      <c r="K5204" s="24"/>
      <c r="M5204" s="24"/>
      <c r="N5204" s="24"/>
      <c r="P5204" s="24"/>
    </row>
    <row r="5205" spans="2:16" x14ac:dyDescent="0.25">
      <c r="B5205" s="24"/>
      <c r="E5205" s="24"/>
      <c r="G5205" s="24"/>
      <c r="H5205" s="24"/>
      <c r="J5205" s="24"/>
      <c r="K5205" s="24"/>
      <c r="M5205" s="24"/>
      <c r="N5205" s="24"/>
      <c r="P5205" s="24"/>
    </row>
    <row r="5206" spans="2:16" x14ac:dyDescent="0.25">
      <c r="B5206" s="24"/>
      <c r="E5206" s="24"/>
      <c r="G5206" s="24"/>
      <c r="H5206" s="24"/>
      <c r="J5206" s="24"/>
      <c r="K5206" s="24"/>
      <c r="M5206" s="24"/>
      <c r="N5206" s="24"/>
      <c r="P5206" s="24"/>
    </row>
    <row r="5207" spans="2:16" x14ac:dyDescent="0.25">
      <c r="B5207" s="24"/>
      <c r="E5207" s="24"/>
      <c r="G5207" s="24"/>
      <c r="H5207" s="24"/>
      <c r="J5207" s="24"/>
      <c r="K5207" s="24"/>
      <c r="M5207" s="24"/>
      <c r="N5207" s="24"/>
      <c r="P5207" s="24"/>
    </row>
    <row r="5208" spans="2:16" x14ac:dyDescent="0.25">
      <c r="B5208" s="24"/>
      <c r="E5208" s="24"/>
      <c r="G5208" s="24"/>
      <c r="H5208" s="24"/>
      <c r="J5208" s="24"/>
      <c r="K5208" s="24"/>
      <c r="M5208" s="24"/>
      <c r="N5208" s="24"/>
      <c r="P5208" s="24"/>
    </row>
    <row r="5209" spans="2:16" x14ac:dyDescent="0.25">
      <c r="B5209" s="24"/>
      <c r="E5209" s="24"/>
      <c r="G5209" s="24"/>
      <c r="H5209" s="24"/>
      <c r="J5209" s="24"/>
      <c r="K5209" s="24"/>
      <c r="M5209" s="24"/>
      <c r="N5209" s="24"/>
      <c r="P5209" s="24"/>
    </row>
    <row r="5210" spans="2:16" x14ac:dyDescent="0.25">
      <c r="B5210" s="24"/>
      <c r="E5210" s="24"/>
      <c r="G5210" s="24"/>
      <c r="H5210" s="24"/>
      <c r="J5210" s="24"/>
      <c r="K5210" s="24"/>
      <c r="M5210" s="24"/>
      <c r="N5210" s="24"/>
      <c r="P5210" s="24"/>
    </row>
    <row r="5211" spans="2:16" x14ac:dyDescent="0.25">
      <c r="B5211" s="24"/>
      <c r="E5211" s="24"/>
      <c r="G5211" s="24"/>
      <c r="H5211" s="24"/>
      <c r="J5211" s="24"/>
      <c r="K5211" s="24"/>
      <c r="M5211" s="24"/>
      <c r="N5211" s="24"/>
      <c r="P5211" s="24"/>
    </row>
    <row r="5212" spans="2:16" x14ac:dyDescent="0.25">
      <c r="B5212" s="24"/>
      <c r="E5212" s="24"/>
      <c r="G5212" s="24"/>
      <c r="H5212" s="24"/>
      <c r="J5212" s="24"/>
      <c r="K5212" s="24"/>
      <c r="M5212" s="24"/>
      <c r="N5212" s="24"/>
      <c r="P5212" s="24"/>
    </row>
    <row r="5213" spans="2:16" x14ac:dyDescent="0.25">
      <c r="B5213" s="24"/>
      <c r="E5213" s="24"/>
      <c r="G5213" s="24"/>
      <c r="H5213" s="24"/>
      <c r="J5213" s="24"/>
      <c r="K5213" s="24"/>
      <c r="M5213" s="24"/>
      <c r="N5213" s="24"/>
      <c r="P5213" s="24"/>
    </row>
    <row r="5214" spans="2:16" x14ac:dyDescent="0.25">
      <c r="B5214" s="24"/>
      <c r="E5214" s="24"/>
      <c r="G5214" s="24"/>
      <c r="H5214" s="24"/>
      <c r="J5214" s="24"/>
      <c r="K5214" s="24"/>
      <c r="M5214" s="24"/>
      <c r="N5214" s="24"/>
      <c r="P5214" s="24"/>
    </row>
    <row r="5215" spans="2:16" x14ac:dyDescent="0.25">
      <c r="B5215" s="24"/>
      <c r="E5215" s="24"/>
      <c r="G5215" s="24"/>
      <c r="H5215" s="24"/>
      <c r="J5215" s="24"/>
      <c r="K5215" s="24"/>
      <c r="M5215" s="24"/>
      <c r="N5215" s="24"/>
      <c r="P5215" s="24"/>
    </row>
    <row r="5216" spans="2:16" x14ac:dyDescent="0.25">
      <c r="B5216" s="24"/>
      <c r="E5216" s="24"/>
      <c r="G5216" s="24"/>
      <c r="H5216" s="24"/>
      <c r="J5216" s="24"/>
      <c r="K5216" s="24"/>
      <c r="M5216" s="24"/>
      <c r="N5216" s="24"/>
      <c r="P5216" s="24"/>
    </row>
    <row r="5217" spans="2:16" x14ac:dyDescent="0.25">
      <c r="B5217" s="24"/>
      <c r="E5217" s="24"/>
      <c r="G5217" s="24"/>
      <c r="H5217" s="24"/>
      <c r="J5217" s="24"/>
      <c r="K5217" s="24"/>
      <c r="M5217" s="24"/>
      <c r="N5217" s="24"/>
      <c r="P5217" s="24"/>
    </row>
    <row r="5218" spans="2:16" x14ac:dyDescent="0.25">
      <c r="B5218" s="24"/>
      <c r="E5218" s="24"/>
      <c r="G5218" s="24"/>
      <c r="H5218" s="24"/>
      <c r="J5218" s="24"/>
      <c r="K5218" s="24"/>
      <c r="M5218" s="24"/>
      <c r="N5218" s="24"/>
      <c r="P5218" s="24"/>
    </row>
    <row r="5219" spans="2:16" x14ac:dyDescent="0.25">
      <c r="B5219" s="24"/>
      <c r="E5219" s="24"/>
      <c r="G5219" s="24"/>
      <c r="H5219" s="24"/>
      <c r="J5219" s="24"/>
      <c r="K5219" s="24"/>
      <c r="M5219" s="24"/>
      <c r="N5219" s="24"/>
      <c r="P5219" s="24"/>
    </row>
    <row r="5220" spans="2:16" x14ac:dyDescent="0.25">
      <c r="B5220" s="24"/>
      <c r="E5220" s="24"/>
      <c r="G5220" s="24"/>
      <c r="H5220" s="24"/>
      <c r="J5220" s="24"/>
      <c r="K5220" s="24"/>
      <c r="M5220" s="24"/>
      <c r="N5220" s="24"/>
      <c r="P5220" s="24"/>
    </row>
    <row r="5221" spans="2:16" x14ac:dyDescent="0.25">
      <c r="B5221" s="24"/>
      <c r="E5221" s="24"/>
      <c r="G5221" s="24"/>
      <c r="H5221" s="24"/>
      <c r="J5221" s="24"/>
      <c r="K5221" s="24"/>
      <c r="M5221" s="24"/>
      <c r="N5221" s="24"/>
      <c r="P5221" s="24"/>
    </row>
    <row r="5222" spans="2:16" x14ac:dyDescent="0.25">
      <c r="B5222" s="24"/>
      <c r="E5222" s="24"/>
      <c r="G5222" s="24"/>
      <c r="H5222" s="24"/>
      <c r="J5222" s="24"/>
      <c r="K5222" s="24"/>
      <c r="M5222" s="24"/>
      <c r="N5222" s="24"/>
      <c r="P5222" s="24"/>
    </row>
    <row r="5223" spans="2:16" x14ac:dyDescent="0.25">
      <c r="B5223" s="24"/>
      <c r="E5223" s="24"/>
      <c r="G5223" s="24"/>
      <c r="H5223" s="24"/>
      <c r="J5223" s="24"/>
      <c r="K5223" s="24"/>
      <c r="M5223" s="24"/>
      <c r="N5223" s="24"/>
      <c r="P5223" s="24"/>
    </row>
    <row r="5224" spans="2:16" x14ac:dyDescent="0.25">
      <c r="B5224" s="24"/>
      <c r="E5224" s="24"/>
      <c r="G5224" s="24"/>
      <c r="H5224" s="24"/>
      <c r="J5224" s="24"/>
      <c r="K5224" s="24"/>
      <c r="M5224" s="24"/>
      <c r="N5224" s="24"/>
      <c r="P5224" s="24"/>
    </row>
    <row r="5225" spans="2:16" x14ac:dyDescent="0.25">
      <c r="B5225" s="24"/>
      <c r="E5225" s="24"/>
      <c r="G5225" s="24"/>
      <c r="H5225" s="24"/>
      <c r="J5225" s="24"/>
      <c r="K5225" s="24"/>
      <c r="M5225" s="24"/>
      <c r="N5225" s="24"/>
      <c r="P5225" s="24"/>
    </row>
    <row r="5226" spans="2:16" x14ac:dyDescent="0.25">
      <c r="B5226" s="24"/>
      <c r="E5226" s="24"/>
      <c r="G5226" s="24"/>
      <c r="H5226" s="24"/>
      <c r="J5226" s="24"/>
      <c r="K5226" s="24"/>
      <c r="M5226" s="24"/>
      <c r="N5226" s="24"/>
      <c r="P5226" s="24"/>
    </row>
    <row r="5227" spans="2:16" x14ac:dyDescent="0.25">
      <c r="B5227" s="24"/>
      <c r="E5227" s="24"/>
      <c r="G5227" s="24"/>
      <c r="H5227" s="24"/>
      <c r="J5227" s="24"/>
      <c r="K5227" s="24"/>
      <c r="M5227" s="24"/>
      <c r="N5227" s="24"/>
      <c r="P5227" s="24"/>
    </row>
    <row r="5228" spans="2:16" x14ac:dyDescent="0.25">
      <c r="B5228" s="24"/>
      <c r="E5228" s="24"/>
      <c r="G5228" s="24"/>
      <c r="H5228" s="24"/>
      <c r="J5228" s="24"/>
      <c r="K5228" s="24"/>
      <c r="M5228" s="24"/>
      <c r="N5228" s="24"/>
      <c r="P5228" s="24"/>
    </row>
    <row r="5229" spans="2:16" x14ac:dyDescent="0.25">
      <c r="B5229" s="24"/>
      <c r="E5229" s="24"/>
      <c r="G5229" s="24"/>
      <c r="H5229" s="24"/>
      <c r="J5229" s="24"/>
      <c r="K5229" s="24"/>
      <c r="M5229" s="24"/>
      <c r="N5229" s="24"/>
      <c r="P5229" s="24"/>
    </row>
    <row r="5230" spans="2:16" x14ac:dyDescent="0.25">
      <c r="B5230" s="24"/>
      <c r="E5230" s="24"/>
      <c r="G5230" s="24"/>
      <c r="H5230" s="24"/>
      <c r="J5230" s="24"/>
      <c r="K5230" s="24"/>
      <c r="M5230" s="24"/>
      <c r="N5230" s="24"/>
      <c r="P5230" s="24"/>
    </row>
    <row r="5231" spans="2:16" x14ac:dyDescent="0.25">
      <c r="B5231" s="24"/>
      <c r="E5231" s="24"/>
      <c r="G5231" s="24"/>
      <c r="H5231" s="24"/>
      <c r="J5231" s="24"/>
      <c r="K5231" s="24"/>
      <c r="M5231" s="24"/>
      <c r="N5231" s="24"/>
      <c r="P5231" s="24"/>
    </row>
    <row r="5232" spans="2:16" x14ac:dyDescent="0.25">
      <c r="B5232" s="24"/>
      <c r="E5232" s="24"/>
      <c r="G5232" s="24"/>
      <c r="H5232" s="24"/>
      <c r="J5232" s="24"/>
      <c r="K5232" s="24"/>
      <c r="M5232" s="24"/>
      <c r="N5232" s="24"/>
      <c r="P5232" s="24"/>
    </row>
    <row r="5233" spans="2:16" x14ac:dyDescent="0.25">
      <c r="B5233" s="24"/>
      <c r="E5233" s="24"/>
      <c r="G5233" s="24"/>
      <c r="H5233" s="24"/>
      <c r="J5233" s="24"/>
      <c r="K5233" s="24"/>
      <c r="M5233" s="24"/>
      <c r="N5233" s="24"/>
      <c r="P5233" s="24"/>
    </row>
    <row r="5234" spans="2:16" x14ac:dyDescent="0.25">
      <c r="B5234" s="24"/>
      <c r="E5234" s="24"/>
      <c r="G5234" s="24"/>
      <c r="H5234" s="24"/>
      <c r="J5234" s="24"/>
      <c r="K5234" s="24"/>
      <c r="M5234" s="24"/>
      <c r="N5234" s="24"/>
      <c r="P5234" s="24"/>
    </row>
    <row r="5235" spans="2:16" x14ac:dyDescent="0.25">
      <c r="B5235" s="24"/>
      <c r="E5235" s="24"/>
      <c r="G5235" s="24"/>
      <c r="H5235" s="24"/>
      <c r="J5235" s="24"/>
      <c r="K5235" s="24"/>
      <c r="M5235" s="24"/>
      <c r="N5235" s="24"/>
      <c r="P5235" s="24"/>
    </row>
    <row r="5236" spans="2:16" x14ac:dyDescent="0.25">
      <c r="B5236" s="24"/>
      <c r="E5236" s="24"/>
      <c r="G5236" s="24"/>
      <c r="H5236" s="24"/>
      <c r="J5236" s="24"/>
      <c r="K5236" s="24"/>
      <c r="M5236" s="24"/>
      <c r="N5236" s="24"/>
      <c r="P5236" s="24"/>
    </row>
    <row r="5237" spans="2:16" x14ac:dyDescent="0.25">
      <c r="B5237" s="24"/>
      <c r="E5237" s="24"/>
      <c r="G5237" s="24"/>
      <c r="H5237" s="24"/>
      <c r="J5237" s="24"/>
      <c r="K5237" s="24"/>
      <c r="M5237" s="24"/>
      <c r="N5237" s="24"/>
      <c r="P5237" s="24"/>
    </row>
    <row r="5238" spans="2:16" x14ac:dyDescent="0.25">
      <c r="B5238" s="24"/>
      <c r="E5238" s="24"/>
      <c r="G5238" s="24"/>
      <c r="H5238" s="24"/>
      <c r="J5238" s="24"/>
      <c r="K5238" s="24"/>
      <c r="M5238" s="24"/>
      <c r="N5238" s="24"/>
      <c r="P5238" s="24"/>
    </row>
    <row r="5239" spans="2:16" x14ac:dyDescent="0.25">
      <c r="B5239" s="24"/>
      <c r="E5239" s="24"/>
      <c r="G5239" s="24"/>
      <c r="H5239" s="24"/>
      <c r="J5239" s="24"/>
      <c r="K5239" s="24"/>
      <c r="M5239" s="24"/>
      <c r="N5239" s="24"/>
      <c r="P5239" s="24"/>
    </row>
    <row r="5240" spans="2:16" x14ac:dyDescent="0.25">
      <c r="B5240" s="24"/>
      <c r="E5240" s="24"/>
      <c r="G5240" s="24"/>
      <c r="H5240" s="24"/>
      <c r="J5240" s="24"/>
      <c r="K5240" s="24"/>
      <c r="M5240" s="24"/>
      <c r="N5240" s="24"/>
      <c r="P5240" s="24"/>
    </row>
    <row r="5241" spans="2:16" x14ac:dyDescent="0.25">
      <c r="B5241" s="24"/>
      <c r="E5241" s="24"/>
      <c r="G5241" s="24"/>
      <c r="H5241" s="24"/>
      <c r="J5241" s="24"/>
      <c r="K5241" s="24"/>
      <c r="M5241" s="24"/>
      <c r="N5241" s="24"/>
      <c r="P5241" s="24"/>
    </row>
    <row r="5242" spans="2:16" x14ac:dyDescent="0.25">
      <c r="B5242" s="24"/>
      <c r="E5242" s="24"/>
      <c r="G5242" s="24"/>
      <c r="H5242" s="24"/>
      <c r="J5242" s="24"/>
      <c r="K5242" s="24"/>
      <c r="M5242" s="24"/>
      <c r="N5242" s="24"/>
      <c r="P5242" s="24"/>
    </row>
    <row r="5243" spans="2:16" x14ac:dyDescent="0.25">
      <c r="B5243" s="24"/>
      <c r="E5243" s="24"/>
      <c r="G5243" s="24"/>
      <c r="H5243" s="24"/>
      <c r="J5243" s="24"/>
      <c r="K5243" s="24"/>
      <c r="M5243" s="24"/>
      <c r="N5243" s="24"/>
      <c r="P5243" s="24"/>
    </row>
    <row r="5244" spans="2:16" x14ac:dyDescent="0.25">
      <c r="B5244" s="24"/>
      <c r="E5244" s="24"/>
      <c r="G5244" s="24"/>
      <c r="H5244" s="24"/>
      <c r="J5244" s="24"/>
      <c r="K5244" s="24"/>
      <c r="M5244" s="24"/>
      <c r="N5244" s="24"/>
      <c r="P5244" s="24"/>
    </row>
    <row r="5245" spans="2:16" x14ac:dyDescent="0.25">
      <c r="B5245" s="24"/>
      <c r="E5245" s="24"/>
      <c r="G5245" s="24"/>
      <c r="H5245" s="24"/>
      <c r="J5245" s="24"/>
      <c r="K5245" s="24"/>
      <c r="M5245" s="24"/>
      <c r="N5245" s="24"/>
      <c r="P5245" s="24"/>
    </row>
    <row r="5246" spans="2:16" x14ac:dyDescent="0.25">
      <c r="B5246" s="24"/>
      <c r="E5246" s="24"/>
      <c r="G5246" s="24"/>
      <c r="H5246" s="24"/>
      <c r="J5246" s="24"/>
      <c r="K5246" s="24"/>
      <c r="M5246" s="24"/>
      <c r="N5246" s="24"/>
      <c r="P5246" s="24"/>
    </row>
    <row r="5247" spans="2:16" x14ac:dyDescent="0.25">
      <c r="B5247" s="24"/>
      <c r="E5247" s="24"/>
      <c r="G5247" s="24"/>
      <c r="H5247" s="24"/>
      <c r="J5247" s="24"/>
      <c r="K5247" s="24"/>
      <c r="M5247" s="24"/>
      <c r="N5247" s="24"/>
      <c r="P5247" s="24"/>
    </row>
    <row r="5248" spans="2:16" x14ac:dyDescent="0.25">
      <c r="B5248" s="24"/>
      <c r="E5248" s="24"/>
      <c r="G5248" s="24"/>
      <c r="H5248" s="24"/>
      <c r="J5248" s="24"/>
      <c r="K5248" s="24"/>
      <c r="M5248" s="24"/>
      <c r="N5248" s="24"/>
      <c r="P5248" s="24"/>
    </row>
    <row r="5249" spans="2:16" x14ac:dyDescent="0.25">
      <c r="B5249" s="24"/>
      <c r="E5249" s="24"/>
      <c r="G5249" s="24"/>
      <c r="H5249" s="24"/>
      <c r="J5249" s="24"/>
      <c r="K5249" s="24"/>
      <c r="M5249" s="24"/>
      <c r="N5249" s="24"/>
      <c r="P5249" s="24"/>
    </row>
    <row r="5250" spans="2:16" x14ac:dyDescent="0.25">
      <c r="B5250" s="24"/>
      <c r="E5250" s="24"/>
      <c r="G5250" s="24"/>
      <c r="H5250" s="24"/>
      <c r="J5250" s="24"/>
      <c r="K5250" s="24"/>
      <c r="M5250" s="24"/>
      <c r="N5250" s="24"/>
      <c r="P5250" s="24"/>
    </row>
    <row r="5251" spans="2:16" x14ac:dyDescent="0.25">
      <c r="B5251" s="24"/>
      <c r="E5251" s="24"/>
      <c r="G5251" s="24"/>
      <c r="H5251" s="24"/>
      <c r="J5251" s="24"/>
      <c r="K5251" s="24"/>
      <c r="M5251" s="24"/>
      <c r="N5251" s="24"/>
      <c r="P5251" s="24"/>
    </row>
    <row r="5252" spans="2:16" x14ac:dyDescent="0.25">
      <c r="B5252" s="24"/>
      <c r="E5252" s="24"/>
      <c r="G5252" s="24"/>
      <c r="H5252" s="24"/>
      <c r="J5252" s="24"/>
      <c r="K5252" s="24"/>
      <c r="M5252" s="24"/>
      <c r="N5252" s="24"/>
      <c r="P5252" s="24"/>
    </row>
    <row r="5253" spans="2:16" x14ac:dyDescent="0.25">
      <c r="B5253" s="24"/>
      <c r="E5253" s="24"/>
      <c r="G5253" s="24"/>
      <c r="H5253" s="24"/>
      <c r="J5253" s="24"/>
      <c r="K5253" s="24"/>
      <c r="M5253" s="24"/>
      <c r="N5253" s="24"/>
      <c r="P5253" s="24"/>
    </row>
    <row r="5254" spans="2:16" x14ac:dyDescent="0.25">
      <c r="B5254" s="24"/>
      <c r="E5254" s="24"/>
      <c r="G5254" s="24"/>
      <c r="H5254" s="24"/>
      <c r="J5254" s="24"/>
      <c r="K5254" s="24"/>
      <c r="M5254" s="24"/>
      <c r="N5254" s="24"/>
      <c r="P5254" s="24"/>
    </row>
    <row r="5255" spans="2:16" x14ac:dyDescent="0.25">
      <c r="B5255" s="24"/>
      <c r="E5255" s="24"/>
      <c r="G5255" s="24"/>
      <c r="H5255" s="24"/>
      <c r="J5255" s="24"/>
      <c r="K5255" s="24"/>
      <c r="M5255" s="24"/>
      <c r="N5255" s="24"/>
      <c r="P5255" s="24"/>
    </row>
    <row r="5256" spans="2:16" x14ac:dyDescent="0.25">
      <c r="B5256" s="24"/>
      <c r="E5256" s="24"/>
      <c r="G5256" s="24"/>
      <c r="H5256" s="24"/>
      <c r="J5256" s="24"/>
      <c r="K5256" s="24"/>
      <c r="M5256" s="24"/>
      <c r="N5256" s="24"/>
      <c r="P5256" s="24"/>
    </row>
    <row r="5257" spans="2:16" x14ac:dyDescent="0.25">
      <c r="B5257" s="24"/>
      <c r="E5257" s="24"/>
      <c r="G5257" s="24"/>
      <c r="H5257" s="24"/>
      <c r="J5257" s="24"/>
      <c r="K5257" s="24"/>
      <c r="M5257" s="24"/>
      <c r="N5257" s="24"/>
      <c r="P5257" s="24"/>
    </row>
    <row r="5258" spans="2:16" x14ac:dyDescent="0.25">
      <c r="B5258" s="24"/>
      <c r="E5258" s="24"/>
      <c r="G5258" s="24"/>
      <c r="H5258" s="24"/>
      <c r="J5258" s="24"/>
      <c r="K5258" s="24"/>
      <c r="M5258" s="24"/>
      <c r="N5258" s="24"/>
      <c r="P5258" s="24"/>
    </row>
    <row r="5259" spans="2:16" x14ac:dyDescent="0.25">
      <c r="B5259" s="24"/>
      <c r="E5259" s="24"/>
      <c r="G5259" s="24"/>
      <c r="H5259" s="24"/>
      <c r="J5259" s="24"/>
      <c r="K5259" s="24"/>
      <c r="M5259" s="24"/>
      <c r="N5259" s="24"/>
      <c r="P5259" s="24"/>
    </row>
    <row r="5260" spans="2:16" x14ac:dyDescent="0.25">
      <c r="B5260" s="24"/>
      <c r="E5260" s="24"/>
      <c r="G5260" s="24"/>
      <c r="H5260" s="24"/>
      <c r="J5260" s="24"/>
      <c r="K5260" s="24"/>
      <c r="M5260" s="24"/>
      <c r="N5260" s="24"/>
      <c r="P5260" s="24"/>
    </row>
    <row r="5261" spans="2:16" x14ac:dyDescent="0.25">
      <c r="B5261" s="24"/>
      <c r="E5261" s="24"/>
      <c r="G5261" s="24"/>
      <c r="H5261" s="24"/>
      <c r="J5261" s="24"/>
      <c r="K5261" s="24"/>
      <c r="M5261" s="24"/>
      <c r="N5261" s="24"/>
      <c r="P5261" s="24"/>
    </row>
    <row r="5262" spans="2:16" x14ac:dyDescent="0.25">
      <c r="B5262" s="24"/>
      <c r="E5262" s="24"/>
      <c r="G5262" s="24"/>
      <c r="H5262" s="24"/>
      <c r="J5262" s="24"/>
      <c r="K5262" s="24"/>
      <c r="M5262" s="24"/>
      <c r="N5262" s="24"/>
      <c r="P5262" s="24"/>
    </row>
    <row r="5263" spans="2:16" x14ac:dyDescent="0.25">
      <c r="B5263" s="24"/>
      <c r="E5263" s="24"/>
      <c r="G5263" s="24"/>
      <c r="H5263" s="24"/>
      <c r="J5263" s="24"/>
      <c r="K5263" s="24"/>
      <c r="M5263" s="24"/>
      <c r="N5263" s="24"/>
      <c r="P5263" s="24"/>
    </row>
    <row r="5264" spans="2:16" x14ac:dyDescent="0.25">
      <c r="B5264" s="24"/>
      <c r="E5264" s="24"/>
      <c r="G5264" s="24"/>
      <c r="H5264" s="24"/>
      <c r="J5264" s="24"/>
      <c r="K5264" s="24"/>
      <c r="M5264" s="24"/>
      <c r="N5264" s="24"/>
      <c r="P5264" s="24"/>
    </row>
    <row r="5265" spans="2:16" x14ac:dyDescent="0.25">
      <c r="B5265" s="24"/>
      <c r="E5265" s="24"/>
      <c r="G5265" s="24"/>
      <c r="H5265" s="24"/>
      <c r="J5265" s="24"/>
      <c r="K5265" s="24"/>
      <c r="M5265" s="24"/>
      <c r="N5265" s="24"/>
      <c r="P5265" s="24"/>
    </row>
    <row r="5266" spans="2:16" x14ac:dyDescent="0.25">
      <c r="B5266" s="24"/>
      <c r="E5266" s="24"/>
      <c r="G5266" s="24"/>
      <c r="H5266" s="24"/>
      <c r="J5266" s="24"/>
      <c r="K5266" s="24"/>
      <c r="M5266" s="24"/>
      <c r="N5266" s="24"/>
      <c r="P5266" s="24"/>
    </row>
    <row r="5267" spans="2:16" x14ac:dyDescent="0.25">
      <c r="B5267" s="24"/>
      <c r="E5267" s="24"/>
      <c r="G5267" s="24"/>
      <c r="H5267" s="24"/>
      <c r="J5267" s="24"/>
      <c r="K5267" s="24"/>
      <c r="M5267" s="24"/>
      <c r="N5267" s="24"/>
      <c r="P5267" s="24"/>
    </row>
    <row r="5268" spans="2:16" x14ac:dyDescent="0.25">
      <c r="B5268" s="24"/>
      <c r="E5268" s="24"/>
      <c r="G5268" s="24"/>
      <c r="H5268" s="24"/>
      <c r="J5268" s="24"/>
      <c r="K5268" s="24"/>
      <c r="M5268" s="24"/>
      <c r="N5268" s="24"/>
      <c r="P5268" s="24"/>
    </row>
    <row r="5269" spans="2:16" x14ac:dyDescent="0.25">
      <c r="B5269" s="24"/>
      <c r="E5269" s="24"/>
      <c r="G5269" s="24"/>
      <c r="H5269" s="24"/>
      <c r="J5269" s="24"/>
      <c r="K5269" s="24"/>
      <c r="M5269" s="24"/>
      <c r="N5269" s="24"/>
      <c r="P5269" s="24"/>
    </row>
    <row r="5270" spans="2:16" x14ac:dyDescent="0.25">
      <c r="B5270" s="24"/>
      <c r="E5270" s="24"/>
      <c r="G5270" s="24"/>
      <c r="H5270" s="24"/>
      <c r="J5270" s="24"/>
      <c r="K5270" s="24"/>
      <c r="M5270" s="24"/>
      <c r="N5270" s="24"/>
      <c r="P5270" s="24"/>
    </row>
    <row r="5271" spans="2:16" x14ac:dyDescent="0.25">
      <c r="B5271" s="24"/>
      <c r="E5271" s="24"/>
      <c r="G5271" s="24"/>
      <c r="H5271" s="24"/>
      <c r="J5271" s="24"/>
      <c r="K5271" s="24"/>
      <c r="M5271" s="24"/>
      <c r="N5271" s="24"/>
      <c r="P5271" s="24"/>
    </row>
    <row r="5272" spans="2:16" x14ac:dyDescent="0.25">
      <c r="B5272" s="24"/>
      <c r="E5272" s="24"/>
      <c r="G5272" s="24"/>
      <c r="H5272" s="24"/>
      <c r="J5272" s="24"/>
      <c r="K5272" s="24"/>
      <c r="M5272" s="24"/>
      <c r="N5272" s="24"/>
      <c r="P5272" s="24"/>
    </row>
    <row r="5273" spans="2:16" x14ac:dyDescent="0.25">
      <c r="B5273" s="24"/>
      <c r="E5273" s="24"/>
      <c r="G5273" s="24"/>
      <c r="H5273" s="24"/>
      <c r="J5273" s="24"/>
      <c r="K5273" s="24"/>
      <c r="M5273" s="24"/>
      <c r="N5273" s="24"/>
      <c r="P5273" s="24"/>
    </row>
    <row r="5274" spans="2:16" x14ac:dyDescent="0.25">
      <c r="B5274" s="24"/>
      <c r="E5274" s="24"/>
      <c r="G5274" s="24"/>
      <c r="H5274" s="24"/>
      <c r="J5274" s="24"/>
      <c r="K5274" s="24"/>
      <c r="M5274" s="24"/>
      <c r="N5274" s="24"/>
      <c r="P5274" s="24"/>
    </row>
    <row r="5275" spans="2:16" x14ac:dyDescent="0.25">
      <c r="B5275" s="24"/>
      <c r="E5275" s="24"/>
      <c r="G5275" s="24"/>
      <c r="H5275" s="24"/>
      <c r="J5275" s="24"/>
      <c r="K5275" s="24"/>
      <c r="M5275" s="24"/>
      <c r="N5275" s="24"/>
      <c r="P5275" s="24"/>
    </row>
    <row r="5276" spans="2:16" x14ac:dyDescent="0.25">
      <c r="B5276" s="24"/>
      <c r="E5276" s="24"/>
      <c r="G5276" s="24"/>
      <c r="H5276" s="24"/>
      <c r="J5276" s="24"/>
      <c r="K5276" s="24"/>
      <c r="M5276" s="24"/>
      <c r="N5276" s="24"/>
      <c r="P5276" s="24"/>
    </row>
    <row r="5277" spans="2:16" x14ac:dyDescent="0.25">
      <c r="B5277" s="24"/>
      <c r="E5277" s="24"/>
      <c r="G5277" s="24"/>
      <c r="H5277" s="24"/>
      <c r="J5277" s="24"/>
      <c r="K5277" s="24"/>
      <c r="M5277" s="24"/>
      <c r="N5277" s="24"/>
      <c r="P5277" s="24"/>
    </row>
    <row r="5278" spans="2:16" x14ac:dyDescent="0.25">
      <c r="B5278" s="24"/>
      <c r="E5278" s="24"/>
      <c r="G5278" s="24"/>
      <c r="H5278" s="24"/>
      <c r="J5278" s="24"/>
      <c r="K5278" s="24"/>
      <c r="M5278" s="24"/>
      <c r="N5278" s="24"/>
      <c r="P5278" s="24"/>
    </row>
    <row r="5279" spans="2:16" x14ac:dyDescent="0.25">
      <c r="B5279" s="24"/>
      <c r="E5279" s="24"/>
      <c r="G5279" s="24"/>
      <c r="H5279" s="24"/>
      <c r="J5279" s="24"/>
      <c r="K5279" s="24"/>
      <c r="M5279" s="24"/>
      <c r="N5279" s="24"/>
      <c r="P5279" s="24"/>
    </row>
    <row r="5280" spans="2:16" x14ac:dyDescent="0.25">
      <c r="B5280" s="24"/>
      <c r="E5280" s="24"/>
      <c r="G5280" s="24"/>
      <c r="H5280" s="24"/>
      <c r="J5280" s="24"/>
      <c r="K5280" s="24"/>
      <c r="M5280" s="24"/>
      <c r="N5280" s="24"/>
      <c r="P5280" s="24"/>
    </row>
    <row r="5281" spans="2:16" x14ac:dyDescent="0.25">
      <c r="B5281" s="24"/>
      <c r="E5281" s="24"/>
      <c r="G5281" s="24"/>
      <c r="H5281" s="24"/>
      <c r="J5281" s="24"/>
      <c r="K5281" s="24"/>
      <c r="M5281" s="24"/>
      <c r="N5281" s="24"/>
      <c r="P5281" s="24"/>
    </row>
    <row r="5282" spans="2:16" x14ac:dyDescent="0.25">
      <c r="B5282" s="24"/>
      <c r="E5282" s="24"/>
      <c r="G5282" s="24"/>
      <c r="H5282" s="24"/>
      <c r="J5282" s="24"/>
      <c r="K5282" s="24"/>
      <c r="M5282" s="24"/>
      <c r="N5282" s="24"/>
      <c r="P5282" s="24"/>
    </row>
    <row r="5283" spans="2:16" x14ac:dyDescent="0.25">
      <c r="B5283" s="24"/>
      <c r="E5283" s="24"/>
      <c r="G5283" s="24"/>
      <c r="H5283" s="24"/>
      <c r="J5283" s="24"/>
      <c r="K5283" s="24"/>
      <c r="M5283" s="24"/>
      <c r="N5283" s="24"/>
      <c r="P5283" s="24"/>
    </row>
    <row r="5284" spans="2:16" x14ac:dyDescent="0.25">
      <c r="B5284" s="24"/>
      <c r="E5284" s="24"/>
      <c r="G5284" s="24"/>
      <c r="H5284" s="24"/>
      <c r="J5284" s="24"/>
      <c r="K5284" s="24"/>
      <c r="M5284" s="24"/>
      <c r="N5284" s="24"/>
      <c r="P5284" s="24"/>
    </row>
    <row r="5285" spans="2:16" x14ac:dyDescent="0.25">
      <c r="B5285" s="24"/>
      <c r="E5285" s="24"/>
      <c r="G5285" s="24"/>
      <c r="H5285" s="24"/>
      <c r="J5285" s="24"/>
      <c r="K5285" s="24"/>
      <c r="M5285" s="24"/>
      <c r="N5285" s="24"/>
      <c r="P5285" s="24"/>
    </row>
    <row r="5286" spans="2:16" x14ac:dyDescent="0.25">
      <c r="B5286" s="24"/>
      <c r="E5286" s="24"/>
      <c r="G5286" s="24"/>
      <c r="H5286" s="24"/>
      <c r="J5286" s="24"/>
      <c r="K5286" s="24"/>
      <c r="M5286" s="24"/>
      <c r="N5286" s="24"/>
      <c r="P5286" s="24"/>
    </row>
    <row r="5287" spans="2:16" x14ac:dyDescent="0.25">
      <c r="B5287" s="24"/>
      <c r="E5287" s="24"/>
      <c r="G5287" s="24"/>
      <c r="H5287" s="24"/>
      <c r="J5287" s="24"/>
      <c r="K5287" s="24"/>
      <c r="M5287" s="24"/>
      <c r="N5287" s="24"/>
      <c r="P5287" s="24"/>
    </row>
    <row r="5288" spans="2:16" x14ac:dyDescent="0.25">
      <c r="B5288" s="24"/>
      <c r="E5288" s="24"/>
      <c r="G5288" s="24"/>
      <c r="H5288" s="24"/>
      <c r="J5288" s="24"/>
      <c r="K5288" s="24"/>
      <c r="M5288" s="24"/>
      <c r="N5288" s="24"/>
      <c r="P5288" s="24"/>
    </row>
    <row r="5289" spans="2:16" x14ac:dyDescent="0.25">
      <c r="B5289" s="24"/>
      <c r="E5289" s="24"/>
      <c r="G5289" s="24"/>
      <c r="H5289" s="24"/>
      <c r="J5289" s="24"/>
      <c r="K5289" s="24"/>
      <c r="M5289" s="24"/>
      <c r="N5289" s="24"/>
      <c r="P5289" s="24"/>
    </row>
    <row r="5290" spans="2:16" x14ac:dyDescent="0.25">
      <c r="B5290" s="24"/>
      <c r="E5290" s="24"/>
      <c r="G5290" s="24"/>
      <c r="H5290" s="24"/>
      <c r="J5290" s="24"/>
      <c r="K5290" s="24"/>
      <c r="M5290" s="24"/>
      <c r="N5290" s="24"/>
      <c r="P5290" s="24"/>
    </row>
    <row r="5291" spans="2:16" x14ac:dyDescent="0.25">
      <c r="B5291" s="24"/>
      <c r="E5291" s="24"/>
      <c r="G5291" s="24"/>
      <c r="H5291" s="24"/>
      <c r="J5291" s="24"/>
      <c r="K5291" s="24"/>
      <c r="M5291" s="24"/>
      <c r="N5291" s="24"/>
      <c r="P5291" s="24"/>
    </row>
    <row r="5292" spans="2:16" x14ac:dyDescent="0.25">
      <c r="B5292" s="24"/>
      <c r="E5292" s="24"/>
      <c r="G5292" s="24"/>
      <c r="H5292" s="24"/>
      <c r="J5292" s="24"/>
      <c r="K5292" s="24"/>
      <c r="M5292" s="24"/>
      <c r="N5292" s="24"/>
      <c r="P5292" s="24"/>
    </row>
    <row r="5293" spans="2:16" x14ac:dyDescent="0.25">
      <c r="B5293" s="24"/>
      <c r="E5293" s="24"/>
      <c r="G5293" s="24"/>
      <c r="H5293" s="24"/>
      <c r="J5293" s="24"/>
      <c r="K5293" s="24"/>
      <c r="M5293" s="24"/>
      <c r="N5293" s="24"/>
      <c r="P5293" s="24"/>
    </row>
    <row r="5294" spans="2:16" x14ac:dyDescent="0.25">
      <c r="B5294" s="24"/>
      <c r="E5294" s="24"/>
      <c r="G5294" s="24"/>
      <c r="H5294" s="24"/>
      <c r="J5294" s="24"/>
      <c r="K5294" s="24"/>
      <c r="M5294" s="24"/>
      <c r="N5294" s="24"/>
      <c r="P5294" s="24"/>
    </row>
    <row r="5295" spans="2:16" x14ac:dyDescent="0.25">
      <c r="B5295" s="24"/>
      <c r="E5295" s="24"/>
      <c r="G5295" s="24"/>
      <c r="H5295" s="24"/>
      <c r="J5295" s="24"/>
      <c r="K5295" s="24"/>
      <c r="M5295" s="24"/>
      <c r="N5295" s="24"/>
      <c r="P5295" s="24"/>
    </row>
    <row r="5296" spans="2:16" x14ac:dyDescent="0.25">
      <c r="B5296" s="24"/>
      <c r="E5296" s="24"/>
      <c r="G5296" s="24"/>
      <c r="H5296" s="24"/>
      <c r="J5296" s="24"/>
      <c r="K5296" s="24"/>
      <c r="M5296" s="24"/>
      <c r="N5296" s="24"/>
      <c r="P5296" s="24"/>
    </row>
    <row r="5297" spans="2:16" x14ac:dyDescent="0.25">
      <c r="B5297" s="24"/>
      <c r="E5297" s="24"/>
      <c r="G5297" s="24"/>
      <c r="H5297" s="24"/>
      <c r="J5297" s="24"/>
      <c r="K5297" s="24"/>
      <c r="M5297" s="24"/>
      <c r="N5297" s="24"/>
      <c r="P5297" s="24"/>
    </row>
    <row r="5298" spans="2:16" x14ac:dyDescent="0.25">
      <c r="B5298" s="24"/>
      <c r="E5298" s="24"/>
      <c r="G5298" s="24"/>
      <c r="H5298" s="24"/>
      <c r="J5298" s="24"/>
      <c r="K5298" s="24"/>
      <c r="M5298" s="24"/>
      <c r="N5298" s="24"/>
      <c r="P5298" s="24"/>
    </row>
    <row r="5299" spans="2:16" x14ac:dyDescent="0.25">
      <c r="B5299" s="24"/>
      <c r="E5299" s="24"/>
      <c r="G5299" s="24"/>
      <c r="H5299" s="24"/>
      <c r="J5299" s="24"/>
      <c r="K5299" s="24"/>
      <c r="M5299" s="24"/>
      <c r="N5299" s="24"/>
      <c r="P5299" s="24"/>
    </row>
    <row r="5300" spans="2:16" x14ac:dyDescent="0.25">
      <c r="B5300" s="24"/>
      <c r="E5300" s="24"/>
      <c r="G5300" s="24"/>
      <c r="H5300" s="24"/>
      <c r="J5300" s="24"/>
      <c r="K5300" s="24"/>
      <c r="M5300" s="24"/>
      <c r="N5300" s="24"/>
      <c r="P5300" s="24"/>
    </row>
    <row r="5301" spans="2:16" x14ac:dyDescent="0.25">
      <c r="B5301" s="24"/>
      <c r="E5301" s="24"/>
      <c r="G5301" s="24"/>
      <c r="H5301" s="24"/>
      <c r="J5301" s="24"/>
      <c r="K5301" s="24"/>
      <c r="M5301" s="24"/>
      <c r="N5301" s="24"/>
      <c r="P5301" s="24"/>
    </row>
    <row r="5302" spans="2:16" x14ac:dyDescent="0.25">
      <c r="B5302" s="24"/>
      <c r="E5302" s="24"/>
      <c r="G5302" s="24"/>
      <c r="H5302" s="24"/>
      <c r="J5302" s="24"/>
      <c r="K5302" s="24"/>
      <c r="M5302" s="24"/>
      <c r="N5302" s="24"/>
      <c r="P5302" s="24"/>
    </row>
    <row r="5303" spans="2:16" x14ac:dyDescent="0.25">
      <c r="B5303" s="24"/>
      <c r="E5303" s="24"/>
      <c r="G5303" s="24"/>
      <c r="H5303" s="24"/>
      <c r="J5303" s="24"/>
      <c r="K5303" s="24"/>
      <c r="M5303" s="24"/>
      <c r="N5303" s="24"/>
      <c r="P5303" s="24"/>
    </row>
    <row r="5304" spans="2:16" x14ac:dyDescent="0.25">
      <c r="B5304" s="24"/>
      <c r="E5304" s="24"/>
      <c r="G5304" s="24"/>
      <c r="H5304" s="24"/>
      <c r="J5304" s="24"/>
      <c r="K5304" s="24"/>
      <c r="M5304" s="24"/>
      <c r="N5304" s="24"/>
      <c r="P5304" s="24"/>
    </row>
    <row r="5305" spans="2:16" x14ac:dyDescent="0.25">
      <c r="B5305" s="24"/>
      <c r="E5305" s="24"/>
      <c r="G5305" s="24"/>
      <c r="H5305" s="24"/>
      <c r="J5305" s="24"/>
      <c r="K5305" s="24"/>
      <c r="M5305" s="24"/>
      <c r="N5305" s="24"/>
      <c r="P5305" s="24"/>
    </row>
    <row r="5306" spans="2:16" x14ac:dyDescent="0.25">
      <c r="B5306" s="24"/>
      <c r="E5306" s="24"/>
      <c r="G5306" s="24"/>
      <c r="H5306" s="24"/>
      <c r="J5306" s="24"/>
      <c r="K5306" s="24"/>
      <c r="M5306" s="24"/>
      <c r="N5306" s="24"/>
      <c r="P5306" s="24"/>
    </row>
    <row r="5307" spans="2:16" x14ac:dyDescent="0.25">
      <c r="B5307" s="24"/>
      <c r="E5307" s="24"/>
      <c r="G5307" s="24"/>
      <c r="H5307" s="24"/>
      <c r="J5307" s="24"/>
      <c r="K5307" s="24"/>
      <c r="M5307" s="24"/>
      <c r="N5307" s="24"/>
      <c r="P5307" s="24"/>
    </row>
    <row r="5308" spans="2:16" x14ac:dyDescent="0.25">
      <c r="B5308" s="24"/>
      <c r="E5308" s="24"/>
      <c r="G5308" s="24"/>
      <c r="H5308" s="24"/>
      <c r="J5308" s="24"/>
      <c r="K5308" s="24"/>
      <c r="M5308" s="24"/>
      <c r="N5308" s="24"/>
      <c r="P5308" s="24"/>
    </row>
    <row r="5309" spans="2:16" x14ac:dyDescent="0.25">
      <c r="B5309" s="24"/>
      <c r="E5309" s="24"/>
      <c r="G5309" s="24"/>
      <c r="H5309" s="24"/>
      <c r="J5309" s="24"/>
      <c r="K5309" s="24"/>
      <c r="M5309" s="24"/>
      <c r="N5309" s="24"/>
      <c r="P5309" s="24"/>
    </row>
    <row r="5310" spans="2:16" x14ac:dyDescent="0.25">
      <c r="B5310" s="24"/>
      <c r="E5310" s="24"/>
      <c r="G5310" s="24"/>
      <c r="H5310" s="24"/>
      <c r="J5310" s="24"/>
      <c r="K5310" s="24"/>
      <c r="M5310" s="24"/>
      <c r="N5310" s="24"/>
      <c r="P5310" s="24"/>
    </row>
    <row r="5311" spans="2:16" x14ac:dyDescent="0.25">
      <c r="B5311" s="24"/>
      <c r="E5311" s="24"/>
      <c r="G5311" s="24"/>
      <c r="H5311" s="24"/>
      <c r="J5311" s="24"/>
      <c r="K5311" s="24"/>
      <c r="M5311" s="24"/>
      <c r="N5311" s="24"/>
      <c r="P5311" s="24"/>
    </row>
    <row r="5312" spans="2:16" x14ac:dyDescent="0.25">
      <c r="B5312" s="24"/>
      <c r="E5312" s="24"/>
      <c r="G5312" s="24"/>
      <c r="H5312" s="24"/>
      <c r="J5312" s="24"/>
      <c r="K5312" s="24"/>
      <c r="M5312" s="24"/>
      <c r="N5312" s="24"/>
      <c r="P5312" s="24"/>
    </row>
    <row r="5313" spans="2:16" x14ac:dyDescent="0.25">
      <c r="B5313" s="24"/>
      <c r="E5313" s="24"/>
      <c r="G5313" s="24"/>
      <c r="H5313" s="24"/>
      <c r="J5313" s="24"/>
      <c r="K5313" s="24"/>
      <c r="M5313" s="24"/>
      <c r="N5313" s="24"/>
      <c r="P5313" s="24"/>
    </row>
    <row r="5314" spans="2:16" x14ac:dyDescent="0.25">
      <c r="B5314" s="24"/>
      <c r="E5314" s="24"/>
      <c r="G5314" s="24"/>
      <c r="H5314" s="24"/>
      <c r="J5314" s="24"/>
      <c r="K5314" s="24"/>
      <c r="M5314" s="24"/>
      <c r="N5314" s="24"/>
      <c r="P5314" s="24"/>
    </row>
    <row r="5315" spans="2:16" x14ac:dyDescent="0.25">
      <c r="B5315" s="24"/>
      <c r="E5315" s="24"/>
      <c r="G5315" s="24"/>
      <c r="H5315" s="24"/>
      <c r="J5315" s="24"/>
      <c r="K5315" s="24"/>
      <c r="M5315" s="24"/>
      <c r="N5315" s="24"/>
      <c r="P5315" s="24"/>
    </row>
    <row r="5316" spans="2:16" x14ac:dyDescent="0.25">
      <c r="B5316" s="24"/>
      <c r="E5316" s="24"/>
      <c r="G5316" s="24"/>
      <c r="H5316" s="24"/>
      <c r="J5316" s="24"/>
      <c r="K5316" s="24"/>
      <c r="M5316" s="24"/>
      <c r="N5316" s="24"/>
      <c r="P5316" s="24"/>
    </row>
    <row r="5317" spans="2:16" x14ac:dyDescent="0.25">
      <c r="B5317" s="24"/>
      <c r="E5317" s="24"/>
      <c r="G5317" s="24"/>
      <c r="H5317" s="24"/>
      <c r="J5317" s="24"/>
      <c r="K5317" s="24"/>
      <c r="M5317" s="24"/>
      <c r="N5317" s="24"/>
      <c r="P5317" s="24"/>
    </row>
    <row r="5318" spans="2:16" x14ac:dyDescent="0.25">
      <c r="B5318" s="24"/>
      <c r="E5318" s="24"/>
      <c r="G5318" s="24"/>
      <c r="H5318" s="24"/>
      <c r="J5318" s="24"/>
      <c r="K5318" s="24"/>
      <c r="M5318" s="24"/>
      <c r="N5318" s="24"/>
      <c r="P5318" s="24"/>
    </row>
    <row r="5319" spans="2:16" x14ac:dyDescent="0.25">
      <c r="B5319" s="24"/>
      <c r="E5319" s="24"/>
      <c r="G5319" s="24"/>
      <c r="H5319" s="24"/>
      <c r="J5319" s="24"/>
      <c r="K5319" s="24"/>
      <c r="M5319" s="24"/>
      <c r="N5319" s="24"/>
      <c r="P5319" s="24"/>
    </row>
    <row r="5320" spans="2:16" x14ac:dyDescent="0.25">
      <c r="B5320" s="24"/>
      <c r="E5320" s="24"/>
      <c r="G5320" s="24"/>
      <c r="H5320" s="24"/>
      <c r="J5320" s="24"/>
      <c r="K5320" s="24"/>
      <c r="M5320" s="24"/>
      <c r="N5320" s="24"/>
      <c r="P5320" s="24"/>
    </row>
    <row r="5321" spans="2:16" x14ac:dyDescent="0.25">
      <c r="B5321" s="24"/>
      <c r="E5321" s="24"/>
      <c r="G5321" s="24"/>
      <c r="H5321" s="24"/>
      <c r="J5321" s="24"/>
      <c r="K5321" s="24"/>
      <c r="M5321" s="24"/>
      <c r="N5321" s="24"/>
      <c r="P5321" s="24"/>
    </row>
    <row r="5322" spans="2:16" x14ac:dyDescent="0.25">
      <c r="B5322" s="24"/>
      <c r="E5322" s="24"/>
      <c r="G5322" s="24"/>
      <c r="H5322" s="24"/>
      <c r="J5322" s="24"/>
      <c r="K5322" s="24"/>
      <c r="M5322" s="24"/>
      <c r="N5322" s="24"/>
      <c r="P5322" s="24"/>
    </row>
    <row r="5323" spans="2:16" x14ac:dyDescent="0.25">
      <c r="B5323" s="24"/>
      <c r="E5323" s="24"/>
      <c r="G5323" s="24"/>
      <c r="H5323" s="24"/>
      <c r="J5323" s="24"/>
      <c r="K5323" s="24"/>
      <c r="M5323" s="24"/>
      <c r="N5323" s="24"/>
      <c r="P5323" s="24"/>
    </row>
    <row r="5324" spans="2:16" x14ac:dyDescent="0.25">
      <c r="B5324" s="24"/>
      <c r="E5324" s="24"/>
      <c r="G5324" s="24"/>
      <c r="H5324" s="24"/>
      <c r="J5324" s="24"/>
      <c r="K5324" s="24"/>
      <c r="M5324" s="24"/>
      <c r="N5324" s="24"/>
      <c r="P5324" s="24"/>
    </row>
    <row r="5325" spans="2:16" x14ac:dyDescent="0.25">
      <c r="B5325" s="24"/>
      <c r="E5325" s="24"/>
      <c r="G5325" s="24"/>
      <c r="H5325" s="24"/>
      <c r="J5325" s="24"/>
      <c r="K5325" s="24"/>
      <c r="M5325" s="24"/>
      <c r="N5325" s="24"/>
      <c r="P5325" s="24"/>
    </row>
    <row r="5326" spans="2:16" x14ac:dyDescent="0.25">
      <c r="B5326" s="24"/>
      <c r="E5326" s="24"/>
      <c r="G5326" s="24"/>
      <c r="H5326" s="24"/>
      <c r="J5326" s="24"/>
      <c r="K5326" s="24"/>
      <c r="M5326" s="24"/>
      <c r="N5326" s="24"/>
      <c r="P5326" s="24"/>
    </row>
    <row r="5327" spans="2:16" x14ac:dyDescent="0.25">
      <c r="B5327" s="24"/>
      <c r="E5327" s="24"/>
      <c r="G5327" s="24"/>
      <c r="H5327" s="24"/>
      <c r="J5327" s="24"/>
      <c r="K5327" s="24"/>
      <c r="M5327" s="24"/>
      <c r="N5327" s="24"/>
      <c r="P5327" s="24"/>
    </row>
    <row r="5328" spans="2:16" x14ac:dyDescent="0.25">
      <c r="B5328" s="24"/>
      <c r="E5328" s="24"/>
      <c r="G5328" s="24"/>
      <c r="H5328" s="24"/>
      <c r="J5328" s="24"/>
      <c r="K5328" s="24"/>
      <c r="M5328" s="24"/>
      <c r="N5328" s="24"/>
      <c r="P5328" s="24"/>
    </row>
    <row r="5329" spans="2:16" x14ac:dyDescent="0.25">
      <c r="B5329" s="24"/>
      <c r="E5329" s="24"/>
      <c r="G5329" s="24"/>
      <c r="H5329" s="24"/>
      <c r="J5329" s="24"/>
      <c r="K5329" s="24"/>
      <c r="M5329" s="24"/>
      <c r="N5329" s="24"/>
      <c r="P5329" s="24"/>
    </row>
    <row r="5330" spans="2:16" x14ac:dyDescent="0.25">
      <c r="B5330" s="24"/>
      <c r="E5330" s="24"/>
      <c r="G5330" s="24"/>
      <c r="H5330" s="24"/>
      <c r="J5330" s="24"/>
      <c r="K5330" s="24"/>
      <c r="M5330" s="24"/>
      <c r="N5330" s="24"/>
      <c r="P5330" s="24"/>
    </row>
    <row r="5331" spans="2:16" x14ac:dyDescent="0.25">
      <c r="B5331" s="24"/>
      <c r="E5331" s="24"/>
      <c r="G5331" s="24"/>
      <c r="H5331" s="24"/>
      <c r="J5331" s="24"/>
      <c r="K5331" s="24"/>
      <c r="M5331" s="24"/>
      <c r="N5331" s="24"/>
      <c r="P5331" s="24"/>
    </row>
    <row r="5332" spans="2:16" x14ac:dyDescent="0.25">
      <c r="B5332" s="24"/>
      <c r="E5332" s="24"/>
      <c r="G5332" s="24"/>
      <c r="H5332" s="24"/>
      <c r="J5332" s="24"/>
      <c r="K5332" s="24"/>
      <c r="M5332" s="24"/>
      <c r="N5332" s="24"/>
      <c r="P5332" s="24"/>
    </row>
    <row r="5333" spans="2:16" x14ac:dyDescent="0.25">
      <c r="B5333" s="24"/>
      <c r="E5333" s="24"/>
      <c r="G5333" s="24"/>
      <c r="H5333" s="24"/>
      <c r="J5333" s="24"/>
      <c r="K5333" s="24"/>
      <c r="M5333" s="24"/>
      <c r="N5333" s="24"/>
      <c r="P5333" s="24"/>
    </row>
    <row r="5334" spans="2:16" x14ac:dyDescent="0.25">
      <c r="B5334" s="24"/>
      <c r="E5334" s="24"/>
      <c r="G5334" s="24"/>
      <c r="H5334" s="24"/>
      <c r="J5334" s="24"/>
      <c r="K5334" s="24"/>
      <c r="M5334" s="24"/>
      <c r="N5334" s="24"/>
      <c r="P5334" s="24"/>
    </row>
    <row r="5335" spans="2:16" x14ac:dyDescent="0.25">
      <c r="B5335" s="24"/>
      <c r="E5335" s="24"/>
      <c r="G5335" s="24"/>
      <c r="H5335" s="24"/>
      <c r="J5335" s="24"/>
      <c r="K5335" s="24"/>
      <c r="M5335" s="24"/>
      <c r="N5335" s="24"/>
      <c r="P5335" s="24"/>
    </row>
    <row r="5336" spans="2:16" x14ac:dyDescent="0.25">
      <c r="B5336" s="24"/>
      <c r="E5336" s="24"/>
      <c r="G5336" s="24"/>
      <c r="H5336" s="24"/>
      <c r="J5336" s="24"/>
      <c r="K5336" s="24"/>
      <c r="M5336" s="24"/>
      <c r="N5336" s="24"/>
      <c r="P5336" s="24"/>
    </row>
    <row r="5337" spans="2:16" x14ac:dyDescent="0.25">
      <c r="B5337" s="24"/>
      <c r="E5337" s="24"/>
      <c r="G5337" s="24"/>
      <c r="H5337" s="24"/>
      <c r="J5337" s="24"/>
      <c r="K5337" s="24"/>
      <c r="M5337" s="24"/>
      <c r="N5337" s="24"/>
      <c r="P5337" s="24"/>
    </row>
    <row r="5338" spans="2:16" x14ac:dyDescent="0.25">
      <c r="B5338" s="24"/>
      <c r="E5338" s="24"/>
      <c r="G5338" s="24"/>
      <c r="H5338" s="24"/>
      <c r="J5338" s="24"/>
      <c r="K5338" s="24"/>
      <c r="M5338" s="24"/>
      <c r="N5338" s="24"/>
      <c r="P5338" s="24"/>
    </row>
    <row r="5339" spans="2:16" x14ac:dyDescent="0.25">
      <c r="B5339" s="24"/>
      <c r="E5339" s="24"/>
      <c r="G5339" s="24"/>
      <c r="H5339" s="24"/>
      <c r="J5339" s="24"/>
      <c r="K5339" s="24"/>
      <c r="M5339" s="24"/>
      <c r="N5339" s="24"/>
      <c r="P5339" s="24"/>
    </row>
    <row r="5340" spans="2:16" x14ac:dyDescent="0.25">
      <c r="B5340" s="24"/>
      <c r="E5340" s="24"/>
      <c r="G5340" s="24"/>
      <c r="H5340" s="24"/>
      <c r="J5340" s="24"/>
      <c r="K5340" s="24"/>
      <c r="M5340" s="24"/>
      <c r="N5340" s="24"/>
      <c r="P5340" s="24"/>
    </row>
    <row r="5341" spans="2:16" x14ac:dyDescent="0.25">
      <c r="B5341" s="24"/>
      <c r="E5341" s="24"/>
      <c r="G5341" s="24"/>
      <c r="H5341" s="24"/>
      <c r="J5341" s="24"/>
      <c r="K5341" s="24"/>
      <c r="M5341" s="24"/>
      <c r="N5341" s="24"/>
      <c r="P5341" s="24"/>
    </row>
    <row r="5342" spans="2:16" x14ac:dyDescent="0.25">
      <c r="B5342" s="24"/>
      <c r="E5342" s="24"/>
      <c r="G5342" s="24"/>
      <c r="H5342" s="24"/>
      <c r="J5342" s="24"/>
      <c r="K5342" s="24"/>
      <c r="M5342" s="24"/>
      <c r="N5342" s="24"/>
      <c r="P5342" s="24"/>
    </row>
    <row r="5343" spans="2:16" x14ac:dyDescent="0.25">
      <c r="B5343" s="24"/>
      <c r="E5343" s="24"/>
      <c r="G5343" s="24"/>
      <c r="H5343" s="24"/>
      <c r="J5343" s="24"/>
      <c r="K5343" s="24"/>
      <c r="M5343" s="24"/>
      <c r="N5343" s="24"/>
      <c r="P5343" s="24"/>
    </row>
    <row r="5344" spans="2:16" x14ac:dyDescent="0.25">
      <c r="B5344" s="24"/>
      <c r="E5344" s="24"/>
      <c r="G5344" s="24"/>
      <c r="H5344" s="24"/>
      <c r="J5344" s="24"/>
      <c r="K5344" s="24"/>
      <c r="M5344" s="24"/>
      <c r="N5344" s="24"/>
      <c r="P5344" s="24"/>
    </row>
    <row r="5345" spans="2:16" x14ac:dyDescent="0.25">
      <c r="B5345" s="24"/>
      <c r="E5345" s="24"/>
      <c r="G5345" s="24"/>
      <c r="H5345" s="24"/>
      <c r="J5345" s="24"/>
      <c r="K5345" s="24"/>
      <c r="M5345" s="24"/>
      <c r="N5345" s="24"/>
      <c r="P5345" s="24"/>
    </row>
    <row r="5346" spans="2:16" x14ac:dyDescent="0.25">
      <c r="B5346" s="24"/>
      <c r="E5346" s="24"/>
      <c r="G5346" s="24"/>
      <c r="H5346" s="24"/>
      <c r="J5346" s="24"/>
      <c r="K5346" s="24"/>
      <c r="M5346" s="24"/>
      <c r="N5346" s="24"/>
      <c r="P5346" s="24"/>
    </row>
    <row r="5347" spans="2:16" x14ac:dyDescent="0.25">
      <c r="B5347" s="24"/>
      <c r="E5347" s="24"/>
      <c r="G5347" s="24"/>
      <c r="H5347" s="24"/>
      <c r="J5347" s="24"/>
      <c r="K5347" s="24"/>
      <c r="M5347" s="24"/>
      <c r="N5347" s="24"/>
      <c r="P5347" s="24"/>
    </row>
    <row r="5348" spans="2:16" x14ac:dyDescent="0.25">
      <c r="B5348" s="24"/>
      <c r="E5348" s="24"/>
      <c r="G5348" s="24"/>
      <c r="H5348" s="24"/>
      <c r="J5348" s="24"/>
      <c r="K5348" s="24"/>
      <c r="M5348" s="24"/>
      <c r="N5348" s="24"/>
      <c r="P5348" s="24"/>
    </row>
    <row r="5349" spans="2:16" x14ac:dyDescent="0.25">
      <c r="B5349" s="24"/>
      <c r="E5349" s="24"/>
      <c r="G5349" s="24"/>
      <c r="H5349" s="24"/>
      <c r="J5349" s="24"/>
      <c r="K5349" s="24"/>
      <c r="M5349" s="24"/>
      <c r="N5349" s="24"/>
      <c r="P5349" s="24"/>
    </row>
    <row r="5350" spans="2:16" x14ac:dyDescent="0.25">
      <c r="B5350" s="24"/>
      <c r="E5350" s="24"/>
      <c r="G5350" s="24"/>
      <c r="H5350" s="24"/>
      <c r="J5350" s="24"/>
      <c r="K5350" s="24"/>
      <c r="M5350" s="24"/>
      <c r="N5350" s="24"/>
      <c r="P5350" s="24"/>
    </row>
    <row r="5351" spans="2:16" x14ac:dyDescent="0.25">
      <c r="B5351" s="24"/>
      <c r="E5351" s="24"/>
      <c r="G5351" s="24"/>
      <c r="H5351" s="24"/>
      <c r="J5351" s="24"/>
      <c r="K5351" s="24"/>
      <c r="M5351" s="24"/>
      <c r="N5351" s="24"/>
      <c r="P5351" s="24"/>
    </row>
    <row r="5352" spans="2:16" x14ac:dyDescent="0.25">
      <c r="B5352" s="24"/>
      <c r="E5352" s="24"/>
      <c r="G5352" s="24"/>
      <c r="H5352" s="24"/>
      <c r="J5352" s="24"/>
      <c r="K5352" s="24"/>
      <c r="M5352" s="24"/>
      <c r="N5352" s="24"/>
      <c r="P5352" s="24"/>
    </row>
    <row r="5353" spans="2:16" x14ac:dyDescent="0.25">
      <c r="B5353" s="24"/>
      <c r="E5353" s="24"/>
      <c r="G5353" s="24"/>
      <c r="H5353" s="24"/>
      <c r="J5353" s="24"/>
      <c r="K5353" s="24"/>
      <c r="M5353" s="24"/>
      <c r="N5353" s="24"/>
      <c r="P5353" s="24"/>
    </row>
    <row r="5354" spans="2:16" x14ac:dyDescent="0.25">
      <c r="B5354" s="24"/>
      <c r="E5354" s="24"/>
      <c r="G5354" s="24"/>
      <c r="H5354" s="24"/>
      <c r="J5354" s="24"/>
      <c r="K5354" s="24"/>
      <c r="M5354" s="24"/>
      <c r="N5354" s="24"/>
      <c r="P5354" s="24"/>
    </row>
    <row r="5355" spans="2:16" x14ac:dyDescent="0.25">
      <c r="B5355" s="24"/>
      <c r="E5355" s="24"/>
      <c r="G5355" s="24"/>
      <c r="H5355" s="24"/>
      <c r="J5355" s="24"/>
      <c r="K5355" s="24"/>
      <c r="M5355" s="24"/>
      <c r="N5355" s="24"/>
      <c r="P5355" s="24"/>
    </row>
    <row r="5356" spans="2:16" x14ac:dyDescent="0.25">
      <c r="B5356" s="24"/>
      <c r="E5356" s="24"/>
      <c r="G5356" s="24"/>
      <c r="H5356" s="24"/>
      <c r="J5356" s="24"/>
      <c r="K5356" s="24"/>
      <c r="M5356" s="24"/>
      <c r="N5356" s="24"/>
      <c r="P5356" s="24"/>
    </row>
    <row r="5357" spans="2:16" x14ac:dyDescent="0.25">
      <c r="B5357" s="24"/>
      <c r="E5357" s="24"/>
      <c r="G5357" s="24"/>
      <c r="H5357" s="24"/>
      <c r="J5357" s="24"/>
      <c r="K5357" s="24"/>
      <c r="M5357" s="24"/>
      <c r="N5357" s="24"/>
      <c r="P5357" s="24"/>
    </row>
    <row r="5358" spans="2:16" x14ac:dyDescent="0.25">
      <c r="B5358" s="24"/>
      <c r="E5358" s="24"/>
      <c r="G5358" s="24"/>
      <c r="H5358" s="24"/>
      <c r="J5358" s="24"/>
      <c r="K5358" s="24"/>
      <c r="M5358" s="24"/>
      <c r="N5358" s="24"/>
      <c r="P5358" s="24"/>
    </row>
    <row r="5359" spans="2:16" x14ac:dyDescent="0.25">
      <c r="B5359" s="24"/>
      <c r="E5359" s="24"/>
      <c r="G5359" s="24"/>
      <c r="H5359" s="24"/>
      <c r="J5359" s="24"/>
      <c r="K5359" s="24"/>
      <c r="M5359" s="24"/>
      <c r="N5359" s="24"/>
      <c r="P5359" s="24"/>
    </row>
    <row r="5360" spans="2:16" x14ac:dyDescent="0.25">
      <c r="B5360" s="24"/>
      <c r="E5360" s="24"/>
      <c r="G5360" s="24"/>
      <c r="H5360" s="24"/>
      <c r="J5360" s="24"/>
      <c r="K5360" s="24"/>
      <c r="M5360" s="24"/>
      <c r="N5360" s="24"/>
      <c r="P5360" s="24"/>
    </row>
    <row r="5361" spans="2:16" x14ac:dyDescent="0.25">
      <c r="B5361" s="24"/>
      <c r="E5361" s="24"/>
      <c r="G5361" s="24"/>
      <c r="H5361" s="24"/>
      <c r="J5361" s="24"/>
      <c r="K5361" s="24"/>
      <c r="M5361" s="24"/>
      <c r="N5361" s="24"/>
      <c r="P5361" s="24"/>
    </row>
    <row r="5362" spans="2:16" x14ac:dyDescent="0.25">
      <c r="B5362" s="24"/>
      <c r="E5362" s="24"/>
      <c r="G5362" s="24"/>
      <c r="H5362" s="24"/>
      <c r="J5362" s="24"/>
      <c r="K5362" s="24"/>
      <c r="M5362" s="24"/>
      <c r="N5362" s="24"/>
      <c r="P5362" s="24"/>
    </row>
    <row r="5363" spans="2:16" x14ac:dyDescent="0.25">
      <c r="B5363" s="24"/>
      <c r="E5363" s="24"/>
      <c r="G5363" s="24"/>
      <c r="H5363" s="24"/>
      <c r="J5363" s="24"/>
      <c r="K5363" s="24"/>
      <c r="M5363" s="24"/>
      <c r="N5363" s="24"/>
      <c r="P5363" s="24"/>
    </row>
    <row r="5364" spans="2:16" x14ac:dyDescent="0.25">
      <c r="B5364" s="24"/>
      <c r="E5364" s="24"/>
      <c r="G5364" s="24"/>
      <c r="H5364" s="24"/>
      <c r="J5364" s="24"/>
      <c r="K5364" s="24"/>
      <c r="M5364" s="24"/>
      <c r="N5364" s="24"/>
      <c r="P5364" s="24"/>
    </row>
    <row r="5365" spans="2:16" x14ac:dyDescent="0.25">
      <c r="B5365" s="24"/>
      <c r="E5365" s="24"/>
      <c r="G5365" s="24"/>
      <c r="H5365" s="24"/>
      <c r="J5365" s="24"/>
      <c r="K5365" s="24"/>
      <c r="M5365" s="24"/>
      <c r="N5365" s="24"/>
      <c r="P5365" s="24"/>
    </row>
    <row r="5366" spans="2:16" x14ac:dyDescent="0.25">
      <c r="B5366" s="24"/>
      <c r="E5366" s="24"/>
      <c r="G5366" s="24"/>
      <c r="H5366" s="24"/>
      <c r="J5366" s="24"/>
      <c r="K5366" s="24"/>
      <c r="M5366" s="24"/>
      <c r="N5366" s="24"/>
      <c r="P5366" s="24"/>
    </row>
    <row r="5367" spans="2:16" x14ac:dyDescent="0.25">
      <c r="B5367" s="24"/>
      <c r="E5367" s="24"/>
      <c r="G5367" s="24"/>
      <c r="H5367" s="24"/>
      <c r="J5367" s="24"/>
      <c r="K5367" s="24"/>
      <c r="M5367" s="24"/>
      <c r="N5367" s="24"/>
      <c r="P5367" s="24"/>
    </row>
    <row r="5368" spans="2:16" x14ac:dyDescent="0.25">
      <c r="B5368" s="24"/>
      <c r="E5368" s="24"/>
      <c r="G5368" s="24"/>
      <c r="H5368" s="24"/>
      <c r="J5368" s="24"/>
      <c r="K5368" s="24"/>
      <c r="M5368" s="24"/>
      <c r="N5368" s="24"/>
      <c r="P5368" s="24"/>
    </row>
    <row r="5369" spans="2:16" x14ac:dyDescent="0.25">
      <c r="B5369" s="24"/>
      <c r="E5369" s="24"/>
      <c r="G5369" s="24"/>
      <c r="H5369" s="24"/>
      <c r="J5369" s="24"/>
      <c r="K5369" s="24"/>
      <c r="M5369" s="24"/>
      <c r="N5369" s="24"/>
      <c r="P5369" s="24"/>
    </row>
    <row r="5370" spans="2:16" x14ac:dyDescent="0.25">
      <c r="B5370" s="24"/>
      <c r="E5370" s="24"/>
      <c r="G5370" s="24"/>
      <c r="H5370" s="24"/>
      <c r="J5370" s="24"/>
      <c r="K5370" s="24"/>
      <c r="M5370" s="24"/>
      <c r="N5370" s="24"/>
      <c r="P5370" s="24"/>
    </row>
    <row r="5371" spans="2:16" x14ac:dyDescent="0.25">
      <c r="B5371" s="24"/>
      <c r="E5371" s="24"/>
      <c r="G5371" s="24"/>
      <c r="H5371" s="24"/>
      <c r="J5371" s="24"/>
      <c r="K5371" s="24"/>
      <c r="M5371" s="24"/>
      <c r="N5371" s="24"/>
      <c r="P5371" s="24"/>
    </row>
    <row r="5372" spans="2:16" x14ac:dyDescent="0.25">
      <c r="B5372" s="24"/>
      <c r="E5372" s="24"/>
      <c r="G5372" s="24"/>
      <c r="H5372" s="24"/>
      <c r="J5372" s="24"/>
      <c r="K5372" s="24"/>
      <c r="M5372" s="24"/>
      <c r="N5372" s="24"/>
      <c r="P5372" s="24"/>
    </row>
    <row r="5373" spans="2:16" x14ac:dyDescent="0.25">
      <c r="B5373" s="24"/>
      <c r="E5373" s="24"/>
      <c r="G5373" s="24"/>
      <c r="H5373" s="24"/>
      <c r="J5373" s="24"/>
      <c r="K5373" s="24"/>
      <c r="M5373" s="24"/>
      <c r="N5373" s="24"/>
      <c r="P5373" s="24"/>
    </row>
    <row r="5374" spans="2:16" x14ac:dyDescent="0.25">
      <c r="B5374" s="24"/>
      <c r="E5374" s="24"/>
      <c r="G5374" s="24"/>
      <c r="H5374" s="24"/>
      <c r="J5374" s="24"/>
      <c r="K5374" s="24"/>
      <c r="M5374" s="24"/>
      <c r="N5374" s="24"/>
      <c r="P5374" s="24"/>
    </row>
    <row r="5375" spans="2:16" x14ac:dyDescent="0.25">
      <c r="B5375" s="24"/>
      <c r="E5375" s="24"/>
      <c r="G5375" s="24"/>
      <c r="H5375" s="24"/>
      <c r="J5375" s="24"/>
      <c r="K5375" s="24"/>
      <c r="M5375" s="24"/>
      <c r="N5375" s="24"/>
      <c r="P5375" s="24"/>
    </row>
    <row r="5376" spans="2:16" x14ac:dyDescent="0.25">
      <c r="B5376" s="24"/>
      <c r="E5376" s="24"/>
      <c r="G5376" s="24"/>
      <c r="H5376" s="24"/>
      <c r="J5376" s="24"/>
      <c r="K5376" s="24"/>
      <c r="M5376" s="24"/>
      <c r="N5376" s="24"/>
      <c r="P5376" s="24"/>
    </row>
    <row r="5377" spans="2:16" x14ac:dyDescent="0.25">
      <c r="B5377" s="24"/>
      <c r="E5377" s="24"/>
      <c r="G5377" s="24"/>
      <c r="H5377" s="24"/>
      <c r="J5377" s="24"/>
      <c r="K5377" s="24"/>
      <c r="M5377" s="24"/>
      <c r="N5377" s="24"/>
      <c r="P5377" s="24"/>
    </row>
    <row r="5378" spans="2:16" x14ac:dyDescent="0.25">
      <c r="B5378" s="24"/>
      <c r="E5378" s="24"/>
      <c r="G5378" s="24"/>
      <c r="H5378" s="24"/>
      <c r="J5378" s="24"/>
      <c r="K5378" s="24"/>
      <c r="M5378" s="24"/>
      <c r="N5378" s="24"/>
      <c r="P5378" s="24"/>
    </row>
    <row r="5379" spans="2:16" x14ac:dyDescent="0.25">
      <c r="B5379" s="24"/>
      <c r="E5379" s="24"/>
      <c r="G5379" s="24"/>
      <c r="H5379" s="24"/>
      <c r="J5379" s="24"/>
      <c r="K5379" s="24"/>
      <c r="M5379" s="24"/>
      <c r="N5379" s="24"/>
      <c r="P5379" s="24"/>
    </row>
    <row r="5380" spans="2:16" x14ac:dyDescent="0.25">
      <c r="B5380" s="24"/>
      <c r="E5380" s="24"/>
      <c r="G5380" s="24"/>
      <c r="H5380" s="24"/>
      <c r="J5380" s="24"/>
      <c r="K5380" s="24"/>
      <c r="M5380" s="24"/>
      <c r="N5380" s="24"/>
      <c r="P5380" s="24"/>
    </row>
    <row r="5381" spans="2:16" x14ac:dyDescent="0.25">
      <c r="B5381" s="24"/>
      <c r="E5381" s="24"/>
      <c r="G5381" s="24"/>
      <c r="H5381" s="24"/>
      <c r="J5381" s="24"/>
      <c r="K5381" s="24"/>
      <c r="M5381" s="24"/>
      <c r="N5381" s="24"/>
      <c r="P5381" s="24"/>
    </row>
    <row r="5382" spans="2:16" x14ac:dyDescent="0.25">
      <c r="B5382" s="24"/>
      <c r="E5382" s="24"/>
      <c r="G5382" s="24"/>
      <c r="H5382" s="24"/>
      <c r="J5382" s="24"/>
      <c r="K5382" s="24"/>
      <c r="M5382" s="24"/>
      <c r="N5382" s="24"/>
      <c r="P5382" s="24"/>
    </row>
    <row r="5383" spans="2:16" x14ac:dyDescent="0.25">
      <c r="B5383" s="24"/>
      <c r="E5383" s="24"/>
      <c r="G5383" s="24"/>
      <c r="H5383" s="24"/>
      <c r="J5383" s="24"/>
      <c r="K5383" s="24"/>
      <c r="M5383" s="24"/>
      <c r="N5383" s="24"/>
      <c r="P5383" s="24"/>
    </row>
    <row r="5384" spans="2:16" x14ac:dyDescent="0.25">
      <c r="B5384" s="24"/>
      <c r="E5384" s="24"/>
      <c r="G5384" s="24"/>
      <c r="H5384" s="24"/>
      <c r="J5384" s="24"/>
      <c r="K5384" s="24"/>
      <c r="M5384" s="24"/>
      <c r="N5384" s="24"/>
      <c r="P5384" s="24"/>
    </row>
    <row r="5385" spans="2:16" x14ac:dyDescent="0.25">
      <c r="B5385" s="24"/>
      <c r="E5385" s="24"/>
      <c r="G5385" s="24"/>
      <c r="H5385" s="24"/>
      <c r="J5385" s="24"/>
      <c r="K5385" s="24"/>
      <c r="M5385" s="24"/>
      <c r="N5385" s="24"/>
      <c r="P5385" s="24"/>
    </row>
    <row r="5386" spans="2:16" x14ac:dyDescent="0.25">
      <c r="B5386" s="24"/>
      <c r="E5386" s="24"/>
      <c r="G5386" s="24"/>
      <c r="H5386" s="24"/>
      <c r="J5386" s="24"/>
      <c r="K5386" s="24"/>
      <c r="M5386" s="24"/>
      <c r="N5386" s="24"/>
      <c r="P5386" s="24"/>
    </row>
    <row r="5387" spans="2:16" x14ac:dyDescent="0.25">
      <c r="B5387" s="24"/>
      <c r="E5387" s="24"/>
      <c r="G5387" s="24"/>
      <c r="H5387" s="24"/>
      <c r="J5387" s="24"/>
      <c r="K5387" s="24"/>
      <c r="M5387" s="24"/>
      <c r="N5387" s="24"/>
      <c r="P5387" s="24"/>
    </row>
    <row r="5388" spans="2:16" x14ac:dyDescent="0.25">
      <c r="B5388" s="24"/>
      <c r="E5388" s="24"/>
      <c r="G5388" s="24"/>
      <c r="H5388" s="24"/>
      <c r="J5388" s="24"/>
      <c r="K5388" s="24"/>
      <c r="M5388" s="24"/>
      <c r="N5388" s="24"/>
      <c r="P5388" s="24"/>
    </row>
    <row r="5389" spans="2:16" x14ac:dyDescent="0.25">
      <c r="B5389" s="24"/>
      <c r="E5389" s="24"/>
      <c r="G5389" s="24"/>
      <c r="H5389" s="24"/>
      <c r="J5389" s="24"/>
      <c r="K5389" s="24"/>
      <c r="M5389" s="24"/>
      <c r="N5389" s="24"/>
      <c r="P5389" s="24"/>
    </row>
    <row r="5390" spans="2:16" x14ac:dyDescent="0.25">
      <c r="B5390" s="24"/>
      <c r="E5390" s="24"/>
      <c r="G5390" s="24"/>
      <c r="H5390" s="24"/>
      <c r="J5390" s="24"/>
      <c r="K5390" s="24"/>
      <c r="M5390" s="24"/>
      <c r="N5390" s="24"/>
      <c r="P5390" s="24"/>
    </row>
    <row r="5391" spans="2:16" x14ac:dyDescent="0.25">
      <c r="B5391" s="24"/>
      <c r="E5391" s="24"/>
      <c r="G5391" s="24"/>
      <c r="H5391" s="24"/>
      <c r="J5391" s="24"/>
      <c r="K5391" s="24"/>
      <c r="M5391" s="24"/>
      <c r="N5391" s="24"/>
      <c r="P5391" s="24"/>
    </row>
    <row r="5392" spans="2:16" x14ac:dyDescent="0.25">
      <c r="B5392" s="24"/>
      <c r="E5392" s="24"/>
      <c r="G5392" s="24"/>
      <c r="H5392" s="24"/>
      <c r="J5392" s="24"/>
      <c r="K5392" s="24"/>
      <c r="M5392" s="24"/>
      <c r="N5392" s="24"/>
      <c r="P5392" s="24"/>
    </row>
    <row r="5393" spans="2:16" x14ac:dyDescent="0.25">
      <c r="B5393" s="24"/>
      <c r="E5393" s="24"/>
      <c r="G5393" s="24"/>
      <c r="H5393" s="24"/>
      <c r="J5393" s="24"/>
      <c r="K5393" s="24"/>
      <c r="M5393" s="24"/>
      <c r="N5393" s="24"/>
      <c r="P5393" s="24"/>
    </row>
    <row r="5394" spans="2:16" x14ac:dyDescent="0.25">
      <c r="B5394" s="24"/>
      <c r="E5394" s="24"/>
      <c r="G5394" s="24"/>
      <c r="H5394" s="24"/>
      <c r="J5394" s="24"/>
      <c r="K5394" s="24"/>
      <c r="M5394" s="24"/>
      <c r="N5394" s="24"/>
      <c r="P5394" s="24"/>
    </row>
    <row r="5395" spans="2:16" x14ac:dyDescent="0.25">
      <c r="B5395" s="24"/>
      <c r="E5395" s="24"/>
      <c r="G5395" s="24"/>
      <c r="H5395" s="24"/>
      <c r="J5395" s="24"/>
      <c r="K5395" s="24"/>
      <c r="M5395" s="24"/>
      <c r="N5395" s="24"/>
      <c r="P5395" s="24"/>
    </row>
    <row r="5396" spans="2:16" x14ac:dyDescent="0.25">
      <c r="B5396" s="24"/>
      <c r="E5396" s="24"/>
      <c r="G5396" s="24"/>
      <c r="H5396" s="24"/>
      <c r="J5396" s="24"/>
      <c r="K5396" s="24"/>
      <c r="M5396" s="24"/>
      <c r="N5396" s="24"/>
      <c r="P5396" s="24"/>
    </row>
    <row r="5397" spans="2:16" x14ac:dyDescent="0.25">
      <c r="B5397" s="24"/>
      <c r="E5397" s="24"/>
      <c r="G5397" s="24"/>
      <c r="H5397" s="24"/>
      <c r="J5397" s="24"/>
      <c r="K5397" s="24"/>
      <c r="M5397" s="24"/>
      <c r="N5397" s="24"/>
      <c r="P5397" s="24"/>
    </row>
    <row r="5398" spans="2:16" x14ac:dyDescent="0.25">
      <c r="B5398" s="24"/>
      <c r="E5398" s="24"/>
      <c r="G5398" s="24"/>
      <c r="H5398" s="24"/>
      <c r="J5398" s="24"/>
      <c r="K5398" s="24"/>
      <c r="M5398" s="24"/>
      <c r="N5398" s="24"/>
      <c r="P5398" s="24"/>
    </row>
    <row r="5399" spans="2:16" x14ac:dyDescent="0.25">
      <c r="B5399" s="24"/>
      <c r="E5399" s="24"/>
      <c r="G5399" s="24"/>
      <c r="H5399" s="24"/>
      <c r="J5399" s="24"/>
      <c r="K5399" s="24"/>
      <c r="M5399" s="24"/>
      <c r="N5399" s="24"/>
      <c r="P5399" s="24"/>
    </row>
    <row r="5400" spans="2:16" x14ac:dyDescent="0.25">
      <c r="B5400" s="24"/>
      <c r="E5400" s="24"/>
      <c r="G5400" s="24"/>
      <c r="H5400" s="24"/>
      <c r="J5400" s="24"/>
      <c r="K5400" s="24"/>
      <c r="M5400" s="24"/>
      <c r="N5400" s="24"/>
      <c r="P5400" s="24"/>
    </row>
    <row r="5401" spans="2:16" x14ac:dyDescent="0.25">
      <c r="B5401" s="24"/>
      <c r="E5401" s="24"/>
      <c r="G5401" s="24"/>
      <c r="H5401" s="24"/>
      <c r="J5401" s="24"/>
      <c r="K5401" s="24"/>
      <c r="M5401" s="24"/>
      <c r="N5401" s="24"/>
      <c r="P5401" s="24"/>
    </row>
    <row r="5402" spans="2:16" x14ac:dyDescent="0.25">
      <c r="B5402" s="24"/>
      <c r="E5402" s="24"/>
      <c r="G5402" s="24"/>
      <c r="H5402" s="24"/>
      <c r="J5402" s="24"/>
      <c r="K5402" s="24"/>
      <c r="M5402" s="24"/>
      <c r="N5402" s="24"/>
      <c r="P5402" s="24"/>
    </row>
    <row r="5403" spans="2:16" x14ac:dyDescent="0.25">
      <c r="B5403" s="24"/>
      <c r="E5403" s="24"/>
      <c r="G5403" s="24"/>
      <c r="H5403" s="24"/>
      <c r="J5403" s="24"/>
      <c r="K5403" s="24"/>
      <c r="M5403" s="24"/>
      <c r="N5403" s="24"/>
      <c r="P5403" s="24"/>
    </row>
    <row r="5404" spans="2:16" x14ac:dyDescent="0.25">
      <c r="B5404" s="24"/>
      <c r="E5404" s="24"/>
      <c r="G5404" s="24"/>
      <c r="H5404" s="24"/>
      <c r="J5404" s="24"/>
      <c r="K5404" s="24"/>
      <c r="M5404" s="24"/>
      <c r="N5404" s="24"/>
      <c r="P5404" s="24"/>
    </row>
    <row r="5405" spans="2:16" x14ac:dyDescent="0.25">
      <c r="B5405" s="24"/>
      <c r="E5405" s="24"/>
      <c r="G5405" s="24"/>
      <c r="H5405" s="24"/>
      <c r="J5405" s="24"/>
      <c r="K5405" s="24"/>
      <c r="M5405" s="24"/>
      <c r="N5405" s="24"/>
      <c r="P5405" s="24"/>
    </row>
    <row r="5406" spans="2:16" x14ac:dyDescent="0.25">
      <c r="B5406" s="24"/>
      <c r="E5406" s="24"/>
      <c r="G5406" s="24"/>
      <c r="H5406" s="24"/>
      <c r="J5406" s="24"/>
      <c r="K5406" s="24"/>
      <c r="M5406" s="24"/>
      <c r="N5406" s="24"/>
      <c r="P5406" s="24"/>
    </row>
    <row r="5407" spans="2:16" x14ac:dyDescent="0.25">
      <c r="B5407" s="24"/>
      <c r="E5407" s="24"/>
      <c r="G5407" s="24"/>
      <c r="H5407" s="24"/>
      <c r="J5407" s="24"/>
      <c r="K5407" s="24"/>
      <c r="M5407" s="24"/>
      <c r="N5407" s="24"/>
      <c r="P5407" s="24"/>
    </row>
    <row r="5408" spans="2:16" x14ac:dyDescent="0.25">
      <c r="B5408" s="24"/>
      <c r="E5408" s="24"/>
      <c r="G5408" s="24"/>
      <c r="H5408" s="24"/>
      <c r="J5408" s="24"/>
      <c r="K5408" s="24"/>
      <c r="M5408" s="24"/>
      <c r="N5408" s="24"/>
      <c r="P5408" s="24"/>
    </row>
    <row r="5409" spans="2:16" x14ac:dyDescent="0.25">
      <c r="B5409" s="24"/>
      <c r="E5409" s="24"/>
      <c r="G5409" s="24"/>
      <c r="H5409" s="24"/>
      <c r="J5409" s="24"/>
      <c r="K5409" s="24"/>
      <c r="M5409" s="24"/>
      <c r="N5409" s="24"/>
      <c r="P5409" s="24"/>
    </row>
    <row r="5410" spans="2:16" x14ac:dyDescent="0.25">
      <c r="B5410" s="24"/>
      <c r="E5410" s="24"/>
      <c r="G5410" s="24"/>
      <c r="H5410" s="24"/>
      <c r="J5410" s="24"/>
      <c r="K5410" s="24"/>
      <c r="M5410" s="24"/>
      <c r="N5410" s="24"/>
      <c r="P5410" s="24"/>
    </row>
    <row r="5411" spans="2:16" x14ac:dyDescent="0.25">
      <c r="B5411" s="24"/>
      <c r="E5411" s="24"/>
      <c r="G5411" s="24"/>
      <c r="H5411" s="24"/>
      <c r="J5411" s="24"/>
      <c r="K5411" s="24"/>
      <c r="M5411" s="24"/>
      <c r="N5411" s="24"/>
      <c r="P5411" s="24"/>
    </row>
    <row r="5412" spans="2:16" x14ac:dyDescent="0.25">
      <c r="B5412" s="24"/>
      <c r="E5412" s="24"/>
      <c r="G5412" s="24"/>
      <c r="H5412" s="24"/>
      <c r="J5412" s="24"/>
      <c r="K5412" s="24"/>
      <c r="M5412" s="24"/>
      <c r="N5412" s="24"/>
      <c r="P5412" s="24"/>
    </row>
    <row r="5413" spans="2:16" x14ac:dyDescent="0.25">
      <c r="B5413" s="24"/>
      <c r="E5413" s="24"/>
      <c r="G5413" s="24"/>
      <c r="H5413" s="24"/>
      <c r="J5413" s="24"/>
      <c r="K5413" s="24"/>
      <c r="M5413" s="24"/>
      <c r="N5413" s="24"/>
      <c r="P5413" s="24"/>
    </row>
    <row r="5414" spans="2:16" x14ac:dyDescent="0.25">
      <c r="B5414" s="24"/>
      <c r="E5414" s="24"/>
      <c r="G5414" s="24"/>
      <c r="H5414" s="24"/>
      <c r="J5414" s="24"/>
      <c r="K5414" s="24"/>
      <c r="M5414" s="24"/>
      <c r="N5414" s="24"/>
      <c r="P5414" s="24"/>
    </row>
    <row r="5415" spans="2:16" x14ac:dyDescent="0.25">
      <c r="B5415" s="24"/>
      <c r="E5415" s="24"/>
      <c r="G5415" s="24"/>
      <c r="H5415" s="24"/>
      <c r="J5415" s="24"/>
      <c r="K5415" s="24"/>
      <c r="M5415" s="24"/>
      <c r="N5415" s="24"/>
      <c r="P5415" s="24"/>
    </row>
    <row r="5416" spans="2:16" x14ac:dyDescent="0.25">
      <c r="B5416" s="24"/>
      <c r="E5416" s="24"/>
      <c r="G5416" s="24"/>
      <c r="H5416" s="24"/>
      <c r="J5416" s="24"/>
      <c r="K5416" s="24"/>
      <c r="M5416" s="24"/>
      <c r="N5416" s="24"/>
      <c r="P5416" s="24"/>
    </row>
    <row r="5417" spans="2:16" x14ac:dyDescent="0.25">
      <c r="B5417" s="24"/>
      <c r="E5417" s="24"/>
      <c r="G5417" s="24"/>
      <c r="H5417" s="24"/>
      <c r="J5417" s="24"/>
      <c r="K5417" s="24"/>
      <c r="M5417" s="24"/>
      <c r="N5417" s="24"/>
      <c r="P5417" s="24"/>
    </row>
    <row r="5418" spans="2:16" x14ac:dyDescent="0.25">
      <c r="B5418" s="24"/>
      <c r="E5418" s="24"/>
      <c r="G5418" s="24"/>
      <c r="H5418" s="24"/>
      <c r="J5418" s="24"/>
      <c r="K5418" s="24"/>
      <c r="M5418" s="24"/>
      <c r="N5418" s="24"/>
      <c r="P5418" s="24"/>
    </row>
    <row r="5419" spans="2:16" x14ac:dyDescent="0.25">
      <c r="B5419" s="24"/>
      <c r="E5419" s="24"/>
      <c r="G5419" s="24"/>
      <c r="H5419" s="24"/>
      <c r="J5419" s="24"/>
      <c r="K5419" s="24"/>
      <c r="M5419" s="24"/>
      <c r="N5419" s="24"/>
      <c r="P5419" s="24"/>
    </row>
    <row r="5420" spans="2:16" x14ac:dyDescent="0.25">
      <c r="B5420" s="24"/>
      <c r="E5420" s="24"/>
      <c r="G5420" s="24"/>
      <c r="H5420" s="24"/>
      <c r="J5420" s="24"/>
      <c r="K5420" s="24"/>
      <c r="M5420" s="24"/>
      <c r="N5420" s="24"/>
      <c r="P5420" s="24"/>
    </row>
    <row r="5421" spans="2:16" x14ac:dyDescent="0.25">
      <c r="B5421" s="24"/>
      <c r="E5421" s="24"/>
      <c r="G5421" s="24"/>
      <c r="H5421" s="24"/>
      <c r="J5421" s="24"/>
      <c r="K5421" s="24"/>
      <c r="M5421" s="24"/>
      <c r="N5421" s="24"/>
      <c r="P5421" s="24"/>
    </row>
    <row r="5422" spans="2:16" x14ac:dyDescent="0.25">
      <c r="B5422" s="24"/>
      <c r="E5422" s="24"/>
      <c r="G5422" s="24"/>
      <c r="H5422" s="24"/>
      <c r="J5422" s="24"/>
      <c r="K5422" s="24"/>
      <c r="M5422" s="24"/>
      <c r="N5422" s="24"/>
      <c r="P5422" s="24"/>
    </row>
    <row r="5423" spans="2:16" x14ac:dyDescent="0.25">
      <c r="B5423" s="24"/>
      <c r="E5423" s="24"/>
      <c r="G5423" s="24"/>
      <c r="H5423" s="24"/>
      <c r="J5423" s="24"/>
      <c r="K5423" s="24"/>
      <c r="M5423" s="24"/>
      <c r="N5423" s="24"/>
      <c r="P5423" s="24"/>
    </row>
    <row r="5424" spans="2:16" x14ac:dyDescent="0.25">
      <c r="B5424" s="24"/>
      <c r="E5424" s="24"/>
      <c r="G5424" s="24"/>
      <c r="H5424" s="24"/>
      <c r="J5424" s="24"/>
      <c r="K5424" s="24"/>
      <c r="M5424" s="24"/>
      <c r="N5424" s="24"/>
      <c r="P5424" s="24"/>
    </row>
    <row r="5425" spans="2:16" x14ac:dyDescent="0.25">
      <c r="B5425" s="24"/>
      <c r="E5425" s="24"/>
      <c r="G5425" s="24"/>
      <c r="H5425" s="24"/>
      <c r="J5425" s="24"/>
      <c r="K5425" s="24"/>
      <c r="M5425" s="24"/>
      <c r="N5425" s="24"/>
      <c r="P5425" s="24"/>
    </row>
    <row r="5426" spans="2:16" x14ac:dyDescent="0.25">
      <c r="B5426" s="24"/>
      <c r="E5426" s="24"/>
      <c r="G5426" s="24"/>
      <c r="H5426" s="24"/>
      <c r="J5426" s="24"/>
      <c r="K5426" s="24"/>
      <c r="M5426" s="24"/>
      <c r="N5426" s="24"/>
      <c r="P5426" s="24"/>
    </row>
    <row r="5427" spans="2:16" x14ac:dyDescent="0.25">
      <c r="B5427" s="24"/>
      <c r="E5427" s="24"/>
      <c r="G5427" s="24"/>
      <c r="H5427" s="24"/>
      <c r="J5427" s="24"/>
      <c r="K5427" s="24"/>
      <c r="M5427" s="24"/>
      <c r="N5427" s="24"/>
      <c r="P5427" s="24"/>
    </row>
    <row r="5428" spans="2:16" x14ac:dyDescent="0.25">
      <c r="B5428" s="24"/>
      <c r="E5428" s="24"/>
      <c r="G5428" s="24"/>
      <c r="H5428" s="24"/>
      <c r="J5428" s="24"/>
      <c r="K5428" s="24"/>
      <c r="M5428" s="24"/>
      <c r="N5428" s="24"/>
      <c r="P5428" s="24"/>
    </row>
    <row r="5429" spans="2:16" x14ac:dyDescent="0.25">
      <c r="B5429" s="24"/>
      <c r="E5429" s="24"/>
      <c r="G5429" s="24"/>
      <c r="H5429" s="24"/>
      <c r="J5429" s="24"/>
      <c r="K5429" s="24"/>
      <c r="M5429" s="24"/>
      <c r="N5429" s="24"/>
      <c r="P5429" s="24"/>
    </row>
    <row r="5430" spans="2:16" x14ac:dyDescent="0.25">
      <c r="B5430" s="24"/>
      <c r="E5430" s="24"/>
      <c r="G5430" s="24"/>
      <c r="H5430" s="24"/>
      <c r="J5430" s="24"/>
      <c r="K5430" s="24"/>
      <c r="M5430" s="24"/>
      <c r="N5430" s="24"/>
      <c r="P5430" s="24"/>
    </row>
    <row r="5431" spans="2:16" x14ac:dyDescent="0.25">
      <c r="B5431" s="24"/>
      <c r="E5431" s="24"/>
      <c r="G5431" s="24"/>
      <c r="H5431" s="24"/>
      <c r="J5431" s="24"/>
      <c r="K5431" s="24"/>
      <c r="M5431" s="24"/>
      <c r="N5431" s="24"/>
      <c r="P5431" s="24"/>
    </row>
    <row r="5432" spans="2:16" x14ac:dyDescent="0.25">
      <c r="B5432" s="24"/>
      <c r="E5432" s="24"/>
      <c r="G5432" s="24"/>
      <c r="H5432" s="24"/>
      <c r="J5432" s="24"/>
      <c r="K5432" s="24"/>
      <c r="M5432" s="24"/>
      <c r="N5432" s="24"/>
      <c r="P5432" s="24"/>
    </row>
    <row r="5433" spans="2:16" x14ac:dyDescent="0.25">
      <c r="B5433" s="24"/>
      <c r="E5433" s="24"/>
      <c r="G5433" s="24"/>
      <c r="H5433" s="24"/>
      <c r="J5433" s="24"/>
      <c r="K5433" s="24"/>
      <c r="M5433" s="24"/>
      <c r="N5433" s="24"/>
      <c r="P5433" s="24"/>
    </row>
    <row r="5434" spans="2:16" x14ac:dyDescent="0.25">
      <c r="B5434" s="24"/>
      <c r="E5434" s="24"/>
      <c r="G5434" s="24"/>
      <c r="H5434" s="24"/>
      <c r="J5434" s="24"/>
      <c r="K5434" s="24"/>
      <c r="M5434" s="24"/>
      <c r="N5434" s="24"/>
      <c r="P5434" s="24"/>
    </row>
    <row r="5435" spans="2:16" x14ac:dyDescent="0.25">
      <c r="B5435" s="24"/>
      <c r="E5435" s="24"/>
      <c r="G5435" s="24"/>
      <c r="H5435" s="24"/>
      <c r="J5435" s="24"/>
      <c r="K5435" s="24"/>
      <c r="M5435" s="24"/>
      <c r="N5435" s="24"/>
      <c r="P5435" s="24"/>
    </row>
    <row r="5436" spans="2:16" x14ac:dyDescent="0.25">
      <c r="B5436" s="24"/>
      <c r="E5436" s="24"/>
      <c r="G5436" s="24"/>
      <c r="H5436" s="24"/>
      <c r="J5436" s="24"/>
      <c r="K5436" s="24"/>
      <c r="M5436" s="24"/>
      <c r="N5436" s="24"/>
      <c r="P5436" s="24"/>
    </row>
    <row r="5437" spans="2:16" x14ac:dyDescent="0.25">
      <c r="B5437" s="24"/>
      <c r="E5437" s="24"/>
      <c r="G5437" s="24"/>
      <c r="H5437" s="24"/>
      <c r="J5437" s="24"/>
      <c r="K5437" s="24"/>
      <c r="M5437" s="24"/>
      <c r="N5437" s="24"/>
      <c r="P5437" s="24"/>
    </row>
    <row r="5438" spans="2:16" x14ac:dyDescent="0.25">
      <c r="B5438" s="24"/>
      <c r="E5438" s="24"/>
      <c r="G5438" s="24"/>
      <c r="H5438" s="24"/>
      <c r="J5438" s="24"/>
      <c r="K5438" s="24"/>
      <c r="M5438" s="24"/>
      <c r="N5438" s="24"/>
      <c r="P5438" s="24"/>
    </row>
    <row r="5439" spans="2:16" x14ac:dyDescent="0.25">
      <c r="B5439" s="24"/>
      <c r="E5439" s="24"/>
      <c r="G5439" s="24"/>
      <c r="H5439" s="24"/>
      <c r="J5439" s="24"/>
      <c r="K5439" s="24"/>
      <c r="M5439" s="24"/>
      <c r="N5439" s="24"/>
      <c r="P5439" s="24"/>
    </row>
    <row r="5440" spans="2:16" x14ac:dyDescent="0.25">
      <c r="B5440" s="24"/>
      <c r="E5440" s="24"/>
      <c r="G5440" s="24"/>
      <c r="H5440" s="24"/>
      <c r="J5440" s="24"/>
      <c r="K5440" s="24"/>
      <c r="M5440" s="24"/>
      <c r="N5440" s="24"/>
      <c r="P5440" s="24"/>
    </row>
    <row r="5441" spans="2:16" x14ac:dyDescent="0.25">
      <c r="B5441" s="24"/>
      <c r="E5441" s="24"/>
      <c r="G5441" s="24"/>
      <c r="H5441" s="24"/>
      <c r="J5441" s="24"/>
      <c r="K5441" s="24"/>
      <c r="M5441" s="24"/>
      <c r="N5441" s="24"/>
      <c r="P5441" s="24"/>
    </row>
    <row r="5442" spans="2:16" x14ac:dyDescent="0.25">
      <c r="B5442" s="24"/>
      <c r="E5442" s="24"/>
      <c r="G5442" s="24"/>
      <c r="H5442" s="24"/>
      <c r="J5442" s="24"/>
      <c r="K5442" s="24"/>
      <c r="M5442" s="24"/>
      <c r="N5442" s="24"/>
      <c r="P5442" s="24"/>
    </row>
    <row r="5443" spans="2:16" x14ac:dyDescent="0.25">
      <c r="B5443" s="24"/>
      <c r="E5443" s="24"/>
      <c r="G5443" s="24"/>
      <c r="H5443" s="24"/>
      <c r="J5443" s="24"/>
      <c r="K5443" s="24"/>
      <c r="M5443" s="24"/>
      <c r="N5443" s="24"/>
      <c r="P5443" s="24"/>
    </row>
    <row r="5444" spans="2:16" x14ac:dyDescent="0.25">
      <c r="B5444" s="24"/>
      <c r="E5444" s="24"/>
      <c r="G5444" s="24"/>
      <c r="H5444" s="24"/>
      <c r="J5444" s="24"/>
      <c r="K5444" s="24"/>
      <c r="M5444" s="24"/>
      <c r="N5444" s="24"/>
      <c r="P5444" s="24"/>
    </row>
    <row r="5445" spans="2:16" x14ac:dyDescent="0.25">
      <c r="B5445" s="24"/>
      <c r="E5445" s="24"/>
      <c r="G5445" s="24"/>
      <c r="H5445" s="24"/>
      <c r="J5445" s="24"/>
      <c r="K5445" s="24"/>
      <c r="M5445" s="24"/>
      <c r="N5445" s="24"/>
      <c r="P5445" s="24"/>
    </row>
    <row r="5446" spans="2:16" x14ac:dyDescent="0.25">
      <c r="B5446" s="24"/>
      <c r="E5446" s="24"/>
      <c r="G5446" s="24"/>
      <c r="H5446" s="24"/>
      <c r="J5446" s="24"/>
      <c r="K5446" s="24"/>
      <c r="M5446" s="24"/>
      <c r="N5446" s="24"/>
      <c r="P5446" s="24"/>
    </row>
    <row r="5447" spans="2:16" x14ac:dyDescent="0.25">
      <c r="B5447" s="24"/>
      <c r="E5447" s="24"/>
      <c r="G5447" s="24"/>
      <c r="H5447" s="24"/>
      <c r="J5447" s="24"/>
      <c r="K5447" s="24"/>
      <c r="M5447" s="24"/>
      <c r="N5447" s="24"/>
      <c r="P5447" s="24"/>
    </row>
    <row r="5448" spans="2:16" x14ac:dyDescent="0.25">
      <c r="B5448" s="24"/>
      <c r="E5448" s="24"/>
      <c r="G5448" s="24"/>
      <c r="H5448" s="24"/>
      <c r="J5448" s="24"/>
      <c r="K5448" s="24"/>
      <c r="M5448" s="24"/>
      <c r="N5448" s="24"/>
      <c r="P5448" s="24"/>
    </row>
    <row r="5449" spans="2:16" x14ac:dyDescent="0.25">
      <c r="B5449" s="24"/>
      <c r="E5449" s="24"/>
      <c r="G5449" s="24"/>
      <c r="H5449" s="24"/>
      <c r="J5449" s="24"/>
      <c r="K5449" s="24"/>
      <c r="M5449" s="24"/>
      <c r="N5449" s="24"/>
      <c r="P5449" s="24"/>
    </row>
    <row r="5450" spans="2:16" x14ac:dyDescent="0.25">
      <c r="B5450" s="24"/>
      <c r="E5450" s="24"/>
      <c r="G5450" s="24"/>
      <c r="H5450" s="24"/>
      <c r="J5450" s="24"/>
      <c r="K5450" s="24"/>
      <c r="M5450" s="24"/>
      <c r="N5450" s="24"/>
      <c r="P5450" s="24"/>
    </row>
  </sheetData>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workbookViewId="0"/>
  </sheetViews>
  <sheetFormatPr defaultRowHeight="13.2" x14ac:dyDescent="0.25"/>
  <cols>
    <col min="1" max="1" width="52.6640625" customWidth="1"/>
    <col min="2" max="2" width="13.33203125" customWidth="1"/>
    <col min="3" max="3" width="24.88671875" customWidth="1"/>
    <col min="5" max="5" width="22.44140625" customWidth="1"/>
    <col min="6" max="6" width="15" customWidth="1"/>
    <col min="7" max="7" width="31" customWidth="1"/>
    <col min="8" max="8" width="30.88671875" customWidth="1"/>
  </cols>
  <sheetData>
    <row r="1" spans="1:3" x14ac:dyDescent="0.25">
      <c r="A1" s="2" t="s">
        <v>408</v>
      </c>
    </row>
    <row r="2" spans="1:3" x14ac:dyDescent="0.25">
      <c r="A2" s="2" t="s">
        <v>239</v>
      </c>
      <c r="B2" s="1009" t="s">
        <v>1422</v>
      </c>
    </row>
    <row r="3" spans="1:3" x14ac:dyDescent="0.25">
      <c r="A3" s="2" t="s">
        <v>240</v>
      </c>
      <c r="B3" s="42">
        <v>2010</v>
      </c>
    </row>
    <row r="4" spans="1:3" x14ac:dyDescent="0.25">
      <c r="A4" s="3"/>
      <c r="B4" s="42"/>
    </row>
    <row r="5" spans="1:3" x14ac:dyDescent="0.25">
      <c r="A5" s="447" t="s">
        <v>415</v>
      </c>
      <c r="B5" s="103"/>
      <c r="C5" s="104"/>
    </row>
    <row r="6" spans="1:3" x14ac:dyDescent="0.25">
      <c r="A6" s="295" t="s">
        <v>1379</v>
      </c>
      <c r="B6" s="328" t="s">
        <v>620</v>
      </c>
      <c r="C6" s="1532">
        <f>Unitflowchart!S199/Unitflowchart!S320</f>
        <v>17.802484778252424</v>
      </c>
    </row>
    <row r="7" spans="1:3" x14ac:dyDescent="0.25">
      <c r="A7" s="1075" t="s">
        <v>1933</v>
      </c>
      <c r="B7" s="328" t="s">
        <v>183</v>
      </c>
      <c r="C7" s="711">
        <f>Unitflowchart!S203</f>
        <v>1934.3999999999996</v>
      </c>
    </row>
    <row r="8" spans="1:3" x14ac:dyDescent="0.25">
      <c r="A8" s="1075" t="s">
        <v>1925</v>
      </c>
      <c r="B8" s="105" t="s">
        <v>620</v>
      </c>
      <c r="C8" s="1533">
        <f>IF(Unitflowchart!N209=1,0,(Unitflowchart!N199/Unitflowchart!S320))</f>
        <v>0</v>
      </c>
    </row>
    <row r="9" spans="1:3" x14ac:dyDescent="0.25">
      <c r="A9" s="1075" t="s">
        <v>1926</v>
      </c>
      <c r="B9" s="105" t="s">
        <v>183</v>
      </c>
      <c r="C9" s="711">
        <f>Unitflowchart!N203</f>
        <v>2991.119999999999</v>
      </c>
    </row>
    <row r="10" spans="1:3" x14ac:dyDescent="0.25">
      <c r="A10" s="1075" t="s">
        <v>1927</v>
      </c>
      <c r="B10" s="105" t="s">
        <v>620</v>
      </c>
      <c r="C10" s="1533">
        <f>Unitflowchart!W199/Unitflowchart!S320</f>
        <v>0</v>
      </c>
    </row>
    <row r="11" spans="1:3" x14ac:dyDescent="0.25">
      <c r="A11" s="1075" t="s">
        <v>1928</v>
      </c>
      <c r="B11" s="105" t="s">
        <v>183</v>
      </c>
      <c r="C11" s="711">
        <f>Unitflowchart!W201</f>
        <v>1519</v>
      </c>
    </row>
    <row r="12" spans="1:3" x14ac:dyDescent="0.25">
      <c r="A12" s="1075" t="s">
        <v>1934</v>
      </c>
      <c r="B12" s="1075" t="s">
        <v>620</v>
      </c>
      <c r="C12" s="1533">
        <f>Unitflowchart!AA199/Unitflowchart!S320</f>
        <v>0</v>
      </c>
    </row>
    <row r="13" spans="1:3" x14ac:dyDescent="0.25">
      <c r="A13" s="1075" t="s">
        <v>1935</v>
      </c>
      <c r="B13" s="1075" t="s">
        <v>183</v>
      </c>
      <c r="C13" s="711">
        <f>Unitflowchart!AA201</f>
        <v>40000</v>
      </c>
    </row>
    <row r="14" spans="1:3" x14ac:dyDescent="0.25">
      <c r="A14" s="1075" t="s">
        <v>1929</v>
      </c>
      <c r="B14" s="295" t="s">
        <v>620</v>
      </c>
      <c r="C14" s="297">
        <f>Unitflowchart!S254/Unitflowchart!S320</f>
        <v>1.0060362173038229</v>
      </c>
    </row>
    <row r="15" spans="1:3" x14ac:dyDescent="0.25">
      <c r="A15" s="1075" t="s">
        <v>1930</v>
      </c>
      <c r="B15" s="105" t="s">
        <v>183</v>
      </c>
      <c r="C15" s="712">
        <f>Unitflowchart!S262</f>
        <v>26700</v>
      </c>
    </row>
    <row r="16" spans="1:3" x14ac:dyDescent="0.25">
      <c r="A16" s="1075" t="s">
        <v>1931</v>
      </c>
      <c r="B16" s="217" t="s">
        <v>620</v>
      </c>
      <c r="C16" s="297">
        <f>Unitflowchart!S312/Unitflowchart!S320</f>
        <v>1</v>
      </c>
    </row>
    <row r="17" spans="1:10" x14ac:dyDescent="0.25">
      <c r="A17" s="1045" t="s">
        <v>1932</v>
      </c>
      <c r="B17" s="107" t="s">
        <v>183</v>
      </c>
      <c r="C17" s="710">
        <f>Unitflowchart!S316</f>
        <v>26700</v>
      </c>
    </row>
    <row r="19" spans="1:10" ht="24" customHeight="1" x14ac:dyDescent="0.25">
      <c r="A19" s="2" t="s">
        <v>232</v>
      </c>
      <c r="B19" s="298" t="s">
        <v>934</v>
      </c>
      <c r="C19" s="2" t="s">
        <v>432</v>
      </c>
      <c r="D19" s="301"/>
      <c r="E19" s="367" t="s">
        <v>935</v>
      </c>
      <c r="F19" s="298" t="s">
        <v>233</v>
      </c>
      <c r="G19" s="14"/>
      <c r="H19" s="422" t="s">
        <v>433</v>
      </c>
      <c r="J19" s="422"/>
    </row>
    <row r="20" spans="1:10" ht="15" customHeight="1" x14ac:dyDescent="0.25">
      <c r="A20" s="3" t="s">
        <v>1378</v>
      </c>
      <c r="B20" s="111">
        <f>C6</f>
        <v>17.802484778252424</v>
      </c>
      <c r="C20" s="707">
        <f>C7</f>
        <v>1934.3999999999996</v>
      </c>
      <c r="D20" s="301"/>
      <c r="E20" s="365">
        <f t="shared" ref="E20:E22" si="0">B20*C20</f>
        <v>34437.12655505148</v>
      </c>
      <c r="F20" s="296">
        <f>E20/E24*100</f>
        <v>100</v>
      </c>
      <c r="G20" s="14"/>
      <c r="H20" s="803">
        <f>$F$20*H27/100</f>
        <v>100</v>
      </c>
      <c r="J20" s="422"/>
    </row>
    <row r="21" spans="1:10" x14ac:dyDescent="0.25">
      <c r="A21" s="3" t="s">
        <v>860</v>
      </c>
      <c r="B21" s="111">
        <f>C8</f>
        <v>0</v>
      </c>
      <c r="C21" s="707">
        <f>C9</f>
        <v>2991.119999999999</v>
      </c>
      <c r="E21" s="365">
        <f t="shared" si="0"/>
        <v>0</v>
      </c>
      <c r="F21" s="296">
        <f>E21/E24*100</f>
        <v>0</v>
      </c>
      <c r="G21" s="14"/>
      <c r="H21" s="300"/>
    </row>
    <row r="22" spans="1:10" x14ac:dyDescent="0.25">
      <c r="A22" s="3" t="s">
        <v>969</v>
      </c>
      <c r="B22" s="111">
        <f>C10</f>
        <v>0</v>
      </c>
      <c r="C22" s="707">
        <f>C11</f>
        <v>1519</v>
      </c>
      <c r="E22" s="365">
        <f t="shared" si="0"/>
        <v>0</v>
      </c>
      <c r="F22" s="296">
        <f>E22/E24*100</f>
        <v>0</v>
      </c>
      <c r="G22" s="14"/>
      <c r="H22" s="300"/>
    </row>
    <row r="23" spans="1:10" x14ac:dyDescent="0.25">
      <c r="A23" s="923" t="s">
        <v>1936</v>
      </c>
      <c r="B23" s="111">
        <f>C12</f>
        <v>0</v>
      </c>
      <c r="C23" s="707">
        <f>C13</f>
        <v>40000</v>
      </c>
      <c r="E23" s="365">
        <f>B23*C23</f>
        <v>0</v>
      </c>
      <c r="F23" s="296">
        <f>E23/E24*100</f>
        <v>0</v>
      </c>
      <c r="G23" s="14"/>
      <c r="H23" s="300"/>
    </row>
    <row r="24" spans="1:10" x14ac:dyDescent="0.25">
      <c r="A24" s="2" t="s">
        <v>13</v>
      </c>
      <c r="B24" s="14"/>
      <c r="C24" s="14"/>
      <c r="E24" s="293">
        <f>SUM(E20:E23)</f>
        <v>34437.12655505148</v>
      </c>
      <c r="F24" s="299">
        <f>SUM(F21:F22)</f>
        <v>0</v>
      </c>
      <c r="G24" s="14"/>
      <c r="H24" s="14"/>
    </row>
    <row r="25" spans="1:10" x14ac:dyDescent="0.25">
      <c r="A25" s="2"/>
      <c r="B25" s="14"/>
      <c r="C25" s="14"/>
      <c r="E25" s="366"/>
      <c r="F25" s="300"/>
      <c r="G25" s="14"/>
      <c r="H25" s="14"/>
    </row>
    <row r="26" spans="1:10" ht="24.75" customHeight="1" x14ac:dyDescent="0.25">
      <c r="A26" s="2" t="s">
        <v>232</v>
      </c>
      <c r="B26" s="298" t="s">
        <v>934</v>
      </c>
      <c r="C26" s="2" t="s">
        <v>432</v>
      </c>
      <c r="D26" s="301"/>
      <c r="E26" s="367" t="s">
        <v>935</v>
      </c>
      <c r="F26" s="298" t="s">
        <v>233</v>
      </c>
      <c r="G26" s="14"/>
      <c r="H26" s="422" t="s">
        <v>433</v>
      </c>
    </row>
    <row r="27" spans="1:10" x14ac:dyDescent="0.25">
      <c r="A27" s="923" t="s">
        <v>1596</v>
      </c>
      <c r="B27" s="111">
        <f>C14</f>
        <v>1.0060362173038229</v>
      </c>
      <c r="C27" s="707">
        <f>C15</f>
        <v>26700</v>
      </c>
      <c r="E27" s="365">
        <f>B27*C27</f>
        <v>26861.167002012069</v>
      </c>
      <c r="F27" s="296">
        <f>E27/E28*100</f>
        <v>100</v>
      </c>
      <c r="G27" s="14"/>
      <c r="H27" s="803">
        <f>(F27*H31)/100</f>
        <v>100</v>
      </c>
    </row>
    <row r="28" spans="1:10" x14ac:dyDescent="0.25">
      <c r="A28" s="2" t="s">
        <v>13</v>
      </c>
      <c r="B28" s="153"/>
      <c r="C28" s="153"/>
      <c r="E28" s="293">
        <f>SUM(E27:E27)</f>
        <v>26861.167002012069</v>
      </c>
      <c r="F28" s="299">
        <f>SUM(F27:F27)</f>
        <v>100</v>
      </c>
      <c r="G28" s="14"/>
      <c r="H28" s="14"/>
    </row>
    <row r="29" spans="1:10" x14ac:dyDescent="0.25">
      <c r="B29" s="14"/>
      <c r="C29" s="14"/>
      <c r="E29" s="222"/>
      <c r="F29" s="14"/>
      <c r="G29" s="14"/>
      <c r="H29" s="14"/>
    </row>
    <row r="30" spans="1:10" ht="25.5" customHeight="1" x14ac:dyDescent="0.25">
      <c r="A30" s="2" t="s">
        <v>232</v>
      </c>
      <c r="B30" s="298" t="s">
        <v>934</v>
      </c>
      <c r="C30" s="2" t="s">
        <v>432</v>
      </c>
      <c r="E30" s="367" t="s">
        <v>935</v>
      </c>
      <c r="F30" s="298" t="s">
        <v>233</v>
      </c>
      <c r="G30" s="14"/>
      <c r="H30" s="422" t="s">
        <v>433</v>
      </c>
    </row>
    <row r="31" spans="1:10" x14ac:dyDescent="0.25">
      <c r="A31" t="s">
        <v>359</v>
      </c>
      <c r="B31" s="111">
        <f>C16</f>
        <v>1</v>
      </c>
      <c r="C31" s="707">
        <f>C17</f>
        <v>26700</v>
      </c>
      <c r="E31" s="365">
        <f>B31*C31</f>
        <v>26700</v>
      </c>
      <c r="F31" s="296">
        <f>E31/$E$32*100</f>
        <v>100</v>
      </c>
      <c r="G31" s="14"/>
      <c r="H31" s="803">
        <f>F31</f>
        <v>100</v>
      </c>
    </row>
    <row r="32" spans="1:10" x14ac:dyDescent="0.25">
      <c r="A32" s="2" t="s">
        <v>13</v>
      </c>
      <c r="E32" s="293">
        <f>SUM(E31:E31)</f>
        <v>26700</v>
      </c>
      <c r="F32" s="299">
        <f>SUM(F31:F31)</f>
        <v>100</v>
      </c>
    </row>
    <row r="34" spans="7:8" ht="87.75" customHeight="1" x14ac:dyDescent="0.25">
      <c r="H34" s="423" t="s">
        <v>1034</v>
      </c>
    </row>
    <row r="35" spans="7:8" ht="39.6" x14ac:dyDescent="0.25">
      <c r="G35" s="807" t="s">
        <v>909</v>
      </c>
      <c r="H35" s="804">
        <f>($E$31*100)/($E$21+$E$22+$E23+$E$31)</f>
        <v>100</v>
      </c>
    </row>
    <row r="37" spans="7:8" x14ac:dyDescent="0.25">
      <c r="H37" s="423"/>
    </row>
    <row r="38" spans="7:8" x14ac:dyDescent="0.25">
      <c r="G38" s="802"/>
      <c r="H38" s="806"/>
    </row>
  </sheetData>
  <pageMargins left="0.7" right="0.7" top="0.75" bottom="0.75" header="0.3" footer="0.3"/>
  <pageSetup paperSize="9" orientation="portrait"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0"/>
  <sheetViews>
    <sheetView workbookViewId="0"/>
  </sheetViews>
  <sheetFormatPr defaultRowHeight="13.2" x14ac:dyDescent="0.25"/>
  <cols>
    <col min="1" max="1" width="46.6640625" customWidth="1"/>
    <col min="2" max="2" width="14.33203125" customWidth="1"/>
    <col min="3" max="3" width="17.88671875" customWidth="1"/>
    <col min="5" max="5" width="14.6640625" customWidth="1"/>
    <col min="7" max="7" width="29.44140625" customWidth="1"/>
    <col min="8" max="8" width="31.109375" customWidth="1"/>
    <col min="9" max="9" width="34" customWidth="1"/>
  </cols>
  <sheetData>
    <row r="1" spans="1:3" x14ac:dyDescent="0.25">
      <c r="A1" s="2" t="s">
        <v>358</v>
      </c>
      <c r="B1" s="43"/>
    </row>
    <row r="2" spans="1:3" x14ac:dyDescent="0.25">
      <c r="A2" s="2" t="s">
        <v>239</v>
      </c>
      <c r="B2" s="1009" t="s">
        <v>1422</v>
      </c>
    </row>
    <row r="3" spans="1:3" x14ac:dyDescent="0.25">
      <c r="A3" s="2" t="s">
        <v>240</v>
      </c>
      <c r="B3" s="42">
        <v>2010</v>
      </c>
    </row>
    <row r="4" spans="1:3" x14ac:dyDescent="0.25">
      <c r="A4" s="3"/>
      <c r="B4" s="42"/>
    </row>
    <row r="5" spans="1:3" x14ac:dyDescent="0.25">
      <c r="A5" s="447" t="s">
        <v>415</v>
      </c>
      <c r="B5" s="103"/>
      <c r="C5" s="104"/>
    </row>
    <row r="6" spans="1:3" x14ac:dyDescent="0.25">
      <c r="A6" s="295" t="s">
        <v>1379</v>
      </c>
      <c r="B6" s="328" t="s">
        <v>620</v>
      </c>
      <c r="C6" s="1535">
        <f>Unitflowchart!S199/Unitflowchart!S320</f>
        <v>17.802484778252424</v>
      </c>
    </row>
    <row r="7" spans="1:3" x14ac:dyDescent="0.25">
      <c r="A7" s="1075" t="s">
        <v>1937</v>
      </c>
      <c r="B7" s="1014" t="s">
        <v>231</v>
      </c>
      <c r="C7" s="814">
        <f>Unitflowchart!S205</f>
        <v>24.699999999999996</v>
      </c>
    </row>
    <row r="8" spans="1:3" x14ac:dyDescent="0.25">
      <c r="A8" s="1075" t="s">
        <v>1925</v>
      </c>
      <c r="B8" s="105" t="s">
        <v>620</v>
      </c>
      <c r="C8" s="1534">
        <f>IF(Unitflowchart!N209=1,0,(Unitflowchart!N199/Unitflowchart!S320))</f>
        <v>0</v>
      </c>
    </row>
    <row r="9" spans="1:3" x14ac:dyDescent="0.25">
      <c r="A9" s="1075" t="s">
        <v>1938</v>
      </c>
      <c r="B9" s="105" t="s">
        <v>231</v>
      </c>
      <c r="C9" s="814">
        <f>Unitflowchart!N205</f>
        <v>12.099999999999996</v>
      </c>
    </row>
    <row r="10" spans="1:3" x14ac:dyDescent="0.25">
      <c r="A10" s="1075" t="s">
        <v>1939</v>
      </c>
      <c r="B10" s="105" t="s">
        <v>620</v>
      </c>
      <c r="C10" s="1534">
        <f>Unitflowchart!W199/Unitflowchart!S320</f>
        <v>0</v>
      </c>
    </row>
    <row r="11" spans="1:3" x14ac:dyDescent="0.25">
      <c r="A11" s="1075" t="s">
        <v>1940</v>
      </c>
      <c r="B11" s="105" t="s">
        <v>231</v>
      </c>
      <c r="C11" s="814">
        <f>Unitflowchart!W203</f>
        <v>19</v>
      </c>
    </row>
    <row r="12" spans="1:3" x14ac:dyDescent="0.25">
      <c r="A12" s="1075" t="s">
        <v>1934</v>
      </c>
      <c r="B12" s="105" t="s">
        <v>620</v>
      </c>
      <c r="C12" s="682">
        <f>Unitflowchart!AA199/Unitflowchart!S320</f>
        <v>0</v>
      </c>
    </row>
    <row r="13" spans="1:3" x14ac:dyDescent="0.25">
      <c r="A13" s="1075" t="s">
        <v>1945</v>
      </c>
      <c r="B13" s="105" t="s">
        <v>231</v>
      </c>
      <c r="C13" s="148">
        <f>Unitflowchart!AA203</f>
        <v>8000</v>
      </c>
    </row>
    <row r="14" spans="1:3" x14ac:dyDescent="0.25">
      <c r="A14" s="1075" t="s">
        <v>1929</v>
      </c>
      <c r="B14" s="295" t="s">
        <v>620</v>
      </c>
      <c r="C14" s="297">
        <f>Unitflowchart!S254/Unitflowchart!S320</f>
        <v>1.0060362173038229</v>
      </c>
    </row>
    <row r="15" spans="1:3" x14ac:dyDescent="0.25">
      <c r="A15" s="1075" t="s">
        <v>1941</v>
      </c>
      <c r="B15" s="105" t="s">
        <v>231</v>
      </c>
      <c r="C15" s="491">
        <f>Unitflowchart!S260</f>
        <v>494</v>
      </c>
    </row>
    <row r="16" spans="1:3" x14ac:dyDescent="0.25">
      <c r="A16" s="105" t="s">
        <v>1942</v>
      </c>
      <c r="B16" s="295" t="s">
        <v>620</v>
      </c>
      <c r="C16" s="1534">
        <f>Unitflowchart!AG254/Unitflowchart!S320</f>
        <v>0</v>
      </c>
    </row>
    <row r="17" spans="1:8" x14ac:dyDescent="0.25">
      <c r="A17" s="105" t="s">
        <v>1943</v>
      </c>
      <c r="B17" s="105" t="s">
        <v>231</v>
      </c>
      <c r="C17" s="814">
        <f>Unitflowchart!AG256</f>
        <v>43.31</v>
      </c>
    </row>
    <row r="18" spans="1:8" x14ac:dyDescent="0.25">
      <c r="A18" s="105" t="s">
        <v>1931</v>
      </c>
      <c r="B18" s="295" t="s">
        <v>620</v>
      </c>
      <c r="C18" s="297">
        <f>Unitflowchart!S312/Unitflowchart!S320</f>
        <v>1</v>
      </c>
    </row>
    <row r="19" spans="1:8" x14ac:dyDescent="0.25">
      <c r="A19" s="107" t="s">
        <v>1944</v>
      </c>
      <c r="B19" s="107" t="s">
        <v>231</v>
      </c>
      <c r="C19" s="207">
        <f>Unitflowchart!S314</f>
        <v>494</v>
      </c>
    </row>
    <row r="21" spans="1:8" x14ac:dyDescent="0.25">
      <c r="A21" s="2"/>
      <c r="B21" s="14"/>
      <c r="C21" s="14"/>
      <c r="E21" s="300"/>
      <c r="F21" s="300"/>
      <c r="G21" s="14"/>
      <c r="H21" s="14"/>
    </row>
    <row r="22" spans="1:8" ht="28.5" customHeight="1" x14ac:dyDescent="0.25">
      <c r="A22" s="2" t="s">
        <v>232</v>
      </c>
      <c r="B22" s="298" t="s">
        <v>934</v>
      </c>
      <c r="C22" s="2" t="s">
        <v>936</v>
      </c>
      <c r="D22" s="301"/>
      <c r="E22" s="298" t="s">
        <v>937</v>
      </c>
      <c r="F22" s="298" t="s">
        <v>233</v>
      </c>
      <c r="G22" s="14"/>
      <c r="H22" s="816" t="s">
        <v>433</v>
      </c>
    </row>
    <row r="23" spans="1:8" s="923" customFormat="1" ht="11.25" customHeight="1" x14ac:dyDescent="0.25">
      <c r="A23" s="923" t="s">
        <v>1378</v>
      </c>
      <c r="B23" s="111">
        <f>C6</f>
        <v>17.802484778252424</v>
      </c>
      <c r="C23" s="111">
        <f>C7</f>
        <v>24.699999999999996</v>
      </c>
      <c r="E23" s="365">
        <f t="shared" ref="E23" si="0">B23*C23</f>
        <v>439.72137402283482</v>
      </c>
      <c r="F23" s="296">
        <f>E23/E27*100</f>
        <v>100</v>
      </c>
      <c r="G23" s="1076"/>
      <c r="H23" s="817">
        <f>($F$23*H31)/100</f>
        <v>100</v>
      </c>
    </row>
    <row r="24" spans="1:8" x14ac:dyDescent="0.25">
      <c r="A24" s="3" t="s">
        <v>860</v>
      </c>
      <c r="B24" s="111">
        <f>C8</f>
        <v>0</v>
      </c>
      <c r="C24" s="111">
        <f>C9</f>
        <v>12.099999999999996</v>
      </c>
      <c r="E24" s="365">
        <f t="shared" ref="E24:E25" si="1">B24*C24</f>
        <v>0</v>
      </c>
      <c r="F24" s="296">
        <f>E24/E27*100</f>
        <v>0</v>
      </c>
      <c r="G24" s="14"/>
      <c r="H24" s="300"/>
    </row>
    <row r="25" spans="1:8" x14ac:dyDescent="0.25">
      <c r="A25" s="3" t="s">
        <v>969</v>
      </c>
      <c r="B25" s="111">
        <f>C10</f>
        <v>0</v>
      </c>
      <c r="C25" s="111">
        <f>C11</f>
        <v>19</v>
      </c>
      <c r="E25" s="365">
        <f t="shared" si="1"/>
        <v>0</v>
      </c>
      <c r="F25" s="296">
        <f>E25/E27*100</f>
        <v>0</v>
      </c>
      <c r="G25" s="14"/>
      <c r="H25" s="300"/>
    </row>
    <row r="26" spans="1:8" x14ac:dyDescent="0.25">
      <c r="A26" s="923" t="s">
        <v>1936</v>
      </c>
      <c r="B26" s="111">
        <f>C12</f>
        <v>0</v>
      </c>
      <c r="C26" s="111">
        <f>C13</f>
        <v>8000</v>
      </c>
      <c r="E26" s="365">
        <f>B26*C26</f>
        <v>0</v>
      </c>
      <c r="F26" s="296">
        <f>E26/E27*100</f>
        <v>0</v>
      </c>
      <c r="G26" s="14"/>
      <c r="H26" s="300"/>
    </row>
    <row r="27" spans="1:8" x14ac:dyDescent="0.25">
      <c r="A27" s="2" t="s">
        <v>13</v>
      </c>
      <c r="B27" s="14"/>
      <c r="C27" s="14"/>
      <c r="E27" s="293">
        <f>SUM(E23:E26)</f>
        <v>439.72137402283482</v>
      </c>
      <c r="F27" s="299">
        <f>SUM(F23:F25)</f>
        <v>100</v>
      </c>
      <c r="G27" s="14"/>
      <c r="H27" s="14"/>
    </row>
    <row r="28" spans="1:8" x14ac:dyDescent="0.25">
      <c r="A28" s="2"/>
      <c r="B28" s="14"/>
      <c r="C28" s="14"/>
      <c r="E28" s="300"/>
      <c r="F28" s="300"/>
      <c r="G28" s="14"/>
      <c r="H28" s="14"/>
    </row>
    <row r="29" spans="1:8" x14ac:dyDescent="0.25">
      <c r="A29" s="2"/>
      <c r="B29" s="14"/>
      <c r="C29" s="14"/>
      <c r="E29" s="300"/>
      <c r="F29" s="300"/>
      <c r="G29" s="14"/>
      <c r="H29" s="14"/>
    </row>
    <row r="30" spans="1:8" ht="27" customHeight="1" x14ac:dyDescent="0.25">
      <c r="A30" s="2" t="s">
        <v>232</v>
      </c>
      <c r="B30" s="298" t="s">
        <v>934</v>
      </c>
      <c r="C30" s="2" t="s">
        <v>936</v>
      </c>
      <c r="D30" s="301"/>
      <c r="E30" s="298" t="s">
        <v>937</v>
      </c>
      <c r="F30" s="298" t="s">
        <v>233</v>
      </c>
      <c r="G30" s="14"/>
      <c r="H30" s="816" t="s">
        <v>433</v>
      </c>
    </row>
    <row r="31" spans="1:8" x14ac:dyDescent="0.25">
      <c r="A31" s="923" t="s">
        <v>1596</v>
      </c>
      <c r="B31" s="111">
        <f>C14</f>
        <v>1.0060362173038229</v>
      </c>
      <c r="C31" s="707">
        <f>C15</f>
        <v>494</v>
      </c>
      <c r="E31" s="365">
        <f>B31*C31</f>
        <v>496.98189134808848</v>
      </c>
      <c r="F31" s="296">
        <f>E31/E33*100</f>
        <v>100</v>
      </c>
      <c r="G31" s="14"/>
      <c r="H31" s="817">
        <f>(F31*H36)/100</f>
        <v>100</v>
      </c>
    </row>
    <row r="32" spans="1:8" x14ac:dyDescent="0.25">
      <c r="A32" s="3" t="s">
        <v>40</v>
      </c>
      <c r="B32" s="111">
        <f>C16</f>
        <v>0</v>
      </c>
      <c r="C32" s="815">
        <f>C17</f>
        <v>43.31</v>
      </c>
      <c r="D32" s="43"/>
      <c r="E32" s="368">
        <f>B32*C32</f>
        <v>0</v>
      </c>
      <c r="F32" s="296">
        <f>E32/$E$33*100</f>
        <v>0</v>
      </c>
      <c r="G32" s="14"/>
      <c r="H32" s="14"/>
    </row>
    <row r="33" spans="1:8" x14ac:dyDescent="0.25">
      <c r="A33" s="2" t="s">
        <v>13</v>
      </c>
      <c r="B33" s="153"/>
      <c r="C33" s="153"/>
      <c r="E33" s="293">
        <f>SUM(E31:E32)</f>
        <v>496.98189134808848</v>
      </c>
      <c r="F33" s="299">
        <f>SUM(F31:F32)</f>
        <v>100</v>
      </c>
      <c r="G33" s="14"/>
      <c r="H33" s="14"/>
    </row>
    <row r="34" spans="1:8" x14ac:dyDescent="0.25">
      <c r="B34" s="14"/>
      <c r="C34" s="14"/>
      <c r="E34" s="14"/>
      <c r="F34" s="14"/>
      <c r="G34" s="14"/>
      <c r="H34" s="14"/>
    </row>
    <row r="35" spans="1:8" ht="24.75" customHeight="1" x14ac:dyDescent="0.25">
      <c r="A35" s="2" t="s">
        <v>232</v>
      </c>
      <c r="B35" s="298" t="s">
        <v>934</v>
      </c>
      <c r="C35" s="2" t="s">
        <v>936</v>
      </c>
      <c r="E35" s="298" t="s">
        <v>937</v>
      </c>
      <c r="F35" s="298" t="s">
        <v>233</v>
      </c>
      <c r="G35" s="14"/>
      <c r="H35" s="816" t="s">
        <v>433</v>
      </c>
    </row>
    <row r="36" spans="1:8" x14ac:dyDescent="0.25">
      <c r="A36" t="s">
        <v>359</v>
      </c>
      <c r="B36" s="111">
        <f>C18</f>
        <v>1</v>
      </c>
      <c r="C36" s="707">
        <f>C19</f>
        <v>494</v>
      </c>
      <c r="E36" s="365">
        <f>B36*C36</f>
        <v>494</v>
      </c>
      <c r="F36" s="296">
        <f>E36/$E$37*100</f>
        <v>100</v>
      </c>
      <c r="G36" s="14"/>
      <c r="H36" s="817">
        <f>F36</f>
        <v>100</v>
      </c>
    </row>
    <row r="37" spans="1:8" x14ac:dyDescent="0.25">
      <c r="A37" s="2" t="s">
        <v>13</v>
      </c>
      <c r="E37" s="293">
        <f>SUM(E36:E36)</f>
        <v>494</v>
      </c>
      <c r="F37" s="299">
        <f>SUM(F36:F36)</f>
        <v>100</v>
      </c>
    </row>
    <row r="38" spans="1:8" ht="62.25" customHeight="1" x14ac:dyDescent="0.25">
      <c r="H38" s="423" t="s">
        <v>1520</v>
      </c>
    </row>
    <row r="39" spans="1:8" ht="39.6" x14ac:dyDescent="0.25">
      <c r="G39" s="802" t="s">
        <v>414</v>
      </c>
      <c r="H39" s="817">
        <f>($E$36*100)/($E$24+$E$25+$E26+$E$32+$E$36)</f>
        <v>100</v>
      </c>
    </row>
    <row r="40" spans="1:8" x14ac:dyDescent="0.25">
      <c r="H40" s="2"/>
    </row>
  </sheetData>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heetViews>
  <sheetFormatPr defaultRowHeight="13.2" x14ac:dyDescent="0.25"/>
  <cols>
    <col min="1" max="1" width="46.6640625" customWidth="1"/>
    <col min="2" max="2" width="12.33203125" customWidth="1"/>
    <col min="3" max="3" width="11.44140625" customWidth="1"/>
    <col min="5" max="5" width="20.44140625" customWidth="1"/>
    <col min="6" max="6" width="33.33203125" customWidth="1"/>
    <col min="7" max="7" width="35.6640625" customWidth="1"/>
  </cols>
  <sheetData>
    <row r="1" spans="1:6" x14ac:dyDescent="0.25">
      <c r="A1" s="2" t="s">
        <v>407</v>
      </c>
      <c r="B1" s="43"/>
    </row>
    <row r="2" spans="1:6" x14ac:dyDescent="0.25">
      <c r="A2" s="2" t="s">
        <v>239</v>
      </c>
      <c r="B2" s="43" t="s">
        <v>1422</v>
      </c>
    </row>
    <row r="3" spans="1:6" x14ac:dyDescent="0.25">
      <c r="A3" s="2" t="s">
        <v>240</v>
      </c>
      <c r="B3" s="42">
        <v>2010</v>
      </c>
    </row>
    <row r="4" spans="1:6" x14ac:dyDescent="0.25">
      <c r="A4" s="3"/>
      <c r="B4" s="42"/>
    </row>
    <row r="5" spans="1:6" x14ac:dyDescent="0.25">
      <c r="A5" s="447" t="s">
        <v>415</v>
      </c>
      <c r="B5" s="103"/>
      <c r="C5" s="104"/>
    </row>
    <row r="6" spans="1:6" x14ac:dyDescent="0.25">
      <c r="A6" s="1075" t="s">
        <v>1946</v>
      </c>
      <c r="B6" s="295" t="s">
        <v>620</v>
      </c>
      <c r="C6" s="297">
        <f>Unitflowchart!S199/Unitflowchart!S320</f>
        <v>17.802484778252424</v>
      </c>
    </row>
    <row r="7" spans="1:6" x14ac:dyDescent="0.25">
      <c r="A7" s="1075" t="s">
        <v>1925</v>
      </c>
      <c r="B7" s="295" t="s">
        <v>620</v>
      </c>
      <c r="C7" s="297">
        <f>IF(Unitflowchart!N209=1,0,(Unitflowchart!N199/Unitflowchart!S320))</f>
        <v>0</v>
      </c>
    </row>
    <row r="8" spans="1:6" x14ac:dyDescent="0.25">
      <c r="A8" s="1075" t="s">
        <v>1939</v>
      </c>
      <c r="B8" s="295" t="s">
        <v>620</v>
      </c>
      <c r="C8" s="297">
        <f>Unitflowchart!W199/Unitflowchart!S320</f>
        <v>0</v>
      </c>
    </row>
    <row r="9" spans="1:6" x14ac:dyDescent="0.25">
      <c r="A9" s="1075" t="s">
        <v>1934</v>
      </c>
      <c r="B9" s="1075" t="s">
        <v>620</v>
      </c>
      <c r="C9" s="297">
        <f>Unitflowchart!AA199/Unitflowchart!S320</f>
        <v>0</v>
      </c>
    </row>
    <row r="10" spans="1:6" x14ac:dyDescent="0.25">
      <c r="A10" s="1075" t="s">
        <v>1929</v>
      </c>
      <c r="B10" s="295" t="s">
        <v>620</v>
      </c>
      <c r="C10" s="297">
        <f>Unitflowchart!S254/Unitflowchart!S320</f>
        <v>1.0060362173038229</v>
      </c>
    </row>
    <row r="11" spans="1:6" x14ac:dyDescent="0.25">
      <c r="A11" s="1075" t="s">
        <v>1942</v>
      </c>
      <c r="B11" s="295" t="s">
        <v>620</v>
      </c>
      <c r="C11" s="297">
        <f>Unitflowchart!AG254/Unitflowchart!S320</f>
        <v>0</v>
      </c>
    </row>
    <row r="12" spans="1:6" x14ac:dyDescent="0.25">
      <c r="A12" s="105" t="s">
        <v>1931</v>
      </c>
      <c r="B12" s="295" t="s">
        <v>620</v>
      </c>
      <c r="C12" s="297">
        <f>Unitflowchart!S312/Unitflowchart!S320</f>
        <v>1</v>
      </c>
    </row>
    <row r="13" spans="1:6" x14ac:dyDescent="0.25">
      <c r="A13" s="354"/>
      <c r="B13" s="354"/>
      <c r="C13" s="354"/>
    </row>
    <row r="14" spans="1:6" x14ac:dyDescent="0.25">
      <c r="A14" s="2"/>
      <c r="B14" s="14"/>
      <c r="D14" s="300"/>
      <c r="E14" s="14"/>
      <c r="F14" s="14"/>
    </row>
    <row r="15" spans="1:6" ht="26.4" x14ac:dyDescent="0.25">
      <c r="A15" s="2" t="s">
        <v>232</v>
      </c>
      <c r="B15" s="298" t="s">
        <v>948</v>
      </c>
      <c r="C15" s="301"/>
      <c r="D15" s="298" t="s">
        <v>233</v>
      </c>
      <c r="E15" s="14"/>
      <c r="F15" s="422" t="s">
        <v>433</v>
      </c>
    </row>
    <row r="16" spans="1:6" x14ac:dyDescent="0.25">
      <c r="A16" s="979" t="s">
        <v>1428</v>
      </c>
      <c r="B16" s="111">
        <f>C6</f>
        <v>17.802484778252424</v>
      </c>
      <c r="C16" s="301"/>
      <c r="D16" s="296">
        <f>B16/B$20*100</f>
        <v>100</v>
      </c>
      <c r="E16" s="14"/>
      <c r="F16" s="803">
        <f>($D$16*F24)/100</f>
        <v>100</v>
      </c>
    </row>
    <row r="17" spans="1:6" x14ac:dyDescent="0.25">
      <c r="A17" s="3" t="s">
        <v>860</v>
      </c>
      <c r="B17" s="111">
        <f>C7</f>
        <v>0</v>
      </c>
      <c r="D17" s="296">
        <f>B17/B$20*100</f>
        <v>0</v>
      </c>
      <c r="E17" s="14"/>
      <c r="F17" s="820"/>
    </row>
    <row r="18" spans="1:6" x14ac:dyDescent="0.25">
      <c r="A18" s="3" t="s">
        <v>969</v>
      </c>
      <c r="B18" s="111">
        <f>C8</f>
        <v>0</v>
      </c>
      <c r="D18" s="296">
        <f>B18/B$20*100</f>
        <v>0</v>
      </c>
      <c r="E18" s="14"/>
      <c r="F18" s="14"/>
    </row>
    <row r="19" spans="1:6" x14ac:dyDescent="0.25">
      <c r="A19" s="923" t="s">
        <v>1936</v>
      </c>
      <c r="B19" s="111">
        <f>C9</f>
        <v>0</v>
      </c>
      <c r="D19" s="296">
        <f>B19/B$20*100</f>
        <v>0</v>
      </c>
      <c r="E19" s="14"/>
      <c r="F19" s="14"/>
    </row>
    <row r="20" spans="1:6" x14ac:dyDescent="0.25">
      <c r="A20" s="2" t="s">
        <v>13</v>
      </c>
      <c r="B20" s="299">
        <f>SUM(B16:B19)</f>
        <v>17.802484778252424</v>
      </c>
      <c r="D20" s="299">
        <f>SUM(D16:D19)</f>
        <v>100</v>
      </c>
      <c r="E20" s="14"/>
      <c r="F20" s="14"/>
    </row>
    <row r="21" spans="1:6" x14ac:dyDescent="0.25">
      <c r="A21" s="2"/>
      <c r="B21" s="14"/>
      <c r="D21" s="300"/>
      <c r="E21" s="14"/>
      <c r="F21" s="14"/>
    </row>
    <row r="22" spans="1:6" x14ac:dyDescent="0.25">
      <c r="A22" s="2"/>
      <c r="B22" s="14"/>
      <c r="D22" s="300"/>
      <c r="E22" s="14"/>
      <c r="F22" s="14"/>
    </row>
    <row r="23" spans="1:6" ht="26.4" x14ac:dyDescent="0.25">
      <c r="A23" s="2" t="s">
        <v>232</v>
      </c>
      <c r="B23" s="298" t="s">
        <v>948</v>
      </c>
      <c r="C23" s="301"/>
      <c r="D23" s="298" t="s">
        <v>233</v>
      </c>
      <c r="E23" s="14"/>
      <c r="F23" s="422" t="s">
        <v>433</v>
      </c>
    </row>
    <row r="24" spans="1:6" x14ac:dyDescent="0.25">
      <c r="A24" s="923" t="s">
        <v>1596</v>
      </c>
      <c r="B24" s="111">
        <f>C10</f>
        <v>1.0060362173038229</v>
      </c>
      <c r="D24" s="296">
        <f>B24/B$26*100</f>
        <v>100</v>
      </c>
      <c r="E24" s="14"/>
      <c r="F24" s="803">
        <f>(D24*F29)/100</f>
        <v>100</v>
      </c>
    </row>
    <row r="25" spans="1:6" x14ac:dyDescent="0.25">
      <c r="A25" s="3" t="s">
        <v>40</v>
      </c>
      <c r="B25" s="111">
        <f>C11</f>
        <v>0</v>
      </c>
      <c r="C25" s="43"/>
      <c r="D25" s="296">
        <f>B25/B$26*100</f>
        <v>0</v>
      </c>
      <c r="E25" s="14"/>
      <c r="F25" s="14"/>
    </row>
    <row r="26" spans="1:6" x14ac:dyDescent="0.25">
      <c r="A26" s="2" t="s">
        <v>13</v>
      </c>
      <c r="B26" s="299">
        <f>SUM(B24:B25)</f>
        <v>1.0060362173038229</v>
      </c>
      <c r="D26" s="299">
        <f>SUM(D24:D25)</f>
        <v>100</v>
      </c>
      <c r="E26" s="14"/>
      <c r="F26" s="14"/>
    </row>
    <row r="27" spans="1:6" x14ac:dyDescent="0.25">
      <c r="B27" s="14"/>
      <c r="D27" s="14"/>
      <c r="E27" s="14"/>
      <c r="F27" s="14"/>
    </row>
    <row r="28" spans="1:6" ht="24.75" customHeight="1" x14ac:dyDescent="0.25">
      <c r="A28" s="2" t="s">
        <v>232</v>
      </c>
      <c r="B28" s="298" t="s">
        <v>948</v>
      </c>
      <c r="D28" s="298" t="s">
        <v>233</v>
      </c>
      <c r="E28" s="14"/>
      <c r="F28" s="422" t="s">
        <v>433</v>
      </c>
    </row>
    <row r="29" spans="1:6" x14ac:dyDescent="0.25">
      <c r="A29" t="s">
        <v>359</v>
      </c>
      <c r="B29" s="111">
        <f>C12</f>
        <v>1</v>
      </c>
      <c r="D29" s="296">
        <f>B29/B30*100</f>
        <v>100</v>
      </c>
      <c r="E29" s="14"/>
      <c r="F29" s="803">
        <f>D29</f>
        <v>100</v>
      </c>
    </row>
    <row r="30" spans="1:6" x14ac:dyDescent="0.25">
      <c r="A30" s="2" t="s">
        <v>13</v>
      </c>
      <c r="B30" s="299">
        <f>SUM(B29:B29)</f>
        <v>1</v>
      </c>
      <c r="D30" s="299">
        <f>SUM(D29:D29)</f>
        <v>100</v>
      </c>
    </row>
    <row r="32" spans="1:6" ht="69" customHeight="1" x14ac:dyDescent="0.25">
      <c r="F32" s="423" t="s">
        <v>1520</v>
      </c>
    </row>
    <row r="33" spans="5:6" ht="52.8" x14ac:dyDescent="0.25">
      <c r="E33" s="802" t="s">
        <v>414</v>
      </c>
      <c r="F33" s="804">
        <f>($B$29*100)/($B$17+$B$18+$B19+$B$25+$B$29)</f>
        <v>100</v>
      </c>
    </row>
  </sheetData>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workbookViewId="0"/>
  </sheetViews>
  <sheetFormatPr defaultRowHeight="13.2" x14ac:dyDescent="0.25"/>
  <cols>
    <col min="1" max="1" width="51.5546875" customWidth="1"/>
    <col min="2" max="2" width="19" customWidth="1"/>
    <col min="3" max="3" width="31" customWidth="1"/>
    <col min="4" max="4" width="22" customWidth="1"/>
  </cols>
  <sheetData>
    <row r="1" spans="1:5" x14ac:dyDescent="0.25">
      <c r="A1" s="2" t="s">
        <v>409</v>
      </c>
      <c r="B1" s="43"/>
    </row>
    <row r="2" spans="1:5" x14ac:dyDescent="0.25">
      <c r="A2" s="2" t="s">
        <v>239</v>
      </c>
      <c r="B2" s="1009" t="s">
        <v>1422</v>
      </c>
    </row>
    <row r="3" spans="1:5" x14ac:dyDescent="0.25">
      <c r="A3" s="2" t="s">
        <v>240</v>
      </c>
      <c r="B3" s="42">
        <v>2010</v>
      </c>
    </row>
    <row r="4" spans="1:5" x14ac:dyDescent="0.25">
      <c r="A4" s="3"/>
      <c r="B4" s="42"/>
    </row>
    <row r="5" spans="1:5" x14ac:dyDescent="0.25">
      <c r="A5" s="447" t="s">
        <v>415</v>
      </c>
      <c r="B5" s="103"/>
      <c r="C5" s="104"/>
    </row>
    <row r="6" spans="1:5" x14ac:dyDescent="0.25">
      <c r="A6" s="925" t="s">
        <v>1925</v>
      </c>
      <c r="B6" s="295" t="s">
        <v>620</v>
      </c>
      <c r="C6" s="1534">
        <f>IF(Unitflowchart!N209=1,0,(Unitflowchart!N199/Unitflowchart!S320))</f>
        <v>0</v>
      </c>
    </row>
    <row r="7" spans="1:5" ht="15.6" x14ac:dyDescent="0.35">
      <c r="A7" s="925" t="s">
        <v>1947</v>
      </c>
      <c r="B7" s="295" t="s">
        <v>965</v>
      </c>
      <c r="C7" s="214">
        <f>Unitflowchart!N207</f>
        <v>0.2637799999999999</v>
      </c>
    </row>
    <row r="8" spans="1:5" x14ac:dyDescent="0.25">
      <c r="A8" s="925" t="s">
        <v>1927</v>
      </c>
      <c r="B8" s="295" t="s">
        <v>620</v>
      </c>
      <c r="C8" s="1534">
        <f>Unitflowchart!D199/Unitflowchart!S320</f>
        <v>0</v>
      </c>
    </row>
    <row r="9" spans="1:5" ht="15.6" x14ac:dyDescent="0.35">
      <c r="A9" s="925" t="s">
        <v>1950</v>
      </c>
      <c r="B9" s="295" t="s">
        <v>965</v>
      </c>
      <c r="C9" s="214">
        <f>Unitflowchart!D205</f>
        <v>0</v>
      </c>
    </row>
    <row r="10" spans="1:5" x14ac:dyDescent="0.25">
      <c r="A10" s="925" t="s">
        <v>1934</v>
      </c>
      <c r="B10" s="295" t="s">
        <v>620</v>
      </c>
      <c r="C10" s="682">
        <f>Unitflowchart!AA199/Unitflowchart!S320</f>
        <v>0</v>
      </c>
    </row>
    <row r="11" spans="1:5" ht="15.6" x14ac:dyDescent="0.35">
      <c r="A11" s="925" t="s">
        <v>1949</v>
      </c>
      <c r="B11" s="295" t="s">
        <v>965</v>
      </c>
      <c r="C11" s="148">
        <f>Unitflowchart!AA205</f>
        <v>4780</v>
      </c>
    </row>
    <row r="12" spans="1:5" x14ac:dyDescent="0.25">
      <c r="A12" s="925" t="s">
        <v>1942</v>
      </c>
      <c r="B12" s="295" t="s">
        <v>620</v>
      </c>
      <c r="C12" s="1534">
        <f>Unitflowchart!AG254/Unitflowchart!S320</f>
        <v>0</v>
      </c>
    </row>
    <row r="13" spans="1:5" ht="15.6" x14ac:dyDescent="0.35">
      <c r="A13" s="925" t="s">
        <v>1948</v>
      </c>
      <c r="B13" s="295" t="s">
        <v>965</v>
      </c>
      <c r="C13" s="148">
        <f>Unitflowchart!AG258</f>
        <v>3932</v>
      </c>
    </row>
    <row r="14" spans="1:5" x14ac:dyDescent="0.25">
      <c r="A14" s="354"/>
      <c r="B14" s="354"/>
      <c r="C14" s="354"/>
    </row>
    <row r="15" spans="1:5" x14ac:dyDescent="0.25">
      <c r="A15" s="2"/>
      <c r="B15" s="824"/>
      <c r="C15" s="824"/>
      <c r="D15" s="820"/>
      <c r="E15" s="14"/>
    </row>
    <row r="16" spans="1:5" ht="15.6" x14ac:dyDescent="0.35">
      <c r="A16" s="2" t="s">
        <v>232</v>
      </c>
      <c r="B16" s="821" t="s">
        <v>934</v>
      </c>
      <c r="C16" s="821" t="s">
        <v>966</v>
      </c>
      <c r="D16" s="821" t="s">
        <v>967</v>
      </c>
      <c r="E16" s="14"/>
    </row>
    <row r="17" spans="1:5" x14ac:dyDescent="0.25">
      <c r="A17" s="3" t="s">
        <v>968</v>
      </c>
      <c r="B17" s="822">
        <f>C6</f>
        <v>0</v>
      </c>
      <c r="C17" s="823">
        <f>C7</f>
        <v>0.2637799999999999</v>
      </c>
      <c r="D17" s="825">
        <f>B17*C17</f>
        <v>0</v>
      </c>
      <c r="E17" s="14"/>
    </row>
    <row r="18" spans="1:5" x14ac:dyDescent="0.25">
      <c r="A18" s="923" t="s">
        <v>969</v>
      </c>
      <c r="B18" s="822">
        <f>C8</f>
        <v>0</v>
      </c>
      <c r="C18" s="823">
        <f>C9</f>
        <v>0</v>
      </c>
      <c r="D18" s="825">
        <f>B18*C18</f>
        <v>0</v>
      </c>
      <c r="E18" s="14"/>
    </row>
    <row r="19" spans="1:5" x14ac:dyDescent="0.25">
      <c r="A19" s="2" t="s">
        <v>1936</v>
      </c>
      <c r="B19" s="1536">
        <f>C10</f>
        <v>0</v>
      </c>
      <c r="C19" s="1537">
        <f>C11</f>
        <v>4780</v>
      </c>
      <c r="D19" s="1538">
        <f>B19*C19</f>
        <v>0</v>
      </c>
      <c r="E19" s="14"/>
    </row>
    <row r="20" spans="1:5" x14ac:dyDescent="0.25">
      <c r="A20" s="2"/>
      <c r="B20" s="824"/>
      <c r="C20" s="824"/>
      <c r="D20" s="820"/>
      <c r="E20" s="14"/>
    </row>
    <row r="21" spans="1:5" ht="15.6" x14ac:dyDescent="0.35">
      <c r="A21" s="2" t="s">
        <v>232</v>
      </c>
      <c r="B21" s="821" t="s">
        <v>934</v>
      </c>
      <c r="C21" s="821" t="s">
        <v>966</v>
      </c>
      <c r="D21" s="821" t="s">
        <v>967</v>
      </c>
      <c r="E21" s="14"/>
    </row>
    <row r="22" spans="1:5" x14ac:dyDescent="0.25">
      <c r="A22" s="3" t="s">
        <v>40</v>
      </c>
      <c r="B22" s="822">
        <f>C12</f>
        <v>0</v>
      </c>
      <c r="C22" s="823">
        <f>C13</f>
        <v>3932</v>
      </c>
      <c r="D22" s="825">
        <f>B22*C22</f>
        <v>0</v>
      </c>
      <c r="E22"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heetViews>
  <sheetFormatPr defaultRowHeight="13.2" x14ac:dyDescent="0.25"/>
  <cols>
    <col min="1" max="1" width="73.109375" customWidth="1"/>
    <col min="2" max="2" width="42.5546875" customWidth="1"/>
  </cols>
  <sheetData>
    <row r="1" spans="1:3" x14ac:dyDescent="0.25">
      <c r="A1" s="2" t="s">
        <v>255</v>
      </c>
    </row>
    <row r="3" spans="1:3" x14ac:dyDescent="0.25">
      <c r="A3" s="447" t="s">
        <v>415</v>
      </c>
      <c r="B3" s="104"/>
    </row>
    <row r="4" spans="1:3" x14ac:dyDescent="0.25">
      <c r="A4" s="106" t="s">
        <v>348</v>
      </c>
      <c r="B4" s="294" t="str">
        <f>method</f>
        <v>Renewable Energy Directive</v>
      </c>
    </row>
    <row r="6" spans="1:3" ht="15.6" x14ac:dyDescent="0.35">
      <c r="A6" t="s">
        <v>350</v>
      </c>
      <c r="B6" t="s">
        <v>351</v>
      </c>
      <c r="C6" t="s">
        <v>352</v>
      </c>
    </row>
    <row r="8" spans="1:3" x14ac:dyDescent="0.25">
      <c r="A8" s="3" t="s">
        <v>356</v>
      </c>
      <c r="B8">
        <v>23</v>
      </c>
      <c r="C8">
        <v>296</v>
      </c>
    </row>
    <row r="9" spans="1:3" x14ac:dyDescent="0.25">
      <c r="A9" s="3" t="s">
        <v>357</v>
      </c>
      <c r="B9">
        <v>25</v>
      </c>
      <c r="C9">
        <v>298</v>
      </c>
    </row>
    <row r="11" spans="1:3" x14ac:dyDescent="0.25">
      <c r="A11" s="2" t="s">
        <v>353</v>
      </c>
      <c r="B11" s="293">
        <f>IF($B$4="PAS 2050",B9,B8)</f>
        <v>23</v>
      </c>
      <c r="C11" s="293">
        <f>IF($B$4="PAS 2050",C9,C8)</f>
        <v>296</v>
      </c>
    </row>
  </sheetData>
  <phoneticPr fontId="0" type="noConversion"/>
  <pageMargins left="0.75" right="0.75" top="1" bottom="1" header="0.5" footer="0.5"/>
  <pageSetup paperSize="9"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1"/>
  <sheetViews>
    <sheetView workbookViewId="0">
      <pane xSplit="1" ySplit="20" topLeftCell="B21" activePane="bottomRight" state="frozen"/>
      <selection pane="topRight" activeCell="B1" sqref="B1"/>
      <selection pane="bottomLeft" activeCell="A21" sqref="A21"/>
      <selection pane="bottomRight"/>
    </sheetView>
  </sheetViews>
  <sheetFormatPr defaultRowHeight="13.2" x14ac:dyDescent="0.25"/>
  <cols>
    <col min="1" max="1" width="37.44140625" customWidth="1"/>
    <col min="2" max="2" width="14.5546875" customWidth="1"/>
    <col min="3" max="3" width="9.5546875" bestFit="1" customWidth="1"/>
    <col min="7" max="7" width="8" customWidth="1"/>
    <col min="11" max="11" width="11.33203125" customWidth="1"/>
    <col min="12" max="12" width="10.6640625" customWidth="1"/>
    <col min="16" max="16" width="10.109375" customWidth="1"/>
    <col min="17" max="17" width="9.33203125" customWidth="1"/>
    <col min="18" max="18" width="10.33203125" customWidth="1"/>
    <col min="19" max="19" width="12" bestFit="1" customWidth="1"/>
    <col min="20" max="20" width="10" bestFit="1" customWidth="1"/>
    <col min="21" max="21" width="10" customWidth="1"/>
    <col min="22" max="22" width="13.33203125" customWidth="1"/>
    <col min="23" max="23" width="16" customWidth="1"/>
    <col min="24" max="24" width="10.33203125" customWidth="1"/>
    <col min="25" max="25" width="12" bestFit="1" customWidth="1"/>
    <col min="26" max="26" width="11" bestFit="1" customWidth="1"/>
    <col min="28" max="28" width="17.109375" customWidth="1"/>
    <col min="29" max="29" width="16.109375" customWidth="1"/>
    <col min="257" max="257" width="37.44140625" customWidth="1"/>
    <col min="258" max="258" width="14.5546875" customWidth="1"/>
    <col min="259" max="259" width="9.5546875" bestFit="1" customWidth="1"/>
    <col min="263" max="263" width="8" customWidth="1"/>
    <col min="267" max="267" width="11.33203125" customWidth="1"/>
    <col min="268" max="268" width="10.6640625" customWidth="1"/>
    <col min="272" max="272" width="10.109375" customWidth="1"/>
    <col min="273" max="273" width="9.33203125" customWidth="1"/>
    <col min="274" max="274" width="10.33203125" customWidth="1"/>
    <col min="275" max="275" width="12" bestFit="1" customWidth="1"/>
    <col min="276" max="276" width="10" bestFit="1" customWidth="1"/>
    <col min="277" max="277" width="10" customWidth="1"/>
    <col min="278" max="278" width="13.33203125" customWidth="1"/>
    <col min="279" max="279" width="16" customWidth="1"/>
    <col min="280" max="280" width="10.33203125" customWidth="1"/>
    <col min="281" max="281" width="12" bestFit="1" customWidth="1"/>
    <col min="282" max="282" width="11" bestFit="1" customWidth="1"/>
    <col min="284" max="284" width="17.109375" customWidth="1"/>
    <col min="285" max="285" width="16.109375" customWidth="1"/>
    <col min="513" max="513" width="37.44140625" customWidth="1"/>
    <col min="514" max="514" width="14.5546875" customWidth="1"/>
    <col min="515" max="515" width="9.5546875" bestFit="1" customWidth="1"/>
    <col min="519" max="519" width="8" customWidth="1"/>
    <col min="523" max="523" width="11.33203125" customWidth="1"/>
    <col min="524" max="524" width="10.6640625" customWidth="1"/>
    <col min="528" max="528" width="10.109375" customWidth="1"/>
    <col min="529" max="529" width="9.33203125" customWidth="1"/>
    <col min="530" max="530" width="10.33203125" customWidth="1"/>
    <col min="531" max="531" width="12" bestFit="1" customWidth="1"/>
    <col min="532" max="532" width="10" bestFit="1" customWidth="1"/>
    <col min="533" max="533" width="10" customWidth="1"/>
    <col min="534" max="534" width="13.33203125" customWidth="1"/>
    <col min="535" max="535" width="16" customWidth="1"/>
    <col min="536" max="536" width="10.33203125" customWidth="1"/>
    <col min="537" max="537" width="12" bestFit="1" customWidth="1"/>
    <col min="538" max="538" width="11" bestFit="1" customWidth="1"/>
    <col min="540" max="540" width="17.109375" customWidth="1"/>
    <col min="541" max="541" width="16.109375" customWidth="1"/>
    <col min="769" max="769" width="37.44140625" customWidth="1"/>
    <col min="770" max="770" width="14.5546875" customWidth="1"/>
    <col min="771" max="771" width="9.5546875" bestFit="1" customWidth="1"/>
    <col min="775" max="775" width="8" customWidth="1"/>
    <col min="779" max="779" width="11.33203125" customWidth="1"/>
    <col min="780" max="780" width="10.6640625" customWidth="1"/>
    <col min="784" max="784" width="10.109375" customWidth="1"/>
    <col min="785" max="785" width="9.33203125" customWidth="1"/>
    <col min="786" max="786" width="10.33203125" customWidth="1"/>
    <col min="787" max="787" width="12" bestFit="1" customWidth="1"/>
    <col min="788" max="788" width="10" bestFit="1" customWidth="1"/>
    <col min="789" max="789" width="10" customWidth="1"/>
    <col min="790" max="790" width="13.33203125" customWidth="1"/>
    <col min="791" max="791" width="16" customWidth="1"/>
    <col min="792" max="792" width="10.33203125" customWidth="1"/>
    <col min="793" max="793" width="12" bestFit="1" customWidth="1"/>
    <col min="794" max="794" width="11" bestFit="1" customWidth="1"/>
    <col min="796" max="796" width="17.109375" customWidth="1"/>
    <col min="797" max="797" width="16.109375" customWidth="1"/>
    <col min="1025" max="1025" width="37.44140625" customWidth="1"/>
    <col min="1026" max="1026" width="14.5546875" customWidth="1"/>
    <col min="1027" max="1027" width="9.5546875" bestFit="1" customWidth="1"/>
    <col min="1031" max="1031" width="8" customWidth="1"/>
    <col min="1035" max="1035" width="11.33203125" customWidth="1"/>
    <col min="1036" max="1036" width="10.6640625" customWidth="1"/>
    <col min="1040" max="1040" width="10.109375" customWidth="1"/>
    <col min="1041" max="1041" width="9.33203125" customWidth="1"/>
    <col min="1042" max="1042" width="10.33203125" customWidth="1"/>
    <col min="1043" max="1043" width="12" bestFit="1" customWidth="1"/>
    <col min="1044" max="1044" width="10" bestFit="1" customWidth="1"/>
    <col min="1045" max="1045" width="10" customWidth="1"/>
    <col min="1046" max="1046" width="13.33203125" customWidth="1"/>
    <col min="1047" max="1047" width="16" customWidth="1"/>
    <col min="1048" max="1048" width="10.33203125" customWidth="1"/>
    <col min="1049" max="1049" width="12" bestFit="1" customWidth="1"/>
    <col min="1050" max="1050" width="11" bestFit="1" customWidth="1"/>
    <col min="1052" max="1052" width="17.109375" customWidth="1"/>
    <col min="1053" max="1053" width="16.109375" customWidth="1"/>
    <col min="1281" max="1281" width="37.44140625" customWidth="1"/>
    <col min="1282" max="1282" width="14.5546875" customWidth="1"/>
    <col min="1283" max="1283" width="9.5546875" bestFit="1" customWidth="1"/>
    <col min="1287" max="1287" width="8" customWidth="1"/>
    <col min="1291" max="1291" width="11.33203125" customWidth="1"/>
    <col min="1292" max="1292" width="10.6640625" customWidth="1"/>
    <col min="1296" max="1296" width="10.109375" customWidth="1"/>
    <col min="1297" max="1297" width="9.33203125" customWidth="1"/>
    <col min="1298" max="1298" width="10.33203125" customWidth="1"/>
    <col min="1299" max="1299" width="12" bestFit="1" customWidth="1"/>
    <col min="1300" max="1300" width="10" bestFit="1" customWidth="1"/>
    <col min="1301" max="1301" width="10" customWidth="1"/>
    <col min="1302" max="1302" width="13.33203125" customWidth="1"/>
    <col min="1303" max="1303" width="16" customWidth="1"/>
    <col min="1304" max="1304" width="10.33203125" customWidth="1"/>
    <col min="1305" max="1305" width="12" bestFit="1" customWidth="1"/>
    <col min="1306" max="1306" width="11" bestFit="1" customWidth="1"/>
    <col min="1308" max="1308" width="17.109375" customWidth="1"/>
    <col min="1309" max="1309" width="16.109375" customWidth="1"/>
    <col min="1537" max="1537" width="37.44140625" customWidth="1"/>
    <col min="1538" max="1538" width="14.5546875" customWidth="1"/>
    <col min="1539" max="1539" width="9.5546875" bestFit="1" customWidth="1"/>
    <col min="1543" max="1543" width="8" customWidth="1"/>
    <col min="1547" max="1547" width="11.33203125" customWidth="1"/>
    <col min="1548" max="1548" width="10.6640625" customWidth="1"/>
    <col min="1552" max="1552" width="10.109375" customWidth="1"/>
    <col min="1553" max="1553" width="9.33203125" customWidth="1"/>
    <col min="1554" max="1554" width="10.33203125" customWidth="1"/>
    <col min="1555" max="1555" width="12" bestFit="1" customWidth="1"/>
    <col min="1556" max="1556" width="10" bestFit="1" customWidth="1"/>
    <col min="1557" max="1557" width="10" customWidth="1"/>
    <col min="1558" max="1558" width="13.33203125" customWidth="1"/>
    <col min="1559" max="1559" width="16" customWidth="1"/>
    <col min="1560" max="1560" width="10.33203125" customWidth="1"/>
    <col min="1561" max="1561" width="12" bestFit="1" customWidth="1"/>
    <col min="1562" max="1562" width="11" bestFit="1" customWidth="1"/>
    <col min="1564" max="1564" width="17.109375" customWidth="1"/>
    <col min="1565" max="1565" width="16.109375" customWidth="1"/>
    <col min="1793" max="1793" width="37.44140625" customWidth="1"/>
    <col min="1794" max="1794" width="14.5546875" customWidth="1"/>
    <col min="1795" max="1795" width="9.5546875" bestFit="1" customWidth="1"/>
    <col min="1799" max="1799" width="8" customWidth="1"/>
    <col min="1803" max="1803" width="11.33203125" customWidth="1"/>
    <col min="1804" max="1804" width="10.6640625" customWidth="1"/>
    <col min="1808" max="1808" width="10.109375" customWidth="1"/>
    <col min="1809" max="1809" width="9.33203125" customWidth="1"/>
    <col min="1810" max="1810" width="10.33203125" customWidth="1"/>
    <col min="1811" max="1811" width="12" bestFit="1" customWidth="1"/>
    <col min="1812" max="1812" width="10" bestFit="1" customWidth="1"/>
    <col min="1813" max="1813" width="10" customWidth="1"/>
    <col min="1814" max="1814" width="13.33203125" customWidth="1"/>
    <col min="1815" max="1815" width="16" customWidth="1"/>
    <col min="1816" max="1816" width="10.33203125" customWidth="1"/>
    <col min="1817" max="1817" width="12" bestFit="1" customWidth="1"/>
    <col min="1818" max="1818" width="11" bestFit="1" customWidth="1"/>
    <col min="1820" max="1820" width="17.109375" customWidth="1"/>
    <col min="1821" max="1821" width="16.109375" customWidth="1"/>
    <col min="2049" max="2049" width="37.44140625" customWidth="1"/>
    <col min="2050" max="2050" width="14.5546875" customWidth="1"/>
    <col min="2051" max="2051" width="9.5546875" bestFit="1" customWidth="1"/>
    <col min="2055" max="2055" width="8" customWidth="1"/>
    <col min="2059" max="2059" width="11.33203125" customWidth="1"/>
    <col min="2060" max="2060" width="10.6640625" customWidth="1"/>
    <col min="2064" max="2064" width="10.109375" customWidth="1"/>
    <col min="2065" max="2065" width="9.33203125" customWidth="1"/>
    <col min="2066" max="2066" width="10.33203125" customWidth="1"/>
    <col min="2067" max="2067" width="12" bestFit="1" customWidth="1"/>
    <col min="2068" max="2068" width="10" bestFit="1" customWidth="1"/>
    <col min="2069" max="2069" width="10" customWidth="1"/>
    <col min="2070" max="2070" width="13.33203125" customWidth="1"/>
    <col min="2071" max="2071" width="16" customWidth="1"/>
    <col min="2072" max="2072" width="10.33203125" customWidth="1"/>
    <col min="2073" max="2073" width="12" bestFit="1" customWidth="1"/>
    <col min="2074" max="2074" width="11" bestFit="1" customWidth="1"/>
    <col min="2076" max="2076" width="17.109375" customWidth="1"/>
    <col min="2077" max="2077" width="16.109375" customWidth="1"/>
    <col min="2305" max="2305" width="37.44140625" customWidth="1"/>
    <col min="2306" max="2306" width="14.5546875" customWidth="1"/>
    <col min="2307" max="2307" width="9.5546875" bestFit="1" customWidth="1"/>
    <col min="2311" max="2311" width="8" customWidth="1"/>
    <col min="2315" max="2315" width="11.33203125" customWidth="1"/>
    <col min="2316" max="2316" width="10.6640625" customWidth="1"/>
    <col min="2320" max="2320" width="10.109375" customWidth="1"/>
    <col min="2321" max="2321" width="9.33203125" customWidth="1"/>
    <col min="2322" max="2322" width="10.33203125" customWidth="1"/>
    <col min="2323" max="2323" width="12" bestFit="1" customWidth="1"/>
    <col min="2324" max="2324" width="10" bestFit="1" customWidth="1"/>
    <col min="2325" max="2325" width="10" customWidth="1"/>
    <col min="2326" max="2326" width="13.33203125" customWidth="1"/>
    <col min="2327" max="2327" width="16" customWidth="1"/>
    <col min="2328" max="2328" width="10.33203125" customWidth="1"/>
    <col min="2329" max="2329" width="12" bestFit="1" customWidth="1"/>
    <col min="2330" max="2330" width="11" bestFit="1" customWidth="1"/>
    <col min="2332" max="2332" width="17.109375" customWidth="1"/>
    <col min="2333" max="2333" width="16.109375" customWidth="1"/>
    <col min="2561" max="2561" width="37.44140625" customWidth="1"/>
    <col min="2562" max="2562" width="14.5546875" customWidth="1"/>
    <col min="2563" max="2563" width="9.5546875" bestFit="1" customWidth="1"/>
    <col min="2567" max="2567" width="8" customWidth="1"/>
    <col min="2571" max="2571" width="11.33203125" customWidth="1"/>
    <col min="2572" max="2572" width="10.6640625" customWidth="1"/>
    <col min="2576" max="2576" width="10.109375" customWidth="1"/>
    <col min="2577" max="2577" width="9.33203125" customWidth="1"/>
    <col min="2578" max="2578" width="10.33203125" customWidth="1"/>
    <col min="2579" max="2579" width="12" bestFit="1" customWidth="1"/>
    <col min="2580" max="2580" width="10" bestFit="1" customWidth="1"/>
    <col min="2581" max="2581" width="10" customWidth="1"/>
    <col min="2582" max="2582" width="13.33203125" customWidth="1"/>
    <col min="2583" max="2583" width="16" customWidth="1"/>
    <col min="2584" max="2584" width="10.33203125" customWidth="1"/>
    <col min="2585" max="2585" width="12" bestFit="1" customWidth="1"/>
    <col min="2586" max="2586" width="11" bestFit="1" customWidth="1"/>
    <col min="2588" max="2588" width="17.109375" customWidth="1"/>
    <col min="2589" max="2589" width="16.109375" customWidth="1"/>
    <col min="2817" max="2817" width="37.44140625" customWidth="1"/>
    <col min="2818" max="2818" width="14.5546875" customWidth="1"/>
    <col min="2819" max="2819" width="9.5546875" bestFit="1" customWidth="1"/>
    <col min="2823" max="2823" width="8" customWidth="1"/>
    <col min="2827" max="2827" width="11.33203125" customWidth="1"/>
    <col min="2828" max="2828" width="10.6640625" customWidth="1"/>
    <col min="2832" max="2832" width="10.109375" customWidth="1"/>
    <col min="2833" max="2833" width="9.33203125" customWidth="1"/>
    <col min="2834" max="2834" width="10.33203125" customWidth="1"/>
    <col min="2835" max="2835" width="12" bestFit="1" customWidth="1"/>
    <col min="2836" max="2836" width="10" bestFit="1" customWidth="1"/>
    <col min="2837" max="2837" width="10" customWidth="1"/>
    <col min="2838" max="2838" width="13.33203125" customWidth="1"/>
    <col min="2839" max="2839" width="16" customWidth="1"/>
    <col min="2840" max="2840" width="10.33203125" customWidth="1"/>
    <col min="2841" max="2841" width="12" bestFit="1" customWidth="1"/>
    <col min="2842" max="2842" width="11" bestFit="1" customWidth="1"/>
    <col min="2844" max="2844" width="17.109375" customWidth="1"/>
    <col min="2845" max="2845" width="16.109375" customWidth="1"/>
    <col min="3073" max="3073" width="37.44140625" customWidth="1"/>
    <col min="3074" max="3074" width="14.5546875" customWidth="1"/>
    <col min="3075" max="3075" width="9.5546875" bestFit="1" customWidth="1"/>
    <col min="3079" max="3079" width="8" customWidth="1"/>
    <col min="3083" max="3083" width="11.33203125" customWidth="1"/>
    <col min="3084" max="3084" width="10.6640625" customWidth="1"/>
    <col min="3088" max="3088" width="10.109375" customWidth="1"/>
    <col min="3089" max="3089" width="9.33203125" customWidth="1"/>
    <col min="3090" max="3090" width="10.33203125" customWidth="1"/>
    <col min="3091" max="3091" width="12" bestFit="1" customWidth="1"/>
    <col min="3092" max="3092" width="10" bestFit="1" customWidth="1"/>
    <col min="3093" max="3093" width="10" customWidth="1"/>
    <col min="3094" max="3094" width="13.33203125" customWidth="1"/>
    <col min="3095" max="3095" width="16" customWidth="1"/>
    <col min="3096" max="3096" width="10.33203125" customWidth="1"/>
    <col min="3097" max="3097" width="12" bestFit="1" customWidth="1"/>
    <col min="3098" max="3098" width="11" bestFit="1" customWidth="1"/>
    <col min="3100" max="3100" width="17.109375" customWidth="1"/>
    <col min="3101" max="3101" width="16.109375" customWidth="1"/>
    <col min="3329" max="3329" width="37.44140625" customWidth="1"/>
    <col min="3330" max="3330" width="14.5546875" customWidth="1"/>
    <col min="3331" max="3331" width="9.5546875" bestFit="1" customWidth="1"/>
    <col min="3335" max="3335" width="8" customWidth="1"/>
    <col min="3339" max="3339" width="11.33203125" customWidth="1"/>
    <col min="3340" max="3340" width="10.6640625" customWidth="1"/>
    <col min="3344" max="3344" width="10.109375" customWidth="1"/>
    <col min="3345" max="3345" width="9.33203125" customWidth="1"/>
    <col min="3346" max="3346" width="10.33203125" customWidth="1"/>
    <col min="3347" max="3347" width="12" bestFit="1" customWidth="1"/>
    <col min="3348" max="3348" width="10" bestFit="1" customWidth="1"/>
    <col min="3349" max="3349" width="10" customWidth="1"/>
    <col min="3350" max="3350" width="13.33203125" customWidth="1"/>
    <col min="3351" max="3351" width="16" customWidth="1"/>
    <col min="3352" max="3352" width="10.33203125" customWidth="1"/>
    <col min="3353" max="3353" width="12" bestFit="1" customWidth="1"/>
    <col min="3354" max="3354" width="11" bestFit="1" customWidth="1"/>
    <col min="3356" max="3356" width="17.109375" customWidth="1"/>
    <col min="3357" max="3357" width="16.109375" customWidth="1"/>
    <col min="3585" max="3585" width="37.44140625" customWidth="1"/>
    <col min="3586" max="3586" width="14.5546875" customWidth="1"/>
    <col min="3587" max="3587" width="9.5546875" bestFit="1" customWidth="1"/>
    <col min="3591" max="3591" width="8" customWidth="1"/>
    <col min="3595" max="3595" width="11.33203125" customWidth="1"/>
    <col min="3596" max="3596" width="10.6640625" customWidth="1"/>
    <col min="3600" max="3600" width="10.109375" customWidth="1"/>
    <col min="3601" max="3601" width="9.33203125" customWidth="1"/>
    <col min="3602" max="3602" width="10.33203125" customWidth="1"/>
    <col min="3603" max="3603" width="12" bestFit="1" customWidth="1"/>
    <col min="3604" max="3604" width="10" bestFit="1" customWidth="1"/>
    <col min="3605" max="3605" width="10" customWidth="1"/>
    <col min="3606" max="3606" width="13.33203125" customWidth="1"/>
    <col min="3607" max="3607" width="16" customWidth="1"/>
    <col min="3608" max="3608" width="10.33203125" customWidth="1"/>
    <col min="3609" max="3609" width="12" bestFit="1" customWidth="1"/>
    <col min="3610" max="3610" width="11" bestFit="1" customWidth="1"/>
    <col min="3612" max="3612" width="17.109375" customWidth="1"/>
    <col min="3613" max="3613" width="16.109375" customWidth="1"/>
    <col min="3841" max="3841" width="37.44140625" customWidth="1"/>
    <col min="3842" max="3842" width="14.5546875" customWidth="1"/>
    <col min="3843" max="3843" width="9.5546875" bestFit="1" customWidth="1"/>
    <col min="3847" max="3847" width="8" customWidth="1"/>
    <col min="3851" max="3851" width="11.33203125" customWidth="1"/>
    <col min="3852" max="3852" width="10.6640625" customWidth="1"/>
    <col min="3856" max="3856" width="10.109375" customWidth="1"/>
    <col min="3857" max="3857" width="9.33203125" customWidth="1"/>
    <col min="3858" max="3858" width="10.33203125" customWidth="1"/>
    <col min="3859" max="3859" width="12" bestFit="1" customWidth="1"/>
    <col min="3860" max="3860" width="10" bestFit="1" customWidth="1"/>
    <col min="3861" max="3861" width="10" customWidth="1"/>
    <col min="3862" max="3862" width="13.33203125" customWidth="1"/>
    <col min="3863" max="3863" width="16" customWidth="1"/>
    <col min="3864" max="3864" width="10.33203125" customWidth="1"/>
    <col min="3865" max="3865" width="12" bestFit="1" customWidth="1"/>
    <col min="3866" max="3866" width="11" bestFit="1" customWidth="1"/>
    <col min="3868" max="3868" width="17.109375" customWidth="1"/>
    <col min="3869" max="3869" width="16.109375" customWidth="1"/>
    <col min="4097" max="4097" width="37.44140625" customWidth="1"/>
    <col min="4098" max="4098" width="14.5546875" customWidth="1"/>
    <col min="4099" max="4099" width="9.5546875" bestFit="1" customWidth="1"/>
    <col min="4103" max="4103" width="8" customWidth="1"/>
    <col min="4107" max="4107" width="11.33203125" customWidth="1"/>
    <col min="4108" max="4108" width="10.6640625" customWidth="1"/>
    <col min="4112" max="4112" width="10.109375" customWidth="1"/>
    <col min="4113" max="4113" width="9.33203125" customWidth="1"/>
    <col min="4114" max="4114" width="10.33203125" customWidth="1"/>
    <col min="4115" max="4115" width="12" bestFit="1" customWidth="1"/>
    <col min="4116" max="4116" width="10" bestFit="1" customWidth="1"/>
    <col min="4117" max="4117" width="10" customWidth="1"/>
    <col min="4118" max="4118" width="13.33203125" customWidth="1"/>
    <col min="4119" max="4119" width="16" customWidth="1"/>
    <col min="4120" max="4120" width="10.33203125" customWidth="1"/>
    <col min="4121" max="4121" width="12" bestFit="1" customWidth="1"/>
    <col min="4122" max="4122" width="11" bestFit="1" customWidth="1"/>
    <col min="4124" max="4124" width="17.109375" customWidth="1"/>
    <col min="4125" max="4125" width="16.109375" customWidth="1"/>
    <col min="4353" max="4353" width="37.44140625" customWidth="1"/>
    <col min="4354" max="4354" width="14.5546875" customWidth="1"/>
    <col min="4355" max="4355" width="9.5546875" bestFit="1" customWidth="1"/>
    <col min="4359" max="4359" width="8" customWidth="1"/>
    <col min="4363" max="4363" width="11.33203125" customWidth="1"/>
    <col min="4364" max="4364" width="10.6640625" customWidth="1"/>
    <col min="4368" max="4368" width="10.109375" customWidth="1"/>
    <col min="4369" max="4369" width="9.33203125" customWidth="1"/>
    <col min="4370" max="4370" width="10.33203125" customWidth="1"/>
    <col min="4371" max="4371" width="12" bestFit="1" customWidth="1"/>
    <col min="4372" max="4372" width="10" bestFit="1" customWidth="1"/>
    <col min="4373" max="4373" width="10" customWidth="1"/>
    <col min="4374" max="4374" width="13.33203125" customWidth="1"/>
    <col min="4375" max="4375" width="16" customWidth="1"/>
    <col min="4376" max="4376" width="10.33203125" customWidth="1"/>
    <col min="4377" max="4377" width="12" bestFit="1" customWidth="1"/>
    <col min="4378" max="4378" width="11" bestFit="1" customWidth="1"/>
    <col min="4380" max="4380" width="17.109375" customWidth="1"/>
    <col min="4381" max="4381" width="16.109375" customWidth="1"/>
    <col min="4609" max="4609" width="37.44140625" customWidth="1"/>
    <col min="4610" max="4610" width="14.5546875" customWidth="1"/>
    <col min="4611" max="4611" width="9.5546875" bestFit="1" customWidth="1"/>
    <col min="4615" max="4615" width="8" customWidth="1"/>
    <col min="4619" max="4619" width="11.33203125" customWidth="1"/>
    <col min="4620" max="4620" width="10.6640625" customWidth="1"/>
    <col min="4624" max="4624" width="10.109375" customWidth="1"/>
    <col min="4625" max="4625" width="9.33203125" customWidth="1"/>
    <col min="4626" max="4626" width="10.33203125" customWidth="1"/>
    <col min="4627" max="4627" width="12" bestFit="1" customWidth="1"/>
    <col min="4628" max="4628" width="10" bestFit="1" customWidth="1"/>
    <col min="4629" max="4629" width="10" customWidth="1"/>
    <col min="4630" max="4630" width="13.33203125" customWidth="1"/>
    <col min="4631" max="4631" width="16" customWidth="1"/>
    <col min="4632" max="4632" width="10.33203125" customWidth="1"/>
    <col min="4633" max="4633" width="12" bestFit="1" customWidth="1"/>
    <col min="4634" max="4634" width="11" bestFit="1" customWidth="1"/>
    <col min="4636" max="4636" width="17.109375" customWidth="1"/>
    <col min="4637" max="4637" width="16.109375" customWidth="1"/>
    <col min="4865" max="4865" width="37.44140625" customWidth="1"/>
    <col min="4866" max="4866" width="14.5546875" customWidth="1"/>
    <col min="4867" max="4867" width="9.5546875" bestFit="1" customWidth="1"/>
    <col min="4871" max="4871" width="8" customWidth="1"/>
    <col min="4875" max="4875" width="11.33203125" customWidth="1"/>
    <col min="4876" max="4876" width="10.6640625" customWidth="1"/>
    <col min="4880" max="4880" width="10.109375" customWidth="1"/>
    <col min="4881" max="4881" width="9.33203125" customWidth="1"/>
    <col min="4882" max="4882" width="10.33203125" customWidth="1"/>
    <col min="4883" max="4883" width="12" bestFit="1" customWidth="1"/>
    <col min="4884" max="4884" width="10" bestFit="1" customWidth="1"/>
    <col min="4885" max="4885" width="10" customWidth="1"/>
    <col min="4886" max="4886" width="13.33203125" customWidth="1"/>
    <col min="4887" max="4887" width="16" customWidth="1"/>
    <col min="4888" max="4888" width="10.33203125" customWidth="1"/>
    <col min="4889" max="4889" width="12" bestFit="1" customWidth="1"/>
    <col min="4890" max="4890" width="11" bestFit="1" customWidth="1"/>
    <col min="4892" max="4892" width="17.109375" customWidth="1"/>
    <col min="4893" max="4893" width="16.109375" customWidth="1"/>
    <col min="5121" max="5121" width="37.44140625" customWidth="1"/>
    <col min="5122" max="5122" width="14.5546875" customWidth="1"/>
    <col min="5123" max="5123" width="9.5546875" bestFit="1" customWidth="1"/>
    <col min="5127" max="5127" width="8" customWidth="1"/>
    <col min="5131" max="5131" width="11.33203125" customWidth="1"/>
    <col min="5132" max="5132" width="10.6640625" customWidth="1"/>
    <col min="5136" max="5136" width="10.109375" customWidth="1"/>
    <col min="5137" max="5137" width="9.33203125" customWidth="1"/>
    <col min="5138" max="5138" width="10.33203125" customWidth="1"/>
    <col min="5139" max="5139" width="12" bestFit="1" customWidth="1"/>
    <col min="5140" max="5140" width="10" bestFit="1" customWidth="1"/>
    <col min="5141" max="5141" width="10" customWidth="1"/>
    <col min="5142" max="5142" width="13.33203125" customWidth="1"/>
    <col min="5143" max="5143" width="16" customWidth="1"/>
    <col min="5144" max="5144" width="10.33203125" customWidth="1"/>
    <col min="5145" max="5145" width="12" bestFit="1" customWidth="1"/>
    <col min="5146" max="5146" width="11" bestFit="1" customWidth="1"/>
    <col min="5148" max="5148" width="17.109375" customWidth="1"/>
    <col min="5149" max="5149" width="16.109375" customWidth="1"/>
    <col min="5377" max="5377" width="37.44140625" customWidth="1"/>
    <col min="5378" max="5378" width="14.5546875" customWidth="1"/>
    <col min="5379" max="5379" width="9.5546875" bestFit="1" customWidth="1"/>
    <col min="5383" max="5383" width="8" customWidth="1"/>
    <col min="5387" max="5387" width="11.33203125" customWidth="1"/>
    <col min="5388" max="5388" width="10.6640625" customWidth="1"/>
    <col min="5392" max="5392" width="10.109375" customWidth="1"/>
    <col min="5393" max="5393" width="9.33203125" customWidth="1"/>
    <col min="5394" max="5394" width="10.33203125" customWidth="1"/>
    <col min="5395" max="5395" width="12" bestFit="1" customWidth="1"/>
    <col min="5396" max="5396" width="10" bestFit="1" customWidth="1"/>
    <col min="5397" max="5397" width="10" customWidth="1"/>
    <col min="5398" max="5398" width="13.33203125" customWidth="1"/>
    <col min="5399" max="5399" width="16" customWidth="1"/>
    <col min="5400" max="5400" width="10.33203125" customWidth="1"/>
    <col min="5401" max="5401" width="12" bestFit="1" customWidth="1"/>
    <col min="5402" max="5402" width="11" bestFit="1" customWidth="1"/>
    <col min="5404" max="5404" width="17.109375" customWidth="1"/>
    <col min="5405" max="5405" width="16.109375" customWidth="1"/>
    <col min="5633" max="5633" width="37.44140625" customWidth="1"/>
    <col min="5634" max="5634" width="14.5546875" customWidth="1"/>
    <col min="5635" max="5635" width="9.5546875" bestFit="1" customWidth="1"/>
    <col min="5639" max="5639" width="8" customWidth="1"/>
    <col min="5643" max="5643" width="11.33203125" customWidth="1"/>
    <col min="5644" max="5644" width="10.6640625" customWidth="1"/>
    <col min="5648" max="5648" width="10.109375" customWidth="1"/>
    <col min="5649" max="5649" width="9.33203125" customWidth="1"/>
    <col min="5650" max="5650" width="10.33203125" customWidth="1"/>
    <col min="5651" max="5651" width="12" bestFit="1" customWidth="1"/>
    <col min="5652" max="5652" width="10" bestFit="1" customWidth="1"/>
    <col min="5653" max="5653" width="10" customWidth="1"/>
    <col min="5654" max="5654" width="13.33203125" customWidth="1"/>
    <col min="5655" max="5655" width="16" customWidth="1"/>
    <col min="5656" max="5656" width="10.33203125" customWidth="1"/>
    <col min="5657" max="5657" width="12" bestFit="1" customWidth="1"/>
    <col min="5658" max="5658" width="11" bestFit="1" customWidth="1"/>
    <col min="5660" max="5660" width="17.109375" customWidth="1"/>
    <col min="5661" max="5661" width="16.109375" customWidth="1"/>
    <col min="5889" max="5889" width="37.44140625" customWidth="1"/>
    <col min="5890" max="5890" width="14.5546875" customWidth="1"/>
    <col min="5891" max="5891" width="9.5546875" bestFit="1" customWidth="1"/>
    <col min="5895" max="5895" width="8" customWidth="1"/>
    <col min="5899" max="5899" width="11.33203125" customWidth="1"/>
    <col min="5900" max="5900" width="10.6640625" customWidth="1"/>
    <col min="5904" max="5904" width="10.109375" customWidth="1"/>
    <col min="5905" max="5905" width="9.33203125" customWidth="1"/>
    <col min="5906" max="5906" width="10.33203125" customWidth="1"/>
    <col min="5907" max="5907" width="12" bestFit="1" customWidth="1"/>
    <col min="5908" max="5908" width="10" bestFit="1" customWidth="1"/>
    <col min="5909" max="5909" width="10" customWidth="1"/>
    <col min="5910" max="5910" width="13.33203125" customWidth="1"/>
    <col min="5911" max="5911" width="16" customWidth="1"/>
    <col min="5912" max="5912" width="10.33203125" customWidth="1"/>
    <col min="5913" max="5913" width="12" bestFit="1" customWidth="1"/>
    <col min="5914" max="5914" width="11" bestFit="1" customWidth="1"/>
    <col min="5916" max="5916" width="17.109375" customWidth="1"/>
    <col min="5917" max="5917" width="16.109375" customWidth="1"/>
    <col min="6145" max="6145" width="37.44140625" customWidth="1"/>
    <col min="6146" max="6146" width="14.5546875" customWidth="1"/>
    <col min="6147" max="6147" width="9.5546875" bestFit="1" customWidth="1"/>
    <col min="6151" max="6151" width="8" customWidth="1"/>
    <col min="6155" max="6155" width="11.33203125" customWidth="1"/>
    <col min="6156" max="6156" width="10.6640625" customWidth="1"/>
    <col min="6160" max="6160" width="10.109375" customWidth="1"/>
    <col min="6161" max="6161" width="9.33203125" customWidth="1"/>
    <col min="6162" max="6162" width="10.33203125" customWidth="1"/>
    <col min="6163" max="6163" width="12" bestFit="1" customWidth="1"/>
    <col min="6164" max="6164" width="10" bestFit="1" customWidth="1"/>
    <col min="6165" max="6165" width="10" customWidth="1"/>
    <col min="6166" max="6166" width="13.33203125" customWidth="1"/>
    <col min="6167" max="6167" width="16" customWidth="1"/>
    <col min="6168" max="6168" width="10.33203125" customWidth="1"/>
    <col min="6169" max="6169" width="12" bestFit="1" customWidth="1"/>
    <col min="6170" max="6170" width="11" bestFit="1" customWidth="1"/>
    <col min="6172" max="6172" width="17.109375" customWidth="1"/>
    <col min="6173" max="6173" width="16.109375" customWidth="1"/>
    <col min="6401" max="6401" width="37.44140625" customWidth="1"/>
    <col min="6402" max="6402" width="14.5546875" customWidth="1"/>
    <col min="6403" max="6403" width="9.5546875" bestFit="1" customWidth="1"/>
    <col min="6407" max="6407" width="8" customWidth="1"/>
    <col min="6411" max="6411" width="11.33203125" customWidth="1"/>
    <col min="6412" max="6412" width="10.6640625" customWidth="1"/>
    <col min="6416" max="6416" width="10.109375" customWidth="1"/>
    <col min="6417" max="6417" width="9.33203125" customWidth="1"/>
    <col min="6418" max="6418" width="10.33203125" customWidth="1"/>
    <col min="6419" max="6419" width="12" bestFit="1" customWidth="1"/>
    <col min="6420" max="6420" width="10" bestFit="1" customWidth="1"/>
    <col min="6421" max="6421" width="10" customWidth="1"/>
    <col min="6422" max="6422" width="13.33203125" customWidth="1"/>
    <col min="6423" max="6423" width="16" customWidth="1"/>
    <col min="6424" max="6424" width="10.33203125" customWidth="1"/>
    <col min="6425" max="6425" width="12" bestFit="1" customWidth="1"/>
    <col min="6426" max="6426" width="11" bestFit="1" customWidth="1"/>
    <col min="6428" max="6428" width="17.109375" customWidth="1"/>
    <col min="6429" max="6429" width="16.109375" customWidth="1"/>
    <col min="6657" max="6657" width="37.44140625" customWidth="1"/>
    <col min="6658" max="6658" width="14.5546875" customWidth="1"/>
    <col min="6659" max="6659" width="9.5546875" bestFit="1" customWidth="1"/>
    <col min="6663" max="6663" width="8" customWidth="1"/>
    <col min="6667" max="6667" width="11.33203125" customWidth="1"/>
    <col min="6668" max="6668" width="10.6640625" customWidth="1"/>
    <col min="6672" max="6672" width="10.109375" customWidth="1"/>
    <col min="6673" max="6673" width="9.33203125" customWidth="1"/>
    <col min="6674" max="6674" width="10.33203125" customWidth="1"/>
    <col min="6675" max="6675" width="12" bestFit="1" customWidth="1"/>
    <col min="6676" max="6676" width="10" bestFit="1" customWidth="1"/>
    <col min="6677" max="6677" width="10" customWidth="1"/>
    <col min="6678" max="6678" width="13.33203125" customWidth="1"/>
    <col min="6679" max="6679" width="16" customWidth="1"/>
    <col min="6680" max="6680" width="10.33203125" customWidth="1"/>
    <col min="6681" max="6681" width="12" bestFit="1" customWidth="1"/>
    <col min="6682" max="6682" width="11" bestFit="1" customWidth="1"/>
    <col min="6684" max="6684" width="17.109375" customWidth="1"/>
    <col min="6685" max="6685" width="16.109375" customWidth="1"/>
    <col min="6913" max="6913" width="37.44140625" customWidth="1"/>
    <col min="6914" max="6914" width="14.5546875" customWidth="1"/>
    <col min="6915" max="6915" width="9.5546875" bestFit="1" customWidth="1"/>
    <col min="6919" max="6919" width="8" customWidth="1"/>
    <col min="6923" max="6923" width="11.33203125" customWidth="1"/>
    <col min="6924" max="6924" width="10.6640625" customWidth="1"/>
    <col min="6928" max="6928" width="10.109375" customWidth="1"/>
    <col min="6929" max="6929" width="9.33203125" customWidth="1"/>
    <col min="6930" max="6930" width="10.33203125" customWidth="1"/>
    <col min="6931" max="6931" width="12" bestFit="1" customWidth="1"/>
    <col min="6932" max="6932" width="10" bestFit="1" customWidth="1"/>
    <col min="6933" max="6933" width="10" customWidth="1"/>
    <col min="6934" max="6934" width="13.33203125" customWidth="1"/>
    <col min="6935" max="6935" width="16" customWidth="1"/>
    <col min="6936" max="6936" width="10.33203125" customWidth="1"/>
    <col min="6937" max="6937" width="12" bestFit="1" customWidth="1"/>
    <col min="6938" max="6938" width="11" bestFit="1" customWidth="1"/>
    <col min="6940" max="6940" width="17.109375" customWidth="1"/>
    <col min="6941" max="6941" width="16.109375" customWidth="1"/>
    <col min="7169" max="7169" width="37.44140625" customWidth="1"/>
    <col min="7170" max="7170" width="14.5546875" customWidth="1"/>
    <col min="7171" max="7171" width="9.5546875" bestFit="1" customWidth="1"/>
    <col min="7175" max="7175" width="8" customWidth="1"/>
    <col min="7179" max="7179" width="11.33203125" customWidth="1"/>
    <col min="7180" max="7180" width="10.6640625" customWidth="1"/>
    <col min="7184" max="7184" width="10.109375" customWidth="1"/>
    <col min="7185" max="7185" width="9.33203125" customWidth="1"/>
    <col min="7186" max="7186" width="10.33203125" customWidth="1"/>
    <col min="7187" max="7187" width="12" bestFit="1" customWidth="1"/>
    <col min="7188" max="7188" width="10" bestFit="1" customWidth="1"/>
    <col min="7189" max="7189" width="10" customWidth="1"/>
    <col min="7190" max="7190" width="13.33203125" customWidth="1"/>
    <col min="7191" max="7191" width="16" customWidth="1"/>
    <col min="7192" max="7192" width="10.33203125" customWidth="1"/>
    <col min="7193" max="7193" width="12" bestFit="1" customWidth="1"/>
    <col min="7194" max="7194" width="11" bestFit="1" customWidth="1"/>
    <col min="7196" max="7196" width="17.109375" customWidth="1"/>
    <col min="7197" max="7197" width="16.109375" customWidth="1"/>
    <col min="7425" max="7425" width="37.44140625" customWidth="1"/>
    <col min="7426" max="7426" width="14.5546875" customWidth="1"/>
    <col min="7427" max="7427" width="9.5546875" bestFit="1" customWidth="1"/>
    <col min="7431" max="7431" width="8" customWidth="1"/>
    <col min="7435" max="7435" width="11.33203125" customWidth="1"/>
    <col min="7436" max="7436" width="10.6640625" customWidth="1"/>
    <col min="7440" max="7440" width="10.109375" customWidth="1"/>
    <col min="7441" max="7441" width="9.33203125" customWidth="1"/>
    <col min="7442" max="7442" width="10.33203125" customWidth="1"/>
    <col min="7443" max="7443" width="12" bestFit="1" customWidth="1"/>
    <col min="7444" max="7444" width="10" bestFit="1" customWidth="1"/>
    <col min="7445" max="7445" width="10" customWidth="1"/>
    <col min="7446" max="7446" width="13.33203125" customWidth="1"/>
    <col min="7447" max="7447" width="16" customWidth="1"/>
    <col min="7448" max="7448" width="10.33203125" customWidth="1"/>
    <col min="7449" max="7449" width="12" bestFit="1" customWidth="1"/>
    <col min="7450" max="7450" width="11" bestFit="1" customWidth="1"/>
    <col min="7452" max="7452" width="17.109375" customWidth="1"/>
    <col min="7453" max="7453" width="16.109375" customWidth="1"/>
    <col min="7681" max="7681" width="37.44140625" customWidth="1"/>
    <col min="7682" max="7682" width="14.5546875" customWidth="1"/>
    <col min="7683" max="7683" width="9.5546875" bestFit="1" customWidth="1"/>
    <col min="7687" max="7687" width="8" customWidth="1"/>
    <col min="7691" max="7691" width="11.33203125" customWidth="1"/>
    <col min="7692" max="7692" width="10.6640625" customWidth="1"/>
    <col min="7696" max="7696" width="10.109375" customWidth="1"/>
    <col min="7697" max="7697" width="9.33203125" customWidth="1"/>
    <col min="7698" max="7698" width="10.33203125" customWidth="1"/>
    <col min="7699" max="7699" width="12" bestFit="1" customWidth="1"/>
    <col min="7700" max="7700" width="10" bestFit="1" customWidth="1"/>
    <col min="7701" max="7701" width="10" customWidth="1"/>
    <col min="7702" max="7702" width="13.33203125" customWidth="1"/>
    <col min="7703" max="7703" width="16" customWidth="1"/>
    <col min="7704" max="7704" width="10.33203125" customWidth="1"/>
    <col min="7705" max="7705" width="12" bestFit="1" customWidth="1"/>
    <col min="7706" max="7706" width="11" bestFit="1" customWidth="1"/>
    <col min="7708" max="7708" width="17.109375" customWidth="1"/>
    <col min="7709" max="7709" width="16.109375" customWidth="1"/>
    <col min="7937" max="7937" width="37.44140625" customWidth="1"/>
    <col min="7938" max="7938" width="14.5546875" customWidth="1"/>
    <col min="7939" max="7939" width="9.5546875" bestFit="1" customWidth="1"/>
    <col min="7943" max="7943" width="8" customWidth="1"/>
    <col min="7947" max="7947" width="11.33203125" customWidth="1"/>
    <col min="7948" max="7948" width="10.6640625" customWidth="1"/>
    <col min="7952" max="7952" width="10.109375" customWidth="1"/>
    <col min="7953" max="7953" width="9.33203125" customWidth="1"/>
    <col min="7954" max="7954" width="10.33203125" customWidth="1"/>
    <col min="7955" max="7955" width="12" bestFit="1" customWidth="1"/>
    <col min="7956" max="7956" width="10" bestFit="1" customWidth="1"/>
    <col min="7957" max="7957" width="10" customWidth="1"/>
    <col min="7958" max="7958" width="13.33203125" customWidth="1"/>
    <col min="7959" max="7959" width="16" customWidth="1"/>
    <col min="7960" max="7960" width="10.33203125" customWidth="1"/>
    <col min="7961" max="7961" width="12" bestFit="1" customWidth="1"/>
    <col min="7962" max="7962" width="11" bestFit="1" customWidth="1"/>
    <col min="7964" max="7964" width="17.109375" customWidth="1"/>
    <col min="7965" max="7965" width="16.109375" customWidth="1"/>
    <col min="8193" max="8193" width="37.44140625" customWidth="1"/>
    <col min="8194" max="8194" width="14.5546875" customWidth="1"/>
    <col min="8195" max="8195" width="9.5546875" bestFit="1" customWidth="1"/>
    <col min="8199" max="8199" width="8" customWidth="1"/>
    <col min="8203" max="8203" width="11.33203125" customWidth="1"/>
    <col min="8204" max="8204" width="10.6640625" customWidth="1"/>
    <col min="8208" max="8208" width="10.109375" customWidth="1"/>
    <col min="8209" max="8209" width="9.33203125" customWidth="1"/>
    <col min="8210" max="8210" width="10.33203125" customWidth="1"/>
    <col min="8211" max="8211" width="12" bestFit="1" customWidth="1"/>
    <col min="8212" max="8212" width="10" bestFit="1" customWidth="1"/>
    <col min="8213" max="8213" width="10" customWidth="1"/>
    <col min="8214" max="8214" width="13.33203125" customWidth="1"/>
    <col min="8215" max="8215" width="16" customWidth="1"/>
    <col min="8216" max="8216" width="10.33203125" customWidth="1"/>
    <col min="8217" max="8217" width="12" bestFit="1" customWidth="1"/>
    <col min="8218" max="8218" width="11" bestFit="1" customWidth="1"/>
    <col min="8220" max="8220" width="17.109375" customWidth="1"/>
    <col min="8221" max="8221" width="16.109375" customWidth="1"/>
    <col min="8449" max="8449" width="37.44140625" customWidth="1"/>
    <col min="8450" max="8450" width="14.5546875" customWidth="1"/>
    <col min="8451" max="8451" width="9.5546875" bestFit="1" customWidth="1"/>
    <col min="8455" max="8455" width="8" customWidth="1"/>
    <col min="8459" max="8459" width="11.33203125" customWidth="1"/>
    <col min="8460" max="8460" width="10.6640625" customWidth="1"/>
    <col min="8464" max="8464" width="10.109375" customWidth="1"/>
    <col min="8465" max="8465" width="9.33203125" customWidth="1"/>
    <col min="8466" max="8466" width="10.33203125" customWidth="1"/>
    <col min="8467" max="8467" width="12" bestFit="1" customWidth="1"/>
    <col min="8468" max="8468" width="10" bestFit="1" customWidth="1"/>
    <col min="8469" max="8469" width="10" customWidth="1"/>
    <col min="8470" max="8470" width="13.33203125" customWidth="1"/>
    <col min="8471" max="8471" width="16" customWidth="1"/>
    <col min="8472" max="8472" width="10.33203125" customWidth="1"/>
    <col min="8473" max="8473" width="12" bestFit="1" customWidth="1"/>
    <col min="8474" max="8474" width="11" bestFit="1" customWidth="1"/>
    <col min="8476" max="8476" width="17.109375" customWidth="1"/>
    <col min="8477" max="8477" width="16.109375" customWidth="1"/>
    <col min="8705" max="8705" width="37.44140625" customWidth="1"/>
    <col min="8706" max="8706" width="14.5546875" customWidth="1"/>
    <col min="8707" max="8707" width="9.5546875" bestFit="1" customWidth="1"/>
    <col min="8711" max="8711" width="8" customWidth="1"/>
    <col min="8715" max="8715" width="11.33203125" customWidth="1"/>
    <col min="8716" max="8716" width="10.6640625" customWidth="1"/>
    <col min="8720" max="8720" width="10.109375" customWidth="1"/>
    <col min="8721" max="8721" width="9.33203125" customWidth="1"/>
    <col min="8722" max="8722" width="10.33203125" customWidth="1"/>
    <col min="8723" max="8723" width="12" bestFit="1" customWidth="1"/>
    <col min="8724" max="8724" width="10" bestFit="1" customWidth="1"/>
    <col min="8725" max="8725" width="10" customWidth="1"/>
    <col min="8726" max="8726" width="13.33203125" customWidth="1"/>
    <col min="8727" max="8727" width="16" customWidth="1"/>
    <col min="8728" max="8728" width="10.33203125" customWidth="1"/>
    <col min="8729" max="8729" width="12" bestFit="1" customWidth="1"/>
    <col min="8730" max="8730" width="11" bestFit="1" customWidth="1"/>
    <col min="8732" max="8732" width="17.109375" customWidth="1"/>
    <col min="8733" max="8733" width="16.109375" customWidth="1"/>
    <col min="8961" max="8961" width="37.44140625" customWidth="1"/>
    <col min="8962" max="8962" width="14.5546875" customWidth="1"/>
    <col min="8963" max="8963" width="9.5546875" bestFit="1" customWidth="1"/>
    <col min="8967" max="8967" width="8" customWidth="1"/>
    <col min="8971" max="8971" width="11.33203125" customWidth="1"/>
    <col min="8972" max="8972" width="10.6640625" customWidth="1"/>
    <col min="8976" max="8976" width="10.109375" customWidth="1"/>
    <col min="8977" max="8977" width="9.33203125" customWidth="1"/>
    <col min="8978" max="8978" width="10.33203125" customWidth="1"/>
    <col min="8979" max="8979" width="12" bestFit="1" customWidth="1"/>
    <col min="8980" max="8980" width="10" bestFit="1" customWidth="1"/>
    <col min="8981" max="8981" width="10" customWidth="1"/>
    <col min="8982" max="8982" width="13.33203125" customWidth="1"/>
    <col min="8983" max="8983" width="16" customWidth="1"/>
    <col min="8984" max="8984" width="10.33203125" customWidth="1"/>
    <col min="8985" max="8985" width="12" bestFit="1" customWidth="1"/>
    <col min="8986" max="8986" width="11" bestFit="1" customWidth="1"/>
    <col min="8988" max="8988" width="17.109375" customWidth="1"/>
    <col min="8989" max="8989" width="16.109375" customWidth="1"/>
    <col min="9217" max="9217" width="37.44140625" customWidth="1"/>
    <col min="9218" max="9218" width="14.5546875" customWidth="1"/>
    <col min="9219" max="9219" width="9.5546875" bestFit="1" customWidth="1"/>
    <col min="9223" max="9223" width="8" customWidth="1"/>
    <col min="9227" max="9227" width="11.33203125" customWidth="1"/>
    <col min="9228" max="9228" width="10.6640625" customWidth="1"/>
    <col min="9232" max="9232" width="10.109375" customWidth="1"/>
    <col min="9233" max="9233" width="9.33203125" customWidth="1"/>
    <col min="9234" max="9234" width="10.33203125" customWidth="1"/>
    <col min="9235" max="9235" width="12" bestFit="1" customWidth="1"/>
    <col min="9236" max="9236" width="10" bestFit="1" customWidth="1"/>
    <col min="9237" max="9237" width="10" customWidth="1"/>
    <col min="9238" max="9238" width="13.33203125" customWidth="1"/>
    <col min="9239" max="9239" width="16" customWidth="1"/>
    <col min="9240" max="9240" width="10.33203125" customWidth="1"/>
    <col min="9241" max="9241" width="12" bestFit="1" customWidth="1"/>
    <col min="9242" max="9242" width="11" bestFit="1" customWidth="1"/>
    <col min="9244" max="9244" width="17.109375" customWidth="1"/>
    <col min="9245" max="9245" width="16.109375" customWidth="1"/>
    <col min="9473" max="9473" width="37.44140625" customWidth="1"/>
    <col min="9474" max="9474" width="14.5546875" customWidth="1"/>
    <col min="9475" max="9475" width="9.5546875" bestFit="1" customWidth="1"/>
    <col min="9479" max="9479" width="8" customWidth="1"/>
    <col min="9483" max="9483" width="11.33203125" customWidth="1"/>
    <col min="9484" max="9484" width="10.6640625" customWidth="1"/>
    <col min="9488" max="9488" width="10.109375" customWidth="1"/>
    <col min="9489" max="9489" width="9.33203125" customWidth="1"/>
    <col min="9490" max="9490" width="10.33203125" customWidth="1"/>
    <col min="9491" max="9491" width="12" bestFit="1" customWidth="1"/>
    <col min="9492" max="9492" width="10" bestFit="1" customWidth="1"/>
    <col min="9493" max="9493" width="10" customWidth="1"/>
    <col min="9494" max="9494" width="13.33203125" customWidth="1"/>
    <col min="9495" max="9495" width="16" customWidth="1"/>
    <col min="9496" max="9496" width="10.33203125" customWidth="1"/>
    <col min="9497" max="9497" width="12" bestFit="1" customWidth="1"/>
    <col min="9498" max="9498" width="11" bestFit="1" customWidth="1"/>
    <col min="9500" max="9500" width="17.109375" customWidth="1"/>
    <col min="9501" max="9501" width="16.109375" customWidth="1"/>
    <col min="9729" max="9729" width="37.44140625" customWidth="1"/>
    <col min="9730" max="9730" width="14.5546875" customWidth="1"/>
    <col min="9731" max="9731" width="9.5546875" bestFit="1" customWidth="1"/>
    <col min="9735" max="9735" width="8" customWidth="1"/>
    <col min="9739" max="9739" width="11.33203125" customWidth="1"/>
    <col min="9740" max="9740" width="10.6640625" customWidth="1"/>
    <col min="9744" max="9744" width="10.109375" customWidth="1"/>
    <col min="9745" max="9745" width="9.33203125" customWidth="1"/>
    <col min="9746" max="9746" width="10.33203125" customWidth="1"/>
    <col min="9747" max="9747" width="12" bestFit="1" customWidth="1"/>
    <col min="9748" max="9748" width="10" bestFit="1" customWidth="1"/>
    <col min="9749" max="9749" width="10" customWidth="1"/>
    <col min="9750" max="9750" width="13.33203125" customWidth="1"/>
    <col min="9751" max="9751" width="16" customWidth="1"/>
    <col min="9752" max="9752" width="10.33203125" customWidth="1"/>
    <col min="9753" max="9753" width="12" bestFit="1" customWidth="1"/>
    <col min="9754" max="9754" width="11" bestFit="1" customWidth="1"/>
    <col min="9756" max="9756" width="17.109375" customWidth="1"/>
    <col min="9757" max="9757" width="16.109375" customWidth="1"/>
    <col min="9985" max="9985" width="37.44140625" customWidth="1"/>
    <col min="9986" max="9986" width="14.5546875" customWidth="1"/>
    <col min="9987" max="9987" width="9.5546875" bestFit="1" customWidth="1"/>
    <col min="9991" max="9991" width="8" customWidth="1"/>
    <col min="9995" max="9995" width="11.33203125" customWidth="1"/>
    <col min="9996" max="9996" width="10.6640625" customWidth="1"/>
    <col min="10000" max="10000" width="10.109375" customWidth="1"/>
    <col min="10001" max="10001" width="9.33203125" customWidth="1"/>
    <col min="10002" max="10002" width="10.33203125" customWidth="1"/>
    <col min="10003" max="10003" width="12" bestFit="1" customWidth="1"/>
    <col min="10004" max="10004" width="10" bestFit="1" customWidth="1"/>
    <col min="10005" max="10005" width="10" customWidth="1"/>
    <col min="10006" max="10006" width="13.33203125" customWidth="1"/>
    <col min="10007" max="10007" width="16" customWidth="1"/>
    <col min="10008" max="10008" width="10.33203125" customWidth="1"/>
    <col min="10009" max="10009" width="12" bestFit="1" customWidth="1"/>
    <col min="10010" max="10010" width="11" bestFit="1" customWidth="1"/>
    <col min="10012" max="10012" width="17.109375" customWidth="1"/>
    <col min="10013" max="10013" width="16.109375" customWidth="1"/>
    <col min="10241" max="10241" width="37.44140625" customWidth="1"/>
    <col min="10242" max="10242" width="14.5546875" customWidth="1"/>
    <col min="10243" max="10243" width="9.5546875" bestFit="1" customWidth="1"/>
    <col min="10247" max="10247" width="8" customWidth="1"/>
    <col min="10251" max="10251" width="11.33203125" customWidth="1"/>
    <col min="10252" max="10252" width="10.6640625" customWidth="1"/>
    <col min="10256" max="10256" width="10.109375" customWidth="1"/>
    <col min="10257" max="10257" width="9.33203125" customWidth="1"/>
    <col min="10258" max="10258" width="10.33203125" customWidth="1"/>
    <col min="10259" max="10259" width="12" bestFit="1" customWidth="1"/>
    <col min="10260" max="10260" width="10" bestFit="1" customWidth="1"/>
    <col min="10261" max="10261" width="10" customWidth="1"/>
    <col min="10262" max="10262" width="13.33203125" customWidth="1"/>
    <col min="10263" max="10263" width="16" customWidth="1"/>
    <col min="10264" max="10264" width="10.33203125" customWidth="1"/>
    <col min="10265" max="10265" width="12" bestFit="1" customWidth="1"/>
    <col min="10266" max="10266" width="11" bestFit="1" customWidth="1"/>
    <col min="10268" max="10268" width="17.109375" customWidth="1"/>
    <col min="10269" max="10269" width="16.109375" customWidth="1"/>
    <col min="10497" max="10497" width="37.44140625" customWidth="1"/>
    <col min="10498" max="10498" width="14.5546875" customWidth="1"/>
    <col min="10499" max="10499" width="9.5546875" bestFit="1" customWidth="1"/>
    <col min="10503" max="10503" width="8" customWidth="1"/>
    <col min="10507" max="10507" width="11.33203125" customWidth="1"/>
    <col min="10508" max="10508" width="10.6640625" customWidth="1"/>
    <col min="10512" max="10512" width="10.109375" customWidth="1"/>
    <col min="10513" max="10513" width="9.33203125" customWidth="1"/>
    <col min="10514" max="10514" width="10.33203125" customWidth="1"/>
    <col min="10515" max="10515" width="12" bestFit="1" customWidth="1"/>
    <col min="10516" max="10516" width="10" bestFit="1" customWidth="1"/>
    <col min="10517" max="10517" width="10" customWidth="1"/>
    <col min="10518" max="10518" width="13.33203125" customWidth="1"/>
    <col min="10519" max="10519" width="16" customWidth="1"/>
    <col min="10520" max="10520" width="10.33203125" customWidth="1"/>
    <col min="10521" max="10521" width="12" bestFit="1" customWidth="1"/>
    <col min="10522" max="10522" width="11" bestFit="1" customWidth="1"/>
    <col min="10524" max="10524" width="17.109375" customWidth="1"/>
    <col min="10525" max="10525" width="16.109375" customWidth="1"/>
    <col min="10753" max="10753" width="37.44140625" customWidth="1"/>
    <col min="10754" max="10754" width="14.5546875" customWidth="1"/>
    <col min="10755" max="10755" width="9.5546875" bestFit="1" customWidth="1"/>
    <col min="10759" max="10759" width="8" customWidth="1"/>
    <col min="10763" max="10763" width="11.33203125" customWidth="1"/>
    <col min="10764" max="10764" width="10.6640625" customWidth="1"/>
    <col min="10768" max="10768" width="10.109375" customWidth="1"/>
    <col min="10769" max="10769" width="9.33203125" customWidth="1"/>
    <col min="10770" max="10770" width="10.33203125" customWidth="1"/>
    <col min="10771" max="10771" width="12" bestFit="1" customWidth="1"/>
    <col min="10772" max="10772" width="10" bestFit="1" customWidth="1"/>
    <col min="10773" max="10773" width="10" customWidth="1"/>
    <col min="10774" max="10774" width="13.33203125" customWidth="1"/>
    <col min="10775" max="10775" width="16" customWidth="1"/>
    <col min="10776" max="10776" width="10.33203125" customWidth="1"/>
    <col min="10777" max="10777" width="12" bestFit="1" customWidth="1"/>
    <col min="10778" max="10778" width="11" bestFit="1" customWidth="1"/>
    <col min="10780" max="10780" width="17.109375" customWidth="1"/>
    <col min="10781" max="10781" width="16.109375" customWidth="1"/>
    <col min="11009" max="11009" width="37.44140625" customWidth="1"/>
    <col min="11010" max="11010" width="14.5546875" customWidth="1"/>
    <col min="11011" max="11011" width="9.5546875" bestFit="1" customWidth="1"/>
    <col min="11015" max="11015" width="8" customWidth="1"/>
    <col min="11019" max="11019" width="11.33203125" customWidth="1"/>
    <col min="11020" max="11020" width="10.6640625" customWidth="1"/>
    <col min="11024" max="11024" width="10.109375" customWidth="1"/>
    <col min="11025" max="11025" width="9.33203125" customWidth="1"/>
    <col min="11026" max="11026" width="10.33203125" customWidth="1"/>
    <col min="11027" max="11027" width="12" bestFit="1" customWidth="1"/>
    <col min="11028" max="11028" width="10" bestFit="1" customWidth="1"/>
    <col min="11029" max="11029" width="10" customWidth="1"/>
    <col min="11030" max="11030" width="13.33203125" customWidth="1"/>
    <col min="11031" max="11031" width="16" customWidth="1"/>
    <col min="11032" max="11032" width="10.33203125" customWidth="1"/>
    <col min="11033" max="11033" width="12" bestFit="1" customWidth="1"/>
    <col min="11034" max="11034" width="11" bestFit="1" customWidth="1"/>
    <col min="11036" max="11036" width="17.109375" customWidth="1"/>
    <col min="11037" max="11037" width="16.109375" customWidth="1"/>
    <col min="11265" max="11265" width="37.44140625" customWidth="1"/>
    <col min="11266" max="11266" width="14.5546875" customWidth="1"/>
    <col min="11267" max="11267" width="9.5546875" bestFit="1" customWidth="1"/>
    <col min="11271" max="11271" width="8" customWidth="1"/>
    <col min="11275" max="11275" width="11.33203125" customWidth="1"/>
    <col min="11276" max="11276" width="10.6640625" customWidth="1"/>
    <col min="11280" max="11280" width="10.109375" customWidth="1"/>
    <col min="11281" max="11281" width="9.33203125" customWidth="1"/>
    <col min="11282" max="11282" width="10.33203125" customWidth="1"/>
    <col min="11283" max="11283" width="12" bestFit="1" customWidth="1"/>
    <col min="11284" max="11284" width="10" bestFit="1" customWidth="1"/>
    <col min="11285" max="11285" width="10" customWidth="1"/>
    <col min="11286" max="11286" width="13.33203125" customWidth="1"/>
    <col min="11287" max="11287" width="16" customWidth="1"/>
    <col min="11288" max="11288" width="10.33203125" customWidth="1"/>
    <col min="11289" max="11289" width="12" bestFit="1" customWidth="1"/>
    <col min="11290" max="11290" width="11" bestFit="1" customWidth="1"/>
    <col min="11292" max="11292" width="17.109375" customWidth="1"/>
    <col min="11293" max="11293" width="16.109375" customWidth="1"/>
    <col min="11521" max="11521" width="37.44140625" customWidth="1"/>
    <col min="11522" max="11522" width="14.5546875" customWidth="1"/>
    <col min="11523" max="11523" width="9.5546875" bestFit="1" customWidth="1"/>
    <col min="11527" max="11527" width="8" customWidth="1"/>
    <col min="11531" max="11531" width="11.33203125" customWidth="1"/>
    <col min="11532" max="11532" width="10.6640625" customWidth="1"/>
    <col min="11536" max="11536" width="10.109375" customWidth="1"/>
    <col min="11537" max="11537" width="9.33203125" customWidth="1"/>
    <col min="11538" max="11538" width="10.33203125" customWidth="1"/>
    <col min="11539" max="11539" width="12" bestFit="1" customWidth="1"/>
    <col min="11540" max="11540" width="10" bestFit="1" customWidth="1"/>
    <col min="11541" max="11541" width="10" customWidth="1"/>
    <col min="11542" max="11542" width="13.33203125" customWidth="1"/>
    <col min="11543" max="11543" width="16" customWidth="1"/>
    <col min="11544" max="11544" width="10.33203125" customWidth="1"/>
    <col min="11545" max="11545" width="12" bestFit="1" customWidth="1"/>
    <col min="11546" max="11546" width="11" bestFit="1" customWidth="1"/>
    <col min="11548" max="11548" width="17.109375" customWidth="1"/>
    <col min="11549" max="11549" width="16.109375" customWidth="1"/>
    <col min="11777" max="11777" width="37.44140625" customWidth="1"/>
    <col min="11778" max="11778" width="14.5546875" customWidth="1"/>
    <col min="11779" max="11779" width="9.5546875" bestFit="1" customWidth="1"/>
    <col min="11783" max="11783" width="8" customWidth="1"/>
    <col min="11787" max="11787" width="11.33203125" customWidth="1"/>
    <col min="11788" max="11788" width="10.6640625" customWidth="1"/>
    <col min="11792" max="11792" width="10.109375" customWidth="1"/>
    <col min="11793" max="11793" width="9.33203125" customWidth="1"/>
    <col min="11794" max="11794" width="10.33203125" customWidth="1"/>
    <col min="11795" max="11795" width="12" bestFit="1" customWidth="1"/>
    <col min="11796" max="11796" width="10" bestFit="1" customWidth="1"/>
    <col min="11797" max="11797" width="10" customWidth="1"/>
    <col min="11798" max="11798" width="13.33203125" customWidth="1"/>
    <col min="11799" max="11799" width="16" customWidth="1"/>
    <col min="11800" max="11800" width="10.33203125" customWidth="1"/>
    <col min="11801" max="11801" width="12" bestFit="1" customWidth="1"/>
    <col min="11802" max="11802" width="11" bestFit="1" customWidth="1"/>
    <col min="11804" max="11804" width="17.109375" customWidth="1"/>
    <col min="11805" max="11805" width="16.109375" customWidth="1"/>
    <col min="12033" max="12033" width="37.44140625" customWidth="1"/>
    <col min="12034" max="12034" width="14.5546875" customWidth="1"/>
    <col min="12035" max="12035" width="9.5546875" bestFit="1" customWidth="1"/>
    <col min="12039" max="12039" width="8" customWidth="1"/>
    <col min="12043" max="12043" width="11.33203125" customWidth="1"/>
    <col min="12044" max="12044" width="10.6640625" customWidth="1"/>
    <col min="12048" max="12048" width="10.109375" customWidth="1"/>
    <col min="12049" max="12049" width="9.33203125" customWidth="1"/>
    <col min="12050" max="12050" width="10.33203125" customWidth="1"/>
    <col min="12051" max="12051" width="12" bestFit="1" customWidth="1"/>
    <col min="12052" max="12052" width="10" bestFit="1" customWidth="1"/>
    <col min="12053" max="12053" width="10" customWidth="1"/>
    <col min="12054" max="12054" width="13.33203125" customWidth="1"/>
    <col min="12055" max="12055" width="16" customWidth="1"/>
    <col min="12056" max="12056" width="10.33203125" customWidth="1"/>
    <col min="12057" max="12057" width="12" bestFit="1" customWidth="1"/>
    <col min="12058" max="12058" width="11" bestFit="1" customWidth="1"/>
    <col min="12060" max="12060" width="17.109375" customWidth="1"/>
    <col min="12061" max="12061" width="16.109375" customWidth="1"/>
    <col min="12289" max="12289" width="37.44140625" customWidth="1"/>
    <col min="12290" max="12290" width="14.5546875" customWidth="1"/>
    <col min="12291" max="12291" width="9.5546875" bestFit="1" customWidth="1"/>
    <col min="12295" max="12295" width="8" customWidth="1"/>
    <col min="12299" max="12299" width="11.33203125" customWidth="1"/>
    <col min="12300" max="12300" width="10.6640625" customWidth="1"/>
    <col min="12304" max="12304" width="10.109375" customWidth="1"/>
    <col min="12305" max="12305" width="9.33203125" customWidth="1"/>
    <col min="12306" max="12306" width="10.33203125" customWidth="1"/>
    <col min="12307" max="12307" width="12" bestFit="1" customWidth="1"/>
    <col min="12308" max="12308" width="10" bestFit="1" customWidth="1"/>
    <col min="12309" max="12309" width="10" customWidth="1"/>
    <col min="12310" max="12310" width="13.33203125" customWidth="1"/>
    <col min="12311" max="12311" width="16" customWidth="1"/>
    <col min="12312" max="12312" width="10.33203125" customWidth="1"/>
    <col min="12313" max="12313" width="12" bestFit="1" customWidth="1"/>
    <col min="12314" max="12314" width="11" bestFit="1" customWidth="1"/>
    <col min="12316" max="12316" width="17.109375" customWidth="1"/>
    <col min="12317" max="12317" width="16.109375" customWidth="1"/>
    <col min="12545" max="12545" width="37.44140625" customWidth="1"/>
    <col min="12546" max="12546" width="14.5546875" customWidth="1"/>
    <col min="12547" max="12547" width="9.5546875" bestFit="1" customWidth="1"/>
    <col min="12551" max="12551" width="8" customWidth="1"/>
    <col min="12555" max="12555" width="11.33203125" customWidth="1"/>
    <col min="12556" max="12556" width="10.6640625" customWidth="1"/>
    <col min="12560" max="12560" width="10.109375" customWidth="1"/>
    <col min="12561" max="12561" width="9.33203125" customWidth="1"/>
    <col min="12562" max="12562" width="10.33203125" customWidth="1"/>
    <col min="12563" max="12563" width="12" bestFit="1" customWidth="1"/>
    <col min="12564" max="12564" width="10" bestFit="1" customWidth="1"/>
    <col min="12565" max="12565" width="10" customWidth="1"/>
    <col min="12566" max="12566" width="13.33203125" customWidth="1"/>
    <col min="12567" max="12567" width="16" customWidth="1"/>
    <col min="12568" max="12568" width="10.33203125" customWidth="1"/>
    <col min="12569" max="12569" width="12" bestFit="1" customWidth="1"/>
    <col min="12570" max="12570" width="11" bestFit="1" customWidth="1"/>
    <col min="12572" max="12572" width="17.109375" customWidth="1"/>
    <col min="12573" max="12573" width="16.109375" customWidth="1"/>
    <col min="12801" max="12801" width="37.44140625" customWidth="1"/>
    <col min="12802" max="12802" width="14.5546875" customWidth="1"/>
    <col min="12803" max="12803" width="9.5546875" bestFit="1" customWidth="1"/>
    <col min="12807" max="12807" width="8" customWidth="1"/>
    <col min="12811" max="12811" width="11.33203125" customWidth="1"/>
    <col min="12812" max="12812" width="10.6640625" customWidth="1"/>
    <col min="12816" max="12816" width="10.109375" customWidth="1"/>
    <col min="12817" max="12817" width="9.33203125" customWidth="1"/>
    <col min="12818" max="12818" width="10.33203125" customWidth="1"/>
    <col min="12819" max="12819" width="12" bestFit="1" customWidth="1"/>
    <col min="12820" max="12820" width="10" bestFit="1" customWidth="1"/>
    <col min="12821" max="12821" width="10" customWidth="1"/>
    <col min="12822" max="12822" width="13.33203125" customWidth="1"/>
    <col min="12823" max="12823" width="16" customWidth="1"/>
    <col min="12824" max="12824" width="10.33203125" customWidth="1"/>
    <col min="12825" max="12825" width="12" bestFit="1" customWidth="1"/>
    <col min="12826" max="12826" width="11" bestFit="1" customWidth="1"/>
    <col min="12828" max="12828" width="17.109375" customWidth="1"/>
    <col min="12829" max="12829" width="16.109375" customWidth="1"/>
    <col min="13057" max="13057" width="37.44140625" customWidth="1"/>
    <col min="13058" max="13058" width="14.5546875" customWidth="1"/>
    <col min="13059" max="13059" width="9.5546875" bestFit="1" customWidth="1"/>
    <col min="13063" max="13063" width="8" customWidth="1"/>
    <col min="13067" max="13067" width="11.33203125" customWidth="1"/>
    <col min="13068" max="13068" width="10.6640625" customWidth="1"/>
    <col min="13072" max="13072" width="10.109375" customWidth="1"/>
    <col min="13073" max="13073" width="9.33203125" customWidth="1"/>
    <col min="13074" max="13074" width="10.33203125" customWidth="1"/>
    <col min="13075" max="13075" width="12" bestFit="1" customWidth="1"/>
    <col min="13076" max="13076" width="10" bestFit="1" customWidth="1"/>
    <col min="13077" max="13077" width="10" customWidth="1"/>
    <col min="13078" max="13078" width="13.33203125" customWidth="1"/>
    <col min="13079" max="13079" width="16" customWidth="1"/>
    <col min="13080" max="13080" width="10.33203125" customWidth="1"/>
    <col min="13081" max="13081" width="12" bestFit="1" customWidth="1"/>
    <col min="13082" max="13082" width="11" bestFit="1" customWidth="1"/>
    <col min="13084" max="13084" width="17.109375" customWidth="1"/>
    <col min="13085" max="13085" width="16.109375" customWidth="1"/>
    <col min="13313" max="13313" width="37.44140625" customWidth="1"/>
    <col min="13314" max="13314" width="14.5546875" customWidth="1"/>
    <col min="13315" max="13315" width="9.5546875" bestFit="1" customWidth="1"/>
    <col min="13319" max="13319" width="8" customWidth="1"/>
    <col min="13323" max="13323" width="11.33203125" customWidth="1"/>
    <col min="13324" max="13324" width="10.6640625" customWidth="1"/>
    <col min="13328" max="13328" width="10.109375" customWidth="1"/>
    <col min="13329" max="13329" width="9.33203125" customWidth="1"/>
    <col min="13330" max="13330" width="10.33203125" customWidth="1"/>
    <col min="13331" max="13331" width="12" bestFit="1" customWidth="1"/>
    <col min="13332" max="13332" width="10" bestFit="1" customWidth="1"/>
    <col min="13333" max="13333" width="10" customWidth="1"/>
    <col min="13334" max="13334" width="13.33203125" customWidth="1"/>
    <col min="13335" max="13335" width="16" customWidth="1"/>
    <col min="13336" max="13336" width="10.33203125" customWidth="1"/>
    <col min="13337" max="13337" width="12" bestFit="1" customWidth="1"/>
    <col min="13338" max="13338" width="11" bestFit="1" customWidth="1"/>
    <col min="13340" max="13340" width="17.109375" customWidth="1"/>
    <col min="13341" max="13341" width="16.109375" customWidth="1"/>
    <col min="13569" max="13569" width="37.44140625" customWidth="1"/>
    <col min="13570" max="13570" width="14.5546875" customWidth="1"/>
    <col min="13571" max="13571" width="9.5546875" bestFit="1" customWidth="1"/>
    <col min="13575" max="13575" width="8" customWidth="1"/>
    <col min="13579" max="13579" width="11.33203125" customWidth="1"/>
    <col min="13580" max="13580" width="10.6640625" customWidth="1"/>
    <col min="13584" max="13584" width="10.109375" customWidth="1"/>
    <col min="13585" max="13585" width="9.33203125" customWidth="1"/>
    <col min="13586" max="13586" width="10.33203125" customWidth="1"/>
    <col min="13587" max="13587" width="12" bestFit="1" customWidth="1"/>
    <col min="13588" max="13588" width="10" bestFit="1" customWidth="1"/>
    <col min="13589" max="13589" width="10" customWidth="1"/>
    <col min="13590" max="13590" width="13.33203125" customWidth="1"/>
    <col min="13591" max="13591" width="16" customWidth="1"/>
    <col min="13592" max="13592" width="10.33203125" customWidth="1"/>
    <col min="13593" max="13593" width="12" bestFit="1" customWidth="1"/>
    <col min="13594" max="13594" width="11" bestFit="1" customWidth="1"/>
    <col min="13596" max="13596" width="17.109375" customWidth="1"/>
    <col min="13597" max="13597" width="16.109375" customWidth="1"/>
    <col min="13825" max="13825" width="37.44140625" customWidth="1"/>
    <col min="13826" max="13826" width="14.5546875" customWidth="1"/>
    <col min="13827" max="13827" width="9.5546875" bestFit="1" customWidth="1"/>
    <col min="13831" max="13831" width="8" customWidth="1"/>
    <col min="13835" max="13835" width="11.33203125" customWidth="1"/>
    <col min="13836" max="13836" width="10.6640625" customWidth="1"/>
    <col min="13840" max="13840" width="10.109375" customWidth="1"/>
    <col min="13841" max="13841" width="9.33203125" customWidth="1"/>
    <col min="13842" max="13842" width="10.33203125" customWidth="1"/>
    <col min="13843" max="13843" width="12" bestFit="1" customWidth="1"/>
    <col min="13844" max="13844" width="10" bestFit="1" customWidth="1"/>
    <col min="13845" max="13845" width="10" customWidth="1"/>
    <col min="13846" max="13846" width="13.33203125" customWidth="1"/>
    <col min="13847" max="13847" width="16" customWidth="1"/>
    <col min="13848" max="13848" width="10.33203125" customWidth="1"/>
    <col min="13849" max="13849" width="12" bestFit="1" customWidth="1"/>
    <col min="13850" max="13850" width="11" bestFit="1" customWidth="1"/>
    <col min="13852" max="13852" width="17.109375" customWidth="1"/>
    <col min="13853" max="13853" width="16.109375" customWidth="1"/>
    <col min="14081" max="14081" width="37.44140625" customWidth="1"/>
    <col min="14082" max="14082" width="14.5546875" customWidth="1"/>
    <col min="14083" max="14083" width="9.5546875" bestFit="1" customWidth="1"/>
    <col min="14087" max="14087" width="8" customWidth="1"/>
    <col min="14091" max="14091" width="11.33203125" customWidth="1"/>
    <col min="14092" max="14092" width="10.6640625" customWidth="1"/>
    <col min="14096" max="14096" width="10.109375" customWidth="1"/>
    <col min="14097" max="14097" width="9.33203125" customWidth="1"/>
    <col min="14098" max="14098" width="10.33203125" customWidth="1"/>
    <col min="14099" max="14099" width="12" bestFit="1" customWidth="1"/>
    <col min="14100" max="14100" width="10" bestFit="1" customWidth="1"/>
    <col min="14101" max="14101" width="10" customWidth="1"/>
    <col min="14102" max="14102" width="13.33203125" customWidth="1"/>
    <col min="14103" max="14103" width="16" customWidth="1"/>
    <col min="14104" max="14104" width="10.33203125" customWidth="1"/>
    <col min="14105" max="14105" width="12" bestFit="1" customWidth="1"/>
    <col min="14106" max="14106" width="11" bestFit="1" customWidth="1"/>
    <col min="14108" max="14108" width="17.109375" customWidth="1"/>
    <col min="14109" max="14109" width="16.109375" customWidth="1"/>
    <col min="14337" max="14337" width="37.44140625" customWidth="1"/>
    <col min="14338" max="14338" width="14.5546875" customWidth="1"/>
    <col min="14339" max="14339" width="9.5546875" bestFit="1" customWidth="1"/>
    <col min="14343" max="14343" width="8" customWidth="1"/>
    <col min="14347" max="14347" width="11.33203125" customWidth="1"/>
    <col min="14348" max="14348" width="10.6640625" customWidth="1"/>
    <col min="14352" max="14352" width="10.109375" customWidth="1"/>
    <col min="14353" max="14353" width="9.33203125" customWidth="1"/>
    <col min="14354" max="14354" width="10.33203125" customWidth="1"/>
    <col min="14355" max="14355" width="12" bestFit="1" customWidth="1"/>
    <col min="14356" max="14356" width="10" bestFit="1" customWidth="1"/>
    <col min="14357" max="14357" width="10" customWidth="1"/>
    <col min="14358" max="14358" width="13.33203125" customWidth="1"/>
    <col min="14359" max="14359" width="16" customWidth="1"/>
    <col min="14360" max="14360" width="10.33203125" customWidth="1"/>
    <col min="14361" max="14361" width="12" bestFit="1" customWidth="1"/>
    <col min="14362" max="14362" width="11" bestFit="1" customWidth="1"/>
    <col min="14364" max="14364" width="17.109375" customWidth="1"/>
    <col min="14365" max="14365" width="16.109375" customWidth="1"/>
    <col min="14593" max="14593" width="37.44140625" customWidth="1"/>
    <col min="14594" max="14594" width="14.5546875" customWidth="1"/>
    <col min="14595" max="14595" width="9.5546875" bestFit="1" customWidth="1"/>
    <col min="14599" max="14599" width="8" customWidth="1"/>
    <col min="14603" max="14603" width="11.33203125" customWidth="1"/>
    <col min="14604" max="14604" width="10.6640625" customWidth="1"/>
    <col min="14608" max="14608" width="10.109375" customWidth="1"/>
    <col min="14609" max="14609" width="9.33203125" customWidth="1"/>
    <col min="14610" max="14610" width="10.33203125" customWidth="1"/>
    <col min="14611" max="14611" width="12" bestFit="1" customWidth="1"/>
    <col min="14612" max="14612" width="10" bestFit="1" customWidth="1"/>
    <col min="14613" max="14613" width="10" customWidth="1"/>
    <col min="14614" max="14614" width="13.33203125" customWidth="1"/>
    <col min="14615" max="14615" width="16" customWidth="1"/>
    <col min="14616" max="14616" width="10.33203125" customWidth="1"/>
    <col min="14617" max="14617" width="12" bestFit="1" customWidth="1"/>
    <col min="14618" max="14618" width="11" bestFit="1" customWidth="1"/>
    <col min="14620" max="14620" width="17.109375" customWidth="1"/>
    <col min="14621" max="14621" width="16.109375" customWidth="1"/>
    <col min="14849" max="14849" width="37.44140625" customWidth="1"/>
    <col min="14850" max="14850" width="14.5546875" customWidth="1"/>
    <col min="14851" max="14851" width="9.5546875" bestFit="1" customWidth="1"/>
    <col min="14855" max="14855" width="8" customWidth="1"/>
    <col min="14859" max="14859" width="11.33203125" customWidth="1"/>
    <col min="14860" max="14860" width="10.6640625" customWidth="1"/>
    <col min="14864" max="14864" width="10.109375" customWidth="1"/>
    <col min="14865" max="14865" width="9.33203125" customWidth="1"/>
    <col min="14866" max="14866" width="10.33203125" customWidth="1"/>
    <col min="14867" max="14867" width="12" bestFit="1" customWidth="1"/>
    <col min="14868" max="14868" width="10" bestFit="1" customWidth="1"/>
    <col min="14869" max="14869" width="10" customWidth="1"/>
    <col min="14870" max="14870" width="13.33203125" customWidth="1"/>
    <col min="14871" max="14871" width="16" customWidth="1"/>
    <col min="14872" max="14872" width="10.33203125" customWidth="1"/>
    <col min="14873" max="14873" width="12" bestFit="1" customWidth="1"/>
    <col min="14874" max="14874" width="11" bestFit="1" customWidth="1"/>
    <col min="14876" max="14876" width="17.109375" customWidth="1"/>
    <col min="14877" max="14877" width="16.109375" customWidth="1"/>
    <col min="15105" max="15105" width="37.44140625" customWidth="1"/>
    <col min="15106" max="15106" width="14.5546875" customWidth="1"/>
    <col min="15107" max="15107" width="9.5546875" bestFit="1" customWidth="1"/>
    <col min="15111" max="15111" width="8" customWidth="1"/>
    <col min="15115" max="15115" width="11.33203125" customWidth="1"/>
    <col min="15116" max="15116" width="10.6640625" customWidth="1"/>
    <col min="15120" max="15120" width="10.109375" customWidth="1"/>
    <col min="15121" max="15121" width="9.33203125" customWidth="1"/>
    <col min="15122" max="15122" width="10.33203125" customWidth="1"/>
    <col min="15123" max="15123" width="12" bestFit="1" customWidth="1"/>
    <col min="15124" max="15124" width="10" bestFit="1" customWidth="1"/>
    <col min="15125" max="15125" width="10" customWidth="1"/>
    <col min="15126" max="15126" width="13.33203125" customWidth="1"/>
    <col min="15127" max="15127" width="16" customWidth="1"/>
    <col min="15128" max="15128" width="10.33203125" customWidth="1"/>
    <col min="15129" max="15129" width="12" bestFit="1" customWidth="1"/>
    <col min="15130" max="15130" width="11" bestFit="1" customWidth="1"/>
    <col min="15132" max="15132" width="17.109375" customWidth="1"/>
    <col min="15133" max="15133" width="16.109375" customWidth="1"/>
    <col min="15361" max="15361" width="37.44140625" customWidth="1"/>
    <col min="15362" max="15362" width="14.5546875" customWidth="1"/>
    <col min="15363" max="15363" width="9.5546875" bestFit="1" customWidth="1"/>
    <col min="15367" max="15367" width="8" customWidth="1"/>
    <col min="15371" max="15371" width="11.33203125" customWidth="1"/>
    <col min="15372" max="15372" width="10.6640625" customWidth="1"/>
    <col min="15376" max="15376" width="10.109375" customWidth="1"/>
    <col min="15377" max="15377" width="9.33203125" customWidth="1"/>
    <col min="15378" max="15378" width="10.33203125" customWidth="1"/>
    <col min="15379" max="15379" width="12" bestFit="1" customWidth="1"/>
    <col min="15380" max="15380" width="10" bestFit="1" customWidth="1"/>
    <col min="15381" max="15381" width="10" customWidth="1"/>
    <col min="15382" max="15382" width="13.33203125" customWidth="1"/>
    <col min="15383" max="15383" width="16" customWidth="1"/>
    <col min="15384" max="15384" width="10.33203125" customWidth="1"/>
    <col min="15385" max="15385" width="12" bestFit="1" customWidth="1"/>
    <col min="15386" max="15386" width="11" bestFit="1" customWidth="1"/>
    <col min="15388" max="15388" width="17.109375" customWidth="1"/>
    <col min="15389" max="15389" width="16.109375" customWidth="1"/>
    <col min="15617" max="15617" width="37.44140625" customWidth="1"/>
    <col min="15618" max="15618" width="14.5546875" customWidth="1"/>
    <col min="15619" max="15619" width="9.5546875" bestFit="1" customWidth="1"/>
    <col min="15623" max="15623" width="8" customWidth="1"/>
    <col min="15627" max="15627" width="11.33203125" customWidth="1"/>
    <col min="15628" max="15628" width="10.6640625" customWidth="1"/>
    <col min="15632" max="15632" width="10.109375" customWidth="1"/>
    <col min="15633" max="15633" width="9.33203125" customWidth="1"/>
    <col min="15634" max="15634" width="10.33203125" customWidth="1"/>
    <col min="15635" max="15635" width="12" bestFit="1" customWidth="1"/>
    <col min="15636" max="15636" width="10" bestFit="1" customWidth="1"/>
    <col min="15637" max="15637" width="10" customWidth="1"/>
    <col min="15638" max="15638" width="13.33203125" customWidth="1"/>
    <col min="15639" max="15639" width="16" customWidth="1"/>
    <col min="15640" max="15640" width="10.33203125" customWidth="1"/>
    <col min="15641" max="15641" width="12" bestFit="1" customWidth="1"/>
    <col min="15642" max="15642" width="11" bestFit="1" customWidth="1"/>
    <col min="15644" max="15644" width="17.109375" customWidth="1"/>
    <col min="15645" max="15645" width="16.109375" customWidth="1"/>
    <col min="15873" max="15873" width="37.44140625" customWidth="1"/>
    <col min="15874" max="15874" width="14.5546875" customWidth="1"/>
    <col min="15875" max="15875" width="9.5546875" bestFit="1" customWidth="1"/>
    <col min="15879" max="15879" width="8" customWidth="1"/>
    <col min="15883" max="15883" width="11.33203125" customWidth="1"/>
    <col min="15884" max="15884" width="10.6640625" customWidth="1"/>
    <col min="15888" max="15888" width="10.109375" customWidth="1"/>
    <col min="15889" max="15889" width="9.33203125" customWidth="1"/>
    <col min="15890" max="15890" width="10.33203125" customWidth="1"/>
    <col min="15891" max="15891" width="12" bestFit="1" customWidth="1"/>
    <col min="15892" max="15892" width="10" bestFit="1" customWidth="1"/>
    <col min="15893" max="15893" width="10" customWidth="1"/>
    <col min="15894" max="15894" width="13.33203125" customWidth="1"/>
    <col min="15895" max="15895" width="16" customWidth="1"/>
    <col min="15896" max="15896" width="10.33203125" customWidth="1"/>
    <col min="15897" max="15897" width="12" bestFit="1" customWidth="1"/>
    <col min="15898" max="15898" width="11" bestFit="1" customWidth="1"/>
    <col min="15900" max="15900" width="17.109375" customWidth="1"/>
    <col min="15901" max="15901" width="16.109375" customWidth="1"/>
    <col min="16129" max="16129" width="37.44140625" customWidth="1"/>
    <col min="16130" max="16130" width="14.5546875" customWidth="1"/>
    <col min="16131" max="16131" width="9.5546875" bestFit="1" customWidth="1"/>
    <col min="16135" max="16135" width="8" customWidth="1"/>
    <col min="16139" max="16139" width="11.33203125" customWidth="1"/>
    <col min="16140" max="16140" width="10.6640625" customWidth="1"/>
    <col min="16144" max="16144" width="10.109375" customWidth="1"/>
    <col min="16145" max="16145" width="9.33203125" customWidth="1"/>
    <col min="16146" max="16146" width="10.33203125" customWidth="1"/>
    <col min="16147" max="16147" width="12" bestFit="1" customWidth="1"/>
    <col min="16148" max="16148" width="10" bestFit="1" customWidth="1"/>
    <col min="16149" max="16149" width="10" customWidth="1"/>
    <col min="16150" max="16150" width="13.33203125" customWidth="1"/>
    <col min="16151" max="16151" width="16" customWidth="1"/>
    <col min="16152" max="16152" width="10.33203125" customWidth="1"/>
    <col min="16153" max="16153" width="12" bestFit="1" customWidth="1"/>
    <col min="16154" max="16154" width="11" bestFit="1" customWidth="1"/>
    <col min="16156" max="16156" width="17.109375" customWidth="1"/>
    <col min="16157" max="16157" width="16.109375" customWidth="1"/>
  </cols>
  <sheetData>
    <row r="1" spans="1:6" x14ac:dyDescent="0.25">
      <c r="A1" s="2" t="s">
        <v>238</v>
      </c>
      <c r="B1" t="s">
        <v>1038</v>
      </c>
    </row>
    <row r="2" spans="1:6" x14ac:dyDescent="0.25">
      <c r="A2" s="2" t="s">
        <v>241</v>
      </c>
      <c r="B2" t="s">
        <v>1039</v>
      </c>
    </row>
    <row r="3" spans="1:6" x14ac:dyDescent="0.25">
      <c r="A3" s="2" t="s">
        <v>239</v>
      </c>
      <c r="B3" t="s">
        <v>1040</v>
      </c>
    </row>
    <row r="4" spans="1:6" x14ac:dyDescent="0.25">
      <c r="A4" s="2" t="s">
        <v>240</v>
      </c>
      <c r="B4" s="1">
        <v>2002</v>
      </c>
    </row>
    <row r="5" spans="1:6" x14ac:dyDescent="0.25">
      <c r="A5" s="2"/>
      <c r="B5" s="1"/>
    </row>
    <row r="6" spans="1:6" x14ac:dyDescent="0.25">
      <c r="A6" s="447" t="s">
        <v>415</v>
      </c>
      <c r="B6" s="103"/>
      <c r="C6" s="104"/>
      <c r="F6" s="923"/>
    </row>
    <row r="7" spans="1:6" x14ac:dyDescent="0.25">
      <c r="A7" s="147" t="s">
        <v>1041</v>
      </c>
      <c r="B7" s="328"/>
      <c r="C7" s="148">
        <f>Unitflowchart!S9</f>
        <v>15</v>
      </c>
    </row>
    <row r="8" spans="1:6" x14ac:dyDescent="0.25">
      <c r="A8" s="147" t="s">
        <v>1042</v>
      </c>
      <c r="B8" s="328" t="s">
        <v>1000</v>
      </c>
      <c r="C8" s="148">
        <f>Unitflowchart!S7</f>
        <v>20000</v>
      </c>
    </row>
    <row r="9" spans="1:6" x14ac:dyDescent="0.25">
      <c r="A9" s="925" t="s">
        <v>1404</v>
      </c>
      <c r="B9" s="328" t="s">
        <v>481</v>
      </c>
      <c r="C9" s="148">
        <f>Unitflowchart!S23</f>
        <v>73.5</v>
      </c>
    </row>
    <row r="10" spans="1:6" x14ac:dyDescent="0.25">
      <c r="A10" s="925" t="s">
        <v>1366</v>
      </c>
      <c r="B10" s="1014" t="s">
        <v>1368</v>
      </c>
      <c r="C10" s="148">
        <f>p_fert_app_rate</f>
        <v>7</v>
      </c>
    </row>
    <row r="11" spans="1:6" x14ac:dyDescent="0.25">
      <c r="A11" s="925" t="s">
        <v>1367</v>
      </c>
      <c r="B11" s="1014" t="s">
        <v>1369</v>
      </c>
      <c r="C11" s="148">
        <f>k_fert_app_rate</f>
        <v>105</v>
      </c>
    </row>
    <row r="12" spans="1:6" x14ac:dyDescent="0.25">
      <c r="A12" s="925" t="s">
        <v>1429</v>
      </c>
      <c r="B12" s="1014" t="s">
        <v>1433</v>
      </c>
      <c r="C12" s="148">
        <f>lime_app_rate</f>
        <v>200</v>
      </c>
    </row>
    <row r="13" spans="1:6" x14ac:dyDescent="0.25">
      <c r="A13" s="925" t="s">
        <v>1402</v>
      </c>
      <c r="B13" s="1014"/>
      <c r="C13" s="148" t="str">
        <f>lime_type</f>
        <v>CaO</v>
      </c>
    </row>
    <row r="14" spans="1:6" x14ac:dyDescent="0.25">
      <c r="A14" s="925" t="s">
        <v>1159</v>
      </c>
      <c r="B14" s="328" t="s">
        <v>1162</v>
      </c>
      <c r="C14" s="148">
        <f>ncv_diesel</f>
        <v>36.608381999999999</v>
      </c>
    </row>
    <row r="15" spans="1:6" x14ac:dyDescent="0.25">
      <c r="A15" s="147" t="s">
        <v>1141</v>
      </c>
      <c r="B15" s="328" t="s">
        <v>135</v>
      </c>
      <c r="C15" s="148">
        <f>include_subsoil</f>
        <v>1</v>
      </c>
    </row>
    <row r="16" spans="1:6" x14ac:dyDescent="0.25">
      <c r="A16" s="149" t="s">
        <v>1044</v>
      </c>
      <c r="B16" s="389" t="s">
        <v>135</v>
      </c>
      <c r="C16" s="116">
        <f>include_machinery</f>
        <v>0</v>
      </c>
    </row>
    <row r="17" spans="1:32" x14ac:dyDescent="0.25">
      <c r="A17" s="212"/>
      <c r="B17" s="42"/>
      <c r="C17" s="155"/>
    </row>
    <row r="18" spans="1:32" s="43" customFormat="1" x14ac:dyDescent="0.25">
      <c r="A18" s="154" t="s">
        <v>41</v>
      </c>
      <c r="B18" s="356"/>
    </row>
    <row r="19" spans="1:32" x14ac:dyDescent="0.25">
      <c r="A19" t="s">
        <v>243</v>
      </c>
      <c r="B19" t="s">
        <v>242</v>
      </c>
      <c r="E19" t="s">
        <v>28</v>
      </c>
      <c r="F19" t="s">
        <v>245</v>
      </c>
      <c r="I19" t="s">
        <v>28</v>
      </c>
      <c r="J19" t="s">
        <v>248</v>
      </c>
      <c r="L19" t="s">
        <v>249</v>
      </c>
      <c r="O19" t="s">
        <v>28</v>
      </c>
      <c r="P19" t="s">
        <v>250</v>
      </c>
      <c r="R19" t="s">
        <v>251</v>
      </c>
      <c r="U19" t="s">
        <v>28</v>
      </c>
      <c r="V19" t="s">
        <v>252</v>
      </c>
      <c r="X19" t="s">
        <v>253</v>
      </c>
      <c r="AA19" t="s">
        <v>28</v>
      </c>
      <c r="AB19" t="s">
        <v>254</v>
      </c>
    </row>
    <row r="20" spans="1:32" x14ac:dyDescent="0.25">
      <c r="B20" t="s">
        <v>244</v>
      </c>
      <c r="C20" t="s">
        <v>246</v>
      </c>
      <c r="D20" t="s">
        <v>247</v>
      </c>
      <c r="F20" t="s">
        <v>244</v>
      </c>
      <c r="G20" t="s">
        <v>246</v>
      </c>
      <c r="H20" t="s">
        <v>247</v>
      </c>
      <c r="J20" t="s">
        <v>246</v>
      </c>
      <c r="K20" t="s">
        <v>247</v>
      </c>
      <c r="L20" t="s">
        <v>244</v>
      </c>
      <c r="M20" t="s">
        <v>246</v>
      </c>
      <c r="N20" t="s">
        <v>247</v>
      </c>
      <c r="P20" t="s">
        <v>246</v>
      </c>
      <c r="Q20" t="s">
        <v>247</v>
      </c>
      <c r="R20" t="s">
        <v>244</v>
      </c>
      <c r="S20" t="s">
        <v>246</v>
      </c>
      <c r="T20" t="s">
        <v>247</v>
      </c>
      <c r="V20" t="s">
        <v>246</v>
      </c>
      <c r="W20" t="s">
        <v>247</v>
      </c>
      <c r="X20" t="s">
        <v>244</v>
      </c>
      <c r="Y20" t="s">
        <v>246</v>
      </c>
      <c r="Z20" t="s">
        <v>247</v>
      </c>
      <c r="AB20" t="s">
        <v>246</v>
      </c>
      <c r="AC20" t="s">
        <v>247</v>
      </c>
      <c r="AF20" s="923" t="s">
        <v>1372</v>
      </c>
    </row>
    <row r="21" spans="1:32" x14ac:dyDescent="0.25">
      <c r="A21" s="2" t="s">
        <v>1</v>
      </c>
      <c r="C21" s="1"/>
      <c r="D21" s="1"/>
      <c r="E21" s="1"/>
      <c r="G21" s="1"/>
      <c r="H21" s="1"/>
      <c r="I21" s="1"/>
      <c r="J21" s="1"/>
      <c r="K21" s="1"/>
    </row>
    <row r="22" spans="1:32" x14ac:dyDescent="0.25">
      <c r="A22" s="942" t="s">
        <v>1275</v>
      </c>
      <c r="C22" s="1"/>
      <c r="D22" s="1"/>
      <c r="E22" s="1"/>
      <c r="G22" s="1"/>
      <c r="H22" s="1"/>
      <c r="I22" s="1"/>
      <c r="J22" s="1"/>
      <c r="K22" s="1"/>
    </row>
    <row r="23" spans="1:32" s="869" customFormat="1" ht="15.6" x14ac:dyDescent="0.25">
      <c r="A23" s="889" t="s">
        <v>1265</v>
      </c>
      <c r="B23" s="119" t="s">
        <v>6</v>
      </c>
      <c r="C23" s="870">
        <f>C14*C36*diesel_subsoil</f>
        <v>61.523436649499999</v>
      </c>
      <c r="D23" s="871">
        <v>0</v>
      </c>
      <c r="E23" s="974" t="s">
        <v>1266</v>
      </c>
      <c r="F23" s="869" t="s">
        <v>7</v>
      </c>
      <c r="G23" s="980">
        <v>1.073</v>
      </c>
      <c r="H23" s="871">
        <v>0</v>
      </c>
      <c r="I23" t="s">
        <v>1326</v>
      </c>
      <c r="J23" s="872">
        <f>C23*G23</f>
        <v>66.014647524913499</v>
      </c>
      <c r="K23" s="872">
        <f>SQRT(((D23*G23)^2)+((C23*H23)^2))</f>
        <v>0</v>
      </c>
      <c r="L23" s="869" t="s">
        <v>1045</v>
      </c>
      <c r="M23" s="980">
        <v>7.6999999999999999E-2</v>
      </c>
      <c r="N23" s="871">
        <v>0</v>
      </c>
      <c r="O23" t="s">
        <v>1327</v>
      </c>
      <c r="P23" s="872">
        <f>C23*M23</f>
        <v>4.7373046220115</v>
      </c>
      <c r="Q23" s="872">
        <f>SQRT(((D23*M23)^2)+((C23*N23)^2))</f>
        <v>0</v>
      </c>
      <c r="R23" s="869" t="s">
        <v>1046</v>
      </c>
      <c r="S23" s="873">
        <v>1.5999999999999999E-5</v>
      </c>
      <c r="T23" s="926">
        <v>0</v>
      </c>
      <c r="U23" t="s">
        <v>1328</v>
      </c>
      <c r="V23" s="874">
        <f>C23*S23</f>
        <v>9.8437498639199986E-4</v>
      </c>
      <c r="W23" s="874">
        <f>SQRT(((D23*S23)^2)+((C23*T23)^2))</f>
        <v>0</v>
      </c>
      <c r="X23" s="869" t="s">
        <v>1047</v>
      </c>
      <c r="Y23" s="873">
        <v>2.0800000000000001E-5</v>
      </c>
      <c r="Z23" s="926">
        <v>0</v>
      </c>
      <c r="AA23" t="s">
        <v>1329</v>
      </c>
      <c r="AB23" s="874">
        <f>C23*Y23</f>
        <v>1.2796874823096001E-3</v>
      </c>
      <c r="AC23" s="874">
        <f>SQRT(((D23*Y23)^2)+((C23*Z23)^2))</f>
        <v>0</v>
      </c>
      <c r="AE23" s="1018">
        <f>(AB23*GlobalWarmingPotentials!C11)+(V23*GlobalWarmingPotentials!B11)+Cultivation!P23</f>
        <v>5.1387327414621575</v>
      </c>
    </row>
    <row r="24" spans="1:32" s="869" customFormat="1" ht="15.6" x14ac:dyDescent="0.25">
      <c r="A24" s="889" t="s">
        <v>1259</v>
      </c>
      <c r="B24" s="119" t="s">
        <v>6</v>
      </c>
      <c r="C24" s="870">
        <f>$C$14*C37*diesel_plough</f>
        <v>61.550892935999997</v>
      </c>
      <c r="D24" s="871">
        <v>0</v>
      </c>
      <c r="E24" s="974" t="s">
        <v>1274</v>
      </c>
      <c r="F24" s="869" t="s">
        <v>7</v>
      </c>
      <c r="G24" s="980">
        <v>1.073</v>
      </c>
      <c r="H24" s="871">
        <v>0</v>
      </c>
      <c r="I24" t="s">
        <v>1326</v>
      </c>
      <c r="J24" s="872">
        <f t="shared" ref="J24:J31" si="0">C24*G24</f>
        <v>66.044108120327991</v>
      </c>
      <c r="K24" s="872">
        <f t="shared" ref="K24:K31" si="1">SQRT(((D24*G24)^2)+((C24*H24)^2))</f>
        <v>0</v>
      </c>
      <c r="L24" s="869" t="s">
        <v>1045</v>
      </c>
      <c r="M24" s="980">
        <v>7.6999999999999999E-2</v>
      </c>
      <c r="N24" s="871">
        <v>0</v>
      </c>
      <c r="O24" t="s">
        <v>1327</v>
      </c>
      <c r="P24" s="872">
        <f t="shared" ref="P24:P31" si="2">C24*M24</f>
        <v>4.7394187560719994</v>
      </c>
      <c r="Q24" s="872">
        <f t="shared" ref="Q24:Q31" si="3">SQRT(((D24*M24)^2)+((C24*N24)^2))</f>
        <v>0</v>
      </c>
      <c r="R24" s="869" t="s">
        <v>1046</v>
      </c>
      <c r="S24" s="873">
        <v>1.5999999999999999E-5</v>
      </c>
      <c r="T24" s="926">
        <v>0</v>
      </c>
      <c r="U24" t="s">
        <v>1328</v>
      </c>
      <c r="V24" s="874">
        <f t="shared" ref="V24:V31" si="4">C24*S24</f>
        <v>9.8481428697599991E-4</v>
      </c>
      <c r="W24" s="874">
        <f t="shared" ref="W24:W31" si="5">SQRT(((D24*S24)^2)+((C24*T24)^2))</f>
        <v>0</v>
      </c>
      <c r="X24" s="869" t="s">
        <v>1047</v>
      </c>
      <c r="Y24" s="873">
        <v>2.0800000000000001E-5</v>
      </c>
      <c r="Z24" s="926">
        <v>0</v>
      </c>
      <c r="AA24" t="s">
        <v>1329</v>
      </c>
      <c r="AB24" s="874">
        <f t="shared" ref="AB24:AB31" si="6">C24*Y24</f>
        <v>1.2802585730687999E-3</v>
      </c>
      <c r="AC24" s="874">
        <f t="shared" ref="AC24:AC31" si="7">SQRT(((D24*Y24)^2)+((C24*Z24)^2))</f>
        <v>0</v>
      </c>
      <c r="AE24" s="1018">
        <f>(AB24*GlobalWarmingPotentials!C12)+(V24*GlobalWarmingPotentials!B12)+Cultivation!P24</f>
        <v>4.7394187560719994</v>
      </c>
    </row>
    <row r="25" spans="1:32" s="869" customFormat="1" ht="15.6" x14ac:dyDescent="0.25">
      <c r="A25" s="889" t="s">
        <v>1260</v>
      </c>
      <c r="B25" s="119" t="s">
        <v>6</v>
      </c>
      <c r="C25" s="870">
        <f>$C$14*C38*diesel_harrow</f>
        <v>32.215376159999998</v>
      </c>
      <c r="D25" s="871">
        <v>0</v>
      </c>
      <c r="E25" s="974" t="s">
        <v>1274</v>
      </c>
      <c r="F25" s="869" t="s">
        <v>7</v>
      </c>
      <c r="G25" s="980">
        <v>1.073</v>
      </c>
      <c r="H25" s="871">
        <v>0</v>
      </c>
      <c r="I25" t="s">
        <v>1326</v>
      </c>
      <c r="J25" s="872">
        <f t="shared" si="0"/>
        <v>34.567098619679996</v>
      </c>
      <c r="K25" s="872">
        <f t="shared" si="1"/>
        <v>0</v>
      </c>
      <c r="L25" s="869" t="s">
        <v>1045</v>
      </c>
      <c r="M25" s="980">
        <v>7.6999999999999999E-2</v>
      </c>
      <c r="N25" s="871">
        <v>0</v>
      </c>
      <c r="O25" t="s">
        <v>1327</v>
      </c>
      <c r="P25" s="872">
        <f t="shared" si="2"/>
        <v>2.4805839643199996</v>
      </c>
      <c r="Q25" s="872">
        <f t="shared" si="3"/>
        <v>0</v>
      </c>
      <c r="R25" s="869" t="s">
        <v>1046</v>
      </c>
      <c r="S25" s="873">
        <v>1.5999999999999999E-5</v>
      </c>
      <c r="T25" s="926">
        <v>0</v>
      </c>
      <c r="U25" t="s">
        <v>1328</v>
      </c>
      <c r="V25" s="874">
        <f t="shared" si="4"/>
        <v>5.1544601855999992E-4</v>
      </c>
      <c r="W25" s="874">
        <f t="shared" si="5"/>
        <v>0</v>
      </c>
      <c r="X25" s="869" t="s">
        <v>1047</v>
      </c>
      <c r="Y25" s="873">
        <v>2.0800000000000001E-5</v>
      </c>
      <c r="Z25" s="926">
        <v>0</v>
      </c>
      <c r="AA25" t="s">
        <v>1329</v>
      </c>
      <c r="AB25" s="874">
        <f t="shared" si="6"/>
        <v>6.7007982412799997E-4</v>
      </c>
      <c r="AC25" s="874">
        <f t="shared" si="7"/>
        <v>0</v>
      </c>
      <c r="AE25" s="1018">
        <f>(AB25*GlobalWarmingPotentials!C13)+(V25*GlobalWarmingPotentials!B13)+Cultivation!P25</f>
        <v>2.4805839643199996</v>
      </c>
    </row>
    <row r="26" spans="1:32" s="869" customFormat="1" ht="15.6" x14ac:dyDescent="0.25">
      <c r="A26" s="889" t="s">
        <v>1261</v>
      </c>
      <c r="B26" s="119" t="s">
        <v>6</v>
      </c>
      <c r="C26" s="870">
        <f>$C$14*C39*diesel_planter</f>
        <v>53.692293599999999</v>
      </c>
      <c r="D26" s="871">
        <v>0</v>
      </c>
      <c r="E26" s="974" t="s">
        <v>1274</v>
      </c>
      <c r="F26" s="869" t="s">
        <v>7</v>
      </c>
      <c r="G26" s="980">
        <v>1.073</v>
      </c>
      <c r="H26" s="871">
        <v>0</v>
      </c>
      <c r="I26" t="s">
        <v>1326</v>
      </c>
      <c r="J26" s="872">
        <f t="shared" si="0"/>
        <v>57.611831032799998</v>
      </c>
      <c r="K26" s="872">
        <f t="shared" si="1"/>
        <v>0</v>
      </c>
      <c r="L26" s="869" t="s">
        <v>1045</v>
      </c>
      <c r="M26" s="980">
        <v>7.6999999999999999E-2</v>
      </c>
      <c r="N26" s="871">
        <v>0</v>
      </c>
      <c r="O26" t="s">
        <v>1327</v>
      </c>
      <c r="P26" s="872">
        <f t="shared" si="2"/>
        <v>4.1343066072000001</v>
      </c>
      <c r="Q26" s="872">
        <f t="shared" si="3"/>
        <v>0</v>
      </c>
      <c r="R26" s="869" t="s">
        <v>1046</v>
      </c>
      <c r="S26" s="873">
        <v>1.5999999999999999E-5</v>
      </c>
      <c r="T26" s="926">
        <v>0</v>
      </c>
      <c r="U26" t="s">
        <v>1328</v>
      </c>
      <c r="V26" s="874">
        <f t="shared" si="4"/>
        <v>8.5907669759999997E-4</v>
      </c>
      <c r="W26" s="874">
        <f t="shared" si="5"/>
        <v>0</v>
      </c>
      <c r="X26" s="869" t="s">
        <v>1047</v>
      </c>
      <c r="Y26" s="873">
        <v>2.0800000000000001E-5</v>
      </c>
      <c r="Z26" s="926">
        <v>0</v>
      </c>
      <c r="AA26" t="s">
        <v>1329</v>
      </c>
      <c r="AB26" s="874">
        <f t="shared" si="6"/>
        <v>1.11679970688E-3</v>
      </c>
      <c r="AC26" s="874">
        <f t="shared" si="7"/>
        <v>0</v>
      </c>
      <c r="AE26" s="1018">
        <f>(AB26*GlobalWarmingPotentials!C14)+(V26*GlobalWarmingPotentials!B14)+Cultivation!P26</f>
        <v>4.1343066072000001</v>
      </c>
    </row>
    <row r="27" spans="1:32" s="869" customFormat="1" ht="15.6" x14ac:dyDescent="0.25">
      <c r="A27" s="889" t="s">
        <v>1262</v>
      </c>
      <c r="B27" s="119" t="s">
        <v>6</v>
      </c>
      <c r="C27" s="870">
        <f>$C$14*C40*diesel_rolling</f>
        <v>9.6646128479999991</v>
      </c>
      <c r="D27" s="871">
        <v>0</v>
      </c>
      <c r="E27" s="974" t="s">
        <v>1274</v>
      </c>
      <c r="F27" s="869" t="s">
        <v>7</v>
      </c>
      <c r="G27" s="980">
        <v>1.073</v>
      </c>
      <c r="H27" s="871">
        <v>0</v>
      </c>
      <c r="I27" t="s">
        <v>1326</v>
      </c>
      <c r="J27" s="872">
        <f t="shared" si="0"/>
        <v>10.370129585903998</v>
      </c>
      <c r="K27" s="872">
        <f t="shared" si="1"/>
        <v>0</v>
      </c>
      <c r="L27" s="869" t="s">
        <v>1045</v>
      </c>
      <c r="M27" s="980">
        <v>7.6999999999999999E-2</v>
      </c>
      <c r="N27" s="871">
        <v>0</v>
      </c>
      <c r="O27" t="s">
        <v>1327</v>
      </c>
      <c r="P27" s="872">
        <f t="shared" si="2"/>
        <v>0.74417518929599991</v>
      </c>
      <c r="Q27" s="872">
        <f t="shared" si="3"/>
        <v>0</v>
      </c>
      <c r="R27" s="869" t="s">
        <v>1046</v>
      </c>
      <c r="S27" s="873">
        <v>1.5999999999999999E-5</v>
      </c>
      <c r="T27" s="926">
        <v>0</v>
      </c>
      <c r="U27" t="s">
        <v>1328</v>
      </c>
      <c r="V27" s="874">
        <f t="shared" si="4"/>
        <v>1.5463380556799997E-4</v>
      </c>
      <c r="W27" s="874">
        <f t="shared" si="5"/>
        <v>0</v>
      </c>
      <c r="X27" s="869" t="s">
        <v>1047</v>
      </c>
      <c r="Y27" s="873">
        <v>2.0800000000000001E-5</v>
      </c>
      <c r="Z27" s="926">
        <v>0</v>
      </c>
      <c r="AA27" t="s">
        <v>1329</v>
      </c>
      <c r="AB27" s="874">
        <f t="shared" si="6"/>
        <v>2.0102394723839998E-4</v>
      </c>
      <c r="AC27" s="874">
        <f t="shared" si="7"/>
        <v>0</v>
      </c>
      <c r="AE27" s="1018">
        <f>(AB27*GlobalWarmingPotentials!C15)+(V27*GlobalWarmingPotentials!B15)+Cultivation!P27</f>
        <v>0.74417518929599991</v>
      </c>
    </row>
    <row r="28" spans="1:32" s="869" customFormat="1" ht="15.6" x14ac:dyDescent="0.25">
      <c r="A28" s="889" t="s">
        <v>1263</v>
      </c>
      <c r="B28" s="119" t="s">
        <v>6</v>
      </c>
      <c r="C28" s="870">
        <f>$C$14*C41*diesel_fert</f>
        <v>241.61532119999998</v>
      </c>
      <c r="D28" s="871">
        <v>0</v>
      </c>
      <c r="E28" s="974" t="s">
        <v>1274</v>
      </c>
      <c r="F28" s="869" t="s">
        <v>7</v>
      </c>
      <c r="G28" s="980">
        <v>1.073</v>
      </c>
      <c r="H28" s="871">
        <v>0</v>
      </c>
      <c r="I28" t="s">
        <v>1326</v>
      </c>
      <c r="J28" s="872">
        <f t="shared" si="0"/>
        <v>259.25323964759997</v>
      </c>
      <c r="K28" s="872">
        <f t="shared" si="1"/>
        <v>0</v>
      </c>
      <c r="L28" s="869" t="s">
        <v>1045</v>
      </c>
      <c r="M28" s="980">
        <v>7.6999999999999999E-2</v>
      </c>
      <c r="N28" s="871">
        <v>0</v>
      </c>
      <c r="O28" t="s">
        <v>1327</v>
      </c>
      <c r="P28" s="872">
        <f t="shared" si="2"/>
        <v>18.604379732399998</v>
      </c>
      <c r="Q28" s="872">
        <f t="shared" si="3"/>
        <v>0</v>
      </c>
      <c r="R28" s="869" t="s">
        <v>1046</v>
      </c>
      <c r="S28" s="873">
        <v>1.5999999999999999E-5</v>
      </c>
      <c r="T28" s="926">
        <v>0</v>
      </c>
      <c r="U28" t="s">
        <v>1328</v>
      </c>
      <c r="V28" s="874">
        <f t="shared" si="4"/>
        <v>3.8658451391999997E-3</v>
      </c>
      <c r="W28" s="874">
        <f t="shared" si="5"/>
        <v>0</v>
      </c>
      <c r="X28" s="869" t="s">
        <v>1047</v>
      </c>
      <c r="Y28" s="873">
        <v>2.0800000000000001E-5</v>
      </c>
      <c r="Z28" s="926">
        <v>0</v>
      </c>
      <c r="AA28" t="s">
        <v>1329</v>
      </c>
      <c r="AB28" s="874">
        <f t="shared" si="6"/>
        <v>5.0255986809600002E-3</v>
      </c>
      <c r="AC28" s="874">
        <f t="shared" si="7"/>
        <v>0</v>
      </c>
      <c r="AE28" s="1018">
        <f>(AB28*GlobalWarmingPotentials!C16)+(V28*GlobalWarmingPotentials!B16)+Cultivation!P28</f>
        <v>18.604379732399998</v>
      </c>
    </row>
    <row r="29" spans="1:32" s="869" customFormat="1" ht="15.6" x14ac:dyDescent="0.25">
      <c r="A29" s="889" t="s">
        <v>1264</v>
      </c>
      <c r="B29" s="119" t="s">
        <v>6</v>
      </c>
      <c r="C29" s="870">
        <f>$C$14*C42*diesel_spray</f>
        <v>19.329225695999998</v>
      </c>
      <c r="D29" s="871">
        <v>0</v>
      </c>
      <c r="E29" s="974" t="s">
        <v>1274</v>
      </c>
      <c r="F29" s="869" t="s">
        <v>7</v>
      </c>
      <c r="G29" s="980">
        <v>1.073</v>
      </c>
      <c r="H29" s="871">
        <v>0</v>
      </c>
      <c r="I29" t="s">
        <v>1326</v>
      </c>
      <c r="J29" s="872">
        <f t="shared" si="0"/>
        <v>20.740259171807995</v>
      </c>
      <c r="K29" s="872">
        <f t="shared" si="1"/>
        <v>0</v>
      </c>
      <c r="L29" s="869" t="s">
        <v>1045</v>
      </c>
      <c r="M29" s="980">
        <v>7.6999999999999999E-2</v>
      </c>
      <c r="N29" s="871">
        <v>0</v>
      </c>
      <c r="O29" t="s">
        <v>1327</v>
      </c>
      <c r="P29" s="872">
        <f t="shared" si="2"/>
        <v>1.4883503785919998</v>
      </c>
      <c r="Q29" s="872">
        <f t="shared" si="3"/>
        <v>0</v>
      </c>
      <c r="R29" s="869" t="s">
        <v>1046</v>
      </c>
      <c r="S29" s="873">
        <v>1.5999999999999999E-5</v>
      </c>
      <c r="T29" s="926">
        <v>0</v>
      </c>
      <c r="U29" t="s">
        <v>1328</v>
      </c>
      <c r="V29" s="874">
        <f t="shared" si="4"/>
        <v>3.0926761113599994E-4</v>
      </c>
      <c r="W29" s="874">
        <f t="shared" si="5"/>
        <v>0</v>
      </c>
      <c r="X29" s="869" t="s">
        <v>1047</v>
      </c>
      <c r="Y29" s="873">
        <v>2.0800000000000001E-5</v>
      </c>
      <c r="Z29" s="926">
        <v>0</v>
      </c>
      <c r="AA29" t="s">
        <v>1329</v>
      </c>
      <c r="AB29" s="874">
        <f t="shared" si="6"/>
        <v>4.0204789447679997E-4</v>
      </c>
      <c r="AC29" s="874">
        <f t="shared" si="7"/>
        <v>0</v>
      </c>
      <c r="AE29" s="1018">
        <f>(AB29*GlobalWarmingPotentials!C17)+(V29*GlobalWarmingPotentials!B17)+Cultivation!P29</f>
        <v>1.4883503785919998</v>
      </c>
    </row>
    <row r="30" spans="1:32" s="869" customFormat="1" ht="15.6" x14ac:dyDescent="0.25">
      <c r="A30" s="117" t="s">
        <v>1160</v>
      </c>
      <c r="B30" s="119" t="s">
        <v>6</v>
      </c>
      <c r="C30" s="870">
        <f>$C$14*C43*diesel_spray</f>
        <v>9.6646128479999991</v>
      </c>
      <c r="D30" s="871">
        <v>0</v>
      </c>
      <c r="E30" s="974" t="s">
        <v>1332</v>
      </c>
      <c r="F30" s="869" t="s">
        <v>7</v>
      </c>
      <c r="G30" s="980">
        <v>1.073</v>
      </c>
      <c r="H30" s="871">
        <v>0</v>
      </c>
      <c r="I30" t="s">
        <v>1326</v>
      </c>
      <c r="J30" s="872">
        <f t="shared" si="0"/>
        <v>10.370129585903998</v>
      </c>
      <c r="K30" s="872">
        <f t="shared" si="1"/>
        <v>0</v>
      </c>
      <c r="L30" s="869" t="s">
        <v>1045</v>
      </c>
      <c r="M30" s="980">
        <v>7.6999999999999999E-2</v>
      </c>
      <c r="N30" s="871">
        <v>0</v>
      </c>
      <c r="O30" t="s">
        <v>1327</v>
      </c>
      <c r="P30" s="872">
        <f t="shared" si="2"/>
        <v>0.74417518929599991</v>
      </c>
      <c r="Q30" s="872">
        <f t="shared" si="3"/>
        <v>0</v>
      </c>
      <c r="R30" s="869" t="s">
        <v>1046</v>
      </c>
      <c r="S30" s="873">
        <v>1.5999999999999999E-5</v>
      </c>
      <c r="T30" s="926">
        <v>0</v>
      </c>
      <c r="U30" t="s">
        <v>1328</v>
      </c>
      <c r="V30" s="874">
        <f t="shared" si="4"/>
        <v>1.5463380556799997E-4</v>
      </c>
      <c r="W30" s="874">
        <f t="shared" si="5"/>
        <v>0</v>
      </c>
      <c r="X30" s="869" t="s">
        <v>1047</v>
      </c>
      <c r="Y30" s="873">
        <v>2.0800000000000001E-5</v>
      </c>
      <c r="Z30" s="926">
        <v>0</v>
      </c>
      <c r="AA30" t="s">
        <v>1329</v>
      </c>
      <c r="AB30" s="874">
        <f t="shared" si="6"/>
        <v>2.0102394723839998E-4</v>
      </c>
      <c r="AC30" s="874">
        <f t="shared" si="7"/>
        <v>0</v>
      </c>
      <c r="AE30" s="1018">
        <f>(AB30*GlobalWarmingPotentials!C18)+(V30*GlobalWarmingPotentials!B18)+Cultivation!P30</f>
        <v>0.74417518929599991</v>
      </c>
    </row>
    <row r="31" spans="1:32" s="869" customFormat="1" ht="15.6" x14ac:dyDescent="0.25">
      <c r="A31" s="117" t="s">
        <v>1190</v>
      </c>
      <c r="B31" s="119" t="s">
        <v>6</v>
      </c>
      <c r="C31" s="870">
        <f>$C$14*C44*diesel_planter</f>
        <v>85.907669760000005</v>
      </c>
      <c r="D31" s="871">
        <v>0</v>
      </c>
      <c r="E31" s="974" t="s">
        <v>1333</v>
      </c>
      <c r="F31" s="869" t="s">
        <v>7</v>
      </c>
      <c r="G31" s="980">
        <v>1.073</v>
      </c>
      <c r="H31" s="871">
        <v>0</v>
      </c>
      <c r="I31" t="s">
        <v>1326</v>
      </c>
      <c r="J31" s="872">
        <f t="shared" si="0"/>
        <v>92.178929652480008</v>
      </c>
      <c r="K31" s="872">
        <f t="shared" si="1"/>
        <v>0</v>
      </c>
      <c r="L31" s="869" t="s">
        <v>1045</v>
      </c>
      <c r="M31" s="980">
        <v>7.6999999999999999E-2</v>
      </c>
      <c r="N31" s="871">
        <v>0</v>
      </c>
      <c r="O31" t="s">
        <v>1327</v>
      </c>
      <c r="P31" s="872">
        <f t="shared" si="2"/>
        <v>6.6148905715200002</v>
      </c>
      <c r="Q31" s="872">
        <f t="shared" si="3"/>
        <v>0</v>
      </c>
      <c r="R31" s="869" t="s">
        <v>1046</v>
      </c>
      <c r="S31" s="873">
        <v>1.5999999999999999E-5</v>
      </c>
      <c r="T31" s="926">
        <v>0</v>
      </c>
      <c r="U31" t="s">
        <v>1328</v>
      </c>
      <c r="V31" s="874">
        <f t="shared" si="4"/>
        <v>1.37452271616E-3</v>
      </c>
      <c r="W31" s="874">
        <f t="shared" si="5"/>
        <v>0</v>
      </c>
      <c r="X31" s="869" t="s">
        <v>1047</v>
      </c>
      <c r="Y31" s="873">
        <v>2.0800000000000001E-5</v>
      </c>
      <c r="Z31" s="926">
        <v>0</v>
      </c>
      <c r="AA31" t="s">
        <v>1329</v>
      </c>
      <c r="AB31" s="874">
        <f t="shared" si="6"/>
        <v>1.7868795310080001E-3</v>
      </c>
      <c r="AC31" s="874">
        <f t="shared" si="7"/>
        <v>0</v>
      </c>
      <c r="AE31" s="1018">
        <f>(AB31*GlobalWarmingPotentials!C19)+(V31*GlobalWarmingPotentials!B19)+Cultivation!P31</f>
        <v>6.6148905715200002</v>
      </c>
    </row>
    <row r="32" spans="1:32" s="941" customFormat="1" x14ac:dyDescent="0.25">
      <c r="B32" s="943"/>
      <c r="C32" s="878"/>
      <c r="D32" s="944"/>
      <c r="G32" s="878"/>
      <c r="H32" s="878"/>
      <c r="J32" s="878"/>
      <c r="K32" s="878"/>
      <c r="M32" s="878"/>
      <c r="N32" s="878"/>
      <c r="O32" s="943"/>
      <c r="P32" s="878"/>
      <c r="Q32" s="878"/>
      <c r="S32" s="891"/>
      <c r="T32" s="891"/>
      <c r="U32" s="943"/>
      <c r="V32" s="891"/>
      <c r="W32" s="891"/>
      <c r="Y32" s="891"/>
      <c r="Z32" s="891"/>
      <c r="AA32" s="892"/>
      <c r="AB32" s="891"/>
      <c r="AC32" s="891"/>
      <c r="AE32" s="1018"/>
    </row>
    <row r="33" spans="1:32" s="68" customFormat="1" x14ac:dyDescent="0.25">
      <c r="A33" s="876" t="s">
        <v>2</v>
      </c>
      <c r="B33" s="877"/>
      <c r="C33" s="878">
        <f>SUM(C23:C32)</f>
        <v>575.16344169749993</v>
      </c>
      <c r="D33" s="879"/>
      <c r="E33" s="876"/>
      <c r="F33" s="876"/>
      <c r="G33" s="880"/>
      <c r="H33" s="880"/>
      <c r="I33" s="876"/>
      <c r="J33" s="881">
        <f>SUM(J23:J32)</f>
        <v>617.15037294141757</v>
      </c>
      <c r="K33" s="881">
        <f>SQRT(SUMSQ(K23:K32))</f>
        <v>0</v>
      </c>
      <c r="L33" s="876"/>
      <c r="M33" s="880"/>
      <c r="N33" s="880"/>
      <c r="O33" s="877"/>
      <c r="P33" s="881">
        <f>SUM(P23:P32)</f>
        <v>44.287585010707502</v>
      </c>
      <c r="Q33" s="881">
        <f>SQRT(SUMSQ(Q23:Q32))</f>
        <v>0</v>
      </c>
      <c r="R33" s="876"/>
      <c r="S33" s="882"/>
      <c r="T33" s="882"/>
      <c r="U33" s="877"/>
      <c r="V33" s="874">
        <f>SUM(V23:V32)</f>
        <v>9.2026150671600006E-3</v>
      </c>
      <c r="W33" s="874">
        <f>SQRT(SUMSQ(W23:W32))</f>
        <v>0</v>
      </c>
      <c r="X33" s="876"/>
      <c r="Y33" s="882"/>
      <c r="Z33" s="882"/>
      <c r="AA33" s="883"/>
      <c r="AB33" s="874">
        <f>SUM(AB23:AB32)</f>
        <v>1.1963399587308E-2</v>
      </c>
      <c r="AC33" s="874">
        <f>SQRT(SUMSQ(AC23:AC32))</f>
        <v>0</v>
      </c>
      <c r="AE33" s="316">
        <f>(AB33*GlobalWarmingPotentials!C21)+(V33*GlobalWarmingPotentials!B21)+Cultivation!P33</f>
        <v>44.287585010707502</v>
      </c>
      <c r="AF33" s="316">
        <v>285.87333775800005</v>
      </c>
    </row>
    <row r="34" spans="1:32" s="68" customFormat="1" x14ac:dyDescent="0.25">
      <c r="A34" s="876"/>
      <c r="B34" s="877"/>
      <c r="C34" s="879"/>
      <c r="D34" s="879"/>
      <c r="E34" s="876"/>
      <c r="F34" s="876"/>
      <c r="G34" s="880"/>
      <c r="H34" s="880"/>
      <c r="I34" s="876"/>
      <c r="J34" s="884"/>
      <c r="K34" s="884"/>
      <c r="L34" s="876"/>
      <c r="M34" s="880"/>
      <c r="N34" s="880"/>
      <c r="O34" s="877"/>
      <c r="P34" s="884"/>
      <c r="Q34" s="884"/>
      <c r="R34" s="876"/>
      <c r="S34" s="882"/>
      <c r="T34" s="882"/>
      <c r="U34" s="877"/>
      <c r="V34" s="885"/>
      <c r="W34" s="885"/>
      <c r="X34" s="876"/>
      <c r="Y34" s="882"/>
      <c r="Z34" s="882"/>
      <c r="AA34" s="883"/>
      <c r="AB34" s="885"/>
      <c r="AC34" s="885"/>
      <c r="AD34" s="922" t="s">
        <v>1373</v>
      </c>
      <c r="AE34" s="316">
        <v>46.781575333663312</v>
      </c>
    </row>
    <row r="35" spans="1:32" s="68" customFormat="1" x14ac:dyDescent="0.25">
      <c r="A35" s="68" t="s">
        <v>0</v>
      </c>
      <c r="B35" s="114"/>
      <c r="C35" s="884"/>
      <c r="D35" s="316"/>
      <c r="G35" s="884"/>
      <c r="H35" s="884"/>
      <c r="J35" s="884"/>
      <c r="K35" s="884"/>
      <c r="M35" s="884"/>
      <c r="N35" s="884"/>
      <c r="O35" s="114"/>
      <c r="P35" s="884"/>
      <c r="Q35" s="884"/>
      <c r="S35" s="885"/>
      <c r="T35" s="885"/>
      <c r="U35" s="114"/>
      <c r="V35" s="885"/>
      <c r="W35" s="885"/>
      <c r="Y35" s="885"/>
      <c r="Z35" s="885"/>
      <c r="AA35" s="875"/>
      <c r="AB35" s="885"/>
      <c r="AC35" s="885"/>
      <c r="AE35" s="1018"/>
    </row>
    <row r="36" spans="1:32" s="68" customFormat="1" ht="15.6" x14ac:dyDescent="0.25">
      <c r="A36" s="889" t="s">
        <v>1265</v>
      </c>
      <c r="B36" s="114" t="s">
        <v>1049</v>
      </c>
      <c r="C36" s="870">
        <f>1.75/C7*C15</f>
        <v>0.11666666666666667</v>
      </c>
      <c r="D36" s="886">
        <f>C36*0.66</f>
        <v>7.6999999999999999E-2</v>
      </c>
      <c r="E36" s="68" t="s">
        <v>1050</v>
      </c>
      <c r="F36" s="68" t="s">
        <v>11</v>
      </c>
      <c r="G36" s="870">
        <f>52.5+13.75</f>
        <v>66.25</v>
      </c>
      <c r="H36" s="870">
        <v>0</v>
      </c>
      <c r="I36" s="117" t="s">
        <v>1051</v>
      </c>
      <c r="J36" s="872">
        <f>$C$36*G36*$C$16</f>
        <v>0</v>
      </c>
      <c r="K36" s="872">
        <f>SQRT((($D$36*G36)^2)+(($C$36*H36)^2))*$C$16</f>
        <v>0</v>
      </c>
      <c r="L36" s="117" t="s">
        <v>1163</v>
      </c>
      <c r="M36" s="870">
        <f>3.47+0.91</f>
        <v>4.38</v>
      </c>
      <c r="N36" s="870">
        <v>0</v>
      </c>
      <c r="O36" s="114" t="s">
        <v>1053</v>
      </c>
      <c r="P36" s="872">
        <f>$C$36*M36*$C$16</f>
        <v>0</v>
      </c>
      <c r="Q36" s="872">
        <f>SQRT((($D$36*M36)^2)+(($C$36*N36)^2))*$C$16</f>
        <v>0</v>
      </c>
      <c r="R36" s="68" t="s">
        <v>1164</v>
      </c>
      <c r="S36" s="873">
        <f>0.0051+0.00134</f>
        <v>6.4400000000000004E-3</v>
      </c>
      <c r="T36" s="926">
        <v>0</v>
      </c>
      <c r="U36" s="114" t="s">
        <v>1055</v>
      </c>
      <c r="V36" s="872">
        <f>$C$36*S36*$C$16</f>
        <v>0</v>
      </c>
      <c r="W36" s="872">
        <f>SQRT((($D$36*S36)^2)+(($C$36*T36)^2))*$C$16</f>
        <v>0</v>
      </c>
      <c r="X36" s="68" t="s">
        <v>1165</v>
      </c>
      <c r="Y36" s="873">
        <f>0.0002+0.00005</f>
        <v>2.5000000000000001E-4</v>
      </c>
      <c r="Z36" s="926">
        <v>0</v>
      </c>
      <c r="AA36" s="875" t="s">
        <v>1057</v>
      </c>
      <c r="AB36" s="872">
        <f>$C$36*Y36*$C$16</f>
        <v>0</v>
      </c>
      <c r="AC36" s="872">
        <f>SQRT((($D$36*Y36)^2)+(($C$36*Z36)^2))*$C$16</f>
        <v>0</v>
      </c>
      <c r="AE36" s="1018">
        <f>(AB36*GlobalWarmingPotentials!C24)+(V36*GlobalWarmingPotentials!B24)+Cultivation!P36</f>
        <v>0</v>
      </c>
    </row>
    <row r="37" spans="1:32" s="150" customFormat="1" ht="15.6" x14ac:dyDescent="0.25">
      <c r="A37" s="889" t="s">
        <v>1259</v>
      </c>
      <c r="B37" s="355" t="s">
        <v>1049</v>
      </c>
      <c r="C37" s="887">
        <f>(1.3)/C7</f>
        <v>8.666666666666667E-2</v>
      </c>
      <c r="D37" s="871">
        <v>0</v>
      </c>
      <c r="E37" s="922" t="s">
        <v>1148</v>
      </c>
      <c r="F37" s="150" t="s">
        <v>11</v>
      </c>
      <c r="G37" s="870">
        <f>52.5+91.06</f>
        <v>143.56</v>
      </c>
      <c r="H37" s="927">
        <v>0</v>
      </c>
      <c r="I37" s="889" t="s">
        <v>1166</v>
      </c>
      <c r="J37" s="872">
        <f t="shared" ref="J37:J44" si="8">$C$36*G37*$C$16</f>
        <v>0</v>
      </c>
      <c r="K37" s="872">
        <f t="shared" ref="K37:K44" si="9">SQRT((($D$36*G37)^2)+(($C$36*H37)^2))*$C$16</f>
        <v>0</v>
      </c>
      <c r="L37" s="889" t="s">
        <v>1052</v>
      </c>
      <c r="M37" s="870">
        <f>3.47+6.03</f>
        <v>9.5</v>
      </c>
      <c r="N37" s="927">
        <v>0</v>
      </c>
      <c r="O37" s="928" t="s">
        <v>1059</v>
      </c>
      <c r="P37" s="872">
        <f t="shared" ref="P37:P44" si="10">$C$36*M37*$C$16</f>
        <v>0</v>
      </c>
      <c r="Q37" s="872">
        <f t="shared" ref="Q37:Q44" si="11">SQRT((($D$36*M37)^2)+(($C$36*N37)^2))*$C$16</f>
        <v>0</v>
      </c>
      <c r="R37" s="922" t="s">
        <v>1054</v>
      </c>
      <c r="S37" s="926">
        <f>0.0051+0.00885</f>
        <v>1.3950000000000001E-2</v>
      </c>
      <c r="T37" s="926">
        <v>0</v>
      </c>
      <c r="U37" s="928" t="s">
        <v>1060</v>
      </c>
      <c r="V37" s="872">
        <f t="shared" ref="V37:V44" si="12">$C$36*S37*$C$16</f>
        <v>0</v>
      </c>
      <c r="W37" s="872">
        <f t="shared" ref="W37:W44" si="13">SQRT((($D$36*S37)^2)+(($C$36*T37)^2))*$C$16</f>
        <v>0</v>
      </c>
      <c r="X37" s="922" t="s">
        <v>1056</v>
      </c>
      <c r="Y37" s="926">
        <f>0.0002+0.00035</f>
        <v>5.5000000000000003E-4</v>
      </c>
      <c r="Z37" s="926">
        <v>0</v>
      </c>
      <c r="AA37" s="875" t="s">
        <v>1061</v>
      </c>
      <c r="AB37" s="872">
        <f t="shared" ref="AB37:AB44" si="14">$C$36*Y37*$C$16</f>
        <v>0</v>
      </c>
      <c r="AC37" s="872">
        <f t="shared" ref="AC37:AC44" si="15">SQRT((($D$36*Y37)^2)+(($C$36*Z37)^2))*$C$16</f>
        <v>0</v>
      </c>
      <c r="AE37" s="1018">
        <f>(AB37*GlobalWarmingPotentials!C25)+(V37*GlobalWarmingPotentials!B25)+Cultivation!P37</f>
        <v>0</v>
      </c>
    </row>
    <row r="38" spans="1:32" s="68" customFormat="1" ht="15.6" x14ac:dyDescent="0.25">
      <c r="A38" s="889" t="s">
        <v>1260</v>
      </c>
      <c r="B38" s="114" t="s">
        <v>1049</v>
      </c>
      <c r="C38" s="870">
        <f>0.4*2/C7</f>
        <v>5.3333333333333337E-2</v>
      </c>
      <c r="D38" s="871">
        <v>0</v>
      </c>
      <c r="E38" s="922" t="s">
        <v>1149</v>
      </c>
      <c r="F38" s="68" t="s">
        <v>11</v>
      </c>
      <c r="G38" s="870">
        <f>52.5+100.83</f>
        <v>153.32999999999998</v>
      </c>
      <c r="H38" s="870">
        <v>0</v>
      </c>
      <c r="I38" s="117" t="s">
        <v>1167</v>
      </c>
      <c r="J38" s="872">
        <f t="shared" si="8"/>
        <v>0</v>
      </c>
      <c r="K38" s="872">
        <f t="shared" si="9"/>
        <v>0</v>
      </c>
      <c r="L38" s="117" t="s">
        <v>1163</v>
      </c>
      <c r="M38" s="870">
        <f>3.47+6.67</f>
        <v>10.14</v>
      </c>
      <c r="N38" s="870">
        <v>0</v>
      </c>
      <c r="O38" s="114" t="s">
        <v>1063</v>
      </c>
      <c r="P38" s="872">
        <f t="shared" si="10"/>
        <v>0</v>
      </c>
      <c r="Q38" s="872">
        <f t="shared" si="11"/>
        <v>0</v>
      </c>
      <c r="R38" s="68" t="s">
        <v>1164</v>
      </c>
      <c r="S38" s="926">
        <f>0.0051+0.0098</f>
        <v>1.49E-2</v>
      </c>
      <c r="T38" s="926">
        <v>0</v>
      </c>
      <c r="U38" s="114" t="s">
        <v>1064</v>
      </c>
      <c r="V38" s="872">
        <f t="shared" si="12"/>
        <v>0</v>
      </c>
      <c r="W38" s="872">
        <f t="shared" si="13"/>
        <v>0</v>
      </c>
      <c r="X38" s="68" t="s">
        <v>1165</v>
      </c>
      <c r="Y38" s="926">
        <f>0.0002+0.00039</f>
        <v>5.9000000000000003E-4</v>
      </c>
      <c r="Z38" s="926">
        <v>0</v>
      </c>
      <c r="AA38" s="875" t="s">
        <v>1065</v>
      </c>
      <c r="AB38" s="872">
        <f t="shared" si="14"/>
        <v>0</v>
      </c>
      <c r="AC38" s="872">
        <f t="shared" si="15"/>
        <v>0</v>
      </c>
      <c r="AE38" s="1018">
        <f>(AB38*GlobalWarmingPotentials!C26)+(V38*GlobalWarmingPotentials!B26)+Cultivation!P38</f>
        <v>0</v>
      </c>
    </row>
    <row r="39" spans="1:32" s="68" customFormat="1" ht="15.6" x14ac:dyDescent="0.25">
      <c r="A39" s="889" t="s">
        <v>1261</v>
      </c>
      <c r="B39" s="114" t="s">
        <v>1049</v>
      </c>
      <c r="C39" s="870">
        <f>1/C7</f>
        <v>6.6666666666666666E-2</v>
      </c>
      <c r="D39" s="871">
        <v>0</v>
      </c>
      <c r="E39" s="922" t="s">
        <v>1150</v>
      </c>
      <c r="F39" s="68" t="s">
        <v>11</v>
      </c>
      <c r="G39" s="870">
        <f>52.5+232.94</f>
        <v>285.44</v>
      </c>
      <c r="H39" s="870">
        <v>0</v>
      </c>
      <c r="I39" s="117" t="s">
        <v>1168</v>
      </c>
      <c r="J39" s="872">
        <f t="shared" si="8"/>
        <v>0</v>
      </c>
      <c r="K39" s="872">
        <f t="shared" si="9"/>
        <v>0</v>
      </c>
      <c r="L39" s="117" t="s">
        <v>1163</v>
      </c>
      <c r="M39" s="870">
        <f>3.47+15.42</f>
        <v>18.89</v>
      </c>
      <c r="N39" s="870">
        <v>0</v>
      </c>
      <c r="O39" s="114" t="s">
        <v>1067</v>
      </c>
      <c r="P39" s="872">
        <f t="shared" si="10"/>
        <v>0</v>
      </c>
      <c r="Q39" s="872">
        <f t="shared" si="11"/>
        <v>0</v>
      </c>
      <c r="R39" s="68" t="s">
        <v>1164</v>
      </c>
      <c r="S39" s="873">
        <f>0.0051+0.02263</f>
        <v>2.7730000000000001E-2</v>
      </c>
      <c r="T39" s="926">
        <v>0</v>
      </c>
      <c r="U39" s="114" t="s">
        <v>1068</v>
      </c>
      <c r="V39" s="872">
        <f t="shared" si="12"/>
        <v>0</v>
      </c>
      <c r="W39" s="872">
        <f t="shared" si="13"/>
        <v>0</v>
      </c>
      <c r="X39" s="68" t="s">
        <v>1165</v>
      </c>
      <c r="Y39" s="926">
        <f>0.0002+0.0009</f>
        <v>1.1000000000000001E-3</v>
      </c>
      <c r="Z39" s="926">
        <v>0</v>
      </c>
      <c r="AA39" s="875" t="s">
        <v>1069</v>
      </c>
      <c r="AB39" s="872">
        <f t="shared" si="14"/>
        <v>0</v>
      </c>
      <c r="AC39" s="872">
        <f t="shared" si="15"/>
        <v>0</v>
      </c>
      <c r="AE39" s="1018">
        <f>(AB39*GlobalWarmingPotentials!C27)+(V39*GlobalWarmingPotentials!B27)+Cultivation!P39</f>
        <v>0</v>
      </c>
    </row>
    <row r="40" spans="1:32" s="68" customFormat="1" ht="15.6" x14ac:dyDescent="0.25">
      <c r="A40" s="889" t="s">
        <v>1262</v>
      </c>
      <c r="B40" s="114" t="s">
        <v>1049</v>
      </c>
      <c r="C40" s="870">
        <f>0.3/C7</f>
        <v>0.02</v>
      </c>
      <c r="D40" s="871">
        <v>0</v>
      </c>
      <c r="E40" s="922" t="s">
        <v>1151</v>
      </c>
      <c r="F40" s="68" t="s">
        <v>11</v>
      </c>
      <c r="G40" s="870">
        <f>52.5+7.3</f>
        <v>59.8</v>
      </c>
      <c r="H40" s="870">
        <v>0</v>
      </c>
      <c r="I40" s="117" t="s">
        <v>1169</v>
      </c>
      <c r="J40" s="872">
        <f t="shared" si="8"/>
        <v>0</v>
      </c>
      <c r="K40" s="872">
        <f t="shared" si="9"/>
        <v>0</v>
      </c>
      <c r="L40" s="117" t="s">
        <v>1163</v>
      </c>
      <c r="M40" s="870">
        <f>3.47+0.51</f>
        <v>3.9800000000000004</v>
      </c>
      <c r="N40" s="870">
        <v>0</v>
      </c>
      <c r="O40" s="114" t="s">
        <v>1071</v>
      </c>
      <c r="P40" s="872">
        <f t="shared" si="10"/>
        <v>0</v>
      </c>
      <c r="Q40" s="872">
        <f t="shared" si="11"/>
        <v>0</v>
      </c>
      <c r="R40" s="68" t="s">
        <v>1164</v>
      </c>
      <c r="S40" s="873">
        <f>0.0051+0.00434</f>
        <v>9.4400000000000005E-3</v>
      </c>
      <c r="T40" s="926">
        <v>0</v>
      </c>
      <c r="U40" s="114" t="s">
        <v>1072</v>
      </c>
      <c r="V40" s="872">
        <f t="shared" si="12"/>
        <v>0</v>
      </c>
      <c r="W40" s="872">
        <f t="shared" si="13"/>
        <v>0</v>
      </c>
      <c r="X40" s="68" t="s">
        <v>1165</v>
      </c>
      <c r="Y40" s="926">
        <f>0.0002+0.0000372</f>
        <v>2.3720000000000002E-4</v>
      </c>
      <c r="Z40" s="926">
        <v>0</v>
      </c>
      <c r="AA40" s="875" t="s">
        <v>1073</v>
      </c>
      <c r="AB40" s="872">
        <f t="shared" si="14"/>
        <v>0</v>
      </c>
      <c r="AC40" s="872">
        <f t="shared" si="15"/>
        <v>0</v>
      </c>
      <c r="AE40" s="1018">
        <f>(AB40*GlobalWarmingPotentials!C28)+(V40*GlobalWarmingPotentials!B28)+Cultivation!P40</f>
        <v>0</v>
      </c>
    </row>
    <row r="41" spans="1:32" s="68" customFormat="1" ht="15.6" x14ac:dyDescent="0.25">
      <c r="A41" s="889" t="s">
        <v>1263</v>
      </c>
      <c r="B41" s="114" t="s">
        <v>1049</v>
      </c>
      <c r="C41" s="870">
        <f>0.5*15/C7</f>
        <v>0.5</v>
      </c>
      <c r="D41" s="871">
        <v>0</v>
      </c>
      <c r="E41" s="922" t="s">
        <v>1152</v>
      </c>
      <c r="F41" s="68" t="s">
        <v>11</v>
      </c>
      <c r="G41" s="870">
        <f>52.5+40.76</f>
        <v>93.259999999999991</v>
      </c>
      <c r="H41" s="870">
        <v>0</v>
      </c>
      <c r="I41" s="888" t="s">
        <v>1170</v>
      </c>
      <c r="J41" s="872">
        <f t="shared" si="8"/>
        <v>0</v>
      </c>
      <c r="K41" s="872">
        <f t="shared" si="9"/>
        <v>0</v>
      </c>
      <c r="L41" s="117" t="s">
        <v>1163</v>
      </c>
      <c r="M41" s="870">
        <f>3.47+2.7</f>
        <v>6.17</v>
      </c>
      <c r="N41" s="870">
        <v>0</v>
      </c>
      <c r="O41" s="114" t="s">
        <v>1075</v>
      </c>
      <c r="P41" s="872">
        <f t="shared" si="10"/>
        <v>0</v>
      </c>
      <c r="Q41" s="872">
        <f t="shared" si="11"/>
        <v>0</v>
      </c>
      <c r="R41" s="68" t="s">
        <v>1164</v>
      </c>
      <c r="S41" s="873">
        <f>0.0051+0.00396</f>
        <v>9.0600000000000003E-3</v>
      </c>
      <c r="T41" s="926">
        <v>0</v>
      </c>
      <c r="U41" s="114" t="s">
        <v>1076</v>
      </c>
      <c r="V41" s="872">
        <f t="shared" si="12"/>
        <v>0</v>
      </c>
      <c r="W41" s="872">
        <f t="shared" si="13"/>
        <v>0</v>
      </c>
      <c r="X41" s="68" t="s">
        <v>1165</v>
      </c>
      <c r="Y41" s="926">
        <f>0.0002+0.00016</f>
        <v>3.6000000000000002E-4</v>
      </c>
      <c r="Z41" s="926">
        <v>0</v>
      </c>
      <c r="AA41" s="875" t="s">
        <v>1077</v>
      </c>
      <c r="AB41" s="872">
        <f t="shared" si="14"/>
        <v>0</v>
      </c>
      <c r="AC41" s="872">
        <f t="shared" si="15"/>
        <v>0</v>
      </c>
      <c r="AE41" s="1018">
        <f>(AB41*GlobalWarmingPotentials!C29)+(V41*GlobalWarmingPotentials!B29)+Cultivation!P41</f>
        <v>0</v>
      </c>
    </row>
    <row r="42" spans="1:32" s="68" customFormat="1" ht="15.6" x14ac:dyDescent="0.25">
      <c r="A42" s="889" t="s">
        <v>1264</v>
      </c>
      <c r="B42" s="114" t="s">
        <v>1049</v>
      </c>
      <c r="C42" s="870">
        <f>0.6/C7</f>
        <v>0.04</v>
      </c>
      <c r="D42" s="871">
        <v>0</v>
      </c>
      <c r="E42" s="922" t="s">
        <v>1153</v>
      </c>
      <c r="F42" s="68" t="s">
        <v>11</v>
      </c>
      <c r="G42" s="870">
        <f>52.5+246.53</f>
        <v>299.02999999999997</v>
      </c>
      <c r="H42" s="870">
        <v>0</v>
      </c>
      <c r="I42" s="888" t="s">
        <v>1171</v>
      </c>
      <c r="J42" s="872">
        <f t="shared" si="8"/>
        <v>0</v>
      </c>
      <c r="K42" s="872">
        <f t="shared" si="9"/>
        <v>0</v>
      </c>
      <c r="L42" s="117" t="s">
        <v>1163</v>
      </c>
      <c r="M42" s="870">
        <f>3.47+16.32</f>
        <v>19.79</v>
      </c>
      <c r="N42" s="870">
        <v>0</v>
      </c>
      <c r="O42" s="114" t="s">
        <v>1078</v>
      </c>
      <c r="P42" s="872">
        <f t="shared" si="10"/>
        <v>0</v>
      </c>
      <c r="Q42" s="872">
        <f t="shared" si="11"/>
        <v>0</v>
      </c>
      <c r="R42" s="68" t="s">
        <v>1164</v>
      </c>
      <c r="S42" s="873">
        <f>0.0051+0.02395</f>
        <v>2.9049999999999999E-2</v>
      </c>
      <c r="T42" s="926">
        <v>0</v>
      </c>
      <c r="U42" s="114" t="s">
        <v>1079</v>
      </c>
      <c r="V42" s="872">
        <f t="shared" si="12"/>
        <v>0</v>
      </c>
      <c r="W42" s="872">
        <f t="shared" si="13"/>
        <v>0</v>
      </c>
      <c r="X42" s="68" t="s">
        <v>1165</v>
      </c>
      <c r="Y42" s="926">
        <f>0.0002+0.00096</f>
        <v>1.16E-3</v>
      </c>
      <c r="Z42" s="926">
        <v>0</v>
      </c>
      <c r="AA42" s="875" t="s">
        <v>1080</v>
      </c>
      <c r="AB42" s="872">
        <f t="shared" si="14"/>
        <v>0</v>
      </c>
      <c r="AC42" s="872">
        <f t="shared" si="15"/>
        <v>0</v>
      </c>
      <c r="AE42" s="1018">
        <f>(AB42*GlobalWarmingPotentials!C30)+(V42*GlobalWarmingPotentials!B30)+Cultivation!P42</f>
        <v>0</v>
      </c>
    </row>
    <row r="43" spans="1:32" s="68" customFormat="1" ht="15.6" x14ac:dyDescent="0.25">
      <c r="A43" s="117" t="s">
        <v>1160</v>
      </c>
      <c r="B43" s="114" t="s">
        <v>1049</v>
      </c>
      <c r="C43" s="927">
        <f>0.3/C7</f>
        <v>0.02</v>
      </c>
      <c r="D43" s="871">
        <v>0</v>
      </c>
      <c r="E43" s="922" t="s">
        <v>1267</v>
      </c>
      <c r="G43" s="870">
        <f>52.5+100.83</f>
        <v>153.32999999999998</v>
      </c>
      <c r="H43" s="870">
        <v>0</v>
      </c>
      <c r="I43" s="117" t="s">
        <v>1167</v>
      </c>
      <c r="J43" s="872">
        <f t="shared" si="8"/>
        <v>0</v>
      </c>
      <c r="K43" s="872">
        <f t="shared" si="9"/>
        <v>0</v>
      </c>
      <c r="L43" s="117" t="s">
        <v>1052</v>
      </c>
      <c r="M43" s="870">
        <f>3.47+6.67</f>
        <v>10.14</v>
      </c>
      <c r="N43" s="870">
        <v>0</v>
      </c>
      <c r="O43" s="114" t="s">
        <v>1063</v>
      </c>
      <c r="P43" s="872">
        <f t="shared" si="10"/>
        <v>0</v>
      </c>
      <c r="Q43" s="872">
        <f t="shared" si="11"/>
        <v>0</v>
      </c>
      <c r="R43" s="68" t="s">
        <v>1054</v>
      </c>
      <c r="S43" s="926">
        <f>0.0051+0.0098</f>
        <v>1.49E-2</v>
      </c>
      <c r="T43" s="926">
        <v>0</v>
      </c>
      <c r="U43" s="114" t="s">
        <v>1064</v>
      </c>
      <c r="V43" s="872">
        <f t="shared" si="12"/>
        <v>0</v>
      </c>
      <c r="W43" s="872">
        <f t="shared" si="13"/>
        <v>0</v>
      </c>
      <c r="X43" s="68" t="s">
        <v>1056</v>
      </c>
      <c r="Y43" s="926">
        <f>0.0002+0.00039</f>
        <v>5.9000000000000003E-4</v>
      </c>
      <c r="Z43" s="926">
        <v>0</v>
      </c>
      <c r="AA43" s="875" t="s">
        <v>1065</v>
      </c>
      <c r="AB43" s="872">
        <f t="shared" si="14"/>
        <v>0</v>
      </c>
      <c r="AC43" s="872">
        <f t="shared" si="15"/>
        <v>0</v>
      </c>
      <c r="AE43" s="1018">
        <f>(AB43*GlobalWarmingPotentials!C31)+(V43*GlobalWarmingPotentials!B31)+Cultivation!P43</f>
        <v>0</v>
      </c>
    </row>
    <row r="44" spans="1:32" s="68" customFormat="1" ht="15.6" x14ac:dyDescent="0.25">
      <c r="A44" s="117" t="s">
        <v>1190</v>
      </c>
      <c r="B44" s="114" t="s">
        <v>1049</v>
      </c>
      <c r="C44" s="927">
        <f>0.8*2/C7</f>
        <v>0.10666666666666667</v>
      </c>
      <c r="D44" s="871">
        <v>0</v>
      </c>
      <c r="E44" s="922" t="s">
        <v>1268</v>
      </c>
      <c r="G44" s="870">
        <f>52.5+91.06</f>
        <v>143.56</v>
      </c>
      <c r="H44" s="927">
        <v>0</v>
      </c>
      <c r="I44" s="889" t="s">
        <v>1166</v>
      </c>
      <c r="J44" s="872">
        <f t="shared" si="8"/>
        <v>0</v>
      </c>
      <c r="K44" s="872">
        <f t="shared" si="9"/>
        <v>0</v>
      </c>
      <c r="L44" s="889" t="s">
        <v>1052</v>
      </c>
      <c r="M44" s="870">
        <f>3.47+6.03</f>
        <v>9.5</v>
      </c>
      <c r="N44" s="927">
        <v>0</v>
      </c>
      <c r="O44" s="928" t="s">
        <v>1059</v>
      </c>
      <c r="P44" s="872">
        <f t="shared" si="10"/>
        <v>0</v>
      </c>
      <c r="Q44" s="872">
        <f t="shared" si="11"/>
        <v>0</v>
      </c>
      <c r="R44" s="922" t="s">
        <v>1054</v>
      </c>
      <c r="S44" s="926">
        <f>0.0051+0.00885</f>
        <v>1.3950000000000001E-2</v>
      </c>
      <c r="T44" s="926">
        <v>0</v>
      </c>
      <c r="U44" s="928" t="s">
        <v>1060</v>
      </c>
      <c r="V44" s="872">
        <f t="shared" si="12"/>
        <v>0</v>
      </c>
      <c r="W44" s="872">
        <f t="shared" si="13"/>
        <v>0</v>
      </c>
      <c r="X44" s="922" t="s">
        <v>1056</v>
      </c>
      <c r="Y44" s="926">
        <f>0.0002+0.00035</f>
        <v>5.5000000000000003E-4</v>
      </c>
      <c r="Z44" s="926">
        <v>0</v>
      </c>
      <c r="AA44" s="875" t="s">
        <v>1061</v>
      </c>
      <c r="AB44" s="872">
        <f t="shared" si="14"/>
        <v>0</v>
      </c>
      <c r="AC44" s="872">
        <f t="shared" si="15"/>
        <v>0</v>
      </c>
      <c r="AE44" s="1018">
        <f>(AB44*GlobalWarmingPotentials!C32)+(V44*GlobalWarmingPotentials!B32)+Cultivation!P44</f>
        <v>0</v>
      </c>
    </row>
    <row r="45" spans="1:32" s="117" customFormat="1" x14ac:dyDescent="0.25">
      <c r="B45" s="113"/>
      <c r="C45" s="878"/>
      <c r="D45" s="321"/>
      <c r="E45" s="889"/>
      <c r="G45" s="890"/>
      <c r="H45" s="878"/>
      <c r="I45" s="888"/>
      <c r="J45" s="878"/>
      <c r="K45" s="878"/>
      <c r="M45" s="878"/>
      <c r="N45" s="878"/>
      <c r="O45" s="113"/>
      <c r="P45" s="878"/>
      <c r="Q45" s="878"/>
      <c r="S45" s="891"/>
      <c r="T45" s="891"/>
      <c r="U45" s="113"/>
      <c r="V45" s="891"/>
      <c r="W45" s="891"/>
      <c r="Y45" s="891"/>
      <c r="Z45" s="891"/>
      <c r="AA45" s="892"/>
      <c r="AB45" s="891"/>
      <c r="AC45" s="891"/>
      <c r="AE45" s="1018"/>
    </row>
    <row r="46" spans="1:32" s="68" customFormat="1" x14ac:dyDescent="0.25">
      <c r="A46" s="876" t="s">
        <v>3</v>
      </c>
      <c r="B46" s="877"/>
      <c r="C46" s="880"/>
      <c r="D46" s="879"/>
      <c r="E46" s="876"/>
      <c r="F46" s="876"/>
      <c r="G46" s="880"/>
      <c r="H46" s="880"/>
      <c r="I46" s="876"/>
      <c r="J46" s="881">
        <f>SUM(J36:J44)</f>
        <v>0</v>
      </c>
      <c r="K46" s="881">
        <f>SQRT(SUMSQ(K36:K44))</f>
        <v>0</v>
      </c>
      <c r="L46" s="876"/>
      <c r="M46" s="880"/>
      <c r="N46" s="880"/>
      <c r="O46" s="877"/>
      <c r="P46" s="881">
        <f>SUM(P36:P44)</f>
        <v>0</v>
      </c>
      <c r="Q46" s="881">
        <f>SQRT(SUMSQ(Q36:Q44))</f>
        <v>0</v>
      </c>
      <c r="R46" s="876"/>
      <c r="S46" s="882"/>
      <c r="T46" s="882"/>
      <c r="U46" s="877"/>
      <c r="V46" s="874">
        <f>SUM(V36:V44)</f>
        <v>0</v>
      </c>
      <c r="W46" s="874">
        <f>SQRT(SUMSQ(W36:W44))</f>
        <v>0</v>
      </c>
      <c r="X46" s="876"/>
      <c r="Y46" s="882"/>
      <c r="Z46" s="882"/>
      <c r="AA46" s="883"/>
      <c r="AB46" s="874">
        <f>SUM(AB36:AB44)</f>
        <v>0</v>
      </c>
      <c r="AC46" s="874">
        <f>SQRT(SUMSQ(AC36:AC44))</f>
        <v>0</v>
      </c>
      <c r="AE46" s="1018">
        <f>(AB46*GlobalWarmingPotentials!C34)+(V46*GlobalWarmingPotentials!B34)+Cultivation!P46</f>
        <v>0</v>
      </c>
    </row>
    <row r="47" spans="1:32" s="68" customFormat="1" x14ac:dyDescent="0.25">
      <c r="A47" s="876"/>
      <c r="B47" s="893"/>
      <c r="C47" s="880"/>
      <c r="D47" s="879"/>
      <c r="E47" s="876"/>
      <c r="F47" s="876"/>
      <c r="G47" s="880"/>
      <c r="H47" s="880"/>
      <c r="I47" s="876"/>
      <c r="J47" s="894"/>
      <c r="K47" s="894"/>
      <c r="L47" s="876"/>
      <c r="M47" s="880"/>
      <c r="N47" s="880"/>
      <c r="O47" s="877"/>
      <c r="P47" s="880"/>
      <c r="Q47" s="880"/>
      <c r="R47" s="876"/>
      <c r="S47" s="882"/>
      <c r="T47" s="882"/>
      <c r="U47" s="877"/>
      <c r="V47" s="895"/>
      <c r="W47" s="895"/>
      <c r="X47" s="876"/>
      <c r="Y47" s="882"/>
      <c r="Z47" s="882"/>
      <c r="AA47" s="883"/>
      <c r="AB47" s="895"/>
      <c r="AC47" s="895"/>
      <c r="AE47" s="1018"/>
    </row>
    <row r="48" spans="1:32" s="68" customFormat="1" x14ac:dyDescent="0.25">
      <c r="A48" s="117" t="s">
        <v>4</v>
      </c>
      <c r="B48" s="114"/>
      <c r="C48" s="884"/>
      <c r="D48" s="316"/>
      <c r="G48" s="884"/>
      <c r="H48" s="884"/>
      <c r="J48" s="884"/>
      <c r="K48" s="884"/>
      <c r="M48" s="884"/>
      <c r="N48" s="884"/>
      <c r="O48" s="114"/>
      <c r="P48" s="884"/>
      <c r="Q48" s="884"/>
      <c r="S48" s="885"/>
      <c r="T48" s="885"/>
      <c r="U48" s="114"/>
      <c r="V48" s="885"/>
      <c r="W48" s="885"/>
      <c r="Y48" s="885"/>
      <c r="Z48" s="885"/>
      <c r="AA48" s="875"/>
      <c r="AB48" s="885"/>
      <c r="AC48" s="885"/>
      <c r="AE48" s="1018"/>
    </row>
    <row r="49" spans="1:31" s="68" customFormat="1" x14ac:dyDescent="0.25">
      <c r="A49" s="68" t="s">
        <v>1048</v>
      </c>
      <c r="B49" s="114" t="s">
        <v>12</v>
      </c>
      <c r="C49" s="870">
        <v>2.5</v>
      </c>
      <c r="D49" s="886">
        <v>0</v>
      </c>
      <c r="E49" s="68" t="s">
        <v>1081</v>
      </c>
      <c r="G49" s="884"/>
      <c r="H49" s="884"/>
      <c r="J49" s="872">
        <f t="shared" ref="J49:J55" si="16">(C49/100)*J36</f>
        <v>0</v>
      </c>
      <c r="K49" s="872">
        <f t="shared" ref="K49:K55" si="17">SQRT((((D49/100)*G36)^2)+(((C49/100)*H36)^2))</f>
        <v>0</v>
      </c>
      <c r="M49" s="884"/>
      <c r="N49" s="884"/>
      <c r="O49" s="114"/>
      <c r="P49" s="872">
        <f t="shared" ref="P49:P55" si="18">(C49/100)*P36</f>
        <v>0</v>
      </c>
      <c r="Q49" s="872">
        <f t="shared" ref="Q49:Q55" si="19">SQRT((((D49/100)*M36)^2)+(((C49/100)*N36)^2))</f>
        <v>0</v>
      </c>
      <c r="S49" s="885"/>
      <c r="T49" s="885"/>
      <c r="U49" s="114"/>
      <c r="V49" s="874">
        <f t="shared" ref="V49:V55" si="20">(C49/100)*V36</f>
        <v>0</v>
      </c>
      <c r="W49" s="874">
        <f t="shared" ref="W49:W55" si="21">SQRT((((D49/100)*S36)^2)+(((C49/100)*T36)^2))</f>
        <v>0</v>
      </c>
      <c r="Y49" s="885"/>
      <c r="Z49" s="885"/>
      <c r="AA49" s="875"/>
      <c r="AB49" s="874">
        <f t="shared" ref="AB49:AB57" si="22">($C49/100)*AB36</f>
        <v>0</v>
      </c>
      <c r="AC49" s="874">
        <f t="shared" ref="AC49:AC55" si="23">SQRT(((($D49/100)*Y36)^2)+((($C49/100)*Z36)^2))</f>
        <v>0</v>
      </c>
      <c r="AE49" s="1018">
        <f>(AB49*GlobalWarmingPotentials!C37)+(V49*GlobalWarmingPotentials!B37)+Cultivation!P49</f>
        <v>0</v>
      </c>
    </row>
    <row r="50" spans="1:31" s="68" customFormat="1" x14ac:dyDescent="0.25">
      <c r="A50" s="117" t="s">
        <v>1058</v>
      </c>
      <c r="B50" s="114" t="s">
        <v>12</v>
      </c>
      <c r="C50" s="870">
        <v>2.5</v>
      </c>
      <c r="D50" s="886">
        <v>0</v>
      </c>
      <c r="E50" s="68" t="s">
        <v>1081</v>
      </c>
      <c r="G50" s="884"/>
      <c r="H50" s="884"/>
      <c r="J50" s="872">
        <f t="shared" si="16"/>
        <v>0</v>
      </c>
      <c r="K50" s="872">
        <f t="shared" si="17"/>
        <v>0</v>
      </c>
      <c r="M50" s="884"/>
      <c r="N50" s="884"/>
      <c r="O50" s="114"/>
      <c r="P50" s="872">
        <f t="shared" si="18"/>
        <v>0</v>
      </c>
      <c r="Q50" s="872">
        <f t="shared" si="19"/>
        <v>0</v>
      </c>
      <c r="S50" s="885"/>
      <c r="T50" s="885"/>
      <c r="U50" s="114"/>
      <c r="V50" s="874">
        <f t="shared" si="20"/>
        <v>0</v>
      </c>
      <c r="W50" s="874">
        <f t="shared" si="21"/>
        <v>0</v>
      </c>
      <c r="Y50" s="885"/>
      <c r="Z50" s="885"/>
      <c r="AA50" s="875"/>
      <c r="AB50" s="874">
        <f t="shared" si="22"/>
        <v>0</v>
      </c>
      <c r="AC50" s="874">
        <f t="shared" si="23"/>
        <v>0</v>
      </c>
      <c r="AE50" s="1018">
        <f>(AB50*GlobalWarmingPotentials!C38)+(V50*GlobalWarmingPotentials!B38)+Cultivation!P50</f>
        <v>0</v>
      </c>
    </row>
    <row r="51" spans="1:31" s="68" customFormat="1" x14ac:dyDescent="0.25">
      <c r="A51" s="117" t="s">
        <v>1062</v>
      </c>
      <c r="B51" s="114" t="s">
        <v>12</v>
      </c>
      <c r="C51" s="870">
        <v>2.5</v>
      </c>
      <c r="D51" s="886">
        <v>0</v>
      </c>
      <c r="E51" s="68" t="s">
        <v>1081</v>
      </c>
      <c r="G51" s="884"/>
      <c r="H51" s="884"/>
      <c r="J51" s="872">
        <f t="shared" si="16"/>
        <v>0</v>
      </c>
      <c r="K51" s="872">
        <f t="shared" si="17"/>
        <v>0</v>
      </c>
      <c r="M51" s="880"/>
      <c r="N51" s="880"/>
      <c r="O51" s="114"/>
      <c r="P51" s="872">
        <f t="shared" si="18"/>
        <v>0</v>
      </c>
      <c r="Q51" s="872">
        <f t="shared" si="19"/>
        <v>0</v>
      </c>
      <c r="S51" s="885"/>
      <c r="T51" s="885"/>
      <c r="U51" s="114"/>
      <c r="V51" s="874">
        <f t="shared" si="20"/>
        <v>0</v>
      </c>
      <c r="W51" s="874">
        <f t="shared" si="21"/>
        <v>0</v>
      </c>
      <c r="Y51" s="885"/>
      <c r="Z51" s="885"/>
      <c r="AA51" s="875"/>
      <c r="AB51" s="874">
        <f t="shared" si="22"/>
        <v>0</v>
      </c>
      <c r="AC51" s="874">
        <f t="shared" si="23"/>
        <v>0</v>
      </c>
      <c r="AE51" s="1018">
        <f>(AB51*GlobalWarmingPotentials!C39)+(V51*GlobalWarmingPotentials!B39)+Cultivation!P51</f>
        <v>0</v>
      </c>
    </row>
    <row r="52" spans="1:31" s="68" customFormat="1" x14ac:dyDescent="0.25">
      <c r="A52" s="117" t="s">
        <v>1066</v>
      </c>
      <c r="B52" s="114" t="s">
        <v>12</v>
      </c>
      <c r="C52" s="870">
        <v>2.5</v>
      </c>
      <c r="D52" s="886">
        <v>0</v>
      </c>
      <c r="E52" s="68" t="s">
        <v>1081</v>
      </c>
      <c r="G52" s="884"/>
      <c r="H52" s="884"/>
      <c r="J52" s="872">
        <f t="shared" si="16"/>
        <v>0</v>
      </c>
      <c r="K52" s="872">
        <f t="shared" si="17"/>
        <v>0</v>
      </c>
      <c r="M52" s="884"/>
      <c r="N52" s="884"/>
      <c r="O52" s="114"/>
      <c r="P52" s="872">
        <f t="shared" si="18"/>
        <v>0</v>
      </c>
      <c r="Q52" s="872">
        <f t="shared" si="19"/>
        <v>0</v>
      </c>
      <c r="S52" s="885"/>
      <c r="T52" s="885"/>
      <c r="U52" s="114"/>
      <c r="V52" s="874">
        <f t="shared" si="20"/>
        <v>0</v>
      </c>
      <c r="W52" s="874">
        <f t="shared" si="21"/>
        <v>0</v>
      </c>
      <c r="Y52" s="885"/>
      <c r="Z52" s="885"/>
      <c r="AA52" s="875"/>
      <c r="AB52" s="874">
        <f t="shared" si="22"/>
        <v>0</v>
      </c>
      <c r="AC52" s="874">
        <f t="shared" si="23"/>
        <v>0</v>
      </c>
      <c r="AE52" s="1018">
        <f>(AB52*GlobalWarmingPotentials!C40)+(V52*GlobalWarmingPotentials!B40)+Cultivation!P52</f>
        <v>0</v>
      </c>
    </row>
    <row r="53" spans="1:31" s="68" customFormat="1" x14ac:dyDescent="0.25">
      <c r="A53" s="117" t="s">
        <v>1070</v>
      </c>
      <c r="B53" s="114" t="s">
        <v>12</v>
      </c>
      <c r="C53" s="870">
        <v>2.5</v>
      </c>
      <c r="D53" s="886">
        <v>0</v>
      </c>
      <c r="E53" s="68" t="s">
        <v>1081</v>
      </c>
      <c r="G53" s="884"/>
      <c r="H53" s="884"/>
      <c r="J53" s="872">
        <f t="shared" si="16"/>
        <v>0</v>
      </c>
      <c r="K53" s="872">
        <f t="shared" si="17"/>
        <v>0</v>
      </c>
      <c r="M53" s="884"/>
      <c r="N53" s="884"/>
      <c r="O53" s="114"/>
      <c r="P53" s="872">
        <f t="shared" si="18"/>
        <v>0</v>
      </c>
      <c r="Q53" s="872">
        <f t="shared" si="19"/>
        <v>0</v>
      </c>
      <c r="S53" s="885"/>
      <c r="T53" s="885"/>
      <c r="U53" s="114"/>
      <c r="V53" s="874">
        <f t="shared" si="20"/>
        <v>0</v>
      </c>
      <c r="W53" s="874">
        <f t="shared" si="21"/>
        <v>0</v>
      </c>
      <c r="Y53" s="885"/>
      <c r="Z53" s="885"/>
      <c r="AA53" s="875"/>
      <c r="AB53" s="874">
        <f t="shared" si="22"/>
        <v>0</v>
      </c>
      <c r="AC53" s="874">
        <f t="shared" si="23"/>
        <v>0</v>
      </c>
      <c r="AE53" s="1018">
        <f>(AB53*GlobalWarmingPotentials!C41)+(V53*GlobalWarmingPotentials!B41)+Cultivation!P53</f>
        <v>0</v>
      </c>
    </row>
    <row r="54" spans="1:31" s="68" customFormat="1" x14ac:dyDescent="0.25">
      <c r="A54" s="117" t="s">
        <v>1074</v>
      </c>
      <c r="B54" s="114" t="s">
        <v>12</v>
      </c>
      <c r="C54" s="870">
        <v>2.5</v>
      </c>
      <c r="D54" s="886">
        <v>0</v>
      </c>
      <c r="E54" s="68" t="s">
        <v>1081</v>
      </c>
      <c r="G54" s="884"/>
      <c r="H54" s="884"/>
      <c r="J54" s="872">
        <f t="shared" si="16"/>
        <v>0</v>
      </c>
      <c r="K54" s="872">
        <f t="shared" si="17"/>
        <v>0</v>
      </c>
      <c r="M54" s="884"/>
      <c r="N54" s="884"/>
      <c r="O54" s="114"/>
      <c r="P54" s="872">
        <f t="shared" si="18"/>
        <v>0</v>
      </c>
      <c r="Q54" s="872">
        <f t="shared" si="19"/>
        <v>0</v>
      </c>
      <c r="S54" s="885"/>
      <c r="T54" s="885"/>
      <c r="U54" s="114"/>
      <c r="V54" s="874">
        <f t="shared" si="20"/>
        <v>0</v>
      </c>
      <c r="W54" s="874">
        <f t="shared" si="21"/>
        <v>0</v>
      </c>
      <c r="Y54" s="885"/>
      <c r="Z54" s="885"/>
      <c r="AA54" s="875"/>
      <c r="AB54" s="874">
        <f t="shared" si="22"/>
        <v>0</v>
      </c>
      <c r="AC54" s="874">
        <f t="shared" si="23"/>
        <v>0</v>
      </c>
      <c r="AE54" s="1018">
        <f>(AB54*GlobalWarmingPotentials!C42)+(V54*GlobalWarmingPotentials!B42)+Cultivation!P54</f>
        <v>0</v>
      </c>
    </row>
    <row r="55" spans="1:31" s="68" customFormat="1" x14ac:dyDescent="0.25">
      <c r="A55" s="117" t="s">
        <v>1082</v>
      </c>
      <c r="B55" s="114" t="s">
        <v>12</v>
      </c>
      <c r="C55" s="870">
        <v>2.5</v>
      </c>
      <c r="D55" s="886">
        <v>0</v>
      </c>
      <c r="E55" s="68" t="s">
        <v>1081</v>
      </c>
      <c r="F55" s="876"/>
      <c r="G55" s="880"/>
      <c r="H55" s="880"/>
      <c r="I55" s="876"/>
      <c r="J55" s="872">
        <f t="shared" si="16"/>
        <v>0</v>
      </c>
      <c r="K55" s="872">
        <f t="shared" si="17"/>
        <v>0</v>
      </c>
      <c r="L55" s="876"/>
      <c r="M55" s="880"/>
      <c r="N55" s="880"/>
      <c r="O55" s="877"/>
      <c r="P55" s="872">
        <f t="shared" si="18"/>
        <v>0</v>
      </c>
      <c r="Q55" s="872">
        <f t="shared" si="19"/>
        <v>0</v>
      </c>
      <c r="R55" s="876"/>
      <c r="S55" s="882"/>
      <c r="T55" s="882"/>
      <c r="U55" s="877"/>
      <c r="V55" s="874">
        <f t="shared" si="20"/>
        <v>0</v>
      </c>
      <c r="W55" s="874">
        <f t="shared" si="21"/>
        <v>0</v>
      </c>
      <c r="X55" s="876"/>
      <c r="Y55" s="882"/>
      <c r="Z55" s="882"/>
      <c r="AA55" s="883"/>
      <c r="AB55" s="874">
        <f t="shared" si="22"/>
        <v>0</v>
      </c>
      <c r="AC55" s="874">
        <f t="shared" si="23"/>
        <v>0</v>
      </c>
      <c r="AE55" s="1018">
        <f>(AB55*GlobalWarmingPotentials!C43)+(V55*GlobalWarmingPotentials!B43)+Cultivation!P55</f>
        <v>0</v>
      </c>
    </row>
    <row r="56" spans="1:31" s="68" customFormat="1" x14ac:dyDescent="0.25">
      <c r="A56" s="117" t="s">
        <v>1160</v>
      </c>
      <c r="B56" s="114" t="s">
        <v>12</v>
      </c>
      <c r="C56" s="870">
        <v>2.5</v>
      </c>
      <c r="D56" s="886">
        <v>0</v>
      </c>
      <c r="E56" s="68" t="s">
        <v>1081</v>
      </c>
      <c r="F56" s="876"/>
      <c r="G56" s="880"/>
      <c r="H56" s="880"/>
      <c r="I56" s="876"/>
      <c r="J56" s="981">
        <f t="shared" ref="J56:J57" si="24">(C56/100)*J43</f>
        <v>0</v>
      </c>
      <c r="K56" s="872">
        <f t="shared" ref="K56:K57" si="25">SQRT((((D56/100)*G43)^2)+(((C56/100)*H43)^2))</f>
        <v>0</v>
      </c>
      <c r="L56" s="876"/>
      <c r="M56" s="880"/>
      <c r="N56" s="880"/>
      <c r="O56" s="877"/>
      <c r="P56" s="872">
        <f t="shared" ref="P56:P57" si="26">(C56/100)*P43</f>
        <v>0</v>
      </c>
      <c r="Q56" s="872">
        <f t="shared" ref="Q56:Q57" si="27">SQRT((((D56/100)*M43)^2)+(((C56/100)*N43)^2))</f>
        <v>0</v>
      </c>
      <c r="R56" s="876"/>
      <c r="S56" s="882"/>
      <c r="T56" s="882"/>
      <c r="U56" s="877"/>
      <c r="V56" s="874">
        <f t="shared" ref="V56:V57" si="28">(C56/100)*V43</f>
        <v>0</v>
      </c>
      <c r="W56" s="874">
        <f t="shared" ref="W56:W57" si="29">SQRT((((D56/100)*S43)^2)+(((C56/100)*T43)^2))</f>
        <v>0</v>
      </c>
      <c r="X56" s="876"/>
      <c r="Y56" s="882"/>
      <c r="Z56" s="882"/>
      <c r="AA56" s="883"/>
      <c r="AB56" s="874">
        <f t="shared" si="22"/>
        <v>0</v>
      </c>
      <c r="AC56" s="874">
        <f t="shared" ref="AC56:AC57" si="30">SQRT(((($D56/100)*Y43)^2)+((($C56/100)*Z43)^2))</f>
        <v>0</v>
      </c>
      <c r="AE56" s="1018">
        <f>(AB56*GlobalWarmingPotentials!C44)+(V56*GlobalWarmingPotentials!B44)+Cultivation!P56</f>
        <v>0</v>
      </c>
    </row>
    <row r="57" spans="1:31" s="68" customFormat="1" x14ac:dyDescent="0.25">
      <c r="A57" s="117" t="s">
        <v>1190</v>
      </c>
      <c r="B57" s="114" t="s">
        <v>12</v>
      </c>
      <c r="C57" s="870">
        <v>2.5</v>
      </c>
      <c r="D57" s="886">
        <v>0</v>
      </c>
      <c r="E57" s="68" t="s">
        <v>1081</v>
      </c>
      <c r="F57" s="876"/>
      <c r="G57" s="880"/>
      <c r="H57" s="880"/>
      <c r="I57" s="876"/>
      <c r="J57" s="872">
        <f t="shared" si="24"/>
        <v>0</v>
      </c>
      <c r="K57" s="872">
        <f t="shared" si="25"/>
        <v>0</v>
      </c>
      <c r="L57" s="876"/>
      <c r="M57" s="880"/>
      <c r="N57" s="880"/>
      <c r="O57" s="877"/>
      <c r="P57" s="872">
        <f t="shared" si="26"/>
        <v>0</v>
      </c>
      <c r="Q57" s="872">
        <f t="shared" si="27"/>
        <v>0</v>
      </c>
      <c r="R57" s="876"/>
      <c r="S57" s="882"/>
      <c r="T57" s="882"/>
      <c r="U57" s="877"/>
      <c r="V57" s="874">
        <f t="shared" si="28"/>
        <v>0</v>
      </c>
      <c r="W57" s="874">
        <f t="shared" si="29"/>
        <v>0</v>
      </c>
      <c r="X57" s="876"/>
      <c r="Y57" s="882"/>
      <c r="Z57" s="882"/>
      <c r="AA57" s="883"/>
      <c r="AB57" s="874">
        <f t="shared" si="22"/>
        <v>0</v>
      </c>
      <c r="AC57" s="874">
        <f t="shared" si="30"/>
        <v>0</v>
      </c>
      <c r="AE57" s="1018">
        <f>(AB57*GlobalWarmingPotentials!C45)+(V57*GlobalWarmingPotentials!B45)+Cultivation!P57</f>
        <v>0</v>
      </c>
    </row>
    <row r="58" spans="1:31" s="117" customFormat="1" x14ac:dyDescent="0.25">
      <c r="A58" s="896"/>
      <c r="B58" s="893"/>
      <c r="C58" s="894"/>
      <c r="D58" s="897"/>
      <c r="E58" s="896"/>
      <c r="F58" s="896"/>
      <c r="G58" s="894"/>
      <c r="H58" s="894"/>
      <c r="I58" s="896"/>
      <c r="J58" s="894"/>
      <c r="K58" s="894"/>
      <c r="L58" s="896"/>
      <c r="M58" s="894"/>
      <c r="N58" s="894"/>
      <c r="O58" s="893"/>
      <c r="P58" s="894"/>
      <c r="Q58" s="894"/>
      <c r="R58" s="896"/>
      <c r="S58" s="895"/>
      <c r="T58" s="895"/>
      <c r="U58" s="893"/>
      <c r="V58" s="895"/>
      <c r="W58" s="895"/>
      <c r="X58" s="896"/>
      <c r="Y58" s="895"/>
      <c r="Z58" s="895"/>
      <c r="AA58" s="898"/>
      <c r="AB58" s="895"/>
      <c r="AC58" s="895"/>
      <c r="AE58" s="1018"/>
    </row>
    <row r="59" spans="1:31" s="68" customFormat="1" x14ac:dyDescent="0.25">
      <c r="A59" s="876" t="s">
        <v>5</v>
      </c>
      <c r="B59" s="877"/>
      <c r="C59" s="880"/>
      <c r="D59" s="879"/>
      <c r="E59" s="876"/>
      <c r="F59" s="876"/>
      <c r="G59" s="880"/>
      <c r="H59" s="880"/>
      <c r="I59" s="876"/>
      <c r="J59" s="872">
        <f>SUM(J49:J58)</f>
        <v>0</v>
      </c>
      <c r="K59" s="872">
        <f>SQRT(SUMSQ(K49:K57))</f>
        <v>0</v>
      </c>
      <c r="L59" s="876"/>
      <c r="M59" s="880"/>
      <c r="N59" s="880"/>
      <c r="O59" s="877"/>
      <c r="P59" s="872">
        <f>SUM(P49:P58)</f>
        <v>0</v>
      </c>
      <c r="Q59" s="872">
        <f>SQRT(SUMSQ(Q49:Q57))</f>
        <v>0</v>
      </c>
      <c r="R59" s="876"/>
      <c r="S59" s="882"/>
      <c r="T59" s="882"/>
      <c r="U59" s="877"/>
      <c r="V59" s="874">
        <f>SUM(V49:V58)</f>
        <v>0</v>
      </c>
      <c r="W59" s="874">
        <f>SQRT(SUMSQ(W49:W57))</f>
        <v>0</v>
      </c>
      <c r="X59" s="876"/>
      <c r="Y59" s="882"/>
      <c r="Z59" s="882"/>
      <c r="AA59" s="883"/>
      <c r="AB59" s="874">
        <f>SUM(AB49:AB58)</f>
        <v>0</v>
      </c>
      <c r="AC59" s="874">
        <f>SQRT(SUMSQ(AC49:AC57))</f>
        <v>0</v>
      </c>
      <c r="AE59" s="1018">
        <f>(AB59*GlobalWarmingPotentials!C47)+(V59*GlobalWarmingPotentials!B47)+Cultivation!P59</f>
        <v>0</v>
      </c>
    </row>
    <row r="60" spans="1:31" s="117" customFormat="1" x14ac:dyDescent="0.25">
      <c r="A60" s="896"/>
      <c r="B60" s="893"/>
      <c r="C60" s="894"/>
      <c r="D60" s="897"/>
      <c r="E60" s="896"/>
      <c r="F60" s="896"/>
      <c r="G60" s="894"/>
      <c r="H60" s="894"/>
      <c r="I60" s="896"/>
      <c r="J60" s="894"/>
      <c r="K60" s="894"/>
      <c r="L60" s="896"/>
      <c r="M60" s="894"/>
      <c r="N60" s="894"/>
      <c r="O60" s="893"/>
      <c r="P60" s="894"/>
      <c r="Q60" s="894"/>
      <c r="R60" s="896"/>
      <c r="S60" s="895"/>
      <c r="T60" s="895"/>
      <c r="U60" s="893"/>
      <c r="V60" s="895"/>
      <c r="W60" s="895"/>
      <c r="X60" s="896"/>
      <c r="Y60" s="895"/>
      <c r="Z60" s="895"/>
      <c r="AA60" s="898"/>
      <c r="AB60" s="895"/>
      <c r="AC60" s="895"/>
      <c r="AE60" s="1018"/>
    </row>
    <row r="61" spans="1:31" x14ac:dyDescent="0.25">
      <c r="A61" s="43" t="s">
        <v>1083</v>
      </c>
      <c r="B61" t="s">
        <v>14</v>
      </c>
      <c r="C61" s="899">
        <f>C9/C7</f>
        <v>4.9000000000000004</v>
      </c>
      <c r="D61" s="900">
        <v>0</v>
      </c>
      <c r="E61" s="1" t="s">
        <v>1161</v>
      </c>
      <c r="F61" t="s">
        <v>387</v>
      </c>
      <c r="G61" s="899">
        <f>NFertiliser!C31</f>
        <v>40</v>
      </c>
      <c r="H61" s="899">
        <f>NFertiliser!D31</f>
        <v>6</v>
      </c>
      <c r="I61" s="1"/>
      <c r="J61" s="901">
        <f>$C61*G61</f>
        <v>196</v>
      </c>
      <c r="K61" s="901">
        <f>SQRT((($D61*G61)^2)+(($C61*H61)^2))</f>
        <v>29.400000000000002</v>
      </c>
      <c r="L61" t="s">
        <v>83</v>
      </c>
      <c r="M61" s="899">
        <f>NFertiliser!G31</f>
        <v>2.343</v>
      </c>
      <c r="N61" s="899">
        <f>NFertiliser!H31</f>
        <v>0.35144999999999998</v>
      </c>
      <c r="O61" s="1"/>
      <c r="P61" s="901">
        <f>$C61*M61</f>
        <v>11.480700000000001</v>
      </c>
      <c r="Q61" s="901">
        <f>SQRT((($D61*M61)^2)+(($C61*N61)^2))</f>
        <v>1.722105</v>
      </c>
      <c r="R61" t="s">
        <v>1084</v>
      </c>
      <c r="S61" s="929">
        <f>NFertiliser!K31</f>
        <v>6.2100000000000002E-3</v>
      </c>
      <c r="T61" s="929">
        <f>NFertiliser!L31</f>
        <v>9.3150000000000004E-4</v>
      </c>
      <c r="U61" s="1"/>
      <c r="V61" s="903">
        <f>$C61*S61</f>
        <v>3.0429000000000005E-2</v>
      </c>
      <c r="W61" s="903">
        <f>SQRT((($D61*S61)^2)+(($C61*T61)^2))</f>
        <v>4.5643500000000009E-3</v>
      </c>
      <c r="X61" t="s">
        <v>1085</v>
      </c>
      <c r="Y61" s="978">
        <f>NFertiliser!O31</f>
        <v>1.2500000000000001E-2</v>
      </c>
      <c r="Z61" s="978">
        <v>0</v>
      </c>
      <c r="AA61" s="1"/>
      <c r="AB61" s="901">
        <f>$C$61*Y61*$C$16</f>
        <v>0</v>
      </c>
      <c r="AC61" s="901">
        <f>SQRT((($D$61*Y61)^2)+(($C$61*Z61)^2))*$C$16</f>
        <v>0</v>
      </c>
      <c r="AE61" s="1018">
        <f>(AB61*GlobalWarmingPotentials!C49)+(V61*GlobalWarmingPotentials!B49)+Cultivation!P61</f>
        <v>11.480700000000001</v>
      </c>
    </row>
    <row r="62" spans="1:31" x14ac:dyDescent="0.25">
      <c r="A62" s="43" t="s">
        <v>1086</v>
      </c>
      <c r="B62" t="s">
        <v>1087</v>
      </c>
      <c r="C62" s="899">
        <f>C10/C7</f>
        <v>0.46666666666666667</v>
      </c>
      <c r="D62" s="900">
        <v>0</v>
      </c>
      <c r="E62" s="1" t="s">
        <v>1088</v>
      </c>
      <c r="F62" t="s">
        <v>1089</v>
      </c>
      <c r="G62" s="899">
        <f>PFertiliser!C26</f>
        <v>13.3125</v>
      </c>
      <c r="H62" s="899">
        <f>PFertiliser!D26</f>
        <v>1.996875</v>
      </c>
      <c r="I62" s="1"/>
      <c r="J62" s="901">
        <f t="shared" ref="J62:J68" si="31">$C62*G62</f>
        <v>6.2125000000000004</v>
      </c>
      <c r="K62" s="901">
        <f t="shared" ref="K62:K68" si="32">SQRT((($D62*G62)^2)+(($C62*H62)^2))</f>
        <v>0.93187500000000001</v>
      </c>
      <c r="L62" t="s">
        <v>84</v>
      </c>
      <c r="M62" s="899">
        <f>PFertiliser!G26</f>
        <v>0.70830000000000004</v>
      </c>
      <c r="N62" s="899">
        <f>PFertiliser!H26</f>
        <v>0.10624500000000001</v>
      </c>
      <c r="O62" s="1"/>
      <c r="P62" s="901">
        <f t="shared" ref="P62:P68" si="33">$C62*M62</f>
        <v>0.33054</v>
      </c>
      <c r="Q62" s="901">
        <f t="shared" ref="Q62:Q68" si="34">SQRT((($D62*M62)^2)+(($C62*N62)^2))</f>
        <v>4.9581000000000007E-2</v>
      </c>
      <c r="R62" t="s">
        <v>1090</v>
      </c>
      <c r="S62" s="929">
        <f>PFertiliser!K26</f>
        <v>9.0600000000000001E-4</v>
      </c>
      <c r="T62" s="929">
        <v>2.9999999999999997E-4</v>
      </c>
      <c r="U62" s="1"/>
      <c r="V62" s="903">
        <f t="shared" ref="V62:V68" si="35">$C62*S62</f>
        <v>4.2280000000000003E-4</v>
      </c>
      <c r="W62" s="903">
        <f t="shared" ref="W62:W68" si="36">SQRT((($D62*S62)^2)+(($C62*T62)^2))</f>
        <v>1.3999999999999999E-4</v>
      </c>
      <c r="X62" t="s">
        <v>1091</v>
      </c>
      <c r="Y62" s="978">
        <f>PFertiliser!O26</f>
        <v>0</v>
      </c>
      <c r="Z62" s="978">
        <f>PFertiliser!P26</f>
        <v>0</v>
      </c>
      <c r="AA62" s="1"/>
      <c r="AB62" s="901">
        <f t="shared" ref="AB62:AB68" si="37">$C$61*Y62*$C$16</f>
        <v>0</v>
      </c>
      <c r="AC62" s="901">
        <f t="shared" ref="AC62:AC68" si="38">SQRT((($D$61*Y62)^2)+(($C$61*Z62)^2))*$C$16</f>
        <v>0</v>
      </c>
      <c r="AE62" s="1018">
        <f>(AB62*GlobalWarmingPotentials!C50)+(V62*GlobalWarmingPotentials!B50)+Cultivation!P62</f>
        <v>0.33054</v>
      </c>
    </row>
    <row r="63" spans="1:31" x14ac:dyDescent="0.25">
      <c r="A63" s="43" t="s">
        <v>1092</v>
      </c>
      <c r="B63" t="s">
        <v>1093</v>
      </c>
      <c r="C63" s="899">
        <f>C11/C7</f>
        <v>7</v>
      </c>
      <c r="D63" s="900">
        <v>0</v>
      </c>
      <c r="E63" s="1" t="s">
        <v>1094</v>
      </c>
      <c r="F63" t="s">
        <v>1095</v>
      </c>
      <c r="G63" s="899">
        <f>KFertiliser!C17</f>
        <v>9.6790000000000003</v>
      </c>
      <c r="H63" s="899">
        <f>KFertiliser!D17</f>
        <v>1.4518500000000001</v>
      </c>
      <c r="I63" s="1" t="s">
        <v>1096</v>
      </c>
      <c r="J63" s="901">
        <f t="shared" si="31"/>
        <v>67.753</v>
      </c>
      <c r="K63" s="901">
        <f t="shared" si="32"/>
        <v>10.16295</v>
      </c>
      <c r="L63" t="s">
        <v>1097</v>
      </c>
      <c r="M63" s="899">
        <f>KFertiliser!G17</f>
        <v>0.5363</v>
      </c>
      <c r="N63" s="899">
        <f>KFertiliser!H17</f>
        <v>8.0445000000000003E-2</v>
      </c>
      <c r="O63" s="1" t="s">
        <v>1098</v>
      </c>
      <c r="P63" s="901">
        <f t="shared" si="33"/>
        <v>3.7541000000000002</v>
      </c>
      <c r="Q63" s="901">
        <f t="shared" si="34"/>
        <v>0.56311500000000003</v>
      </c>
      <c r="R63" t="s">
        <v>1099</v>
      </c>
      <c r="S63" s="929">
        <f>KFertiliser!K17</f>
        <v>1.5709000000000001E-3</v>
      </c>
      <c r="T63" s="929">
        <f>KFertiliser!L17</f>
        <v>2.3563499999999999E-4</v>
      </c>
      <c r="U63" s="1" t="s">
        <v>1100</v>
      </c>
      <c r="V63" s="903">
        <f t="shared" si="35"/>
        <v>1.0996300000000001E-2</v>
      </c>
      <c r="W63" s="903">
        <f t="shared" si="36"/>
        <v>1.6494449999999998E-3</v>
      </c>
      <c r="X63" t="s">
        <v>1101</v>
      </c>
      <c r="Y63" s="978">
        <f>KFertiliser!O17</f>
        <v>1.2300000000000001E-5</v>
      </c>
      <c r="Z63" s="978">
        <f>KFertiliser!P17</f>
        <v>1.8450000000000001E-6</v>
      </c>
      <c r="AA63" s="1" t="s">
        <v>1102</v>
      </c>
      <c r="AB63" s="901">
        <f t="shared" si="37"/>
        <v>0</v>
      </c>
      <c r="AC63" s="901">
        <f t="shared" si="38"/>
        <v>0</v>
      </c>
      <c r="AE63" s="1018">
        <f>(AB63*GlobalWarmingPotentials!C51)+(V63*GlobalWarmingPotentials!B51)+Cultivation!P63</f>
        <v>3.7541000000000002</v>
      </c>
    </row>
    <row r="64" spans="1:31" x14ac:dyDescent="0.25">
      <c r="A64" s="1009" t="s">
        <v>1403</v>
      </c>
      <c r="B64" t="s">
        <v>1103</v>
      </c>
      <c r="C64" s="899">
        <f>C12</f>
        <v>200</v>
      </c>
      <c r="D64" s="900">
        <v>0</v>
      </c>
      <c r="E64" s="933"/>
      <c r="F64" t="s">
        <v>1105</v>
      </c>
      <c r="G64" s="899">
        <f>Lime!C19</f>
        <v>1.9735200000000002</v>
      </c>
      <c r="H64" s="899">
        <f>Lime!D19</f>
        <v>0.29602800000000001</v>
      </c>
      <c r="I64" s="933"/>
      <c r="J64" s="901">
        <f t="shared" si="31"/>
        <v>394.70400000000001</v>
      </c>
      <c r="K64" s="901">
        <f t="shared" si="32"/>
        <v>59.205600000000004</v>
      </c>
      <c r="L64" t="s">
        <v>563</v>
      </c>
      <c r="M64" s="899">
        <f>Lime!G19</f>
        <v>0.119116</v>
      </c>
      <c r="N64" s="899">
        <f>Lime!H19</f>
        <v>1.7867399999999999E-2</v>
      </c>
      <c r="O64" s="1"/>
      <c r="P64" s="901">
        <f t="shared" si="33"/>
        <v>23.8232</v>
      </c>
      <c r="Q64" s="901">
        <f t="shared" si="34"/>
        <v>3.5734799999999995</v>
      </c>
      <c r="R64" t="s">
        <v>1106</v>
      </c>
      <c r="S64" s="929">
        <f>Lime!K19</f>
        <v>2.1589999999999999E-4</v>
      </c>
      <c r="T64" s="929">
        <f>Lime!L19</f>
        <v>3.2384999999999996E-5</v>
      </c>
      <c r="U64" s="1"/>
      <c r="V64" s="903">
        <f t="shared" si="35"/>
        <v>4.3179999999999996E-2</v>
      </c>
      <c r="W64" s="903">
        <f t="shared" si="36"/>
        <v>6.4769999999999993E-3</v>
      </c>
      <c r="X64" t="s">
        <v>1107</v>
      </c>
      <c r="Y64" s="978">
        <f>Lime!O19</f>
        <v>1.8300000000000001E-5</v>
      </c>
      <c r="Z64" s="978">
        <f>Lime!P19</f>
        <v>2.745E-6</v>
      </c>
      <c r="AA64" s="1"/>
      <c r="AB64" s="901">
        <f t="shared" si="37"/>
        <v>0</v>
      </c>
      <c r="AC64" s="901">
        <f t="shared" si="38"/>
        <v>0</v>
      </c>
      <c r="AE64" s="1018">
        <f>(AB64*GlobalWarmingPotentials!C52)+(V64*GlobalWarmingPotentials!B52)+Cultivation!P64</f>
        <v>23.8232</v>
      </c>
    </row>
    <row r="65" spans="1:34" x14ac:dyDescent="0.25">
      <c r="A65" s="851" t="s">
        <v>1108</v>
      </c>
      <c r="B65" t="s">
        <v>1109</v>
      </c>
      <c r="C65" s="900">
        <v>4</v>
      </c>
      <c r="D65" s="900">
        <v>0</v>
      </c>
      <c r="E65" s="1" t="s">
        <v>1110</v>
      </c>
      <c r="F65" t="s">
        <v>1111</v>
      </c>
      <c r="G65" s="900">
        <v>10</v>
      </c>
      <c r="H65" s="900">
        <v>1.5</v>
      </c>
      <c r="I65" s="1" t="s">
        <v>1112</v>
      </c>
      <c r="J65" s="901">
        <f t="shared" si="31"/>
        <v>40</v>
      </c>
      <c r="K65" s="901">
        <f t="shared" si="32"/>
        <v>6</v>
      </c>
      <c r="L65" t="s">
        <v>1113</v>
      </c>
      <c r="M65" s="900">
        <v>0.75</v>
      </c>
      <c r="N65" s="900">
        <v>0.11</v>
      </c>
      <c r="O65" s="1" t="s">
        <v>1114</v>
      </c>
      <c r="P65" s="901">
        <f t="shared" si="33"/>
        <v>3</v>
      </c>
      <c r="Q65" s="901">
        <f t="shared" si="34"/>
        <v>0.44</v>
      </c>
      <c r="R65" t="s">
        <v>9</v>
      </c>
      <c r="S65" s="902">
        <v>1.192E-7</v>
      </c>
      <c r="T65" s="902">
        <v>0</v>
      </c>
      <c r="U65" s="1" t="s">
        <v>1115</v>
      </c>
      <c r="V65" s="903">
        <f t="shared" si="35"/>
        <v>4.7679999999999998E-7</v>
      </c>
      <c r="W65" s="903">
        <f t="shared" si="36"/>
        <v>0</v>
      </c>
      <c r="X65" t="s">
        <v>10</v>
      </c>
      <c r="Y65" s="902">
        <v>1.279E-9</v>
      </c>
      <c r="Z65" s="902">
        <v>0</v>
      </c>
      <c r="AA65" s="1" t="s">
        <v>1116</v>
      </c>
      <c r="AB65" s="901">
        <f t="shared" si="37"/>
        <v>0</v>
      </c>
      <c r="AC65" s="901">
        <f t="shared" si="38"/>
        <v>0</v>
      </c>
      <c r="AE65" s="1018">
        <f>(AB65*GlobalWarmingPotentials!C53)+(V65*GlobalWarmingPotentials!B53)+Cultivation!P65</f>
        <v>3</v>
      </c>
    </row>
    <row r="66" spans="1:34" x14ac:dyDescent="0.25">
      <c r="A66" s="43" t="s">
        <v>1117</v>
      </c>
      <c r="B66" t="s">
        <v>15</v>
      </c>
      <c r="C66" s="899">
        <f>2/$C$7</f>
        <v>0.13333333333333333</v>
      </c>
      <c r="D66" s="900">
        <v>0</v>
      </c>
      <c r="E66" s="1" t="s">
        <v>1118</v>
      </c>
      <c r="F66" t="s">
        <v>16</v>
      </c>
      <c r="G66" s="900">
        <v>238</v>
      </c>
      <c r="H66" s="900">
        <v>36</v>
      </c>
      <c r="I66" s="1" t="s">
        <v>1119</v>
      </c>
      <c r="J66" s="901">
        <f t="shared" si="31"/>
        <v>31.733333333333334</v>
      </c>
      <c r="K66" s="901">
        <f t="shared" si="32"/>
        <v>4.8</v>
      </c>
      <c r="L66" t="s">
        <v>17</v>
      </c>
      <c r="M66" s="900">
        <v>14</v>
      </c>
      <c r="N66" s="900">
        <v>2</v>
      </c>
      <c r="O66" s="1" t="s">
        <v>1120</v>
      </c>
      <c r="P66" s="901">
        <f t="shared" si="33"/>
        <v>1.8666666666666667</v>
      </c>
      <c r="Q66" s="901">
        <f t="shared" si="34"/>
        <v>0.26666666666666666</v>
      </c>
      <c r="R66" t="s">
        <v>9</v>
      </c>
      <c r="S66" s="902">
        <v>1.192E-7</v>
      </c>
      <c r="T66" s="902">
        <v>0</v>
      </c>
      <c r="U66" s="1" t="s">
        <v>1115</v>
      </c>
      <c r="V66" s="903">
        <f t="shared" si="35"/>
        <v>1.5893333333333331E-8</v>
      </c>
      <c r="W66" s="903">
        <f t="shared" si="36"/>
        <v>0</v>
      </c>
      <c r="X66" t="s">
        <v>10</v>
      </c>
      <c r="Y66" s="902">
        <v>1.279E-9</v>
      </c>
      <c r="Z66" s="902">
        <v>0</v>
      </c>
      <c r="AA66" s="1" t="s">
        <v>1116</v>
      </c>
      <c r="AB66" s="901">
        <f t="shared" si="37"/>
        <v>0</v>
      </c>
      <c r="AC66" s="901">
        <f t="shared" si="38"/>
        <v>0</v>
      </c>
      <c r="AE66" s="1018">
        <f>(AB66*GlobalWarmingPotentials!C54)+(V66*GlobalWarmingPotentials!B54)+Cultivation!P66</f>
        <v>1.8666666666666667</v>
      </c>
    </row>
    <row r="67" spans="1:34" x14ac:dyDescent="0.25">
      <c r="A67" s="43" t="s">
        <v>1121</v>
      </c>
      <c r="B67" t="s">
        <v>15</v>
      </c>
      <c r="C67" s="899">
        <f>7.7/$C$7</f>
        <v>0.51333333333333331</v>
      </c>
      <c r="D67" s="900">
        <v>0</v>
      </c>
      <c r="E67" s="1" t="s">
        <v>1122</v>
      </c>
      <c r="F67" t="s">
        <v>16</v>
      </c>
      <c r="G67" s="900">
        <v>130</v>
      </c>
      <c r="H67" s="900">
        <v>19</v>
      </c>
      <c r="I67" s="1" t="s">
        <v>1123</v>
      </c>
      <c r="J67" s="901">
        <f t="shared" si="31"/>
        <v>66.733333333333334</v>
      </c>
      <c r="K67" s="901">
        <f t="shared" si="32"/>
        <v>9.7533333333333321</v>
      </c>
      <c r="L67" t="s">
        <v>17</v>
      </c>
      <c r="M67" s="900">
        <v>14</v>
      </c>
      <c r="N67" s="900">
        <v>2</v>
      </c>
      <c r="O67" s="1" t="s">
        <v>1124</v>
      </c>
      <c r="P67" s="901">
        <f t="shared" si="33"/>
        <v>7.1866666666666665</v>
      </c>
      <c r="Q67" s="901">
        <f t="shared" si="34"/>
        <v>1.0266666666666666</v>
      </c>
      <c r="R67" t="s">
        <v>9</v>
      </c>
      <c r="S67" s="902">
        <v>1.192E-7</v>
      </c>
      <c r="T67" s="902">
        <v>0</v>
      </c>
      <c r="U67" s="1" t="s">
        <v>1115</v>
      </c>
      <c r="V67" s="903">
        <f t="shared" si="35"/>
        <v>6.1189333333333322E-8</v>
      </c>
      <c r="W67" s="903">
        <f t="shared" si="36"/>
        <v>0</v>
      </c>
      <c r="X67" t="s">
        <v>10</v>
      </c>
      <c r="Y67" s="902">
        <v>1.279E-9</v>
      </c>
      <c r="Z67" s="902">
        <v>0</v>
      </c>
      <c r="AA67" s="1" t="s">
        <v>1116</v>
      </c>
      <c r="AB67" s="901">
        <f t="shared" si="37"/>
        <v>0</v>
      </c>
      <c r="AC67" s="901">
        <f t="shared" si="38"/>
        <v>0</v>
      </c>
      <c r="AE67" s="1018">
        <f>(AB67*GlobalWarmingPotentials!C55)+(V67*GlobalWarmingPotentials!B55)+Cultivation!P67</f>
        <v>7.1866666666666665</v>
      </c>
    </row>
    <row r="68" spans="1:34" s="5" customFormat="1" x14ac:dyDescent="0.25">
      <c r="A68" s="43" t="s">
        <v>1125</v>
      </c>
      <c r="B68" t="s">
        <v>15</v>
      </c>
      <c r="C68" s="900">
        <v>4</v>
      </c>
      <c r="D68" s="900">
        <v>0</v>
      </c>
      <c r="E68" s="1" t="s">
        <v>1126</v>
      </c>
      <c r="F68" t="s">
        <v>16</v>
      </c>
      <c r="G68" s="900">
        <v>454</v>
      </c>
      <c r="H68" s="900">
        <v>68</v>
      </c>
      <c r="I68" s="1" t="s">
        <v>1127</v>
      </c>
      <c r="J68" s="901">
        <f t="shared" si="31"/>
        <v>1816</v>
      </c>
      <c r="K68" s="901">
        <f t="shared" si="32"/>
        <v>272</v>
      </c>
      <c r="L68" t="s">
        <v>17</v>
      </c>
      <c r="M68" s="900">
        <v>26</v>
      </c>
      <c r="N68" s="900">
        <v>4</v>
      </c>
      <c r="O68" s="1" t="s">
        <v>1128</v>
      </c>
      <c r="P68" s="901">
        <f t="shared" si="33"/>
        <v>104</v>
      </c>
      <c r="Q68" s="901">
        <f t="shared" si="34"/>
        <v>16</v>
      </c>
      <c r="R68" t="s">
        <v>9</v>
      </c>
      <c r="S68" s="902">
        <v>1.192E-7</v>
      </c>
      <c r="T68" s="902">
        <v>0</v>
      </c>
      <c r="U68" s="1" t="s">
        <v>1115</v>
      </c>
      <c r="V68" s="903">
        <f t="shared" si="35"/>
        <v>4.7679999999999998E-7</v>
      </c>
      <c r="W68" s="903">
        <f t="shared" si="36"/>
        <v>0</v>
      </c>
      <c r="X68" t="s">
        <v>10</v>
      </c>
      <c r="Y68" s="902">
        <v>1.279E-9</v>
      </c>
      <c r="Z68" s="902">
        <v>0</v>
      </c>
      <c r="AA68" s="1" t="s">
        <v>1116</v>
      </c>
      <c r="AB68" s="901">
        <f t="shared" si="37"/>
        <v>0</v>
      </c>
      <c r="AC68" s="901">
        <f t="shared" si="38"/>
        <v>0</v>
      </c>
      <c r="AE68" s="1018">
        <f>(AB68*GlobalWarmingPotentials!C56)+(V68*GlobalWarmingPotentials!B56)+Cultivation!P68</f>
        <v>104</v>
      </c>
    </row>
    <row r="69" spans="1:34" s="5" customFormat="1" x14ac:dyDescent="0.25">
      <c r="A69" s="43"/>
      <c r="B69"/>
      <c r="C69" s="900"/>
      <c r="D69" s="900"/>
      <c r="E69" s="1"/>
      <c r="F69"/>
      <c r="G69" s="900"/>
      <c r="H69" s="900"/>
      <c r="I69" s="1"/>
      <c r="J69" s="901"/>
      <c r="K69" s="901"/>
      <c r="L69"/>
      <c r="M69" s="900"/>
      <c r="N69" s="900"/>
      <c r="O69" s="1"/>
      <c r="P69" s="901"/>
      <c r="Q69" s="901"/>
      <c r="R69"/>
      <c r="S69" s="902"/>
      <c r="T69" s="902"/>
      <c r="U69" s="1"/>
      <c r="V69" s="903"/>
      <c r="W69" s="903"/>
      <c r="X69"/>
      <c r="Y69" s="902"/>
      <c r="Z69" s="902"/>
      <c r="AA69" s="1"/>
      <c r="AB69" s="901"/>
      <c r="AC69" s="901"/>
      <c r="AE69" s="1018">
        <f>(AB69*GlobalWarmingPotentials!C57)+(V69*GlobalWarmingPotentials!B57)+Cultivation!P69</f>
        <v>0</v>
      </c>
    </row>
    <row r="70" spans="1:34" s="5" customFormat="1" x14ac:dyDescent="0.25">
      <c r="A70" s="5" t="s">
        <v>1129</v>
      </c>
      <c r="C70" s="904"/>
      <c r="D70" s="904"/>
      <c r="E70" s="6"/>
      <c r="G70" s="904"/>
      <c r="H70" s="904"/>
      <c r="I70" s="6"/>
      <c r="J70" s="905">
        <f>SUM(J61:J69)</f>
        <v>2619.1361666666667</v>
      </c>
      <c r="K70" s="905">
        <f>SQRT(SUMSQ(K61:K68))</f>
        <v>280.3782882574705</v>
      </c>
      <c r="M70" s="904"/>
      <c r="N70" s="904"/>
      <c r="O70" s="6"/>
      <c r="P70" s="905">
        <f>SUM(P61:P69)</f>
        <v>155.44187333333332</v>
      </c>
      <c r="Q70" s="905">
        <f>SQRT(SUMSQ(Q61:Q68))</f>
        <v>16.534016973372399</v>
      </c>
      <c r="S70" s="906"/>
      <c r="T70" s="906"/>
      <c r="U70" s="6"/>
      <c r="V70" s="903">
        <f>SUM(V61:V69)</f>
        <v>8.5029130682666654E-2</v>
      </c>
      <c r="W70" s="903">
        <f>SQRT(SUMSQ(W61:W68))</f>
        <v>8.0947568666714757E-3</v>
      </c>
      <c r="Y70" s="906"/>
      <c r="Z70" s="906"/>
      <c r="AA70" s="6"/>
      <c r="AB70" s="905">
        <f>SUM(AB61:AB69)</f>
        <v>0</v>
      </c>
      <c r="AC70" s="905">
        <f>SQRT(SUMSQ(AC61:AC68))</f>
        <v>0</v>
      </c>
      <c r="AE70" s="1018">
        <f>(AB70*GlobalWarmingPotentials!C58)+(V70*GlobalWarmingPotentials!B58)+Cultivation!P70</f>
        <v>155.44187333333332</v>
      </c>
    </row>
    <row r="71" spans="1:34" s="907" customFormat="1" x14ac:dyDescent="0.25">
      <c r="C71" s="908"/>
      <c r="D71" s="908"/>
      <c r="E71" s="909"/>
      <c r="G71" s="908"/>
      <c r="H71" s="908"/>
      <c r="I71" s="909"/>
      <c r="J71" s="908"/>
      <c r="K71" s="908"/>
      <c r="M71" s="908"/>
      <c r="N71" s="908"/>
      <c r="O71" s="909"/>
      <c r="P71" s="908"/>
      <c r="Q71" s="908"/>
      <c r="S71" s="910"/>
      <c r="T71" s="910"/>
      <c r="U71" s="909"/>
      <c r="V71" s="910"/>
      <c r="W71" s="910"/>
      <c r="Y71" s="910"/>
      <c r="Z71" s="910"/>
      <c r="AA71" s="909"/>
      <c r="AB71" s="910"/>
      <c r="AC71" s="910"/>
      <c r="AE71" s="1018"/>
    </row>
    <row r="72" spans="1:34" x14ac:dyDescent="0.25">
      <c r="A72" s="43" t="s">
        <v>1130</v>
      </c>
      <c r="B72" t="s">
        <v>15</v>
      </c>
      <c r="C72" s="899">
        <f>(C8*0.07)/C7</f>
        <v>93.333333333333343</v>
      </c>
      <c r="D72" s="900">
        <v>0</v>
      </c>
      <c r="E72" s="911" t="s">
        <v>1131</v>
      </c>
      <c r="F72" t="s">
        <v>16</v>
      </c>
      <c r="G72" s="900">
        <v>8</v>
      </c>
      <c r="H72" s="900">
        <v>1</v>
      </c>
      <c r="I72" s="1" t="s">
        <v>1132</v>
      </c>
      <c r="J72" s="901">
        <f>C72*G72</f>
        <v>746.66666666666674</v>
      </c>
      <c r="K72" s="901">
        <f>SQRT(((D72*G72)^2)+((C72*H72)^2))</f>
        <v>93.333333333333343</v>
      </c>
      <c r="L72" t="s">
        <v>17</v>
      </c>
      <c r="M72" s="900">
        <v>0.28000000000000003</v>
      </c>
      <c r="N72" s="900">
        <v>0.04</v>
      </c>
      <c r="O72" s="1" t="s">
        <v>1133</v>
      </c>
      <c r="P72" s="901">
        <f>C72*M72</f>
        <v>26.13333333333334</v>
      </c>
      <c r="Q72" s="901">
        <f>SQRT(((D72*M72)^2)+((C72*N72)^2))</f>
        <v>3.7333333333333338</v>
      </c>
      <c r="R72" t="s">
        <v>9</v>
      </c>
      <c r="S72" s="902">
        <v>1.192E-7</v>
      </c>
      <c r="T72" s="902">
        <v>0</v>
      </c>
      <c r="U72" s="1" t="s">
        <v>1115</v>
      </c>
      <c r="V72" s="903">
        <f>$J72*S72</f>
        <v>8.9002666666666667E-5</v>
      </c>
      <c r="W72" s="903">
        <f>SQRT((($K72*S72)^2)+(($J72*T72)^2))</f>
        <v>1.1125333333333333E-5</v>
      </c>
      <c r="X72" t="s">
        <v>10</v>
      </c>
      <c r="Y72" s="902">
        <v>1.279E-9</v>
      </c>
      <c r="Z72" s="902">
        <v>0</v>
      </c>
      <c r="AA72" s="1" t="s">
        <v>1116</v>
      </c>
      <c r="AB72" s="903">
        <f>$J72*Y72</f>
        <v>9.5498666666666668E-7</v>
      </c>
      <c r="AC72" s="903">
        <f>SQRT((($K72*Y72)^2)+(($J72*Z72)^2))</f>
        <v>1.1937333333333334E-7</v>
      </c>
      <c r="AE72" s="1018">
        <f>(AB72*GlobalWarmingPotentials!C60)+(V72*GlobalWarmingPotentials!B60)+Cultivation!P72</f>
        <v>26.13333333333334</v>
      </c>
    </row>
    <row r="73" spans="1:34" s="907" customFormat="1" x14ac:dyDescent="0.25">
      <c r="C73" s="909"/>
      <c r="D73" s="909"/>
      <c r="E73" s="909"/>
      <c r="G73" s="909"/>
      <c r="H73" s="909"/>
      <c r="I73" s="909"/>
      <c r="J73" s="908"/>
      <c r="K73" s="908"/>
      <c r="M73" s="908"/>
      <c r="N73" s="908"/>
      <c r="O73" s="909"/>
      <c r="P73" s="908"/>
      <c r="Q73" s="908"/>
      <c r="S73" s="909"/>
      <c r="T73" s="909"/>
      <c r="U73" s="909"/>
      <c r="V73" s="910"/>
      <c r="W73" s="910"/>
      <c r="Y73" s="910"/>
      <c r="Z73" s="910"/>
      <c r="AA73" s="909"/>
      <c r="AB73" s="910"/>
      <c r="AC73" s="910"/>
      <c r="AE73" s="1018"/>
    </row>
    <row r="74" spans="1:34" s="68" customFormat="1" x14ac:dyDescent="0.25">
      <c r="A74" s="117" t="s">
        <v>1134</v>
      </c>
      <c r="B74" s="114" t="s">
        <v>1335</v>
      </c>
      <c r="C74" s="884"/>
      <c r="D74" s="316"/>
      <c r="G74" s="884"/>
      <c r="H74" s="884"/>
      <c r="J74" s="884"/>
      <c r="K74" s="884"/>
      <c r="M74" s="912"/>
      <c r="N74" s="912"/>
      <c r="O74" s="114"/>
      <c r="P74" s="884"/>
      <c r="Q74" s="884"/>
      <c r="S74" s="913"/>
      <c r="T74" s="913"/>
      <c r="U74" s="114"/>
      <c r="V74" s="885"/>
      <c r="W74" s="885"/>
      <c r="X74" s="68" t="s">
        <v>1135</v>
      </c>
      <c r="Y74" s="873">
        <f>2.08/100</f>
        <v>2.0799999999999999E-2</v>
      </c>
      <c r="Z74" s="873">
        <v>0</v>
      </c>
      <c r="AA74" s="875" t="s">
        <v>1136</v>
      </c>
      <c r="AB74" s="874">
        <f>C61*Y74</f>
        <v>0.10192</v>
      </c>
      <c r="AC74" s="874">
        <f>Z74</f>
        <v>0</v>
      </c>
      <c r="AE74" s="1018">
        <f>(AB74*GlobalWarmingPotentials!C62)+(V74*GlobalWarmingPotentials!B62)+Cultivation!P74</f>
        <v>0</v>
      </c>
    </row>
    <row r="75" spans="1:34" s="68" customFormat="1" ht="17.25" customHeight="1" x14ac:dyDescent="0.25">
      <c r="A75" s="117" t="s">
        <v>1334</v>
      </c>
      <c r="B75" s="1071"/>
      <c r="C75" s="884"/>
      <c r="D75" s="316"/>
      <c r="G75" s="884"/>
      <c r="H75" s="884"/>
      <c r="J75" s="884"/>
      <c r="K75" s="884"/>
      <c r="L75" s="1015" t="s">
        <v>1370</v>
      </c>
      <c r="M75" s="1016">
        <v>0.44</v>
      </c>
      <c r="N75" s="1016">
        <v>0</v>
      </c>
      <c r="O75" s="1017" t="s">
        <v>1371</v>
      </c>
      <c r="P75" s="901">
        <f>IF(C13="CaO",0,M75*C64)</f>
        <v>0</v>
      </c>
      <c r="Q75" s="901">
        <f>IF(C13="CaO",0,SQRT(((D75*M75)^2)+((C75*N75)^2)))</f>
        <v>0</v>
      </c>
      <c r="S75" s="913"/>
      <c r="T75" s="913"/>
      <c r="U75" s="114"/>
      <c r="V75" s="885"/>
      <c r="W75" s="885"/>
      <c r="Y75" s="913"/>
      <c r="Z75" s="913"/>
      <c r="AA75" s="875"/>
      <c r="AB75" s="885"/>
      <c r="AC75" s="885"/>
      <c r="AE75" s="1018">
        <f>(AB75*GlobalWarmingPotentials!C63)+(V75*GlobalWarmingPotentials!B63)+Cultivation!P75</f>
        <v>0</v>
      </c>
    </row>
    <row r="76" spans="1:34" s="117" customFormat="1" x14ac:dyDescent="0.25">
      <c r="B76" s="113"/>
      <c r="C76" s="878"/>
      <c r="D76" s="321"/>
      <c r="G76" s="878"/>
      <c r="H76" s="878"/>
      <c r="J76" s="878"/>
      <c r="K76" s="878"/>
      <c r="M76" s="952"/>
      <c r="N76" s="952"/>
      <c r="O76" s="113"/>
      <c r="P76" s="878"/>
      <c r="Q76" s="878"/>
      <c r="S76" s="953"/>
      <c r="T76" s="953"/>
      <c r="U76" s="113"/>
      <c r="V76" s="891"/>
      <c r="W76" s="891"/>
      <c r="Y76" s="953"/>
      <c r="Z76" s="953"/>
      <c r="AA76" s="892"/>
      <c r="AB76" s="891"/>
      <c r="AC76" s="891"/>
      <c r="AE76" s="1018"/>
    </row>
    <row r="77" spans="1:34" s="68" customFormat="1" x14ac:dyDescent="0.25">
      <c r="A77" s="914" t="s">
        <v>1137</v>
      </c>
      <c r="B77" s="915"/>
      <c r="C77" s="916"/>
      <c r="D77" s="322"/>
      <c r="E77" s="914"/>
      <c r="F77" s="914"/>
      <c r="G77" s="916"/>
      <c r="H77" s="916"/>
      <c r="I77" s="914"/>
      <c r="J77" s="917">
        <f>J72+J70+J59+J46+J33</f>
        <v>3982.9532062747508</v>
      </c>
      <c r="K77" s="917">
        <f>SQRT((K72^2)+(K70^2)+(K59^2)+(K46^2)+(K33^2))</f>
        <v>295.50481491390343</v>
      </c>
      <c r="L77" s="914"/>
      <c r="M77" s="918"/>
      <c r="N77" s="918"/>
      <c r="O77" s="915"/>
      <c r="P77" s="917">
        <f>P75+P72+P70+P59+P46+P33</f>
        <v>225.86279167737416</v>
      </c>
      <c r="Q77" s="917">
        <f>SQRT((Q72^2)+(Q70^2)+(Q59^2)+(Q46^2)+(Q33^2))</f>
        <v>16.950265338735687</v>
      </c>
      <c r="R77" s="914"/>
      <c r="S77" s="919"/>
      <c r="T77" s="919"/>
      <c r="U77" s="915"/>
      <c r="V77" s="917">
        <f>V72+V70+V59+V46+V33</f>
        <v>9.4320748416493322E-2</v>
      </c>
      <c r="W77" s="917">
        <f>SQRT((W72^2)+(W70^2)+(W59^2)+(W46^2)+(W33^2))</f>
        <v>8.0947645119278672E-3</v>
      </c>
      <c r="X77" s="914"/>
      <c r="Y77" s="919"/>
      <c r="Z77" s="919"/>
      <c r="AA77" s="920"/>
      <c r="AB77" s="917">
        <f>AB72+AB70+AB59+AB46+AB33+AB74</f>
        <v>0.11388435457397467</v>
      </c>
      <c r="AC77" s="917">
        <f>SQRT((AC72^2)+(AC70^2)+(AC59^2)+(AC46^2)+(AC33^2)+(AC74^2))</f>
        <v>1.1937333333333334E-7</v>
      </c>
      <c r="AE77" s="316">
        <f>(AB77*GlobalWarmingPotentials!C65)+(V77*GlobalWarmingPotentials!B65)+Cultivation!P77</f>
        <v>225.86279167737416</v>
      </c>
      <c r="AF77" s="316">
        <v>807.57236130747128</v>
      </c>
      <c r="AG77" s="316"/>
    </row>
    <row r="78" spans="1:34" x14ac:dyDescent="0.25">
      <c r="AD78" s="923" t="s">
        <v>1373</v>
      </c>
      <c r="AE78" s="316">
        <v>48.397428371903246</v>
      </c>
      <c r="AF78" s="923"/>
    </row>
    <row r="79" spans="1:34" s="155" customFormat="1" x14ac:dyDescent="0.25">
      <c r="A79" s="967"/>
      <c r="AE79" s="1019"/>
    </row>
    <row r="80" spans="1:34" s="42" customFormat="1" x14ac:dyDescent="0.25">
      <c r="A80" s="968"/>
      <c r="B80" s="969"/>
      <c r="C80" s="969"/>
      <c r="F80" s="969"/>
      <c r="I80" s="969"/>
      <c r="J80" s="969"/>
      <c r="L80" s="969"/>
      <c r="O80" s="969"/>
      <c r="P80" s="969"/>
      <c r="R80" s="969"/>
      <c r="U80" s="969"/>
      <c r="V80" s="969"/>
      <c r="X80" s="969"/>
      <c r="AA80" s="969"/>
      <c r="AB80" s="969"/>
      <c r="AD80" s="969"/>
      <c r="AG80" s="969"/>
      <c r="AH80" s="969"/>
    </row>
    <row r="81" spans="1:34" s="42" customFormat="1" x14ac:dyDescent="0.25">
      <c r="A81" s="968"/>
      <c r="B81" s="969"/>
      <c r="C81" s="969"/>
      <c r="F81" s="969"/>
      <c r="I81" s="969"/>
      <c r="J81" s="969"/>
      <c r="L81" s="969"/>
      <c r="O81" s="969"/>
      <c r="P81" s="969"/>
      <c r="R81" s="969"/>
      <c r="U81" s="969"/>
      <c r="V81" s="969"/>
      <c r="X81" s="969"/>
      <c r="AA81" s="969"/>
      <c r="AB81" s="969"/>
      <c r="AD81" s="969"/>
      <c r="AG81" s="969"/>
      <c r="AH81" s="969"/>
    </row>
    <row r="82" spans="1:34" s="42" customFormat="1" x14ac:dyDescent="0.25">
      <c r="A82" s="968"/>
      <c r="B82" s="969"/>
      <c r="C82" s="969"/>
      <c r="F82" s="969"/>
      <c r="I82" s="969"/>
      <c r="J82" s="969"/>
      <c r="L82" s="969"/>
      <c r="O82" s="969"/>
      <c r="P82" s="969"/>
      <c r="R82" s="969"/>
      <c r="U82" s="969"/>
      <c r="V82" s="969"/>
      <c r="X82" s="969"/>
      <c r="AA82" s="969"/>
      <c r="AB82" s="969"/>
      <c r="AD82" s="969"/>
      <c r="AG82" s="969"/>
      <c r="AH82" s="969"/>
    </row>
    <row r="83" spans="1:34" s="42" customFormat="1" x14ac:dyDescent="0.25">
      <c r="B83" s="969"/>
      <c r="C83" s="969"/>
      <c r="F83" s="969"/>
      <c r="I83" s="969"/>
      <c r="J83" s="969"/>
      <c r="L83" s="969"/>
      <c r="O83" s="969"/>
      <c r="P83" s="969"/>
      <c r="R83" s="969"/>
      <c r="U83" s="969"/>
      <c r="V83" s="969"/>
      <c r="X83" s="969"/>
      <c r="AA83" s="969"/>
      <c r="AB83" s="969"/>
      <c r="AD83" s="969"/>
      <c r="AG83" s="969"/>
      <c r="AH83" s="969"/>
    </row>
    <row r="84" spans="1:34" s="42" customFormat="1" x14ac:dyDescent="0.25">
      <c r="B84" s="969"/>
      <c r="C84" s="969"/>
      <c r="F84" s="969"/>
      <c r="I84" s="969"/>
      <c r="J84" s="969"/>
      <c r="L84" s="969"/>
      <c r="O84" s="969"/>
      <c r="P84" s="969"/>
      <c r="R84" s="969"/>
      <c r="U84" s="969"/>
      <c r="V84" s="969"/>
      <c r="X84" s="969"/>
      <c r="AA84" s="969"/>
      <c r="AB84" s="969"/>
      <c r="AD84" s="969"/>
      <c r="AG84" s="969"/>
      <c r="AH84" s="969"/>
    </row>
    <row r="85" spans="1:34" s="42" customFormat="1" x14ac:dyDescent="0.25">
      <c r="B85" s="969"/>
      <c r="C85" s="969"/>
      <c r="F85" s="969"/>
      <c r="I85" s="969"/>
      <c r="J85" s="969"/>
      <c r="L85" s="969"/>
      <c r="O85" s="969"/>
      <c r="P85" s="969"/>
      <c r="R85" s="969"/>
      <c r="U85" s="969"/>
      <c r="V85" s="969"/>
      <c r="X85" s="969"/>
      <c r="AA85" s="969"/>
      <c r="AB85" s="969"/>
      <c r="AD85" s="969"/>
      <c r="AG85" s="969"/>
      <c r="AH85" s="969"/>
    </row>
    <row r="86" spans="1:34" s="42" customFormat="1" x14ac:dyDescent="0.25">
      <c r="B86" s="969"/>
      <c r="C86" s="969"/>
      <c r="F86" s="969"/>
      <c r="I86" s="969"/>
      <c r="J86" s="969"/>
      <c r="L86" s="969"/>
      <c r="M86" s="970"/>
      <c r="O86" s="969"/>
      <c r="P86" s="969"/>
      <c r="R86" s="969"/>
      <c r="U86" s="969"/>
      <c r="V86" s="969"/>
      <c r="X86" s="969"/>
      <c r="AA86" s="969"/>
      <c r="AB86" s="969"/>
      <c r="AD86" s="969"/>
      <c r="AG86" s="969"/>
      <c r="AH86" s="969"/>
    </row>
    <row r="87" spans="1:34" s="42" customFormat="1" x14ac:dyDescent="0.25">
      <c r="A87" s="968"/>
      <c r="B87" s="969"/>
      <c r="C87" s="969"/>
      <c r="F87" s="969"/>
      <c r="I87" s="969"/>
      <c r="J87" s="969"/>
      <c r="L87" s="969"/>
      <c r="O87" s="969"/>
      <c r="P87" s="969"/>
      <c r="R87" s="969"/>
      <c r="U87" s="969"/>
      <c r="V87" s="969"/>
      <c r="X87" s="969"/>
      <c r="AA87" s="969"/>
      <c r="AB87" s="969"/>
      <c r="AD87" s="969"/>
      <c r="AG87" s="969"/>
      <c r="AH87" s="969"/>
    </row>
    <row r="88" spans="1:34" s="42" customFormat="1" x14ac:dyDescent="0.25">
      <c r="B88" s="969"/>
      <c r="C88" s="969"/>
      <c r="F88" s="969"/>
      <c r="I88" s="969"/>
      <c r="J88" s="969"/>
      <c r="L88" s="969"/>
      <c r="O88" s="969"/>
      <c r="P88" s="969"/>
      <c r="R88" s="969"/>
      <c r="S88" s="971"/>
      <c r="U88" s="969"/>
      <c r="V88" s="969"/>
      <c r="X88" s="969"/>
      <c r="Y88" s="971"/>
      <c r="AA88" s="969"/>
      <c r="AB88" s="969"/>
      <c r="AD88" s="969"/>
      <c r="AG88" s="969"/>
      <c r="AH88" s="969"/>
    </row>
    <row r="89" spans="1:34" s="42" customFormat="1" x14ac:dyDescent="0.25">
      <c r="B89" s="969"/>
      <c r="C89" s="969"/>
      <c r="F89" s="969"/>
      <c r="H89" s="972"/>
      <c r="I89" s="969"/>
      <c r="J89" s="969"/>
      <c r="L89" s="969"/>
      <c r="O89" s="969"/>
      <c r="P89" s="969"/>
      <c r="R89" s="973"/>
      <c r="S89" s="971"/>
      <c r="U89" s="969"/>
      <c r="V89" s="969"/>
      <c r="X89" s="973"/>
      <c r="Y89" s="971"/>
      <c r="AA89" s="969"/>
      <c r="AB89" s="969"/>
      <c r="AD89" s="969"/>
      <c r="AG89" s="969"/>
      <c r="AH89" s="969"/>
    </row>
    <row r="90" spans="1:34" s="42" customFormat="1" x14ac:dyDescent="0.25">
      <c r="B90" s="969"/>
      <c r="C90" s="969"/>
      <c r="F90" s="969"/>
      <c r="I90" s="969"/>
      <c r="J90" s="969"/>
      <c r="L90" s="969"/>
      <c r="O90" s="969"/>
      <c r="P90" s="969"/>
      <c r="R90" s="969"/>
      <c r="S90" s="971"/>
      <c r="U90" s="969"/>
      <c r="V90" s="969"/>
      <c r="X90" s="969"/>
      <c r="Y90" s="971"/>
      <c r="AA90" s="969"/>
      <c r="AB90" s="969"/>
      <c r="AD90" s="969"/>
      <c r="AG90" s="969"/>
      <c r="AH90" s="969"/>
    </row>
    <row r="91" spans="1:34" s="42" customFormat="1" x14ac:dyDescent="0.25">
      <c r="B91" s="969"/>
      <c r="C91" s="969"/>
      <c r="F91" s="969"/>
      <c r="I91" s="969"/>
      <c r="J91" s="969"/>
      <c r="L91" s="969"/>
      <c r="O91" s="969"/>
      <c r="P91" s="969"/>
      <c r="R91" s="973"/>
      <c r="S91" s="971"/>
      <c r="U91" s="969"/>
      <c r="V91" s="969"/>
      <c r="X91" s="973"/>
      <c r="Y91" s="971"/>
      <c r="AA91" s="969"/>
      <c r="AB91" s="969"/>
      <c r="AD91" s="969"/>
      <c r="AG91" s="969"/>
      <c r="AH91" s="969"/>
    </row>
    <row r="92" spans="1:34" s="42" customFormat="1" x14ac:dyDescent="0.25">
      <c r="B92" s="969"/>
      <c r="C92" s="969"/>
      <c r="E92" s="970"/>
      <c r="F92" s="969"/>
      <c r="I92" s="969"/>
      <c r="J92" s="969"/>
      <c r="L92" s="969"/>
      <c r="M92" s="970"/>
      <c r="O92" s="969"/>
      <c r="P92" s="969"/>
      <c r="R92" s="969"/>
      <c r="U92" s="969"/>
      <c r="V92" s="969"/>
      <c r="X92" s="969"/>
      <c r="AA92" s="969"/>
      <c r="AB92" s="969"/>
      <c r="AD92" s="969"/>
      <c r="AG92" s="969"/>
      <c r="AH92" s="969"/>
    </row>
    <row r="93" spans="1:34" s="42" customFormat="1" x14ac:dyDescent="0.25">
      <c r="A93" s="968"/>
      <c r="B93" s="969"/>
      <c r="C93" s="969"/>
      <c r="E93" s="970"/>
      <c r="F93" s="969"/>
      <c r="I93" s="969"/>
      <c r="J93" s="969"/>
      <c r="L93" s="969"/>
      <c r="M93" s="970"/>
      <c r="O93" s="969"/>
      <c r="P93" s="969"/>
      <c r="R93" s="969"/>
      <c r="U93" s="969"/>
      <c r="V93" s="969"/>
      <c r="X93" s="969"/>
      <c r="AA93" s="969"/>
      <c r="AB93" s="969"/>
      <c r="AD93" s="969"/>
      <c r="AG93" s="969"/>
      <c r="AH93" s="969"/>
    </row>
    <row r="94" spans="1:34" s="42" customFormat="1" x14ac:dyDescent="0.25">
      <c r="B94" s="969"/>
      <c r="C94" s="969"/>
      <c r="F94" s="969"/>
      <c r="I94" s="969"/>
      <c r="J94" s="969"/>
      <c r="L94" s="969"/>
      <c r="M94" s="970"/>
      <c r="O94" s="969"/>
      <c r="P94" s="969"/>
      <c r="R94" s="969"/>
      <c r="U94" s="969"/>
      <c r="V94" s="969"/>
      <c r="X94" s="969"/>
      <c r="AA94" s="969"/>
      <c r="AB94" s="969"/>
      <c r="AD94" s="969"/>
      <c r="AG94" s="969"/>
      <c r="AH94" s="969"/>
    </row>
    <row r="95" spans="1:34" s="42" customFormat="1" x14ac:dyDescent="0.25">
      <c r="B95" s="969"/>
      <c r="C95" s="969"/>
      <c r="F95" s="969"/>
      <c r="I95" s="969"/>
      <c r="J95" s="969"/>
      <c r="L95" s="969"/>
      <c r="M95" s="970"/>
      <c r="O95" s="969"/>
      <c r="P95" s="969"/>
      <c r="R95" s="969"/>
      <c r="U95" s="969"/>
      <c r="V95" s="969"/>
      <c r="X95" s="969"/>
      <c r="AA95" s="969"/>
      <c r="AB95" s="969"/>
      <c r="AD95" s="969"/>
      <c r="AG95" s="969"/>
      <c r="AH95" s="969"/>
    </row>
    <row r="96" spans="1:34" s="42" customFormat="1" x14ac:dyDescent="0.25">
      <c r="B96" s="969"/>
      <c r="C96" s="969"/>
      <c r="F96" s="969"/>
      <c r="I96" s="969"/>
      <c r="J96" s="969"/>
      <c r="L96" s="969"/>
      <c r="M96" s="970"/>
      <c r="O96" s="969"/>
      <c r="P96" s="969"/>
      <c r="R96" s="969"/>
      <c r="U96" s="969"/>
      <c r="V96" s="969"/>
      <c r="X96" s="969"/>
      <c r="AA96" s="969"/>
      <c r="AB96" s="969"/>
      <c r="AD96" s="969"/>
      <c r="AG96" s="969"/>
      <c r="AH96" s="969"/>
    </row>
    <row r="97" spans="1:34" s="42" customFormat="1" x14ac:dyDescent="0.25">
      <c r="B97" s="969"/>
      <c r="C97" s="969"/>
      <c r="F97" s="969"/>
      <c r="I97" s="969"/>
      <c r="J97" s="969"/>
      <c r="L97" s="969"/>
      <c r="M97" s="970"/>
      <c r="O97" s="969"/>
      <c r="P97" s="969"/>
      <c r="R97" s="969"/>
      <c r="U97" s="969"/>
      <c r="V97" s="969"/>
      <c r="X97" s="969"/>
      <c r="AA97" s="969"/>
      <c r="AB97" s="969"/>
      <c r="AD97" s="969"/>
      <c r="AG97" s="969"/>
      <c r="AH97" s="969"/>
    </row>
    <row r="98" spans="1:34" s="42" customFormat="1" x14ac:dyDescent="0.25">
      <c r="B98" s="969"/>
      <c r="C98" s="969"/>
      <c r="E98" s="970"/>
      <c r="F98" s="969"/>
      <c r="I98" s="969"/>
      <c r="J98" s="969"/>
      <c r="L98" s="969"/>
      <c r="M98" s="970"/>
      <c r="O98" s="969"/>
      <c r="P98" s="969"/>
      <c r="R98" s="969"/>
      <c r="U98" s="969"/>
      <c r="V98" s="969"/>
      <c r="X98" s="969"/>
      <c r="AA98" s="969"/>
      <c r="AB98" s="969"/>
      <c r="AD98" s="969"/>
      <c r="AG98" s="969"/>
      <c r="AH98" s="969"/>
    </row>
    <row r="99" spans="1:34" s="42" customFormat="1" x14ac:dyDescent="0.25">
      <c r="A99" s="968"/>
      <c r="B99" s="969"/>
      <c r="C99" s="969"/>
      <c r="E99" s="970"/>
      <c r="F99" s="969"/>
      <c r="I99" s="969"/>
      <c r="J99" s="969"/>
      <c r="L99" s="969"/>
      <c r="M99" s="970"/>
      <c r="O99" s="969"/>
      <c r="P99" s="969"/>
      <c r="R99" s="969"/>
      <c r="U99" s="969"/>
      <c r="V99" s="969"/>
      <c r="X99" s="969"/>
      <c r="AA99" s="969"/>
      <c r="AB99" s="969"/>
      <c r="AD99" s="969"/>
      <c r="AG99" s="969"/>
      <c r="AH99" s="969"/>
    </row>
    <row r="100" spans="1:34" s="155" customFormat="1" x14ac:dyDescent="0.25"/>
    <row r="101" spans="1:34" s="155" customFormat="1" x14ac:dyDescent="0.25"/>
  </sheetData>
  <phoneticPr fontId="0" type="noConversion"/>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9"/>
  <sheetViews>
    <sheetView workbookViewId="0">
      <pane xSplit="1" ySplit="16" topLeftCell="B17" activePane="bottomRight" state="frozen"/>
      <selection pane="topRight" activeCell="B1" sqref="B1"/>
      <selection pane="bottomLeft" activeCell="A17" sqref="A17"/>
      <selection pane="bottomRight"/>
    </sheetView>
  </sheetViews>
  <sheetFormatPr defaultRowHeight="13.2" x14ac:dyDescent="0.25"/>
  <cols>
    <col min="1" max="1" width="37.44140625" customWidth="1"/>
    <col min="2" max="2" width="14.5546875" customWidth="1"/>
    <col min="3" max="3" width="9.5546875" bestFit="1" customWidth="1"/>
    <col min="6" max="6" width="8" customWidth="1"/>
    <col min="12" max="12" width="11.33203125" customWidth="1"/>
    <col min="13" max="13" width="11.33203125" style="43" customWidth="1"/>
    <col min="14" max="14" width="10.6640625" customWidth="1"/>
    <col min="18" max="18" width="10.109375" customWidth="1"/>
    <col min="19" max="19" width="9.33203125" customWidth="1"/>
    <col min="20" max="20" width="10.33203125" customWidth="1"/>
    <col min="21" max="21" width="12" bestFit="1" customWidth="1"/>
    <col min="22" max="22" width="10" bestFit="1" customWidth="1"/>
    <col min="23" max="23" width="10" customWidth="1"/>
    <col min="24" max="24" width="13.33203125" customWidth="1"/>
    <col min="25" max="25" width="16" customWidth="1"/>
    <col min="26" max="26" width="10.33203125" customWidth="1"/>
    <col min="27" max="27" width="12" bestFit="1" customWidth="1"/>
    <col min="28" max="28" width="11" bestFit="1" customWidth="1"/>
    <col min="30" max="30" width="17.109375" customWidth="1"/>
    <col min="31" max="31" width="16.109375" customWidth="1"/>
    <col min="259" max="259" width="37.44140625" customWidth="1"/>
    <col min="260" max="260" width="14.5546875" customWidth="1"/>
    <col min="261" max="261" width="9.5546875" bestFit="1" customWidth="1"/>
    <col min="265" max="265" width="8" customWidth="1"/>
    <col min="269" max="269" width="11.33203125" customWidth="1"/>
    <col min="270" max="270" width="10.6640625" customWidth="1"/>
    <col min="274" max="274" width="10.109375" customWidth="1"/>
    <col min="275" max="275" width="9.33203125" customWidth="1"/>
    <col min="276" max="276" width="10.33203125" customWidth="1"/>
    <col min="277" max="277" width="12" bestFit="1" customWidth="1"/>
    <col min="278" max="278" width="10" bestFit="1" customWidth="1"/>
    <col min="279" max="279" width="10" customWidth="1"/>
    <col min="280" max="280" width="13.33203125" customWidth="1"/>
    <col min="281" max="281" width="16" customWidth="1"/>
    <col min="282" max="282" width="10.33203125" customWidth="1"/>
    <col min="283" max="283" width="12" bestFit="1" customWidth="1"/>
    <col min="284" max="284" width="11" bestFit="1" customWidth="1"/>
    <col min="286" max="286" width="17.109375" customWidth="1"/>
    <col min="287" max="287" width="16.109375" customWidth="1"/>
    <col min="515" max="515" width="37.44140625" customWidth="1"/>
    <col min="516" max="516" width="14.5546875" customWidth="1"/>
    <col min="517" max="517" width="9.5546875" bestFit="1" customWidth="1"/>
    <col min="521" max="521" width="8" customWidth="1"/>
    <col min="525" max="525" width="11.33203125" customWidth="1"/>
    <col min="526" max="526" width="10.6640625" customWidth="1"/>
    <col min="530" max="530" width="10.109375" customWidth="1"/>
    <col min="531" max="531" width="9.33203125" customWidth="1"/>
    <col min="532" max="532" width="10.33203125" customWidth="1"/>
    <col min="533" max="533" width="12" bestFit="1" customWidth="1"/>
    <col min="534" max="534" width="10" bestFit="1" customWidth="1"/>
    <col min="535" max="535" width="10" customWidth="1"/>
    <col min="536" max="536" width="13.33203125" customWidth="1"/>
    <col min="537" max="537" width="16" customWidth="1"/>
    <col min="538" max="538" width="10.33203125" customWidth="1"/>
    <col min="539" max="539" width="12" bestFit="1" customWidth="1"/>
    <col min="540" max="540" width="11" bestFit="1" customWidth="1"/>
    <col min="542" max="542" width="17.109375" customWidth="1"/>
    <col min="543" max="543" width="16.109375" customWidth="1"/>
    <col min="771" max="771" width="37.44140625" customWidth="1"/>
    <col min="772" max="772" width="14.5546875" customWidth="1"/>
    <col min="773" max="773" width="9.5546875" bestFit="1" customWidth="1"/>
    <col min="777" max="777" width="8" customWidth="1"/>
    <col min="781" max="781" width="11.33203125" customWidth="1"/>
    <col min="782" max="782" width="10.6640625" customWidth="1"/>
    <col min="786" max="786" width="10.109375" customWidth="1"/>
    <col min="787" max="787" width="9.33203125" customWidth="1"/>
    <col min="788" max="788" width="10.33203125" customWidth="1"/>
    <col min="789" max="789" width="12" bestFit="1" customWidth="1"/>
    <col min="790" max="790" width="10" bestFit="1" customWidth="1"/>
    <col min="791" max="791" width="10" customWidth="1"/>
    <col min="792" max="792" width="13.33203125" customWidth="1"/>
    <col min="793" max="793" width="16" customWidth="1"/>
    <col min="794" max="794" width="10.33203125" customWidth="1"/>
    <col min="795" max="795" width="12" bestFit="1" customWidth="1"/>
    <col min="796" max="796" width="11" bestFit="1" customWidth="1"/>
    <col min="798" max="798" width="17.109375" customWidth="1"/>
    <col min="799" max="799" width="16.109375" customWidth="1"/>
    <col min="1027" max="1027" width="37.44140625" customWidth="1"/>
    <col min="1028" max="1028" width="14.5546875" customWidth="1"/>
    <col min="1029" max="1029" width="9.5546875" bestFit="1" customWidth="1"/>
    <col min="1033" max="1033" width="8" customWidth="1"/>
    <col min="1037" max="1037" width="11.33203125" customWidth="1"/>
    <col min="1038" max="1038" width="10.6640625" customWidth="1"/>
    <col min="1042" max="1042" width="10.109375" customWidth="1"/>
    <col min="1043" max="1043" width="9.33203125" customWidth="1"/>
    <col min="1044" max="1044" width="10.33203125" customWidth="1"/>
    <col min="1045" max="1045" width="12" bestFit="1" customWidth="1"/>
    <col min="1046" max="1046" width="10" bestFit="1" customWidth="1"/>
    <col min="1047" max="1047" width="10" customWidth="1"/>
    <col min="1048" max="1048" width="13.33203125" customWidth="1"/>
    <col min="1049" max="1049" width="16" customWidth="1"/>
    <col min="1050" max="1050" width="10.33203125" customWidth="1"/>
    <col min="1051" max="1051" width="12" bestFit="1" customWidth="1"/>
    <col min="1052" max="1052" width="11" bestFit="1" customWidth="1"/>
    <col min="1054" max="1054" width="17.109375" customWidth="1"/>
    <col min="1055" max="1055" width="16.109375" customWidth="1"/>
    <col min="1283" max="1283" width="37.44140625" customWidth="1"/>
    <col min="1284" max="1284" width="14.5546875" customWidth="1"/>
    <col min="1285" max="1285" width="9.5546875" bestFit="1" customWidth="1"/>
    <col min="1289" max="1289" width="8" customWidth="1"/>
    <col min="1293" max="1293" width="11.33203125" customWidth="1"/>
    <col min="1294" max="1294" width="10.6640625" customWidth="1"/>
    <col min="1298" max="1298" width="10.109375" customWidth="1"/>
    <col min="1299" max="1299" width="9.33203125" customWidth="1"/>
    <col min="1300" max="1300" width="10.33203125" customWidth="1"/>
    <col min="1301" max="1301" width="12" bestFit="1" customWidth="1"/>
    <col min="1302" max="1302" width="10" bestFit="1" customWidth="1"/>
    <col min="1303" max="1303" width="10" customWidth="1"/>
    <col min="1304" max="1304" width="13.33203125" customWidth="1"/>
    <col min="1305" max="1305" width="16" customWidth="1"/>
    <col min="1306" max="1306" width="10.33203125" customWidth="1"/>
    <col min="1307" max="1307" width="12" bestFit="1" customWidth="1"/>
    <col min="1308" max="1308" width="11" bestFit="1" customWidth="1"/>
    <col min="1310" max="1310" width="17.109375" customWidth="1"/>
    <col min="1311" max="1311" width="16.109375" customWidth="1"/>
    <col min="1539" max="1539" width="37.44140625" customWidth="1"/>
    <col min="1540" max="1540" width="14.5546875" customWidth="1"/>
    <col min="1541" max="1541" width="9.5546875" bestFit="1" customWidth="1"/>
    <col min="1545" max="1545" width="8" customWidth="1"/>
    <col min="1549" max="1549" width="11.33203125" customWidth="1"/>
    <col min="1550" max="1550" width="10.6640625" customWidth="1"/>
    <col min="1554" max="1554" width="10.109375" customWidth="1"/>
    <col min="1555" max="1555" width="9.33203125" customWidth="1"/>
    <col min="1556" max="1556" width="10.33203125" customWidth="1"/>
    <col min="1557" max="1557" width="12" bestFit="1" customWidth="1"/>
    <col min="1558" max="1558" width="10" bestFit="1" customWidth="1"/>
    <col min="1559" max="1559" width="10" customWidth="1"/>
    <col min="1560" max="1560" width="13.33203125" customWidth="1"/>
    <col min="1561" max="1561" width="16" customWidth="1"/>
    <col min="1562" max="1562" width="10.33203125" customWidth="1"/>
    <col min="1563" max="1563" width="12" bestFit="1" customWidth="1"/>
    <col min="1564" max="1564" width="11" bestFit="1" customWidth="1"/>
    <col min="1566" max="1566" width="17.109375" customWidth="1"/>
    <col min="1567" max="1567" width="16.109375" customWidth="1"/>
    <col min="1795" max="1795" width="37.44140625" customWidth="1"/>
    <col min="1796" max="1796" width="14.5546875" customWidth="1"/>
    <col min="1797" max="1797" width="9.5546875" bestFit="1" customWidth="1"/>
    <col min="1801" max="1801" width="8" customWidth="1"/>
    <col min="1805" max="1805" width="11.33203125" customWidth="1"/>
    <col min="1806" max="1806" width="10.6640625" customWidth="1"/>
    <col min="1810" max="1810" width="10.109375" customWidth="1"/>
    <col min="1811" max="1811" width="9.33203125" customWidth="1"/>
    <col min="1812" max="1812" width="10.33203125" customWidth="1"/>
    <col min="1813" max="1813" width="12" bestFit="1" customWidth="1"/>
    <col min="1814" max="1814" width="10" bestFit="1" customWidth="1"/>
    <col min="1815" max="1815" width="10" customWidth="1"/>
    <col min="1816" max="1816" width="13.33203125" customWidth="1"/>
    <col min="1817" max="1817" width="16" customWidth="1"/>
    <col min="1818" max="1818" width="10.33203125" customWidth="1"/>
    <col min="1819" max="1819" width="12" bestFit="1" customWidth="1"/>
    <col min="1820" max="1820" width="11" bestFit="1" customWidth="1"/>
    <col min="1822" max="1822" width="17.109375" customWidth="1"/>
    <col min="1823" max="1823" width="16.109375" customWidth="1"/>
    <col min="2051" max="2051" width="37.44140625" customWidth="1"/>
    <col min="2052" max="2052" width="14.5546875" customWidth="1"/>
    <col min="2053" max="2053" width="9.5546875" bestFit="1" customWidth="1"/>
    <col min="2057" max="2057" width="8" customWidth="1"/>
    <col min="2061" max="2061" width="11.33203125" customWidth="1"/>
    <col min="2062" max="2062" width="10.6640625" customWidth="1"/>
    <col min="2066" max="2066" width="10.109375" customWidth="1"/>
    <col min="2067" max="2067" width="9.33203125" customWidth="1"/>
    <col min="2068" max="2068" width="10.33203125" customWidth="1"/>
    <col min="2069" max="2069" width="12" bestFit="1" customWidth="1"/>
    <col min="2070" max="2070" width="10" bestFit="1" customWidth="1"/>
    <col min="2071" max="2071" width="10" customWidth="1"/>
    <col min="2072" max="2072" width="13.33203125" customWidth="1"/>
    <col min="2073" max="2073" width="16" customWidth="1"/>
    <col min="2074" max="2074" width="10.33203125" customWidth="1"/>
    <col min="2075" max="2075" width="12" bestFit="1" customWidth="1"/>
    <col min="2076" max="2076" width="11" bestFit="1" customWidth="1"/>
    <col min="2078" max="2078" width="17.109375" customWidth="1"/>
    <col min="2079" max="2079" width="16.109375" customWidth="1"/>
    <col min="2307" max="2307" width="37.44140625" customWidth="1"/>
    <col min="2308" max="2308" width="14.5546875" customWidth="1"/>
    <col min="2309" max="2309" width="9.5546875" bestFit="1" customWidth="1"/>
    <col min="2313" max="2313" width="8" customWidth="1"/>
    <col min="2317" max="2317" width="11.33203125" customWidth="1"/>
    <col min="2318" max="2318" width="10.6640625" customWidth="1"/>
    <col min="2322" max="2322" width="10.109375" customWidth="1"/>
    <col min="2323" max="2323" width="9.33203125" customWidth="1"/>
    <col min="2324" max="2324" width="10.33203125" customWidth="1"/>
    <col min="2325" max="2325" width="12" bestFit="1" customWidth="1"/>
    <col min="2326" max="2326" width="10" bestFit="1" customWidth="1"/>
    <col min="2327" max="2327" width="10" customWidth="1"/>
    <col min="2328" max="2328" width="13.33203125" customWidth="1"/>
    <col min="2329" max="2329" width="16" customWidth="1"/>
    <col min="2330" max="2330" width="10.33203125" customWidth="1"/>
    <col min="2331" max="2331" width="12" bestFit="1" customWidth="1"/>
    <col min="2332" max="2332" width="11" bestFit="1" customWidth="1"/>
    <col min="2334" max="2334" width="17.109375" customWidth="1"/>
    <col min="2335" max="2335" width="16.109375" customWidth="1"/>
    <col min="2563" max="2563" width="37.44140625" customWidth="1"/>
    <col min="2564" max="2564" width="14.5546875" customWidth="1"/>
    <col min="2565" max="2565" width="9.5546875" bestFit="1" customWidth="1"/>
    <col min="2569" max="2569" width="8" customWidth="1"/>
    <col min="2573" max="2573" width="11.33203125" customWidth="1"/>
    <col min="2574" max="2574" width="10.6640625" customWidth="1"/>
    <col min="2578" max="2578" width="10.109375" customWidth="1"/>
    <col min="2579" max="2579" width="9.33203125" customWidth="1"/>
    <col min="2580" max="2580" width="10.33203125" customWidth="1"/>
    <col min="2581" max="2581" width="12" bestFit="1" customWidth="1"/>
    <col min="2582" max="2582" width="10" bestFit="1" customWidth="1"/>
    <col min="2583" max="2583" width="10" customWidth="1"/>
    <col min="2584" max="2584" width="13.33203125" customWidth="1"/>
    <col min="2585" max="2585" width="16" customWidth="1"/>
    <col min="2586" max="2586" width="10.33203125" customWidth="1"/>
    <col min="2587" max="2587" width="12" bestFit="1" customWidth="1"/>
    <col min="2588" max="2588" width="11" bestFit="1" customWidth="1"/>
    <col min="2590" max="2590" width="17.109375" customWidth="1"/>
    <col min="2591" max="2591" width="16.109375" customWidth="1"/>
    <col min="2819" max="2819" width="37.44140625" customWidth="1"/>
    <col min="2820" max="2820" width="14.5546875" customWidth="1"/>
    <col min="2821" max="2821" width="9.5546875" bestFit="1" customWidth="1"/>
    <col min="2825" max="2825" width="8" customWidth="1"/>
    <col min="2829" max="2829" width="11.33203125" customWidth="1"/>
    <col min="2830" max="2830" width="10.6640625" customWidth="1"/>
    <col min="2834" max="2834" width="10.109375" customWidth="1"/>
    <col min="2835" max="2835" width="9.33203125" customWidth="1"/>
    <col min="2836" max="2836" width="10.33203125" customWidth="1"/>
    <col min="2837" max="2837" width="12" bestFit="1" customWidth="1"/>
    <col min="2838" max="2838" width="10" bestFit="1" customWidth="1"/>
    <col min="2839" max="2839" width="10" customWidth="1"/>
    <col min="2840" max="2840" width="13.33203125" customWidth="1"/>
    <col min="2841" max="2841" width="16" customWidth="1"/>
    <col min="2842" max="2842" width="10.33203125" customWidth="1"/>
    <col min="2843" max="2843" width="12" bestFit="1" customWidth="1"/>
    <col min="2844" max="2844" width="11" bestFit="1" customWidth="1"/>
    <col min="2846" max="2846" width="17.109375" customWidth="1"/>
    <col min="2847" max="2847" width="16.109375" customWidth="1"/>
    <col min="3075" max="3075" width="37.44140625" customWidth="1"/>
    <col min="3076" max="3076" width="14.5546875" customWidth="1"/>
    <col min="3077" max="3077" width="9.5546875" bestFit="1" customWidth="1"/>
    <col min="3081" max="3081" width="8" customWidth="1"/>
    <col min="3085" max="3085" width="11.33203125" customWidth="1"/>
    <col min="3086" max="3086" width="10.6640625" customWidth="1"/>
    <col min="3090" max="3090" width="10.109375" customWidth="1"/>
    <col min="3091" max="3091" width="9.33203125" customWidth="1"/>
    <col min="3092" max="3092" width="10.33203125" customWidth="1"/>
    <col min="3093" max="3093" width="12" bestFit="1" customWidth="1"/>
    <col min="3094" max="3094" width="10" bestFit="1" customWidth="1"/>
    <col min="3095" max="3095" width="10" customWidth="1"/>
    <col min="3096" max="3096" width="13.33203125" customWidth="1"/>
    <col min="3097" max="3097" width="16" customWidth="1"/>
    <col min="3098" max="3098" width="10.33203125" customWidth="1"/>
    <col min="3099" max="3099" width="12" bestFit="1" customWidth="1"/>
    <col min="3100" max="3100" width="11" bestFit="1" customWidth="1"/>
    <col min="3102" max="3102" width="17.109375" customWidth="1"/>
    <col min="3103" max="3103" width="16.109375" customWidth="1"/>
    <col min="3331" max="3331" width="37.44140625" customWidth="1"/>
    <col min="3332" max="3332" width="14.5546875" customWidth="1"/>
    <col min="3333" max="3333" width="9.5546875" bestFit="1" customWidth="1"/>
    <col min="3337" max="3337" width="8" customWidth="1"/>
    <col min="3341" max="3341" width="11.33203125" customWidth="1"/>
    <col min="3342" max="3342" width="10.6640625" customWidth="1"/>
    <col min="3346" max="3346" width="10.109375" customWidth="1"/>
    <col min="3347" max="3347" width="9.33203125" customWidth="1"/>
    <col min="3348" max="3348" width="10.33203125" customWidth="1"/>
    <col min="3349" max="3349" width="12" bestFit="1" customWidth="1"/>
    <col min="3350" max="3350" width="10" bestFit="1" customWidth="1"/>
    <col min="3351" max="3351" width="10" customWidth="1"/>
    <col min="3352" max="3352" width="13.33203125" customWidth="1"/>
    <col min="3353" max="3353" width="16" customWidth="1"/>
    <col min="3354" max="3354" width="10.33203125" customWidth="1"/>
    <col min="3355" max="3355" width="12" bestFit="1" customWidth="1"/>
    <col min="3356" max="3356" width="11" bestFit="1" customWidth="1"/>
    <col min="3358" max="3358" width="17.109375" customWidth="1"/>
    <col min="3359" max="3359" width="16.109375" customWidth="1"/>
    <col min="3587" max="3587" width="37.44140625" customWidth="1"/>
    <col min="3588" max="3588" width="14.5546875" customWidth="1"/>
    <col min="3589" max="3589" width="9.5546875" bestFit="1" customWidth="1"/>
    <col min="3593" max="3593" width="8" customWidth="1"/>
    <col min="3597" max="3597" width="11.33203125" customWidth="1"/>
    <col min="3598" max="3598" width="10.6640625" customWidth="1"/>
    <col min="3602" max="3602" width="10.109375" customWidth="1"/>
    <col min="3603" max="3603" width="9.33203125" customWidth="1"/>
    <col min="3604" max="3604" width="10.33203125" customWidth="1"/>
    <col min="3605" max="3605" width="12" bestFit="1" customWidth="1"/>
    <col min="3606" max="3606" width="10" bestFit="1" customWidth="1"/>
    <col min="3607" max="3607" width="10" customWidth="1"/>
    <col min="3608" max="3608" width="13.33203125" customWidth="1"/>
    <col min="3609" max="3609" width="16" customWidth="1"/>
    <col min="3610" max="3610" width="10.33203125" customWidth="1"/>
    <col min="3611" max="3611" width="12" bestFit="1" customWidth="1"/>
    <col min="3612" max="3612" width="11" bestFit="1" customWidth="1"/>
    <col min="3614" max="3614" width="17.109375" customWidth="1"/>
    <col min="3615" max="3615" width="16.109375" customWidth="1"/>
    <col min="3843" max="3843" width="37.44140625" customWidth="1"/>
    <col min="3844" max="3844" width="14.5546875" customWidth="1"/>
    <col min="3845" max="3845" width="9.5546875" bestFit="1" customWidth="1"/>
    <col min="3849" max="3849" width="8" customWidth="1"/>
    <col min="3853" max="3853" width="11.33203125" customWidth="1"/>
    <col min="3854" max="3854" width="10.6640625" customWidth="1"/>
    <col min="3858" max="3858" width="10.109375" customWidth="1"/>
    <col min="3859" max="3859" width="9.33203125" customWidth="1"/>
    <col min="3860" max="3860" width="10.33203125" customWidth="1"/>
    <col min="3861" max="3861" width="12" bestFit="1" customWidth="1"/>
    <col min="3862" max="3862" width="10" bestFit="1" customWidth="1"/>
    <col min="3863" max="3863" width="10" customWidth="1"/>
    <col min="3864" max="3864" width="13.33203125" customWidth="1"/>
    <col min="3865" max="3865" width="16" customWidth="1"/>
    <col min="3866" max="3866" width="10.33203125" customWidth="1"/>
    <col min="3867" max="3867" width="12" bestFit="1" customWidth="1"/>
    <col min="3868" max="3868" width="11" bestFit="1" customWidth="1"/>
    <col min="3870" max="3870" width="17.109375" customWidth="1"/>
    <col min="3871" max="3871" width="16.109375" customWidth="1"/>
    <col min="4099" max="4099" width="37.44140625" customWidth="1"/>
    <col min="4100" max="4100" width="14.5546875" customWidth="1"/>
    <col min="4101" max="4101" width="9.5546875" bestFit="1" customWidth="1"/>
    <col min="4105" max="4105" width="8" customWidth="1"/>
    <col min="4109" max="4109" width="11.33203125" customWidth="1"/>
    <col min="4110" max="4110" width="10.6640625" customWidth="1"/>
    <col min="4114" max="4114" width="10.109375" customWidth="1"/>
    <col min="4115" max="4115" width="9.33203125" customWidth="1"/>
    <col min="4116" max="4116" width="10.33203125" customWidth="1"/>
    <col min="4117" max="4117" width="12" bestFit="1" customWidth="1"/>
    <col min="4118" max="4118" width="10" bestFit="1" customWidth="1"/>
    <col min="4119" max="4119" width="10" customWidth="1"/>
    <col min="4120" max="4120" width="13.33203125" customWidth="1"/>
    <col min="4121" max="4121" width="16" customWidth="1"/>
    <col min="4122" max="4122" width="10.33203125" customWidth="1"/>
    <col min="4123" max="4123" width="12" bestFit="1" customWidth="1"/>
    <col min="4124" max="4124" width="11" bestFit="1" customWidth="1"/>
    <col min="4126" max="4126" width="17.109375" customWidth="1"/>
    <col min="4127" max="4127" width="16.109375" customWidth="1"/>
    <col min="4355" max="4355" width="37.44140625" customWidth="1"/>
    <col min="4356" max="4356" width="14.5546875" customWidth="1"/>
    <col min="4357" max="4357" width="9.5546875" bestFit="1" customWidth="1"/>
    <col min="4361" max="4361" width="8" customWidth="1"/>
    <col min="4365" max="4365" width="11.33203125" customWidth="1"/>
    <col min="4366" max="4366" width="10.6640625" customWidth="1"/>
    <col min="4370" max="4370" width="10.109375" customWidth="1"/>
    <col min="4371" max="4371" width="9.33203125" customWidth="1"/>
    <col min="4372" max="4372" width="10.33203125" customWidth="1"/>
    <col min="4373" max="4373" width="12" bestFit="1" customWidth="1"/>
    <col min="4374" max="4374" width="10" bestFit="1" customWidth="1"/>
    <col min="4375" max="4375" width="10" customWidth="1"/>
    <col min="4376" max="4376" width="13.33203125" customWidth="1"/>
    <col min="4377" max="4377" width="16" customWidth="1"/>
    <col min="4378" max="4378" width="10.33203125" customWidth="1"/>
    <col min="4379" max="4379" width="12" bestFit="1" customWidth="1"/>
    <col min="4380" max="4380" width="11" bestFit="1" customWidth="1"/>
    <col min="4382" max="4382" width="17.109375" customWidth="1"/>
    <col min="4383" max="4383" width="16.109375" customWidth="1"/>
    <col min="4611" max="4611" width="37.44140625" customWidth="1"/>
    <col min="4612" max="4612" width="14.5546875" customWidth="1"/>
    <col min="4613" max="4613" width="9.5546875" bestFit="1" customWidth="1"/>
    <col min="4617" max="4617" width="8" customWidth="1"/>
    <col min="4621" max="4621" width="11.33203125" customWidth="1"/>
    <col min="4622" max="4622" width="10.6640625" customWidth="1"/>
    <col min="4626" max="4626" width="10.109375" customWidth="1"/>
    <col min="4627" max="4627" width="9.33203125" customWidth="1"/>
    <col min="4628" max="4628" width="10.33203125" customWidth="1"/>
    <col min="4629" max="4629" width="12" bestFit="1" customWidth="1"/>
    <col min="4630" max="4630" width="10" bestFit="1" customWidth="1"/>
    <col min="4631" max="4631" width="10" customWidth="1"/>
    <col min="4632" max="4632" width="13.33203125" customWidth="1"/>
    <col min="4633" max="4633" width="16" customWidth="1"/>
    <col min="4634" max="4634" width="10.33203125" customWidth="1"/>
    <col min="4635" max="4635" width="12" bestFit="1" customWidth="1"/>
    <col min="4636" max="4636" width="11" bestFit="1" customWidth="1"/>
    <col min="4638" max="4638" width="17.109375" customWidth="1"/>
    <col min="4639" max="4639" width="16.109375" customWidth="1"/>
    <col min="4867" max="4867" width="37.44140625" customWidth="1"/>
    <col min="4868" max="4868" width="14.5546875" customWidth="1"/>
    <col min="4869" max="4869" width="9.5546875" bestFit="1" customWidth="1"/>
    <col min="4873" max="4873" width="8" customWidth="1"/>
    <col min="4877" max="4877" width="11.33203125" customWidth="1"/>
    <col min="4878" max="4878" width="10.6640625" customWidth="1"/>
    <col min="4882" max="4882" width="10.109375" customWidth="1"/>
    <col min="4883" max="4883" width="9.33203125" customWidth="1"/>
    <col min="4884" max="4884" width="10.33203125" customWidth="1"/>
    <col min="4885" max="4885" width="12" bestFit="1" customWidth="1"/>
    <col min="4886" max="4886" width="10" bestFit="1" customWidth="1"/>
    <col min="4887" max="4887" width="10" customWidth="1"/>
    <col min="4888" max="4888" width="13.33203125" customWidth="1"/>
    <col min="4889" max="4889" width="16" customWidth="1"/>
    <col min="4890" max="4890" width="10.33203125" customWidth="1"/>
    <col min="4891" max="4891" width="12" bestFit="1" customWidth="1"/>
    <col min="4892" max="4892" width="11" bestFit="1" customWidth="1"/>
    <col min="4894" max="4894" width="17.109375" customWidth="1"/>
    <col min="4895" max="4895" width="16.109375" customWidth="1"/>
    <col min="5123" max="5123" width="37.44140625" customWidth="1"/>
    <col min="5124" max="5124" width="14.5546875" customWidth="1"/>
    <col min="5125" max="5125" width="9.5546875" bestFit="1" customWidth="1"/>
    <col min="5129" max="5129" width="8" customWidth="1"/>
    <col min="5133" max="5133" width="11.33203125" customWidth="1"/>
    <col min="5134" max="5134" width="10.6640625" customWidth="1"/>
    <col min="5138" max="5138" width="10.109375" customWidth="1"/>
    <col min="5139" max="5139" width="9.33203125" customWidth="1"/>
    <col min="5140" max="5140" width="10.33203125" customWidth="1"/>
    <col min="5141" max="5141" width="12" bestFit="1" customWidth="1"/>
    <col min="5142" max="5142" width="10" bestFit="1" customWidth="1"/>
    <col min="5143" max="5143" width="10" customWidth="1"/>
    <col min="5144" max="5144" width="13.33203125" customWidth="1"/>
    <col min="5145" max="5145" width="16" customWidth="1"/>
    <col min="5146" max="5146" width="10.33203125" customWidth="1"/>
    <col min="5147" max="5147" width="12" bestFit="1" customWidth="1"/>
    <col min="5148" max="5148" width="11" bestFit="1" customWidth="1"/>
    <col min="5150" max="5150" width="17.109375" customWidth="1"/>
    <col min="5151" max="5151" width="16.109375" customWidth="1"/>
    <col min="5379" max="5379" width="37.44140625" customWidth="1"/>
    <col min="5380" max="5380" width="14.5546875" customWidth="1"/>
    <col min="5381" max="5381" width="9.5546875" bestFit="1" customWidth="1"/>
    <col min="5385" max="5385" width="8" customWidth="1"/>
    <col min="5389" max="5389" width="11.33203125" customWidth="1"/>
    <col min="5390" max="5390" width="10.6640625" customWidth="1"/>
    <col min="5394" max="5394" width="10.109375" customWidth="1"/>
    <col min="5395" max="5395" width="9.33203125" customWidth="1"/>
    <col min="5396" max="5396" width="10.33203125" customWidth="1"/>
    <col min="5397" max="5397" width="12" bestFit="1" customWidth="1"/>
    <col min="5398" max="5398" width="10" bestFit="1" customWidth="1"/>
    <col min="5399" max="5399" width="10" customWidth="1"/>
    <col min="5400" max="5400" width="13.33203125" customWidth="1"/>
    <col min="5401" max="5401" width="16" customWidth="1"/>
    <col min="5402" max="5402" width="10.33203125" customWidth="1"/>
    <col min="5403" max="5403" width="12" bestFit="1" customWidth="1"/>
    <col min="5404" max="5404" width="11" bestFit="1" customWidth="1"/>
    <col min="5406" max="5406" width="17.109375" customWidth="1"/>
    <col min="5407" max="5407" width="16.109375" customWidth="1"/>
    <col min="5635" max="5635" width="37.44140625" customWidth="1"/>
    <col min="5636" max="5636" width="14.5546875" customWidth="1"/>
    <col min="5637" max="5637" width="9.5546875" bestFit="1" customWidth="1"/>
    <col min="5641" max="5641" width="8" customWidth="1"/>
    <col min="5645" max="5645" width="11.33203125" customWidth="1"/>
    <col min="5646" max="5646" width="10.6640625" customWidth="1"/>
    <col min="5650" max="5650" width="10.109375" customWidth="1"/>
    <col min="5651" max="5651" width="9.33203125" customWidth="1"/>
    <col min="5652" max="5652" width="10.33203125" customWidth="1"/>
    <col min="5653" max="5653" width="12" bestFit="1" customWidth="1"/>
    <col min="5654" max="5654" width="10" bestFit="1" customWidth="1"/>
    <col min="5655" max="5655" width="10" customWidth="1"/>
    <col min="5656" max="5656" width="13.33203125" customWidth="1"/>
    <col min="5657" max="5657" width="16" customWidth="1"/>
    <col min="5658" max="5658" width="10.33203125" customWidth="1"/>
    <col min="5659" max="5659" width="12" bestFit="1" customWidth="1"/>
    <col min="5660" max="5660" width="11" bestFit="1" customWidth="1"/>
    <col min="5662" max="5662" width="17.109375" customWidth="1"/>
    <col min="5663" max="5663" width="16.109375" customWidth="1"/>
    <col min="5891" max="5891" width="37.44140625" customWidth="1"/>
    <col min="5892" max="5892" width="14.5546875" customWidth="1"/>
    <col min="5893" max="5893" width="9.5546875" bestFit="1" customWidth="1"/>
    <col min="5897" max="5897" width="8" customWidth="1"/>
    <col min="5901" max="5901" width="11.33203125" customWidth="1"/>
    <col min="5902" max="5902" width="10.6640625" customWidth="1"/>
    <col min="5906" max="5906" width="10.109375" customWidth="1"/>
    <col min="5907" max="5907" width="9.33203125" customWidth="1"/>
    <col min="5908" max="5908" width="10.33203125" customWidth="1"/>
    <col min="5909" max="5909" width="12" bestFit="1" customWidth="1"/>
    <col min="5910" max="5910" width="10" bestFit="1" customWidth="1"/>
    <col min="5911" max="5911" width="10" customWidth="1"/>
    <col min="5912" max="5912" width="13.33203125" customWidth="1"/>
    <col min="5913" max="5913" width="16" customWidth="1"/>
    <col min="5914" max="5914" width="10.33203125" customWidth="1"/>
    <col min="5915" max="5915" width="12" bestFit="1" customWidth="1"/>
    <col min="5916" max="5916" width="11" bestFit="1" customWidth="1"/>
    <col min="5918" max="5918" width="17.109375" customWidth="1"/>
    <col min="5919" max="5919" width="16.109375" customWidth="1"/>
    <col min="6147" max="6147" width="37.44140625" customWidth="1"/>
    <col min="6148" max="6148" width="14.5546875" customWidth="1"/>
    <col min="6149" max="6149" width="9.5546875" bestFit="1" customWidth="1"/>
    <col min="6153" max="6153" width="8" customWidth="1"/>
    <col min="6157" max="6157" width="11.33203125" customWidth="1"/>
    <col min="6158" max="6158" width="10.6640625" customWidth="1"/>
    <col min="6162" max="6162" width="10.109375" customWidth="1"/>
    <col min="6163" max="6163" width="9.33203125" customWidth="1"/>
    <col min="6164" max="6164" width="10.33203125" customWidth="1"/>
    <col min="6165" max="6165" width="12" bestFit="1" customWidth="1"/>
    <col min="6166" max="6166" width="10" bestFit="1" customWidth="1"/>
    <col min="6167" max="6167" width="10" customWidth="1"/>
    <col min="6168" max="6168" width="13.33203125" customWidth="1"/>
    <col min="6169" max="6169" width="16" customWidth="1"/>
    <col min="6170" max="6170" width="10.33203125" customWidth="1"/>
    <col min="6171" max="6171" width="12" bestFit="1" customWidth="1"/>
    <col min="6172" max="6172" width="11" bestFit="1" customWidth="1"/>
    <col min="6174" max="6174" width="17.109375" customWidth="1"/>
    <col min="6175" max="6175" width="16.109375" customWidth="1"/>
    <col min="6403" max="6403" width="37.44140625" customWidth="1"/>
    <col min="6404" max="6404" width="14.5546875" customWidth="1"/>
    <col min="6405" max="6405" width="9.5546875" bestFit="1" customWidth="1"/>
    <col min="6409" max="6409" width="8" customWidth="1"/>
    <col min="6413" max="6413" width="11.33203125" customWidth="1"/>
    <col min="6414" max="6414" width="10.6640625" customWidth="1"/>
    <col min="6418" max="6418" width="10.109375" customWidth="1"/>
    <col min="6419" max="6419" width="9.33203125" customWidth="1"/>
    <col min="6420" max="6420" width="10.33203125" customWidth="1"/>
    <col min="6421" max="6421" width="12" bestFit="1" customWidth="1"/>
    <col min="6422" max="6422" width="10" bestFit="1" customWidth="1"/>
    <col min="6423" max="6423" width="10" customWidth="1"/>
    <col min="6424" max="6424" width="13.33203125" customWidth="1"/>
    <col min="6425" max="6425" width="16" customWidth="1"/>
    <col min="6426" max="6426" width="10.33203125" customWidth="1"/>
    <col min="6427" max="6427" width="12" bestFit="1" customWidth="1"/>
    <col min="6428" max="6428" width="11" bestFit="1" customWidth="1"/>
    <col min="6430" max="6430" width="17.109375" customWidth="1"/>
    <col min="6431" max="6431" width="16.109375" customWidth="1"/>
    <col min="6659" max="6659" width="37.44140625" customWidth="1"/>
    <col min="6660" max="6660" width="14.5546875" customWidth="1"/>
    <col min="6661" max="6661" width="9.5546875" bestFit="1" customWidth="1"/>
    <col min="6665" max="6665" width="8" customWidth="1"/>
    <col min="6669" max="6669" width="11.33203125" customWidth="1"/>
    <col min="6670" max="6670" width="10.6640625" customWidth="1"/>
    <col min="6674" max="6674" width="10.109375" customWidth="1"/>
    <col min="6675" max="6675" width="9.33203125" customWidth="1"/>
    <col min="6676" max="6676" width="10.33203125" customWidth="1"/>
    <col min="6677" max="6677" width="12" bestFit="1" customWidth="1"/>
    <col min="6678" max="6678" width="10" bestFit="1" customWidth="1"/>
    <col min="6679" max="6679" width="10" customWidth="1"/>
    <col min="6680" max="6680" width="13.33203125" customWidth="1"/>
    <col min="6681" max="6681" width="16" customWidth="1"/>
    <col min="6682" max="6682" width="10.33203125" customWidth="1"/>
    <col min="6683" max="6683" width="12" bestFit="1" customWidth="1"/>
    <col min="6684" max="6684" width="11" bestFit="1" customWidth="1"/>
    <col min="6686" max="6686" width="17.109375" customWidth="1"/>
    <col min="6687" max="6687" width="16.109375" customWidth="1"/>
    <col min="6915" max="6915" width="37.44140625" customWidth="1"/>
    <col min="6916" max="6916" width="14.5546875" customWidth="1"/>
    <col min="6917" max="6917" width="9.5546875" bestFit="1" customWidth="1"/>
    <col min="6921" max="6921" width="8" customWidth="1"/>
    <col min="6925" max="6925" width="11.33203125" customWidth="1"/>
    <col min="6926" max="6926" width="10.6640625" customWidth="1"/>
    <col min="6930" max="6930" width="10.109375" customWidth="1"/>
    <col min="6931" max="6931" width="9.33203125" customWidth="1"/>
    <col min="6932" max="6932" width="10.33203125" customWidth="1"/>
    <col min="6933" max="6933" width="12" bestFit="1" customWidth="1"/>
    <col min="6934" max="6934" width="10" bestFit="1" customWidth="1"/>
    <col min="6935" max="6935" width="10" customWidth="1"/>
    <col min="6936" max="6936" width="13.33203125" customWidth="1"/>
    <col min="6937" max="6937" width="16" customWidth="1"/>
    <col min="6938" max="6938" width="10.33203125" customWidth="1"/>
    <col min="6939" max="6939" width="12" bestFit="1" customWidth="1"/>
    <col min="6940" max="6940" width="11" bestFit="1" customWidth="1"/>
    <col min="6942" max="6942" width="17.109375" customWidth="1"/>
    <col min="6943" max="6943" width="16.109375" customWidth="1"/>
    <col min="7171" max="7171" width="37.44140625" customWidth="1"/>
    <col min="7172" max="7172" width="14.5546875" customWidth="1"/>
    <col min="7173" max="7173" width="9.5546875" bestFit="1" customWidth="1"/>
    <col min="7177" max="7177" width="8" customWidth="1"/>
    <col min="7181" max="7181" width="11.33203125" customWidth="1"/>
    <col min="7182" max="7182" width="10.6640625" customWidth="1"/>
    <col min="7186" max="7186" width="10.109375" customWidth="1"/>
    <col min="7187" max="7187" width="9.33203125" customWidth="1"/>
    <col min="7188" max="7188" width="10.33203125" customWidth="1"/>
    <col min="7189" max="7189" width="12" bestFit="1" customWidth="1"/>
    <col min="7190" max="7190" width="10" bestFit="1" customWidth="1"/>
    <col min="7191" max="7191" width="10" customWidth="1"/>
    <col min="7192" max="7192" width="13.33203125" customWidth="1"/>
    <col min="7193" max="7193" width="16" customWidth="1"/>
    <col min="7194" max="7194" width="10.33203125" customWidth="1"/>
    <col min="7195" max="7195" width="12" bestFit="1" customWidth="1"/>
    <col min="7196" max="7196" width="11" bestFit="1" customWidth="1"/>
    <col min="7198" max="7198" width="17.109375" customWidth="1"/>
    <col min="7199" max="7199" width="16.109375" customWidth="1"/>
    <col min="7427" max="7427" width="37.44140625" customWidth="1"/>
    <col min="7428" max="7428" width="14.5546875" customWidth="1"/>
    <col min="7429" max="7429" width="9.5546875" bestFit="1" customWidth="1"/>
    <col min="7433" max="7433" width="8" customWidth="1"/>
    <col min="7437" max="7437" width="11.33203125" customWidth="1"/>
    <col min="7438" max="7438" width="10.6640625" customWidth="1"/>
    <col min="7442" max="7442" width="10.109375" customWidth="1"/>
    <col min="7443" max="7443" width="9.33203125" customWidth="1"/>
    <col min="7444" max="7444" width="10.33203125" customWidth="1"/>
    <col min="7445" max="7445" width="12" bestFit="1" customWidth="1"/>
    <col min="7446" max="7446" width="10" bestFit="1" customWidth="1"/>
    <col min="7447" max="7447" width="10" customWidth="1"/>
    <col min="7448" max="7448" width="13.33203125" customWidth="1"/>
    <col min="7449" max="7449" width="16" customWidth="1"/>
    <col min="7450" max="7450" width="10.33203125" customWidth="1"/>
    <col min="7451" max="7451" width="12" bestFit="1" customWidth="1"/>
    <col min="7452" max="7452" width="11" bestFit="1" customWidth="1"/>
    <col min="7454" max="7454" width="17.109375" customWidth="1"/>
    <col min="7455" max="7455" width="16.109375" customWidth="1"/>
    <col min="7683" max="7683" width="37.44140625" customWidth="1"/>
    <col min="7684" max="7684" width="14.5546875" customWidth="1"/>
    <col min="7685" max="7685" width="9.5546875" bestFit="1" customWidth="1"/>
    <col min="7689" max="7689" width="8" customWidth="1"/>
    <col min="7693" max="7693" width="11.33203125" customWidth="1"/>
    <col min="7694" max="7694" width="10.6640625" customWidth="1"/>
    <col min="7698" max="7698" width="10.109375" customWidth="1"/>
    <col min="7699" max="7699" width="9.33203125" customWidth="1"/>
    <col min="7700" max="7700" width="10.33203125" customWidth="1"/>
    <col min="7701" max="7701" width="12" bestFit="1" customWidth="1"/>
    <col min="7702" max="7702" width="10" bestFit="1" customWidth="1"/>
    <col min="7703" max="7703" width="10" customWidth="1"/>
    <col min="7704" max="7704" width="13.33203125" customWidth="1"/>
    <col min="7705" max="7705" width="16" customWidth="1"/>
    <col min="7706" max="7706" width="10.33203125" customWidth="1"/>
    <col min="7707" max="7707" width="12" bestFit="1" customWidth="1"/>
    <col min="7708" max="7708" width="11" bestFit="1" customWidth="1"/>
    <col min="7710" max="7710" width="17.109375" customWidth="1"/>
    <col min="7711" max="7711" width="16.109375" customWidth="1"/>
    <col min="7939" max="7939" width="37.44140625" customWidth="1"/>
    <col min="7940" max="7940" width="14.5546875" customWidth="1"/>
    <col min="7941" max="7941" width="9.5546875" bestFit="1" customWidth="1"/>
    <col min="7945" max="7945" width="8" customWidth="1"/>
    <col min="7949" max="7949" width="11.33203125" customWidth="1"/>
    <col min="7950" max="7950" width="10.6640625" customWidth="1"/>
    <col min="7954" max="7954" width="10.109375" customWidth="1"/>
    <col min="7955" max="7955" width="9.33203125" customWidth="1"/>
    <col min="7956" max="7956" width="10.33203125" customWidth="1"/>
    <col min="7957" max="7957" width="12" bestFit="1" customWidth="1"/>
    <col min="7958" max="7958" width="10" bestFit="1" customWidth="1"/>
    <col min="7959" max="7959" width="10" customWidth="1"/>
    <col min="7960" max="7960" width="13.33203125" customWidth="1"/>
    <col min="7961" max="7961" width="16" customWidth="1"/>
    <col min="7962" max="7962" width="10.33203125" customWidth="1"/>
    <col min="7963" max="7963" width="12" bestFit="1" customWidth="1"/>
    <col min="7964" max="7964" width="11" bestFit="1" customWidth="1"/>
    <col min="7966" max="7966" width="17.109375" customWidth="1"/>
    <col min="7967" max="7967" width="16.109375" customWidth="1"/>
    <col min="8195" max="8195" width="37.44140625" customWidth="1"/>
    <col min="8196" max="8196" width="14.5546875" customWidth="1"/>
    <col min="8197" max="8197" width="9.5546875" bestFit="1" customWidth="1"/>
    <col min="8201" max="8201" width="8" customWidth="1"/>
    <col min="8205" max="8205" width="11.33203125" customWidth="1"/>
    <col min="8206" max="8206" width="10.6640625" customWidth="1"/>
    <col min="8210" max="8210" width="10.109375" customWidth="1"/>
    <col min="8211" max="8211" width="9.33203125" customWidth="1"/>
    <col min="8212" max="8212" width="10.33203125" customWidth="1"/>
    <col min="8213" max="8213" width="12" bestFit="1" customWidth="1"/>
    <col min="8214" max="8214" width="10" bestFit="1" customWidth="1"/>
    <col min="8215" max="8215" width="10" customWidth="1"/>
    <col min="8216" max="8216" width="13.33203125" customWidth="1"/>
    <col min="8217" max="8217" width="16" customWidth="1"/>
    <col min="8218" max="8218" width="10.33203125" customWidth="1"/>
    <col min="8219" max="8219" width="12" bestFit="1" customWidth="1"/>
    <col min="8220" max="8220" width="11" bestFit="1" customWidth="1"/>
    <col min="8222" max="8222" width="17.109375" customWidth="1"/>
    <col min="8223" max="8223" width="16.109375" customWidth="1"/>
    <col min="8451" max="8451" width="37.44140625" customWidth="1"/>
    <col min="8452" max="8452" width="14.5546875" customWidth="1"/>
    <col min="8453" max="8453" width="9.5546875" bestFit="1" customWidth="1"/>
    <col min="8457" max="8457" width="8" customWidth="1"/>
    <col min="8461" max="8461" width="11.33203125" customWidth="1"/>
    <col min="8462" max="8462" width="10.6640625" customWidth="1"/>
    <col min="8466" max="8466" width="10.109375" customWidth="1"/>
    <col min="8467" max="8467" width="9.33203125" customWidth="1"/>
    <col min="8468" max="8468" width="10.33203125" customWidth="1"/>
    <col min="8469" max="8469" width="12" bestFit="1" customWidth="1"/>
    <col min="8470" max="8470" width="10" bestFit="1" customWidth="1"/>
    <col min="8471" max="8471" width="10" customWidth="1"/>
    <col min="8472" max="8472" width="13.33203125" customWidth="1"/>
    <col min="8473" max="8473" width="16" customWidth="1"/>
    <col min="8474" max="8474" width="10.33203125" customWidth="1"/>
    <col min="8475" max="8475" width="12" bestFit="1" customWidth="1"/>
    <col min="8476" max="8476" width="11" bestFit="1" customWidth="1"/>
    <col min="8478" max="8478" width="17.109375" customWidth="1"/>
    <col min="8479" max="8479" width="16.109375" customWidth="1"/>
    <col min="8707" max="8707" width="37.44140625" customWidth="1"/>
    <col min="8708" max="8708" width="14.5546875" customWidth="1"/>
    <col min="8709" max="8709" width="9.5546875" bestFit="1" customWidth="1"/>
    <col min="8713" max="8713" width="8" customWidth="1"/>
    <col min="8717" max="8717" width="11.33203125" customWidth="1"/>
    <col min="8718" max="8718" width="10.6640625" customWidth="1"/>
    <col min="8722" max="8722" width="10.109375" customWidth="1"/>
    <col min="8723" max="8723" width="9.33203125" customWidth="1"/>
    <col min="8724" max="8724" width="10.33203125" customWidth="1"/>
    <col min="8725" max="8725" width="12" bestFit="1" customWidth="1"/>
    <col min="8726" max="8726" width="10" bestFit="1" customWidth="1"/>
    <col min="8727" max="8727" width="10" customWidth="1"/>
    <col min="8728" max="8728" width="13.33203125" customWidth="1"/>
    <col min="8729" max="8729" width="16" customWidth="1"/>
    <col min="8730" max="8730" width="10.33203125" customWidth="1"/>
    <col min="8731" max="8731" width="12" bestFit="1" customWidth="1"/>
    <col min="8732" max="8732" width="11" bestFit="1" customWidth="1"/>
    <col min="8734" max="8734" width="17.109375" customWidth="1"/>
    <col min="8735" max="8735" width="16.109375" customWidth="1"/>
    <col min="8963" max="8963" width="37.44140625" customWidth="1"/>
    <col min="8964" max="8964" width="14.5546875" customWidth="1"/>
    <col min="8965" max="8965" width="9.5546875" bestFit="1" customWidth="1"/>
    <col min="8969" max="8969" width="8" customWidth="1"/>
    <col min="8973" max="8973" width="11.33203125" customWidth="1"/>
    <col min="8974" max="8974" width="10.6640625" customWidth="1"/>
    <col min="8978" max="8978" width="10.109375" customWidth="1"/>
    <col min="8979" max="8979" width="9.33203125" customWidth="1"/>
    <col min="8980" max="8980" width="10.33203125" customWidth="1"/>
    <col min="8981" max="8981" width="12" bestFit="1" customWidth="1"/>
    <col min="8982" max="8982" width="10" bestFit="1" customWidth="1"/>
    <col min="8983" max="8983" width="10" customWidth="1"/>
    <col min="8984" max="8984" width="13.33203125" customWidth="1"/>
    <col min="8985" max="8985" width="16" customWidth="1"/>
    <col min="8986" max="8986" width="10.33203125" customWidth="1"/>
    <col min="8987" max="8987" width="12" bestFit="1" customWidth="1"/>
    <col min="8988" max="8988" width="11" bestFit="1" customWidth="1"/>
    <col min="8990" max="8990" width="17.109375" customWidth="1"/>
    <col min="8991" max="8991" width="16.109375" customWidth="1"/>
    <col min="9219" max="9219" width="37.44140625" customWidth="1"/>
    <col min="9220" max="9220" width="14.5546875" customWidth="1"/>
    <col min="9221" max="9221" width="9.5546875" bestFit="1" customWidth="1"/>
    <col min="9225" max="9225" width="8" customWidth="1"/>
    <col min="9229" max="9229" width="11.33203125" customWidth="1"/>
    <col min="9230" max="9230" width="10.6640625" customWidth="1"/>
    <col min="9234" max="9234" width="10.109375" customWidth="1"/>
    <col min="9235" max="9235" width="9.33203125" customWidth="1"/>
    <col min="9236" max="9236" width="10.33203125" customWidth="1"/>
    <col min="9237" max="9237" width="12" bestFit="1" customWidth="1"/>
    <col min="9238" max="9238" width="10" bestFit="1" customWidth="1"/>
    <col min="9239" max="9239" width="10" customWidth="1"/>
    <col min="9240" max="9240" width="13.33203125" customWidth="1"/>
    <col min="9241" max="9241" width="16" customWidth="1"/>
    <col min="9242" max="9242" width="10.33203125" customWidth="1"/>
    <col min="9243" max="9243" width="12" bestFit="1" customWidth="1"/>
    <col min="9244" max="9244" width="11" bestFit="1" customWidth="1"/>
    <col min="9246" max="9246" width="17.109375" customWidth="1"/>
    <col min="9247" max="9247" width="16.109375" customWidth="1"/>
    <col min="9475" max="9475" width="37.44140625" customWidth="1"/>
    <col min="9476" max="9476" width="14.5546875" customWidth="1"/>
    <col min="9477" max="9477" width="9.5546875" bestFit="1" customWidth="1"/>
    <col min="9481" max="9481" width="8" customWidth="1"/>
    <col min="9485" max="9485" width="11.33203125" customWidth="1"/>
    <col min="9486" max="9486" width="10.6640625" customWidth="1"/>
    <col min="9490" max="9490" width="10.109375" customWidth="1"/>
    <col min="9491" max="9491" width="9.33203125" customWidth="1"/>
    <col min="9492" max="9492" width="10.33203125" customWidth="1"/>
    <col min="9493" max="9493" width="12" bestFit="1" customWidth="1"/>
    <col min="9494" max="9494" width="10" bestFit="1" customWidth="1"/>
    <col min="9495" max="9495" width="10" customWidth="1"/>
    <col min="9496" max="9496" width="13.33203125" customWidth="1"/>
    <col min="9497" max="9497" width="16" customWidth="1"/>
    <col min="9498" max="9498" width="10.33203125" customWidth="1"/>
    <col min="9499" max="9499" width="12" bestFit="1" customWidth="1"/>
    <col min="9500" max="9500" width="11" bestFit="1" customWidth="1"/>
    <col min="9502" max="9502" width="17.109375" customWidth="1"/>
    <col min="9503" max="9503" width="16.109375" customWidth="1"/>
    <col min="9731" max="9731" width="37.44140625" customWidth="1"/>
    <col min="9732" max="9732" width="14.5546875" customWidth="1"/>
    <col min="9733" max="9733" width="9.5546875" bestFit="1" customWidth="1"/>
    <col min="9737" max="9737" width="8" customWidth="1"/>
    <col min="9741" max="9741" width="11.33203125" customWidth="1"/>
    <col min="9742" max="9742" width="10.6640625" customWidth="1"/>
    <col min="9746" max="9746" width="10.109375" customWidth="1"/>
    <col min="9747" max="9747" width="9.33203125" customWidth="1"/>
    <col min="9748" max="9748" width="10.33203125" customWidth="1"/>
    <col min="9749" max="9749" width="12" bestFit="1" customWidth="1"/>
    <col min="9750" max="9750" width="10" bestFit="1" customWidth="1"/>
    <col min="9751" max="9751" width="10" customWidth="1"/>
    <col min="9752" max="9752" width="13.33203125" customWidth="1"/>
    <col min="9753" max="9753" width="16" customWidth="1"/>
    <col min="9754" max="9754" width="10.33203125" customWidth="1"/>
    <col min="9755" max="9755" width="12" bestFit="1" customWidth="1"/>
    <col min="9756" max="9756" width="11" bestFit="1" customWidth="1"/>
    <col min="9758" max="9758" width="17.109375" customWidth="1"/>
    <col min="9759" max="9759" width="16.109375" customWidth="1"/>
    <col min="9987" max="9987" width="37.44140625" customWidth="1"/>
    <col min="9988" max="9988" width="14.5546875" customWidth="1"/>
    <col min="9989" max="9989" width="9.5546875" bestFit="1" customWidth="1"/>
    <col min="9993" max="9993" width="8" customWidth="1"/>
    <col min="9997" max="9997" width="11.33203125" customWidth="1"/>
    <col min="9998" max="9998" width="10.6640625" customWidth="1"/>
    <col min="10002" max="10002" width="10.109375" customWidth="1"/>
    <col min="10003" max="10003" width="9.33203125" customWidth="1"/>
    <col min="10004" max="10004" width="10.33203125" customWidth="1"/>
    <col min="10005" max="10005" width="12" bestFit="1" customWidth="1"/>
    <col min="10006" max="10006" width="10" bestFit="1" customWidth="1"/>
    <col min="10007" max="10007" width="10" customWidth="1"/>
    <col min="10008" max="10008" width="13.33203125" customWidth="1"/>
    <col min="10009" max="10009" width="16" customWidth="1"/>
    <col min="10010" max="10010" width="10.33203125" customWidth="1"/>
    <col min="10011" max="10011" width="12" bestFit="1" customWidth="1"/>
    <col min="10012" max="10012" width="11" bestFit="1" customWidth="1"/>
    <col min="10014" max="10014" width="17.109375" customWidth="1"/>
    <col min="10015" max="10015" width="16.109375" customWidth="1"/>
    <col min="10243" max="10243" width="37.44140625" customWidth="1"/>
    <col min="10244" max="10244" width="14.5546875" customWidth="1"/>
    <col min="10245" max="10245" width="9.5546875" bestFit="1" customWidth="1"/>
    <col min="10249" max="10249" width="8" customWidth="1"/>
    <col min="10253" max="10253" width="11.33203125" customWidth="1"/>
    <col min="10254" max="10254" width="10.6640625" customWidth="1"/>
    <col min="10258" max="10258" width="10.109375" customWidth="1"/>
    <col min="10259" max="10259" width="9.33203125" customWidth="1"/>
    <col min="10260" max="10260" width="10.33203125" customWidth="1"/>
    <col min="10261" max="10261" width="12" bestFit="1" customWidth="1"/>
    <col min="10262" max="10262" width="10" bestFit="1" customWidth="1"/>
    <col min="10263" max="10263" width="10" customWidth="1"/>
    <col min="10264" max="10264" width="13.33203125" customWidth="1"/>
    <col min="10265" max="10265" width="16" customWidth="1"/>
    <col min="10266" max="10266" width="10.33203125" customWidth="1"/>
    <col min="10267" max="10267" width="12" bestFit="1" customWidth="1"/>
    <col min="10268" max="10268" width="11" bestFit="1" customWidth="1"/>
    <col min="10270" max="10270" width="17.109375" customWidth="1"/>
    <col min="10271" max="10271" width="16.109375" customWidth="1"/>
    <col min="10499" max="10499" width="37.44140625" customWidth="1"/>
    <col min="10500" max="10500" width="14.5546875" customWidth="1"/>
    <col min="10501" max="10501" width="9.5546875" bestFit="1" customWidth="1"/>
    <col min="10505" max="10505" width="8" customWidth="1"/>
    <col min="10509" max="10509" width="11.33203125" customWidth="1"/>
    <col min="10510" max="10510" width="10.6640625" customWidth="1"/>
    <col min="10514" max="10514" width="10.109375" customWidth="1"/>
    <col min="10515" max="10515" width="9.33203125" customWidth="1"/>
    <col min="10516" max="10516" width="10.33203125" customWidth="1"/>
    <col min="10517" max="10517" width="12" bestFit="1" customWidth="1"/>
    <col min="10518" max="10518" width="10" bestFit="1" customWidth="1"/>
    <col min="10519" max="10519" width="10" customWidth="1"/>
    <col min="10520" max="10520" width="13.33203125" customWidth="1"/>
    <col min="10521" max="10521" width="16" customWidth="1"/>
    <col min="10522" max="10522" width="10.33203125" customWidth="1"/>
    <col min="10523" max="10523" width="12" bestFit="1" customWidth="1"/>
    <col min="10524" max="10524" width="11" bestFit="1" customWidth="1"/>
    <col min="10526" max="10526" width="17.109375" customWidth="1"/>
    <col min="10527" max="10527" width="16.109375" customWidth="1"/>
    <col min="10755" max="10755" width="37.44140625" customWidth="1"/>
    <col min="10756" max="10756" width="14.5546875" customWidth="1"/>
    <col min="10757" max="10757" width="9.5546875" bestFit="1" customWidth="1"/>
    <col min="10761" max="10761" width="8" customWidth="1"/>
    <col min="10765" max="10765" width="11.33203125" customWidth="1"/>
    <col min="10766" max="10766" width="10.6640625" customWidth="1"/>
    <col min="10770" max="10770" width="10.109375" customWidth="1"/>
    <col min="10771" max="10771" width="9.33203125" customWidth="1"/>
    <col min="10772" max="10772" width="10.33203125" customWidth="1"/>
    <col min="10773" max="10773" width="12" bestFit="1" customWidth="1"/>
    <col min="10774" max="10774" width="10" bestFit="1" customWidth="1"/>
    <col min="10775" max="10775" width="10" customWidth="1"/>
    <col min="10776" max="10776" width="13.33203125" customWidth="1"/>
    <col min="10777" max="10777" width="16" customWidth="1"/>
    <col min="10778" max="10778" width="10.33203125" customWidth="1"/>
    <col min="10779" max="10779" width="12" bestFit="1" customWidth="1"/>
    <col min="10780" max="10780" width="11" bestFit="1" customWidth="1"/>
    <col min="10782" max="10782" width="17.109375" customWidth="1"/>
    <col min="10783" max="10783" width="16.109375" customWidth="1"/>
    <col min="11011" max="11011" width="37.44140625" customWidth="1"/>
    <col min="11012" max="11012" width="14.5546875" customWidth="1"/>
    <col min="11013" max="11013" width="9.5546875" bestFit="1" customWidth="1"/>
    <col min="11017" max="11017" width="8" customWidth="1"/>
    <col min="11021" max="11021" width="11.33203125" customWidth="1"/>
    <col min="11022" max="11022" width="10.6640625" customWidth="1"/>
    <col min="11026" max="11026" width="10.109375" customWidth="1"/>
    <col min="11027" max="11027" width="9.33203125" customWidth="1"/>
    <col min="11028" max="11028" width="10.33203125" customWidth="1"/>
    <col min="11029" max="11029" width="12" bestFit="1" customWidth="1"/>
    <col min="11030" max="11030" width="10" bestFit="1" customWidth="1"/>
    <col min="11031" max="11031" width="10" customWidth="1"/>
    <col min="11032" max="11032" width="13.33203125" customWidth="1"/>
    <col min="11033" max="11033" width="16" customWidth="1"/>
    <col min="11034" max="11034" width="10.33203125" customWidth="1"/>
    <col min="11035" max="11035" width="12" bestFit="1" customWidth="1"/>
    <col min="11036" max="11036" width="11" bestFit="1" customWidth="1"/>
    <col min="11038" max="11038" width="17.109375" customWidth="1"/>
    <col min="11039" max="11039" width="16.109375" customWidth="1"/>
    <col min="11267" max="11267" width="37.44140625" customWidth="1"/>
    <col min="11268" max="11268" width="14.5546875" customWidth="1"/>
    <col min="11269" max="11269" width="9.5546875" bestFit="1" customWidth="1"/>
    <col min="11273" max="11273" width="8" customWidth="1"/>
    <col min="11277" max="11277" width="11.33203125" customWidth="1"/>
    <col min="11278" max="11278" width="10.6640625" customWidth="1"/>
    <col min="11282" max="11282" width="10.109375" customWidth="1"/>
    <col min="11283" max="11283" width="9.33203125" customWidth="1"/>
    <col min="11284" max="11284" width="10.33203125" customWidth="1"/>
    <col min="11285" max="11285" width="12" bestFit="1" customWidth="1"/>
    <col min="11286" max="11286" width="10" bestFit="1" customWidth="1"/>
    <col min="11287" max="11287" width="10" customWidth="1"/>
    <col min="11288" max="11288" width="13.33203125" customWidth="1"/>
    <col min="11289" max="11289" width="16" customWidth="1"/>
    <col min="11290" max="11290" width="10.33203125" customWidth="1"/>
    <col min="11291" max="11291" width="12" bestFit="1" customWidth="1"/>
    <col min="11292" max="11292" width="11" bestFit="1" customWidth="1"/>
    <col min="11294" max="11294" width="17.109375" customWidth="1"/>
    <col min="11295" max="11295" width="16.109375" customWidth="1"/>
    <col min="11523" max="11523" width="37.44140625" customWidth="1"/>
    <col min="11524" max="11524" width="14.5546875" customWidth="1"/>
    <col min="11525" max="11525" width="9.5546875" bestFit="1" customWidth="1"/>
    <col min="11529" max="11529" width="8" customWidth="1"/>
    <col min="11533" max="11533" width="11.33203125" customWidth="1"/>
    <col min="11534" max="11534" width="10.6640625" customWidth="1"/>
    <col min="11538" max="11538" width="10.109375" customWidth="1"/>
    <col min="11539" max="11539" width="9.33203125" customWidth="1"/>
    <col min="11540" max="11540" width="10.33203125" customWidth="1"/>
    <col min="11541" max="11541" width="12" bestFit="1" customWidth="1"/>
    <col min="11542" max="11542" width="10" bestFit="1" customWidth="1"/>
    <col min="11543" max="11543" width="10" customWidth="1"/>
    <col min="11544" max="11544" width="13.33203125" customWidth="1"/>
    <col min="11545" max="11545" width="16" customWidth="1"/>
    <col min="11546" max="11546" width="10.33203125" customWidth="1"/>
    <col min="11547" max="11547" width="12" bestFit="1" customWidth="1"/>
    <col min="11548" max="11548" width="11" bestFit="1" customWidth="1"/>
    <col min="11550" max="11550" width="17.109375" customWidth="1"/>
    <col min="11551" max="11551" width="16.109375" customWidth="1"/>
    <col min="11779" max="11779" width="37.44140625" customWidth="1"/>
    <col min="11780" max="11780" width="14.5546875" customWidth="1"/>
    <col min="11781" max="11781" width="9.5546875" bestFit="1" customWidth="1"/>
    <col min="11785" max="11785" width="8" customWidth="1"/>
    <col min="11789" max="11789" width="11.33203125" customWidth="1"/>
    <col min="11790" max="11790" width="10.6640625" customWidth="1"/>
    <col min="11794" max="11794" width="10.109375" customWidth="1"/>
    <col min="11795" max="11795" width="9.33203125" customWidth="1"/>
    <col min="11796" max="11796" width="10.33203125" customWidth="1"/>
    <col min="11797" max="11797" width="12" bestFit="1" customWidth="1"/>
    <col min="11798" max="11798" width="10" bestFit="1" customWidth="1"/>
    <col min="11799" max="11799" width="10" customWidth="1"/>
    <col min="11800" max="11800" width="13.33203125" customWidth="1"/>
    <col min="11801" max="11801" width="16" customWidth="1"/>
    <col min="11802" max="11802" width="10.33203125" customWidth="1"/>
    <col min="11803" max="11803" width="12" bestFit="1" customWidth="1"/>
    <col min="11804" max="11804" width="11" bestFit="1" customWidth="1"/>
    <col min="11806" max="11806" width="17.109375" customWidth="1"/>
    <col min="11807" max="11807" width="16.109375" customWidth="1"/>
    <col min="12035" max="12035" width="37.44140625" customWidth="1"/>
    <col min="12036" max="12036" width="14.5546875" customWidth="1"/>
    <col min="12037" max="12037" width="9.5546875" bestFit="1" customWidth="1"/>
    <col min="12041" max="12041" width="8" customWidth="1"/>
    <col min="12045" max="12045" width="11.33203125" customWidth="1"/>
    <col min="12046" max="12046" width="10.6640625" customWidth="1"/>
    <col min="12050" max="12050" width="10.109375" customWidth="1"/>
    <col min="12051" max="12051" width="9.33203125" customWidth="1"/>
    <col min="12052" max="12052" width="10.33203125" customWidth="1"/>
    <col min="12053" max="12053" width="12" bestFit="1" customWidth="1"/>
    <col min="12054" max="12054" width="10" bestFit="1" customWidth="1"/>
    <col min="12055" max="12055" width="10" customWidth="1"/>
    <col min="12056" max="12056" width="13.33203125" customWidth="1"/>
    <col min="12057" max="12057" width="16" customWidth="1"/>
    <col min="12058" max="12058" width="10.33203125" customWidth="1"/>
    <col min="12059" max="12059" width="12" bestFit="1" customWidth="1"/>
    <col min="12060" max="12060" width="11" bestFit="1" customWidth="1"/>
    <col min="12062" max="12062" width="17.109375" customWidth="1"/>
    <col min="12063" max="12063" width="16.109375" customWidth="1"/>
    <col min="12291" max="12291" width="37.44140625" customWidth="1"/>
    <col min="12292" max="12292" width="14.5546875" customWidth="1"/>
    <col min="12293" max="12293" width="9.5546875" bestFit="1" customWidth="1"/>
    <col min="12297" max="12297" width="8" customWidth="1"/>
    <col min="12301" max="12301" width="11.33203125" customWidth="1"/>
    <col min="12302" max="12302" width="10.6640625" customWidth="1"/>
    <col min="12306" max="12306" width="10.109375" customWidth="1"/>
    <col min="12307" max="12307" width="9.33203125" customWidth="1"/>
    <col min="12308" max="12308" width="10.33203125" customWidth="1"/>
    <col min="12309" max="12309" width="12" bestFit="1" customWidth="1"/>
    <col min="12310" max="12310" width="10" bestFit="1" customWidth="1"/>
    <col min="12311" max="12311" width="10" customWidth="1"/>
    <col min="12312" max="12312" width="13.33203125" customWidth="1"/>
    <col min="12313" max="12313" width="16" customWidth="1"/>
    <col min="12314" max="12314" width="10.33203125" customWidth="1"/>
    <col min="12315" max="12315" width="12" bestFit="1" customWidth="1"/>
    <col min="12316" max="12316" width="11" bestFit="1" customWidth="1"/>
    <col min="12318" max="12318" width="17.109375" customWidth="1"/>
    <col min="12319" max="12319" width="16.109375" customWidth="1"/>
    <col min="12547" max="12547" width="37.44140625" customWidth="1"/>
    <col min="12548" max="12548" width="14.5546875" customWidth="1"/>
    <col min="12549" max="12549" width="9.5546875" bestFit="1" customWidth="1"/>
    <col min="12553" max="12553" width="8" customWidth="1"/>
    <col min="12557" max="12557" width="11.33203125" customWidth="1"/>
    <col min="12558" max="12558" width="10.6640625" customWidth="1"/>
    <col min="12562" max="12562" width="10.109375" customWidth="1"/>
    <col min="12563" max="12563" width="9.33203125" customWidth="1"/>
    <col min="12564" max="12564" width="10.33203125" customWidth="1"/>
    <col min="12565" max="12565" width="12" bestFit="1" customWidth="1"/>
    <col min="12566" max="12566" width="10" bestFit="1" customWidth="1"/>
    <col min="12567" max="12567" width="10" customWidth="1"/>
    <col min="12568" max="12568" width="13.33203125" customWidth="1"/>
    <col min="12569" max="12569" width="16" customWidth="1"/>
    <col min="12570" max="12570" width="10.33203125" customWidth="1"/>
    <col min="12571" max="12571" width="12" bestFit="1" customWidth="1"/>
    <col min="12572" max="12572" width="11" bestFit="1" customWidth="1"/>
    <col min="12574" max="12574" width="17.109375" customWidth="1"/>
    <col min="12575" max="12575" width="16.109375" customWidth="1"/>
    <col min="12803" max="12803" width="37.44140625" customWidth="1"/>
    <col min="12804" max="12804" width="14.5546875" customWidth="1"/>
    <col min="12805" max="12805" width="9.5546875" bestFit="1" customWidth="1"/>
    <col min="12809" max="12809" width="8" customWidth="1"/>
    <col min="12813" max="12813" width="11.33203125" customWidth="1"/>
    <col min="12814" max="12814" width="10.6640625" customWidth="1"/>
    <col min="12818" max="12818" width="10.109375" customWidth="1"/>
    <col min="12819" max="12819" width="9.33203125" customWidth="1"/>
    <col min="12820" max="12820" width="10.33203125" customWidth="1"/>
    <col min="12821" max="12821" width="12" bestFit="1" customWidth="1"/>
    <col min="12822" max="12822" width="10" bestFit="1" customWidth="1"/>
    <col min="12823" max="12823" width="10" customWidth="1"/>
    <col min="12824" max="12824" width="13.33203125" customWidth="1"/>
    <col min="12825" max="12825" width="16" customWidth="1"/>
    <col min="12826" max="12826" width="10.33203125" customWidth="1"/>
    <col min="12827" max="12827" width="12" bestFit="1" customWidth="1"/>
    <col min="12828" max="12828" width="11" bestFit="1" customWidth="1"/>
    <col min="12830" max="12830" width="17.109375" customWidth="1"/>
    <col min="12831" max="12831" width="16.109375" customWidth="1"/>
    <col min="13059" max="13059" width="37.44140625" customWidth="1"/>
    <col min="13060" max="13060" width="14.5546875" customWidth="1"/>
    <col min="13061" max="13061" width="9.5546875" bestFit="1" customWidth="1"/>
    <col min="13065" max="13065" width="8" customWidth="1"/>
    <col min="13069" max="13069" width="11.33203125" customWidth="1"/>
    <col min="13070" max="13070" width="10.6640625" customWidth="1"/>
    <col min="13074" max="13074" width="10.109375" customWidth="1"/>
    <col min="13075" max="13075" width="9.33203125" customWidth="1"/>
    <col min="13076" max="13076" width="10.33203125" customWidth="1"/>
    <col min="13077" max="13077" width="12" bestFit="1" customWidth="1"/>
    <col min="13078" max="13078" width="10" bestFit="1" customWidth="1"/>
    <col min="13079" max="13079" width="10" customWidth="1"/>
    <col min="13080" max="13080" width="13.33203125" customWidth="1"/>
    <col min="13081" max="13081" width="16" customWidth="1"/>
    <col min="13082" max="13082" width="10.33203125" customWidth="1"/>
    <col min="13083" max="13083" width="12" bestFit="1" customWidth="1"/>
    <col min="13084" max="13084" width="11" bestFit="1" customWidth="1"/>
    <col min="13086" max="13086" width="17.109375" customWidth="1"/>
    <col min="13087" max="13087" width="16.109375" customWidth="1"/>
    <col min="13315" max="13315" width="37.44140625" customWidth="1"/>
    <col min="13316" max="13316" width="14.5546875" customWidth="1"/>
    <col min="13317" max="13317" width="9.5546875" bestFit="1" customWidth="1"/>
    <col min="13321" max="13321" width="8" customWidth="1"/>
    <col min="13325" max="13325" width="11.33203125" customWidth="1"/>
    <col min="13326" max="13326" width="10.6640625" customWidth="1"/>
    <col min="13330" max="13330" width="10.109375" customWidth="1"/>
    <col min="13331" max="13331" width="9.33203125" customWidth="1"/>
    <col min="13332" max="13332" width="10.33203125" customWidth="1"/>
    <col min="13333" max="13333" width="12" bestFit="1" customWidth="1"/>
    <col min="13334" max="13334" width="10" bestFit="1" customWidth="1"/>
    <col min="13335" max="13335" width="10" customWidth="1"/>
    <col min="13336" max="13336" width="13.33203125" customWidth="1"/>
    <col min="13337" max="13337" width="16" customWidth="1"/>
    <col min="13338" max="13338" width="10.33203125" customWidth="1"/>
    <col min="13339" max="13339" width="12" bestFit="1" customWidth="1"/>
    <col min="13340" max="13340" width="11" bestFit="1" customWidth="1"/>
    <col min="13342" max="13342" width="17.109375" customWidth="1"/>
    <col min="13343" max="13343" width="16.109375" customWidth="1"/>
    <col min="13571" max="13571" width="37.44140625" customWidth="1"/>
    <col min="13572" max="13572" width="14.5546875" customWidth="1"/>
    <col min="13573" max="13573" width="9.5546875" bestFit="1" customWidth="1"/>
    <col min="13577" max="13577" width="8" customWidth="1"/>
    <col min="13581" max="13581" width="11.33203125" customWidth="1"/>
    <col min="13582" max="13582" width="10.6640625" customWidth="1"/>
    <col min="13586" max="13586" width="10.109375" customWidth="1"/>
    <col min="13587" max="13587" width="9.33203125" customWidth="1"/>
    <col min="13588" max="13588" width="10.33203125" customWidth="1"/>
    <col min="13589" max="13589" width="12" bestFit="1" customWidth="1"/>
    <col min="13590" max="13590" width="10" bestFit="1" customWidth="1"/>
    <col min="13591" max="13591" width="10" customWidth="1"/>
    <col min="13592" max="13592" width="13.33203125" customWidth="1"/>
    <col min="13593" max="13593" width="16" customWidth="1"/>
    <col min="13594" max="13594" width="10.33203125" customWidth="1"/>
    <col min="13595" max="13595" width="12" bestFit="1" customWidth="1"/>
    <col min="13596" max="13596" width="11" bestFit="1" customWidth="1"/>
    <col min="13598" max="13598" width="17.109375" customWidth="1"/>
    <col min="13599" max="13599" width="16.109375" customWidth="1"/>
    <col min="13827" max="13827" width="37.44140625" customWidth="1"/>
    <col min="13828" max="13828" width="14.5546875" customWidth="1"/>
    <col min="13829" max="13829" width="9.5546875" bestFit="1" customWidth="1"/>
    <col min="13833" max="13833" width="8" customWidth="1"/>
    <col min="13837" max="13837" width="11.33203125" customWidth="1"/>
    <col min="13838" max="13838" width="10.6640625" customWidth="1"/>
    <col min="13842" max="13842" width="10.109375" customWidth="1"/>
    <col min="13843" max="13843" width="9.33203125" customWidth="1"/>
    <col min="13844" max="13844" width="10.33203125" customWidth="1"/>
    <col min="13845" max="13845" width="12" bestFit="1" customWidth="1"/>
    <col min="13846" max="13846" width="10" bestFit="1" customWidth="1"/>
    <col min="13847" max="13847" width="10" customWidth="1"/>
    <col min="13848" max="13848" width="13.33203125" customWidth="1"/>
    <col min="13849" max="13849" width="16" customWidth="1"/>
    <col min="13850" max="13850" width="10.33203125" customWidth="1"/>
    <col min="13851" max="13851" width="12" bestFit="1" customWidth="1"/>
    <col min="13852" max="13852" width="11" bestFit="1" customWidth="1"/>
    <col min="13854" max="13854" width="17.109375" customWidth="1"/>
    <col min="13855" max="13855" width="16.109375" customWidth="1"/>
    <col min="14083" max="14083" width="37.44140625" customWidth="1"/>
    <col min="14084" max="14084" width="14.5546875" customWidth="1"/>
    <col min="14085" max="14085" width="9.5546875" bestFit="1" customWidth="1"/>
    <col min="14089" max="14089" width="8" customWidth="1"/>
    <col min="14093" max="14093" width="11.33203125" customWidth="1"/>
    <col min="14094" max="14094" width="10.6640625" customWidth="1"/>
    <col min="14098" max="14098" width="10.109375" customWidth="1"/>
    <col min="14099" max="14099" width="9.33203125" customWidth="1"/>
    <col min="14100" max="14100" width="10.33203125" customWidth="1"/>
    <col min="14101" max="14101" width="12" bestFit="1" customWidth="1"/>
    <col min="14102" max="14102" width="10" bestFit="1" customWidth="1"/>
    <col min="14103" max="14103" width="10" customWidth="1"/>
    <col min="14104" max="14104" width="13.33203125" customWidth="1"/>
    <col min="14105" max="14105" width="16" customWidth="1"/>
    <col min="14106" max="14106" width="10.33203125" customWidth="1"/>
    <col min="14107" max="14107" width="12" bestFit="1" customWidth="1"/>
    <col min="14108" max="14108" width="11" bestFit="1" customWidth="1"/>
    <col min="14110" max="14110" width="17.109375" customWidth="1"/>
    <col min="14111" max="14111" width="16.109375" customWidth="1"/>
    <col min="14339" max="14339" width="37.44140625" customWidth="1"/>
    <col min="14340" max="14340" width="14.5546875" customWidth="1"/>
    <col min="14341" max="14341" width="9.5546875" bestFit="1" customWidth="1"/>
    <col min="14345" max="14345" width="8" customWidth="1"/>
    <col min="14349" max="14349" width="11.33203125" customWidth="1"/>
    <col min="14350" max="14350" width="10.6640625" customWidth="1"/>
    <col min="14354" max="14354" width="10.109375" customWidth="1"/>
    <col min="14355" max="14355" width="9.33203125" customWidth="1"/>
    <col min="14356" max="14356" width="10.33203125" customWidth="1"/>
    <col min="14357" max="14357" width="12" bestFit="1" customWidth="1"/>
    <col min="14358" max="14358" width="10" bestFit="1" customWidth="1"/>
    <col min="14359" max="14359" width="10" customWidth="1"/>
    <col min="14360" max="14360" width="13.33203125" customWidth="1"/>
    <col min="14361" max="14361" width="16" customWidth="1"/>
    <col min="14362" max="14362" width="10.33203125" customWidth="1"/>
    <col min="14363" max="14363" width="12" bestFit="1" customWidth="1"/>
    <col min="14364" max="14364" width="11" bestFit="1" customWidth="1"/>
    <col min="14366" max="14366" width="17.109375" customWidth="1"/>
    <col min="14367" max="14367" width="16.109375" customWidth="1"/>
    <col min="14595" max="14595" width="37.44140625" customWidth="1"/>
    <col min="14596" max="14596" width="14.5546875" customWidth="1"/>
    <col min="14597" max="14597" width="9.5546875" bestFit="1" customWidth="1"/>
    <col min="14601" max="14601" width="8" customWidth="1"/>
    <col min="14605" max="14605" width="11.33203125" customWidth="1"/>
    <col min="14606" max="14606" width="10.6640625" customWidth="1"/>
    <col min="14610" max="14610" width="10.109375" customWidth="1"/>
    <col min="14611" max="14611" width="9.33203125" customWidth="1"/>
    <col min="14612" max="14612" width="10.33203125" customWidth="1"/>
    <col min="14613" max="14613" width="12" bestFit="1" customWidth="1"/>
    <col min="14614" max="14614" width="10" bestFit="1" customWidth="1"/>
    <col min="14615" max="14615" width="10" customWidth="1"/>
    <col min="14616" max="14616" width="13.33203125" customWidth="1"/>
    <col min="14617" max="14617" width="16" customWidth="1"/>
    <col min="14618" max="14618" width="10.33203125" customWidth="1"/>
    <col min="14619" max="14619" width="12" bestFit="1" customWidth="1"/>
    <col min="14620" max="14620" width="11" bestFit="1" customWidth="1"/>
    <col min="14622" max="14622" width="17.109375" customWidth="1"/>
    <col min="14623" max="14623" width="16.109375" customWidth="1"/>
    <col min="14851" max="14851" width="37.44140625" customWidth="1"/>
    <col min="14852" max="14852" width="14.5546875" customWidth="1"/>
    <col min="14853" max="14853" width="9.5546875" bestFit="1" customWidth="1"/>
    <col min="14857" max="14857" width="8" customWidth="1"/>
    <col min="14861" max="14861" width="11.33203125" customWidth="1"/>
    <col min="14862" max="14862" width="10.6640625" customWidth="1"/>
    <col min="14866" max="14866" width="10.109375" customWidth="1"/>
    <col min="14867" max="14867" width="9.33203125" customWidth="1"/>
    <col min="14868" max="14868" width="10.33203125" customWidth="1"/>
    <col min="14869" max="14869" width="12" bestFit="1" customWidth="1"/>
    <col min="14870" max="14870" width="10" bestFit="1" customWidth="1"/>
    <col min="14871" max="14871" width="10" customWidth="1"/>
    <col min="14872" max="14872" width="13.33203125" customWidth="1"/>
    <col min="14873" max="14873" width="16" customWidth="1"/>
    <col min="14874" max="14874" width="10.33203125" customWidth="1"/>
    <col min="14875" max="14875" width="12" bestFit="1" customWidth="1"/>
    <col min="14876" max="14876" width="11" bestFit="1" customWidth="1"/>
    <col min="14878" max="14878" width="17.109375" customWidth="1"/>
    <col min="14879" max="14879" width="16.109375" customWidth="1"/>
    <col min="15107" max="15107" width="37.44140625" customWidth="1"/>
    <col min="15108" max="15108" width="14.5546875" customWidth="1"/>
    <col min="15109" max="15109" width="9.5546875" bestFit="1" customWidth="1"/>
    <col min="15113" max="15113" width="8" customWidth="1"/>
    <col min="15117" max="15117" width="11.33203125" customWidth="1"/>
    <col min="15118" max="15118" width="10.6640625" customWidth="1"/>
    <col min="15122" max="15122" width="10.109375" customWidth="1"/>
    <col min="15123" max="15123" width="9.33203125" customWidth="1"/>
    <col min="15124" max="15124" width="10.33203125" customWidth="1"/>
    <col min="15125" max="15125" width="12" bestFit="1" customWidth="1"/>
    <col min="15126" max="15126" width="10" bestFit="1" customWidth="1"/>
    <col min="15127" max="15127" width="10" customWidth="1"/>
    <col min="15128" max="15128" width="13.33203125" customWidth="1"/>
    <col min="15129" max="15129" width="16" customWidth="1"/>
    <col min="15130" max="15130" width="10.33203125" customWidth="1"/>
    <col min="15131" max="15131" width="12" bestFit="1" customWidth="1"/>
    <col min="15132" max="15132" width="11" bestFit="1" customWidth="1"/>
    <col min="15134" max="15134" width="17.109375" customWidth="1"/>
    <col min="15135" max="15135" width="16.109375" customWidth="1"/>
    <col min="15363" max="15363" width="37.44140625" customWidth="1"/>
    <col min="15364" max="15364" width="14.5546875" customWidth="1"/>
    <col min="15365" max="15365" width="9.5546875" bestFit="1" customWidth="1"/>
    <col min="15369" max="15369" width="8" customWidth="1"/>
    <col min="15373" max="15373" width="11.33203125" customWidth="1"/>
    <col min="15374" max="15374" width="10.6640625" customWidth="1"/>
    <col min="15378" max="15378" width="10.109375" customWidth="1"/>
    <col min="15379" max="15379" width="9.33203125" customWidth="1"/>
    <col min="15380" max="15380" width="10.33203125" customWidth="1"/>
    <col min="15381" max="15381" width="12" bestFit="1" customWidth="1"/>
    <col min="15382" max="15382" width="10" bestFit="1" customWidth="1"/>
    <col min="15383" max="15383" width="10" customWidth="1"/>
    <col min="15384" max="15384" width="13.33203125" customWidth="1"/>
    <col min="15385" max="15385" width="16" customWidth="1"/>
    <col min="15386" max="15386" width="10.33203125" customWidth="1"/>
    <col min="15387" max="15387" width="12" bestFit="1" customWidth="1"/>
    <col min="15388" max="15388" width="11" bestFit="1" customWidth="1"/>
    <col min="15390" max="15390" width="17.109375" customWidth="1"/>
    <col min="15391" max="15391" width="16.109375" customWidth="1"/>
    <col min="15619" max="15619" width="37.44140625" customWidth="1"/>
    <col min="15620" max="15620" width="14.5546875" customWidth="1"/>
    <col min="15621" max="15621" width="9.5546875" bestFit="1" customWidth="1"/>
    <col min="15625" max="15625" width="8" customWidth="1"/>
    <col min="15629" max="15629" width="11.33203125" customWidth="1"/>
    <col min="15630" max="15630" width="10.6640625" customWidth="1"/>
    <col min="15634" max="15634" width="10.109375" customWidth="1"/>
    <col min="15635" max="15635" width="9.33203125" customWidth="1"/>
    <col min="15636" max="15636" width="10.33203125" customWidth="1"/>
    <col min="15637" max="15637" width="12" bestFit="1" customWidth="1"/>
    <col min="15638" max="15638" width="10" bestFit="1" customWidth="1"/>
    <col min="15639" max="15639" width="10" customWidth="1"/>
    <col min="15640" max="15640" width="13.33203125" customWidth="1"/>
    <col min="15641" max="15641" width="16" customWidth="1"/>
    <col min="15642" max="15642" width="10.33203125" customWidth="1"/>
    <col min="15643" max="15643" width="12" bestFit="1" customWidth="1"/>
    <col min="15644" max="15644" width="11" bestFit="1" customWidth="1"/>
    <col min="15646" max="15646" width="17.109375" customWidth="1"/>
    <col min="15647" max="15647" width="16.109375" customWidth="1"/>
    <col min="15875" max="15875" width="37.44140625" customWidth="1"/>
    <col min="15876" max="15876" width="14.5546875" customWidth="1"/>
    <col min="15877" max="15877" width="9.5546875" bestFit="1" customWidth="1"/>
    <col min="15881" max="15881" width="8" customWidth="1"/>
    <col min="15885" max="15885" width="11.33203125" customWidth="1"/>
    <col min="15886" max="15886" width="10.6640625" customWidth="1"/>
    <col min="15890" max="15890" width="10.109375" customWidth="1"/>
    <col min="15891" max="15891" width="9.33203125" customWidth="1"/>
    <col min="15892" max="15892" width="10.33203125" customWidth="1"/>
    <col min="15893" max="15893" width="12" bestFit="1" customWidth="1"/>
    <col min="15894" max="15894" width="10" bestFit="1" customWidth="1"/>
    <col min="15895" max="15895" width="10" customWidth="1"/>
    <col min="15896" max="15896" width="13.33203125" customWidth="1"/>
    <col min="15897" max="15897" width="16" customWidth="1"/>
    <col min="15898" max="15898" width="10.33203125" customWidth="1"/>
    <col min="15899" max="15899" width="12" bestFit="1" customWidth="1"/>
    <col min="15900" max="15900" width="11" bestFit="1" customWidth="1"/>
    <col min="15902" max="15902" width="17.109375" customWidth="1"/>
    <col min="15903" max="15903" width="16.109375" customWidth="1"/>
    <col min="16131" max="16131" width="37.44140625" customWidth="1"/>
    <col min="16132" max="16132" width="14.5546875" customWidth="1"/>
    <col min="16133" max="16133" width="9.5546875" bestFit="1" customWidth="1"/>
    <col min="16137" max="16137" width="8" customWidth="1"/>
    <col min="16141" max="16141" width="11.33203125" customWidth="1"/>
    <col min="16142" max="16142" width="10.6640625" customWidth="1"/>
    <col min="16146" max="16146" width="10.109375" customWidth="1"/>
    <col min="16147" max="16147" width="9.33203125" customWidth="1"/>
    <col min="16148" max="16148" width="10.33203125" customWidth="1"/>
    <col min="16149" max="16149" width="12" bestFit="1" customWidth="1"/>
    <col min="16150" max="16150" width="10" bestFit="1" customWidth="1"/>
    <col min="16151" max="16151" width="10" customWidth="1"/>
    <col min="16152" max="16152" width="13.33203125" customWidth="1"/>
    <col min="16153" max="16153" width="16" customWidth="1"/>
    <col min="16154" max="16154" width="10.33203125" customWidth="1"/>
    <col min="16155" max="16155" width="12" bestFit="1" customWidth="1"/>
    <col min="16156" max="16156" width="11" bestFit="1" customWidth="1"/>
    <col min="16158" max="16158" width="17.109375" customWidth="1"/>
    <col min="16159" max="16159" width="16.109375" customWidth="1"/>
  </cols>
  <sheetData>
    <row r="1" spans="1:37" x14ac:dyDescent="0.25">
      <c r="A1" s="2" t="s">
        <v>238</v>
      </c>
      <c r="B1" t="s">
        <v>1038</v>
      </c>
    </row>
    <row r="2" spans="1:37" x14ac:dyDescent="0.25">
      <c r="A2" s="2" t="s">
        <v>241</v>
      </c>
      <c r="B2" t="s">
        <v>1039</v>
      </c>
    </row>
    <row r="3" spans="1:37" x14ac:dyDescent="0.25">
      <c r="A3" s="2" t="s">
        <v>239</v>
      </c>
      <c r="B3" t="s">
        <v>1040</v>
      </c>
    </row>
    <row r="4" spans="1:37" x14ac:dyDescent="0.25">
      <c r="A4" s="2" t="s">
        <v>240</v>
      </c>
      <c r="B4" s="1">
        <v>2002</v>
      </c>
    </row>
    <row r="5" spans="1:37" x14ac:dyDescent="0.25">
      <c r="A5" s="2"/>
      <c r="B5" s="1"/>
    </row>
    <row r="6" spans="1:37" x14ac:dyDescent="0.25">
      <c r="A6" s="447" t="s">
        <v>415</v>
      </c>
      <c r="B6" s="103"/>
      <c r="C6" s="104"/>
      <c r="G6" s="923"/>
      <c r="H6" s="923"/>
    </row>
    <row r="7" spans="1:37" x14ac:dyDescent="0.25">
      <c r="A7" s="147" t="s">
        <v>1041</v>
      </c>
      <c r="B7" s="328"/>
      <c r="C7" s="148">
        <f>Unitflowchart!S9</f>
        <v>15</v>
      </c>
    </row>
    <row r="8" spans="1:37" x14ac:dyDescent="0.25">
      <c r="A8" s="147" t="s">
        <v>1042</v>
      </c>
      <c r="B8" s="328" t="s">
        <v>1000</v>
      </c>
      <c r="C8" s="148">
        <f>Unitflowchart!S7</f>
        <v>20000</v>
      </c>
    </row>
    <row r="9" spans="1:37" x14ac:dyDescent="0.25">
      <c r="A9" s="147" t="s">
        <v>1043</v>
      </c>
      <c r="B9" s="328" t="s">
        <v>481</v>
      </c>
      <c r="C9" s="148">
        <f>Unitflowchart!S23</f>
        <v>73.5</v>
      </c>
    </row>
    <row r="10" spans="1:37" x14ac:dyDescent="0.25">
      <c r="A10" s="925" t="s">
        <v>1159</v>
      </c>
      <c r="B10" s="328" t="s">
        <v>1162</v>
      </c>
      <c r="C10" s="148">
        <f>ncv_diesel</f>
        <v>36.608381999999999</v>
      </c>
    </row>
    <row r="11" spans="1:37" x14ac:dyDescent="0.25">
      <c r="A11" s="147" t="s">
        <v>1141</v>
      </c>
      <c r="B11" s="328" t="s">
        <v>135</v>
      </c>
      <c r="C11" s="148">
        <f>include_subsoil</f>
        <v>1</v>
      </c>
    </row>
    <row r="12" spans="1:37" x14ac:dyDescent="0.25">
      <c r="A12" s="149" t="s">
        <v>1044</v>
      </c>
      <c r="B12" s="389" t="s">
        <v>135</v>
      </c>
      <c r="C12" s="116">
        <f>include_machinery</f>
        <v>0</v>
      </c>
      <c r="D12" s="923"/>
    </row>
    <row r="13" spans="1:37" s="43" customFormat="1" x14ac:dyDescent="0.25">
      <c r="A13" s="212"/>
      <c r="B13" s="42"/>
      <c r="C13" s="155"/>
    </row>
    <row r="14" spans="1:37" s="43" customFormat="1" x14ac:dyDescent="0.25">
      <c r="A14" s="154" t="s">
        <v>1253</v>
      </c>
      <c r="B14" s="356"/>
    </row>
    <row r="15" spans="1:37" x14ac:dyDescent="0.25">
      <c r="A15" t="s">
        <v>243</v>
      </c>
      <c r="B15" t="s">
        <v>242</v>
      </c>
      <c r="E15" t="s">
        <v>28</v>
      </c>
      <c r="F15" t="s">
        <v>245</v>
      </c>
      <c r="I15" t="s">
        <v>28</v>
      </c>
      <c r="J15" t="s">
        <v>248</v>
      </c>
      <c r="L15" s="43" t="s">
        <v>249</v>
      </c>
      <c r="M15"/>
      <c r="O15" t="s">
        <v>28</v>
      </c>
      <c r="P15" t="s">
        <v>250</v>
      </c>
      <c r="R15" t="s">
        <v>251</v>
      </c>
      <c r="U15" t="s">
        <v>28</v>
      </c>
      <c r="V15" t="s">
        <v>252</v>
      </c>
      <c r="X15" t="s">
        <v>253</v>
      </c>
      <c r="AA15" t="s">
        <v>28</v>
      </c>
      <c r="AB15" t="s">
        <v>254</v>
      </c>
      <c r="AE15" s="923" t="s">
        <v>1356</v>
      </c>
      <c r="AH15" s="923" t="s">
        <v>28</v>
      </c>
    </row>
    <row r="16" spans="1:37" x14ac:dyDescent="0.25">
      <c r="B16" t="s">
        <v>244</v>
      </c>
      <c r="C16" t="s">
        <v>246</v>
      </c>
      <c r="D16" t="s">
        <v>247</v>
      </c>
      <c r="F16" s="923" t="s">
        <v>244</v>
      </c>
      <c r="G16" s="923" t="s">
        <v>246</v>
      </c>
      <c r="H16" t="s">
        <v>247</v>
      </c>
      <c r="J16" t="s">
        <v>246</v>
      </c>
      <c r="K16" t="s">
        <v>247</v>
      </c>
      <c r="L16" s="1009" t="s">
        <v>244</v>
      </c>
      <c r="M16" t="s">
        <v>246</v>
      </c>
      <c r="N16" t="s">
        <v>247</v>
      </c>
      <c r="P16" t="s">
        <v>246</v>
      </c>
      <c r="Q16" t="s">
        <v>247</v>
      </c>
      <c r="R16" s="923" t="s">
        <v>244</v>
      </c>
      <c r="S16" t="s">
        <v>246</v>
      </c>
      <c r="T16" t="s">
        <v>247</v>
      </c>
      <c r="V16" t="s">
        <v>246</v>
      </c>
      <c r="W16" t="s">
        <v>247</v>
      </c>
      <c r="X16" s="923" t="s">
        <v>244</v>
      </c>
      <c r="Y16" t="s">
        <v>246</v>
      </c>
      <c r="Z16" t="s">
        <v>247</v>
      </c>
      <c r="AB16" t="s">
        <v>246</v>
      </c>
      <c r="AC16" t="s">
        <v>247</v>
      </c>
      <c r="AD16" s="923" t="s">
        <v>244</v>
      </c>
      <c r="AE16" t="s">
        <v>246</v>
      </c>
      <c r="AF16" t="s">
        <v>247</v>
      </c>
      <c r="AI16" t="s">
        <v>246</v>
      </c>
      <c r="AJ16" t="s">
        <v>247</v>
      </c>
      <c r="AK16" s="923" t="s">
        <v>244</v>
      </c>
    </row>
    <row r="17" spans="1:37" x14ac:dyDescent="0.25">
      <c r="A17" s="2" t="s">
        <v>1</v>
      </c>
      <c r="C17" s="1"/>
      <c r="D17" s="1"/>
      <c r="E17" s="1"/>
      <c r="F17" s="1"/>
      <c r="I17" s="1"/>
      <c r="J17" s="1"/>
      <c r="K17" s="1"/>
      <c r="L17" s="11"/>
      <c r="M17"/>
    </row>
    <row r="18" spans="1:37" x14ac:dyDescent="0.25">
      <c r="A18" s="2" t="s">
        <v>1357</v>
      </c>
      <c r="C18" s="1"/>
      <c r="D18" s="1"/>
      <c r="E18" s="1"/>
      <c r="F18" s="1"/>
      <c r="I18" s="1"/>
      <c r="J18" s="1"/>
      <c r="K18" s="1"/>
      <c r="L18" s="11"/>
      <c r="M18"/>
    </row>
    <row r="19" spans="1:37" s="1" customFormat="1" ht="15.6" x14ac:dyDescent="0.25">
      <c r="A19" s="1" t="s">
        <v>1225</v>
      </c>
      <c r="B19" s="1" t="s">
        <v>1226</v>
      </c>
      <c r="C19" s="900">
        <f>C10*C26*diesel_baler</f>
        <v>191.76246033217075</v>
      </c>
      <c r="D19" s="900">
        <v>0</v>
      </c>
      <c r="E19" s="1" t="s">
        <v>1273</v>
      </c>
      <c r="F19" s="1" t="s">
        <v>7</v>
      </c>
      <c r="G19" s="980">
        <v>1.073</v>
      </c>
      <c r="H19" s="871">
        <v>0</v>
      </c>
      <c r="I19" t="s">
        <v>1326</v>
      </c>
      <c r="J19" s="872">
        <f>C19*G19</f>
        <v>205.76111993641919</v>
      </c>
      <c r="K19" s="872">
        <f>SQRT(((D19*G19)^2)+((C19*H19)^2))</f>
        <v>0</v>
      </c>
      <c r="L19" s="869" t="s">
        <v>1045</v>
      </c>
      <c r="M19" s="980">
        <v>7.6999999999999999E-2</v>
      </c>
      <c r="N19" s="871">
        <v>0</v>
      </c>
      <c r="O19" t="s">
        <v>1327</v>
      </c>
      <c r="P19" s="872">
        <f>C19*M19</f>
        <v>14.765709445577148</v>
      </c>
      <c r="Q19" s="872">
        <f>SQRT(((D19*M19)^2)+((C19*N19)^2))</f>
        <v>0</v>
      </c>
      <c r="R19" s="869" t="s">
        <v>1046</v>
      </c>
      <c r="S19" s="873">
        <v>1.5999999999999999E-5</v>
      </c>
      <c r="T19" s="926">
        <v>0</v>
      </c>
      <c r="U19" t="s">
        <v>1328</v>
      </c>
      <c r="V19" s="874">
        <f>C19*S19</f>
        <v>3.0681993653147318E-3</v>
      </c>
      <c r="W19" s="874">
        <f>SQRT(((D19*S19)^2)+((C19*T19)^2))</f>
        <v>0</v>
      </c>
      <c r="X19" s="869" t="s">
        <v>1047</v>
      </c>
      <c r="Y19" s="873">
        <v>2.0800000000000001E-5</v>
      </c>
      <c r="Z19" s="926">
        <v>0</v>
      </c>
      <c r="AA19" t="s">
        <v>1329</v>
      </c>
      <c r="AB19" s="874">
        <f>C19*Y19</f>
        <v>3.9886591749091517E-3</v>
      </c>
      <c r="AC19" s="874">
        <f>SQRT(((D19*Y19)^2)+((C19*Z19)^2))</f>
        <v>0</v>
      </c>
      <c r="AD19" s="1" t="s">
        <v>1233</v>
      </c>
      <c r="AE19" s="900">
        <f>M19+(25*S19)+(298*Y19)</f>
        <v>8.3598400000000003E-2</v>
      </c>
      <c r="AF19" s="900"/>
      <c r="AG19" s="1" t="s">
        <v>1234</v>
      </c>
      <c r="AH19" s="1" t="s">
        <v>1235</v>
      </c>
      <c r="AI19" s="901">
        <f>$C19*AE19</f>
        <v>16.031034863832943</v>
      </c>
      <c r="AJ19" s="901">
        <f>$D19*AE19</f>
        <v>0</v>
      </c>
      <c r="AK19" s="1" t="s">
        <v>1236</v>
      </c>
    </row>
    <row r="20" spans="1:37" s="1" customFormat="1" x14ac:dyDescent="0.25">
      <c r="A20" s="1" t="s">
        <v>1237</v>
      </c>
      <c r="B20" s="1" t="s">
        <v>1226</v>
      </c>
      <c r="C20" s="900">
        <f>C10*C27*diesel_baler</f>
        <v>246.55173471279096</v>
      </c>
      <c r="D20" s="900">
        <v>0</v>
      </c>
      <c r="E20" s="11" t="s">
        <v>1273</v>
      </c>
      <c r="F20" s="1" t="s">
        <v>7</v>
      </c>
      <c r="G20" s="980">
        <v>1.073</v>
      </c>
      <c r="H20" s="871">
        <v>0</v>
      </c>
      <c r="I20" s="1" t="s">
        <v>1227</v>
      </c>
      <c r="J20" s="901">
        <f t="shared" ref="J20:J21" si="0">$C20*G20</f>
        <v>264.5500113468247</v>
      </c>
      <c r="K20" s="901">
        <f t="shared" ref="K20:K21" si="1">SQRT((($D20*G20)^2)+(($C20*H20)^2))</f>
        <v>0</v>
      </c>
      <c r="L20" s="1" t="s">
        <v>8</v>
      </c>
      <c r="M20" s="980">
        <v>7.6999999999999999E-2</v>
      </c>
      <c r="N20" s="871">
        <v>0</v>
      </c>
      <c r="O20" s="1" t="s">
        <v>1228</v>
      </c>
      <c r="P20" s="901">
        <f t="shared" ref="P20:P21" si="2">$C20*M20</f>
        <v>18.984483572884905</v>
      </c>
      <c r="Q20" s="901">
        <f t="shared" ref="Q20:Q21" si="3">SQRT((($D20*M20)^2)+(($C20*N20)^2))</f>
        <v>0</v>
      </c>
      <c r="R20" s="11" t="s">
        <v>9</v>
      </c>
      <c r="S20" s="873">
        <v>1.5999999999999999E-5</v>
      </c>
      <c r="T20" s="926">
        <v>0</v>
      </c>
      <c r="U20" s="11" t="s">
        <v>1230</v>
      </c>
      <c r="V20" s="903">
        <f t="shared" ref="V20:V21" si="4">$C20*S20</f>
        <v>3.9448277554046552E-3</v>
      </c>
      <c r="W20" s="903">
        <f t="shared" ref="W20:W21" si="5">SQRT((($D20*S20)^2)+(($C20*T20)^2))</f>
        <v>0</v>
      </c>
      <c r="X20" s="963" t="s">
        <v>1355</v>
      </c>
      <c r="Y20" s="873">
        <v>2.0800000000000001E-5</v>
      </c>
      <c r="Z20" s="926">
        <v>0</v>
      </c>
      <c r="AA20" s="1" t="s">
        <v>1232</v>
      </c>
      <c r="AB20" s="903">
        <f t="shared" ref="AB20:AB21" si="6">$C20*Y20</f>
        <v>5.1282760820260519E-3</v>
      </c>
      <c r="AC20" s="903">
        <f t="shared" ref="AC20:AC21" si="7">SQRT((($D20*Y20)^2)+(($C20*Z20)^2))</f>
        <v>0</v>
      </c>
      <c r="AD20" s="1" t="s">
        <v>1233</v>
      </c>
      <c r="AE20" s="900">
        <f>M20+(25*S20)+(298*Y20)</f>
        <v>8.3598400000000003E-2</v>
      </c>
      <c r="AF20" s="900"/>
      <c r="AG20" s="1" t="s">
        <v>1234</v>
      </c>
      <c r="AH20" s="1" t="s">
        <v>1235</v>
      </c>
      <c r="AI20" s="901">
        <f>$C20*AE20</f>
        <v>20.611330539213785</v>
      </c>
      <c r="AJ20" s="901">
        <f>$D20*AE20</f>
        <v>0</v>
      </c>
      <c r="AK20" s="1" t="s">
        <v>1236</v>
      </c>
    </row>
    <row r="21" spans="1:37" s="1" customFormat="1" x14ac:dyDescent="0.25">
      <c r="A21" s="975" t="s">
        <v>1238</v>
      </c>
      <c r="B21" s="1" t="s">
        <v>1226</v>
      </c>
      <c r="C21" s="900">
        <f>(3.6*((((56.25*((2*((0.1*0.62137119224)/1))))/0.25)*0.85)+(((56.25*(4*((0.1*0.62137119224)/1)))/0.25)*0.4)))</f>
        <v>166.09251968575202</v>
      </c>
      <c r="D21" s="900">
        <v>0</v>
      </c>
      <c r="E21" s="1" t="s">
        <v>1239</v>
      </c>
      <c r="F21" s="1" t="s">
        <v>7</v>
      </c>
      <c r="G21" s="980">
        <v>1.073</v>
      </c>
      <c r="H21" s="871">
        <v>0</v>
      </c>
      <c r="I21" s="1" t="s">
        <v>1227</v>
      </c>
      <c r="J21" s="901">
        <f t="shared" si="0"/>
        <v>178.21727362281192</v>
      </c>
      <c r="K21" s="901">
        <f t="shared" si="1"/>
        <v>0</v>
      </c>
      <c r="L21" s="1" t="s">
        <v>8</v>
      </c>
      <c r="M21" s="980">
        <v>7.6999999999999999E-2</v>
      </c>
      <c r="N21" s="871">
        <v>0</v>
      </c>
      <c r="O21" s="1" t="s">
        <v>1228</v>
      </c>
      <c r="P21" s="901">
        <f t="shared" si="2"/>
        <v>12.789124015802905</v>
      </c>
      <c r="Q21" s="901">
        <f t="shared" si="3"/>
        <v>0</v>
      </c>
      <c r="R21" s="11" t="s">
        <v>9</v>
      </c>
      <c r="S21" s="873">
        <v>1.5999999999999999E-5</v>
      </c>
      <c r="T21" s="926">
        <v>0</v>
      </c>
      <c r="U21" s="11" t="s">
        <v>1230</v>
      </c>
      <c r="V21" s="903">
        <f t="shared" si="4"/>
        <v>2.6574803149720322E-3</v>
      </c>
      <c r="W21" s="903">
        <f t="shared" si="5"/>
        <v>0</v>
      </c>
      <c r="X21" s="963" t="s">
        <v>1355</v>
      </c>
      <c r="Y21" s="873">
        <v>2.0800000000000001E-5</v>
      </c>
      <c r="Z21" s="926">
        <v>0</v>
      </c>
      <c r="AA21" s="1" t="s">
        <v>1232</v>
      </c>
      <c r="AB21" s="903">
        <f t="shared" si="6"/>
        <v>3.4547244094636424E-3</v>
      </c>
      <c r="AC21" s="903">
        <f t="shared" si="7"/>
        <v>0</v>
      </c>
      <c r="AD21" s="1" t="s">
        <v>1233</v>
      </c>
      <c r="AE21" s="900">
        <f>M21+(25*S21)+(298*Y21)</f>
        <v>8.3598400000000003E-2</v>
      </c>
      <c r="AF21" s="900"/>
      <c r="AG21" s="1" t="s">
        <v>1234</v>
      </c>
      <c r="AH21" s="1" t="s">
        <v>1235</v>
      </c>
      <c r="AI21" s="901">
        <f>$C21*AE21</f>
        <v>13.885068897697373</v>
      </c>
      <c r="AJ21" s="901">
        <f>$D21*AE21</f>
        <v>0</v>
      </c>
      <c r="AK21" s="1" t="s">
        <v>1236</v>
      </c>
    </row>
    <row r="22" spans="1:37" s="11" customFormat="1" x14ac:dyDescent="0.25">
      <c r="C22" s="934"/>
      <c r="D22" s="934"/>
      <c r="G22" s="934"/>
      <c r="H22" s="934"/>
      <c r="J22" s="934"/>
      <c r="K22" s="934"/>
      <c r="M22" s="934"/>
      <c r="P22" s="934"/>
      <c r="Q22" s="934"/>
      <c r="S22" s="934"/>
      <c r="T22" s="934"/>
      <c r="V22" s="934"/>
      <c r="W22" s="934"/>
      <c r="Y22" s="934"/>
      <c r="Z22" s="934"/>
      <c r="AB22" s="934"/>
      <c r="AC22" s="934"/>
      <c r="AE22" s="934"/>
      <c r="AF22" s="934"/>
      <c r="AI22" s="934"/>
      <c r="AJ22" s="934"/>
    </row>
    <row r="23" spans="1:37" s="1" customFormat="1" x14ac:dyDescent="0.25">
      <c r="A23" s="963" t="s">
        <v>1352</v>
      </c>
      <c r="B23" s="11"/>
      <c r="C23" s="934"/>
      <c r="D23" s="934"/>
      <c r="E23" s="11"/>
      <c r="G23" s="934"/>
      <c r="H23" s="934"/>
      <c r="J23" s="995">
        <f>SUM(J19:J22)</f>
        <v>648.52840490605581</v>
      </c>
      <c r="K23" s="901">
        <f>SQRT(SUMSQ(K19:K21))</f>
        <v>0</v>
      </c>
      <c r="M23" s="934"/>
      <c r="P23" s="995">
        <f>SUM(P19:P22)</f>
        <v>46.539317034264961</v>
      </c>
      <c r="Q23" s="901">
        <f>SQRT(SUMSQ(Q19:Q21))</f>
        <v>0</v>
      </c>
      <c r="R23" s="11"/>
      <c r="S23" s="934"/>
      <c r="T23" s="934"/>
      <c r="U23" s="11"/>
      <c r="V23" s="903">
        <f>SUM(V19:V22)</f>
        <v>9.6705074356914188E-3</v>
      </c>
      <c r="W23" s="901">
        <f>SQRT(SUMSQ(W19:W21))</f>
        <v>0</v>
      </c>
      <c r="X23" s="11"/>
      <c r="Y23" s="934"/>
      <c r="Z23" s="934"/>
      <c r="AB23" s="903">
        <f>SUM(AB19:AB22)</f>
        <v>1.2571659666398846E-2</v>
      </c>
      <c r="AC23" s="903">
        <f>SQRT(SUMSQ(AC19:AC21))</f>
        <v>0</v>
      </c>
      <c r="AE23" s="934"/>
      <c r="AF23" s="934"/>
      <c r="AI23" s="995">
        <f>SUM(AI19:AI22)</f>
        <v>50.527434300744098</v>
      </c>
      <c r="AJ23" s="901">
        <f>SQRT(SUMSQ(AJ19:AJ21))</f>
        <v>0</v>
      </c>
    </row>
    <row r="24" spans="1:37" s="1" customFormat="1" x14ac:dyDescent="0.25">
      <c r="C24" s="930"/>
      <c r="D24" s="930"/>
      <c r="G24" s="930"/>
      <c r="H24" s="930"/>
      <c r="I24" s="11"/>
      <c r="J24" s="930"/>
      <c r="K24" s="930"/>
      <c r="L24" s="931"/>
      <c r="M24" s="930"/>
      <c r="O24" s="11"/>
      <c r="P24" s="930"/>
      <c r="Q24" s="930"/>
      <c r="S24" s="930"/>
      <c r="T24" s="930"/>
      <c r="U24" s="11"/>
      <c r="V24" s="930"/>
      <c r="W24" s="930"/>
      <c r="Y24" s="930"/>
      <c r="Z24" s="930"/>
      <c r="AA24" s="11"/>
      <c r="AB24" s="930"/>
      <c r="AC24" s="930"/>
      <c r="AE24" s="930"/>
      <c r="AF24" s="930"/>
      <c r="AI24" s="930"/>
      <c r="AJ24" s="930"/>
    </row>
    <row r="25" spans="1:37" s="1" customFormat="1" x14ac:dyDescent="0.25">
      <c r="A25" s="4" t="s">
        <v>1254</v>
      </c>
      <c r="C25" s="930"/>
      <c r="D25" s="930"/>
      <c r="G25" s="930"/>
      <c r="H25" s="930"/>
      <c r="J25" s="930"/>
      <c r="K25" s="930"/>
      <c r="M25" s="930"/>
      <c r="P25" s="930"/>
      <c r="Q25" s="930"/>
      <c r="S25" s="930"/>
      <c r="T25" s="930"/>
      <c r="V25" s="930"/>
      <c r="W25" s="930"/>
      <c r="Y25" s="930"/>
      <c r="Z25" s="930"/>
      <c r="AB25" s="930"/>
      <c r="AC25" s="930"/>
      <c r="AE25" s="930"/>
      <c r="AF25" s="930"/>
      <c r="AI25" s="930"/>
      <c r="AJ25" s="930"/>
    </row>
    <row r="26" spans="1:37" s="1" customFormat="1" x14ac:dyDescent="0.25">
      <c r="A26" s="1" t="s">
        <v>1225</v>
      </c>
      <c r="B26" s="933" t="s">
        <v>1049</v>
      </c>
      <c r="C26" s="900">
        <f>0.7</f>
        <v>0.7</v>
      </c>
      <c r="D26" s="900">
        <v>0</v>
      </c>
      <c r="E26" s="933" t="s">
        <v>1257</v>
      </c>
      <c r="F26" s="1" t="s">
        <v>11</v>
      </c>
      <c r="G26" s="900">
        <f>((14.7*5500)/10000)</f>
        <v>8.0850000000000009</v>
      </c>
      <c r="H26" s="900">
        <v>0</v>
      </c>
      <c r="I26" s="1" t="s">
        <v>1240</v>
      </c>
      <c r="J26" s="901">
        <f>$C26*G26*$C$12</f>
        <v>0</v>
      </c>
      <c r="K26" s="901">
        <f>SQRT((($D26*G26)^2)+(($C26*H26)^2))*$C$12</f>
        <v>0</v>
      </c>
      <c r="L26" s="1" t="s">
        <v>1241</v>
      </c>
      <c r="M26" s="900">
        <f>((1.09217487355068*5500)/10000)</f>
        <v>0.60069618045287398</v>
      </c>
      <c r="N26" s="900">
        <v>0</v>
      </c>
      <c r="O26" s="1" t="s">
        <v>1242</v>
      </c>
      <c r="P26" s="901">
        <f>$C26*M26*$C$12</f>
        <v>0</v>
      </c>
      <c r="Q26" s="901">
        <f>SQRT((($D26*M26)^2)+(($C26*N26)^2))*$C$12</f>
        <v>0</v>
      </c>
      <c r="R26" s="932" t="s">
        <v>1243</v>
      </c>
      <c r="S26" s="900">
        <f>((0.00160326034005624*5500)/10000)</f>
        <v>8.8179318703093194E-4</v>
      </c>
      <c r="T26" s="900">
        <v>0</v>
      </c>
      <c r="U26" s="1" t="s">
        <v>1244</v>
      </c>
      <c r="V26" s="903">
        <f>$C26*S26*$C$12</f>
        <v>0</v>
      </c>
      <c r="W26" s="903">
        <f>SQRT((($D26*S26)^2)+(($C26*T26)^2))*$C$12</f>
        <v>0</v>
      </c>
      <c r="X26" s="932" t="s">
        <v>1245</v>
      </c>
      <c r="Y26" s="900">
        <f>((0.000064091897238466*5500)/10000)</f>
        <v>3.5250543481156302E-5</v>
      </c>
      <c r="Z26" s="900">
        <v>0</v>
      </c>
      <c r="AA26" s="1" t="s">
        <v>1246</v>
      </c>
      <c r="AB26" s="903">
        <f>$C26*Y26*$C$12</f>
        <v>0</v>
      </c>
      <c r="AC26" s="903">
        <f>SQRT((($D26*Y26)^2)+(($C26*Z26)^2))*$C$12</f>
        <v>0</v>
      </c>
      <c r="AD26" s="1" t="s">
        <v>1233</v>
      </c>
      <c r="AE26" s="900">
        <f>M26+(25*S26)+(298*Y26)</f>
        <v>0.63324567208603177</v>
      </c>
      <c r="AF26" s="900"/>
      <c r="AG26" s="1" t="s">
        <v>1234</v>
      </c>
      <c r="AH26" s="1" t="s">
        <v>1235</v>
      </c>
      <c r="AI26" s="901">
        <f>$C26*AE26</f>
        <v>0.44327197046022221</v>
      </c>
      <c r="AJ26" s="901">
        <f>$D26*AE26</f>
        <v>0</v>
      </c>
      <c r="AK26" s="1" t="s">
        <v>1236</v>
      </c>
    </row>
    <row r="27" spans="1:37" s="1" customFormat="1" x14ac:dyDescent="0.25">
      <c r="A27" s="1" t="s">
        <v>1237</v>
      </c>
      <c r="B27" s="933" t="s">
        <v>1049</v>
      </c>
      <c r="C27" s="900">
        <f>0.9</f>
        <v>0.9</v>
      </c>
      <c r="D27" s="900">
        <v>0</v>
      </c>
      <c r="E27" s="933" t="s">
        <v>1258</v>
      </c>
      <c r="F27" s="1" t="s">
        <v>11</v>
      </c>
      <c r="G27" s="900">
        <f>(14.7*10000)/10000</f>
        <v>14.7</v>
      </c>
      <c r="H27" s="900">
        <v>0</v>
      </c>
      <c r="I27" s="933" t="s">
        <v>1247</v>
      </c>
      <c r="J27" s="901">
        <f t="shared" ref="J27:J29" si="8">$C27*G27*$C$12</f>
        <v>0</v>
      </c>
      <c r="K27" s="901">
        <f t="shared" ref="K27:K29" si="9">SQRT((($D27*G27)^2)+(($C27*H27)^2))*$C$12</f>
        <v>0</v>
      </c>
      <c r="L27" s="1" t="s">
        <v>1241</v>
      </c>
      <c r="M27" s="900">
        <f>(1.09217487355068*10000)/10000</f>
        <v>1.09217487355068</v>
      </c>
      <c r="N27" s="900">
        <v>0</v>
      </c>
      <c r="O27" s="1" t="s">
        <v>1242</v>
      </c>
      <c r="P27" s="901">
        <f t="shared" ref="P27:P29" si="10">$C27*M27*$C$12</f>
        <v>0</v>
      </c>
      <c r="Q27" s="901">
        <f t="shared" ref="Q27:Q29" si="11">SQRT((($D27*M27)^2)+(($C27*N27)^2))*$C$12</f>
        <v>0</v>
      </c>
      <c r="R27" s="932" t="s">
        <v>1243</v>
      </c>
      <c r="S27" s="902">
        <f>(0.00160326034005624*10000)/10000</f>
        <v>1.6032603400562397E-3</v>
      </c>
      <c r="T27" s="900">
        <v>0</v>
      </c>
      <c r="U27" s="1" t="s">
        <v>1244</v>
      </c>
      <c r="V27" s="903">
        <f t="shared" ref="V27:V29" si="12">$C27*S27*$C$12</f>
        <v>0</v>
      </c>
      <c r="W27" s="903">
        <f t="shared" ref="W27:W29" si="13">SQRT((($D27*S27)^2)+(($C27*T27)^2))*$C$12</f>
        <v>0</v>
      </c>
      <c r="X27" s="932" t="s">
        <v>1245</v>
      </c>
      <c r="Y27" s="902">
        <f>(0.000064091897238466*10000)/10000</f>
        <v>6.4091897238465999E-5</v>
      </c>
      <c r="Z27" s="900">
        <v>0</v>
      </c>
      <c r="AA27" s="1" t="s">
        <v>1246</v>
      </c>
      <c r="AB27" s="903">
        <f t="shared" ref="AB27:AB29" si="14">$C27*Y27*$C$12</f>
        <v>0</v>
      </c>
      <c r="AC27" s="903">
        <f t="shared" ref="AC27:AC29" si="15">SQRT((($D27*Y27)^2)+(($C27*Z27)^2))*$C$12</f>
        <v>0</v>
      </c>
      <c r="AD27" s="1" t="s">
        <v>1233</v>
      </c>
      <c r="AE27" s="900">
        <f>M27+(25*S27)+(298*Y27)</f>
        <v>1.1513557674291488</v>
      </c>
      <c r="AF27" s="900"/>
      <c r="AG27" s="1" t="s">
        <v>1234</v>
      </c>
      <c r="AH27" s="1" t="s">
        <v>1235</v>
      </c>
      <c r="AI27" s="901">
        <f>$C27*AE27</f>
        <v>1.0362201906862341</v>
      </c>
      <c r="AJ27" s="901">
        <f>$D27*AE27</f>
        <v>0</v>
      </c>
      <c r="AK27" s="1" t="s">
        <v>1236</v>
      </c>
    </row>
    <row r="28" spans="1:37" s="1" customFormat="1" x14ac:dyDescent="0.25">
      <c r="A28" s="975" t="s">
        <v>1248</v>
      </c>
      <c r="B28" s="933" t="s">
        <v>1049</v>
      </c>
      <c r="C28" s="900">
        <f>((0.1*0.62137119224)/1)</f>
        <v>6.2137119224000004E-2</v>
      </c>
      <c r="D28" s="900">
        <v>0</v>
      </c>
      <c r="E28" s="933" t="s">
        <v>1340</v>
      </c>
      <c r="F28" s="1" t="s">
        <v>11</v>
      </c>
      <c r="G28" s="900">
        <f>(14.7*53000)/10000</f>
        <v>77.91</v>
      </c>
      <c r="H28" s="900">
        <v>0</v>
      </c>
      <c r="I28" s="1" t="s">
        <v>1249</v>
      </c>
      <c r="J28" s="901">
        <f t="shared" si="8"/>
        <v>0</v>
      </c>
      <c r="K28" s="901">
        <f t="shared" si="9"/>
        <v>0</v>
      </c>
      <c r="L28" s="1" t="s">
        <v>1241</v>
      </c>
      <c r="M28" s="900">
        <f>(1.09217487355068*53000)/10000</f>
        <v>5.7885268298186041</v>
      </c>
      <c r="N28" s="900">
        <v>0</v>
      </c>
      <c r="O28" s="1" t="s">
        <v>1242</v>
      </c>
      <c r="P28" s="901">
        <f t="shared" si="10"/>
        <v>0</v>
      </c>
      <c r="Q28" s="901">
        <f t="shared" si="11"/>
        <v>0</v>
      </c>
      <c r="R28" s="932" t="s">
        <v>1243</v>
      </c>
      <c r="S28" s="900">
        <f>(0.00160326034005624*53000)/10000</f>
        <v>8.4972798022980717E-3</v>
      </c>
      <c r="T28" s="900">
        <v>0</v>
      </c>
      <c r="U28" s="1" t="s">
        <v>1244</v>
      </c>
      <c r="V28" s="903">
        <f t="shared" si="12"/>
        <v>0</v>
      </c>
      <c r="W28" s="903">
        <f t="shared" si="13"/>
        <v>0</v>
      </c>
      <c r="X28" s="932" t="s">
        <v>1245</v>
      </c>
      <c r="Y28" s="900">
        <f>(0.000064091897238466*53000)/10000</f>
        <v>3.3968705536386977E-4</v>
      </c>
      <c r="Z28" s="900">
        <v>0</v>
      </c>
      <c r="AA28" s="1" t="s">
        <v>1246</v>
      </c>
      <c r="AB28" s="903">
        <f t="shared" si="14"/>
        <v>0</v>
      </c>
      <c r="AC28" s="903">
        <f t="shared" si="15"/>
        <v>0</v>
      </c>
      <c r="AD28" s="1" t="s">
        <v>1233</v>
      </c>
      <c r="AE28" s="900">
        <f>M28+(25*S28)+(298*Y28)</f>
        <v>6.1021855673744891</v>
      </c>
      <c r="AF28" s="900"/>
      <c r="AG28" s="1" t="s">
        <v>1234</v>
      </c>
      <c r="AH28" s="1" t="s">
        <v>1235</v>
      </c>
      <c r="AI28" s="901">
        <f>$C28*AE28</f>
        <v>0.37917223212692075</v>
      </c>
      <c r="AJ28" s="901">
        <f>$D28*AE28</f>
        <v>0</v>
      </c>
      <c r="AK28" s="1" t="s">
        <v>1236</v>
      </c>
    </row>
    <row r="29" spans="1:37" s="1" customFormat="1" x14ac:dyDescent="0.25">
      <c r="A29" s="975" t="s">
        <v>1250</v>
      </c>
      <c r="B29" s="933" t="s">
        <v>1049</v>
      </c>
      <c r="C29" s="900">
        <f>(4*((0.1*0.62137119224)/1))</f>
        <v>0.24854847689600001</v>
      </c>
      <c r="D29" s="900">
        <v>0</v>
      </c>
      <c r="E29" s="933" t="s">
        <v>1340</v>
      </c>
      <c r="F29" s="1" t="s">
        <v>11</v>
      </c>
      <c r="G29" s="900">
        <f>(14.7*5250)/10000</f>
        <v>7.7175000000000002</v>
      </c>
      <c r="H29" s="900">
        <v>0</v>
      </c>
      <c r="I29" s="1" t="s">
        <v>1251</v>
      </c>
      <c r="J29" s="901">
        <f t="shared" si="8"/>
        <v>0</v>
      </c>
      <c r="K29" s="901">
        <f t="shared" si="9"/>
        <v>0</v>
      </c>
      <c r="L29" s="1" t="s">
        <v>1241</v>
      </c>
      <c r="M29" s="900">
        <f>(1.09217487355068*5250)/10000</f>
        <v>0.57339180861410699</v>
      </c>
      <c r="N29" s="900">
        <v>0</v>
      </c>
      <c r="O29" s="1" t="s">
        <v>1242</v>
      </c>
      <c r="P29" s="901">
        <f t="shared" si="10"/>
        <v>0</v>
      </c>
      <c r="Q29" s="901">
        <f t="shared" si="11"/>
        <v>0</v>
      </c>
      <c r="R29" s="932" t="s">
        <v>1243</v>
      </c>
      <c r="S29" s="902">
        <f>(0.00160326034005624*5250)/10000</f>
        <v>8.4171167852952595E-4</v>
      </c>
      <c r="T29" s="900">
        <v>0</v>
      </c>
      <c r="U29" s="1" t="s">
        <v>1244</v>
      </c>
      <c r="V29" s="903">
        <f t="shared" si="12"/>
        <v>0</v>
      </c>
      <c r="W29" s="903">
        <f t="shared" si="13"/>
        <v>0</v>
      </c>
      <c r="X29" s="932" t="s">
        <v>1245</v>
      </c>
      <c r="Y29" s="902">
        <f>(0.000064091897238466*5250)/10000</f>
        <v>3.3648246050194651E-5</v>
      </c>
      <c r="Z29" s="900">
        <v>0</v>
      </c>
      <c r="AA29" s="1" t="s">
        <v>1246</v>
      </c>
      <c r="AB29" s="903">
        <f t="shared" si="14"/>
        <v>0</v>
      </c>
      <c r="AC29" s="903">
        <f t="shared" si="15"/>
        <v>0</v>
      </c>
      <c r="AD29" s="1" t="s">
        <v>1233</v>
      </c>
      <c r="AE29" s="900">
        <f>M29+(25*S29)+(298*Y29)</f>
        <v>0.60446177790030309</v>
      </c>
      <c r="AF29" s="900"/>
      <c r="AG29" s="1" t="s">
        <v>1234</v>
      </c>
      <c r="AH29" s="1" t="s">
        <v>1235</v>
      </c>
      <c r="AI29" s="901">
        <f>$C29*AE29</f>
        <v>0.15023805423896858</v>
      </c>
      <c r="AJ29" s="901">
        <f>$D29*AE29</f>
        <v>0</v>
      </c>
      <c r="AK29" s="1" t="s">
        <v>1236</v>
      </c>
    </row>
    <row r="30" spans="1:37" s="11" customFormat="1" x14ac:dyDescent="0.25">
      <c r="B30" s="963"/>
      <c r="C30" s="934"/>
      <c r="D30" s="934"/>
      <c r="E30" s="963"/>
      <c r="G30" s="934"/>
      <c r="H30" s="934"/>
      <c r="K30" s="934"/>
      <c r="L30" s="934"/>
      <c r="M30" s="934"/>
      <c r="N30" s="934"/>
      <c r="R30" s="934"/>
      <c r="S30" s="934"/>
      <c r="T30" s="950"/>
      <c r="U30" s="932"/>
      <c r="W30" s="934"/>
      <c r="X30" s="934"/>
      <c r="Z30" s="950"/>
      <c r="AA30" s="932"/>
      <c r="AC30" s="934"/>
      <c r="AD30" s="934"/>
      <c r="AF30" s="934"/>
      <c r="AJ30" s="934"/>
      <c r="AK30" s="934"/>
    </row>
    <row r="31" spans="1:37" s="1" customFormat="1" x14ac:dyDescent="0.25">
      <c r="A31" s="963" t="s">
        <v>1353</v>
      </c>
      <c r="B31" s="933"/>
      <c r="C31" s="934"/>
      <c r="D31" s="934"/>
      <c r="E31" s="933"/>
      <c r="G31" s="934"/>
      <c r="H31" s="934"/>
      <c r="J31" s="995">
        <f>SUM(J27:J30)</f>
        <v>0</v>
      </c>
      <c r="K31" s="901">
        <f>SQRT(SUMSQ(K27:K29))</f>
        <v>0</v>
      </c>
      <c r="L31" s="934"/>
      <c r="M31" s="934"/>
      <c r="P31" s="995">
        <f>SUM(P27:P30)</f>
        <v>0</v>
      </c>
      <c r="Q31" s="901">
        <f>SQRT(SUMSQ(Q27:Q29))</f>
        <v>0</v>
      </c>
      <c r="R31" s="950"/>
      <c r="S31" s="932"/>
      <c r="V31" s="903">
        <f>SUM(V27:V30)</f>
        <v>0</v>
      </c>
      <c r="W31" s="901">
        <f>SQRT(SUMSQ(W27:W29))</f>
        <v>0</v>
      </c>
      <c r="Y31" s="950"/>
      <c r="Z31" s="932"/>
      <c r="AB31" s="903">
        <f>SUM(AB27:AB30)</f>
        <v>0</v>
      </c>
      <c r="AC31" s="903">
        <f>SQRT(SUMSQ(AC27:AC29))</f>
        <v>0</v>
      </c>
      <c r="AE31" s="934"/>
      <c r="AF31" s="934"/>
      <c r="AI31" s="995">
        <f>SUM(AI27:AI30)</f>
        <v>1.5656304770521234</v>
      </c>
      <c r="AJ31" s="901">
        <f>SQRT(SUMSQ(AJ27:AJ29))</f>
        <v>0</v>
      </c>
    </row>
    <row r="32" spans="1:37" s="1" customFormat="1" x14ac:dyDescent="0.25">
      <c r="C32" s="930"/>
      <c r="D32" s="930"/>
      <c r="E32" s="931"/>
      <c r="G32" s="930"/>
      <c r="H32" s="930"/>
      <c r="J32" s="930"/>
      <c r="K32" s="930"/>
      <c r="L32" s="934"/>
      <c r="M32" s="930"/>
      <c r="N32" s="11"/>
      <c r="P32" s="930"/>
      <c r="Q32" s="930"/>
      <c r="R32" s="930"/>
      <c r="T32" s="11"/>
      <c r="U32" s="11"/>
      <c r="V32" s="930"/>
      <c r="W32" s="930"/>
      <c r="X32" s="11"/>
      <c r="Y32" s="930"/>
      <c r="AA32" s="11"/>
      <c r="AB32" s="930"/>
      <c r="AC32" s="930"/>
      <c r="AE32" s="930"/>
      <c r="AF32" s="930"/>
      <c r="AI32" s="930"/>
      <c r="AJ32" s="930"/>
    </row>
    <row r="33" spans="1:37" s="1" customFormat="1" x14ac:dyDescent="0.25">
      <c r="A33" s="4" t="s">
        <v>1255</v>
      </c>
      <c r="C33" s="930"/>
      <c r="D33" s="930"/>
      <c r="E33" s="931"/>
      <c r="G33" s="930"/>
      <c r="H33" s="930"/>
      <c r="J33" s="930"/>
      <c r="K33" s="930"/>
      <c r="L33" s="934"/>
      <c r="M33" s="930"/>
      <c r="N33" s="11"/>
      <c r="P33" s="930"/>
      <c r="Q33" s="930"/>
      <c r="R33" s="930"/>
      <c r="T33" s="11"/>
      <c r="U33" s="11"/>
      <c r="V33" s="930"/>
      <c r="W33" s="930"/>
      <c r="X33" s="11"/>
      <c r="Y33" s="930"/>
      <c r="AA33" s="11"/>
      <c r="AB33" s="930"/>
      <c r="AC33" s="930"/>
      <c r="AE33" s="930"/>
      <c r="AF33" s="930"/>
      <c r="AI33" s="930"/>
      <c r="AJ33" s="930"/>
    </row>
    <row r="34" spans="1:37" s="1" customFormat="1" x14ac:dyDescent="0.25">
      <c r="A34" s="1" t="s">
        <v>1225</v>
      </c>
      <c r="B34" s="1" t="s">
        <v>38</v>
      </c>
      <c r="C34" s="900">
        <v>2.5</v>
      </c>
      <c r="D34" s="900"/>
      <c r="E34" s="1" t="s">
        <v>1252</v>
      </c>
      <c r="G34" s="930"/>
      <c r="H34" s="930"/>
      <c r="I34" s="1" t="s">
        <v>1226</v>
      </c>
      <c r="J34" s="901">
        <f>$C34/100*J26*$C$12</f>
        <v>0</v>
      </c>
      <c r="K34" s="901">
        <f>SQRT((($D34/100*G34)^2)+(($C34/100*H34)^2))*$C$12</f>
        <v>0</v>
      </c>
      <c r="L34" s="934"/>
      <c r="M34" s="930"/>
      <c r="N34" s="11"/>
      <c r="O34" s="1" t="s">
        <v>1229</v>
      </c>
      <c r="P34" s="901">
        <f>$C34/100*P26*$C$12</f>
        <v>0</v>
      </c>
      <c r="Q34" s="901">
        <f>SQRT((($D34/100*M34)^2)+(($C34/100*N34)^2))*$C$12</f>
        <v>0</v>
      </c>
      <c r="R34" s="930"/>
      <c r="T34" s="11"/>
      <c r="U34" s="11"/>
      <c r="V34" s="903">
        <f>$C34/100*V26*$C$12</f>
        <v>0</v>
      </c>
      <c r="W34" s="903">
        <f>SQRT((($D34/100*S34)^2)+(($C34/100*T34)^2))*$C$12</f>
        <v>0</v>
      </c>
      <c r="X34" s="1" t="s">
        <v>1231</v>
      </c>
      <c r="Y34" s="930"/>
      <c r="AA34" s="11"/>
      <c r="AB34" s="903">
        <f>$C34/100*AB26*$C$12</f>
        <v>0</v>
      </c>
      <c r="AC34" s="903">
        <f>SQRT((($D34/100*Y34)^2)+(($C34/100*Z34)^2))*$C$12</f>
        <v>0</v>
      </c>
      <c r="AD34" s="1" t="s">
        <v>1233</v>
      </c>
      <c r="AE34" s="930"/>
      <c r="AF34" s="930"/>
      <c r="AI34" s="901">
        <f t="shared" ref="AI34:AJ37" si="16">($C34/100)*AI26</f>
        <v>1.1081799261505557E-2</v>
      </c>
      <c r="AJ34" s="901">
        <f t="shared" si="16"/>
        <v>0</v>
      </c>
      <c r="AK34" s="1" t="s">
        <v>1236</v>
      </c>
    </row>
    <row r="35" spans="1:37" s="1" customFormat="1" x14ac:dyDescent="0.25">
      <c r="A35" s="1" t="s">
        <v>1237</v>
      </c>
      <c r="B35" s="1" t="s">
        <v>38</v>
      </c>
      <c r="C35" s="900">
        <v>2.5</v>
      </c>
      <c r="D35" s="900"/>
      <c r="E35" s="1" t="s">
        <v>1252</v>
      </c>
      <c r="G35" s="930"/>
      <c r="H35" s="930"/>
      <c r="I35" s="1" t="s">
        <v>1226</v>
      </c>
      <c r="J35" s="901">
        <f t="shared" ref="J35:J37" si="17">$C35/100*J27*$C$12</f>
        <v>0</v>
      </c>
      <c r="K35" s="901">
        <f t="shared" ref="K35:K37" si="18">SQRT((($D35/100*G35)^2)+(($C35/100*H35)^2))*$C$12</f>
        <v>0</v>
      </c>
      <c r="L35" s="934"/>
      <c r="M35" s="930"/>
      <c r="N35" s="11"/>
      <c r="O35" s="1" t="s">
        <v>1229</v>
      </c>
      <c r="P35" s="901">
        <f t="shared" ref="P35:P37" si="19">$C35/100*P27*$C$12</f>
        <v>0</v>
      </c>
      <c r="Q35" s="901">
        <f t="shared" ref="Q35:Q37" si="20">SQRT((($D35/100*M35)^2)+(($C35/100*N35)^2))*$C$12</f>
        <v>0</v>
      </c>
      <c r="R35" s="930"/>
      <c r="T35" s="11"/>
      <c r="U35" s="11"/>
      <c r="V35" s="903">
        <f t="shared" ref="V35:V37" si="21">$C35/100*V27*$C$12</f>
        <v>0</v>
      </c>
      <c r="W35" s="903">
        <f t="shared" ref="W35:W37" si="22">SQRT((($D35/100*S35)^2)+(($C35/100*T35)^2))*$C$12</f>
        <v>0</v>
      </c>
      <c r="X35" s="1" t="s">
        <v>1231</v>
      </c>
      <c r="Y35" s="930"/>
      <c r="AA35" s="11"/>
      <c r="AB35" s="903">
        <f t="shared" ref="AB35:AB37" si="23">$C35/100*AB27*$C$12</f>
        <v>0</v>
      </c>
      <c r="AC35" s="903">
        <f t="shared" ref="AC35:AC37" si="24">SQRT((($D35/100*Y35)^2)+(($C35/100*Z35)^2))*$C$12</f>
        <v>0</v>
      </c>
      <c r="AD35" s="1" t="s">
        <v>1233</v>
      </c>
      <c r="AE35" s="930"/>
      <c r="AF35" s="930"/>
      <c r="AI35" s="901">
        <f t="shared" si="16"/>
        <v>2.5905504767155852E-2</v>
      </c>
      <c r="AJ35" s="901">
        <f t="shared" si="16"/>
        <v>0</v>
      </c>
      <c r="AK35" s="1" t="s">
        <v>1236</v>
      </c>
    </row>
    <row r="36" spans="1:37" s="1" customFormat="1" x14ac:dyDescent="0.25">
      <c r="A36" s="1" t="s">
        <v>1248</v>
      </c>
      <c r="B36" s="1" t="s">
        <v>38</v>
      </c>
      <c r="C36" s="900">
        <v>2.5</v>
      </c>
      <c r="D36" s="900"/>
      <c r="E36" s="1" t="s">
        <v>1252</v>
      </c>
      <c r="G36" s="930"/>
      <c r="H36" s="930"/>
      <c r="I36" s="1" t="s">
        <v>1226</v>
      </c>
      <c r="J36" s="901">
        <f t="shared" si="17"/>
        <v>0</v>
      </c>
      <c r="K36" s="901">
        <f t="shared" si="18"/>
        <v>0</v>
      </c>
      <c r="L36" s="934"/>
      <c r="M36" s="930"/>
      <c r="N36" s="11"/>
      <c r="O36" s="1" t="s">
        <v>1229</v>
      </c>
      <c r="P36" s="901">
        <f t="shared" si="19"/>
        <v>0</v>
      </c>
      <c r="Q36" s="901">
        <f t="shared" si="20"/>
        <v>0</v>
      </c>
      <c r="R36" s="930"/>
      <c r="T36" s="11"/>
      <c r="U36" s="11"/>
      <c r="V36" s="903">
        <f t="shared" si="21"/>
        <v>0</v>
      </c>
      <c r="W36" s="903">
        <f t="shared" si="22"/>
        <v>0</v>
      </c>
      <c r="X36" s="1" t="s">
        <v>1231</v>
      </c>
      <c r="Y36" s="930"/>
      <c r="AA36" s="11"/>
      <c r="AB36" s="903">
        <f t="shared" si="23"/>
        <v>0</v>
      </c>
      <c r="AC36" s="903">
        <f t="shared" si="24"/>
        <v>0</v>
      </c>
      <c r="AD36" s="1" t="s">
        <v>1233</v>
      </c>
      <c r="AE36" s="930"/>
      <c r="AF36" s="930"/>
      <c r="AI36" s="901">
        <f t="shared" si="16"/>
        <v>9.4793058031730198E-3</v>
      </c>
      <c r="AJ36" s="901">
        <f t="shared" si="16"/>
        <v>0</v>
      </c>
      <c r="AK36" s="1" t="s">
        <v>1236</v>
      </c>
    </row>
    <row r="37" spans="1:37" s="1" customFormat="1" x14ac:dyDescent="0.25">
      <c r="A37" s="1" t="s">
        <v>1250</v>
      </c>
      <c r="B37" s="1" t="s">
        <v>38</v>
      </c>
      <c r="C37" s="900">
        <v>2.5</v>
      </c>
      <c r="D37" s="900"/>
      <c r="E37" s="1" t="s">
        <v>1252</v>
      </c>
      <c r="G37" s="930"/>
      <c r="H37" s="930"/>
      <c r="I37" s="1" t="s">
        <v>1226</v>
      </c>
      <c r="J37" s="901">
        <f t="shared" si="17"/>
        <v>0</v>
      </c>
      <c r="K37" s="901">
        <f t="shared" si="18"/>
        <v>0</v>
      </c>
      <c r="L37" s="934"/>
      <c r="M37" s="930"/>
      <c r="N37" s="11"/>
      <c r="O37" s="1" t="s">
        <v>1229</v>
      </c>
      <c r="P37" s="901">
        <f t="shared" si="19"/>
        <v>0</v>
      </c>
      <c r="Q37" s="901">
        <f t="shared" si="20"/>
        <v>0</v>
      </c>
      <c r="R37" s="930"/>
      <c r="T37" s="11"/>
      <c r="U37" s="11"/>
      <c r="V37" s="903">
        <f t="shared" si="21"/>
        <v>0</v>
      </c>
      <c r="W37" s="903">
        <f t="shared" si="22"/>
        <v>0</v>
      </c>
      <c r="X37" s="1" t="s">
        <v>1231</v>
      </c>
      <c r="Y37" s="930"/>
      <c r="AA37" s="11"/>
      <c r="AB37" s="903">
        <f t="shared" si="23"/>
        <v>0</v>
      </c>
      <c r="AC37" s="903">
        <f t="shared" si="24"/>
        <v>0</v>
      </c>
      <c r="AD37" s="1" t="s">
        <v>1233</v>
      </c>
      <c r="AE37" s="930"/>
      <c r="AF37" s="930"/>
      <c r="AI37" s="901">
        <f t="shared" si="16"/>
        <v>3.7559513559742145E-3</v>
      </c>
      <c r="AJ37" s="901">
        <f t="shared" si="16"/>
        <v>0</v>
      </c>
      <c r="AK37" s="1" t="s">
        <v>1236</v>
      </c>
    </row>
    <row r="38" spans="1:37" s="11" customFormat="1" x14ac:dyDescent="0.25">
      <c r="B38" s="934"/>
      <c r="C38" s="934"/>
      <c r="G38" s="934"/>
      <c r="H38" s="934"/>
      <c r="J38" s="934"/>
      <c r="K38" s="934"/>
      <c r="N38" s="208"/>
      <c r="P38" s="934"/>
      <c r="Q38" s="934"/>
      <c r="S38" s="934"/>
      <c r="W38" s="934"/>
      <c r="X38" s="934"/>
      <c r="Z38" s="934"/>
      <c r="AC38" s="934"/>
      <c r="AD38" s="934"/>
      <c r="AF38" s="934"/>
      <c r="AG38" s="934"/>
      <c r="AJ38" s="934"/>
      <c r="AK38" s="934"/>
    </row>
    <row r="39" spans="1:37" s="1" customFormat="1" x14ac:dyDescent="0.25">
      <c r="A39" s="933" t="s">
        <v>1354</v>
      </c>
      <c r="B39" s="934"/>
      <c r="C39" s="934"/>
      <c r="G39" s="930"/>
      <c r="H39" s="930"/>
      <c r="I39" s="11"/>
      <c r="J39" s="995">
        <f>SUM(J34:J38)</f>
        <v>0</v>
      </c>
      <c r="K39" s="901">
        <f>SQRT(SUMSQ(K34:K37))</f>
        <v>0</v>
      </c>
      <c r="M39" s="11"/>
      <c r="N39" s="931"/>
      <c r="O39" s="11"/>
      <c r="P39" s="995">
        <f>SUM(P34:P38)</f>
        <v>0</v>
      </c>
      <c r="Q39" s="901">
        <f>SQRT(SUMSQ(Q34:Q37))</f>
        <v>0</v>
      </c>
      <c r="S39" s="930"/>
      <c r="U39" s="11"/>
      <c r="V39" s="903">
        <f>SUM(V34:V38)</f>
        <v>0</v>
      </c>
      <c r="W39" s="903">
        <f>SQRT(SUMSQ(W34:W37))</f>
        <v>0</v>
      </c>
      <c r="Y39" s="930"/>
      <c r="AA39" s="11"/>
      <c r="AB39" s="903">
        <f>SUM(AB34:AB38)</f>
        <v>0</v>
      </c>
      <c r="AC39" s="903">
        <f>SQRT(SUMSQ(AC34:AC37))</f>
        <v>0</v>
      </c>
      <c r="AE39" s="930"/>
      <c r="AF39" s="930"/>
      <c r="AI39" s="995">
        <f>SUM(AI34:AI38)</f>
        <v>5.0222561187808643E-2</v>
      </c>
      <c r="AJ39" s="901">
        <f>SQRT(SUMSQ(AJ34:AJ37))</f>
        <v>0</v>
      </c>
    </row>
    <row r="40" spans="1:37" s="1" customFormat="1" x14ac:dyDescent="0.25">
      <c r="B40" s="930"/>
      <c r="C40" s="930"/>
      <c r="E40" s="931"/>
      <c r="G40" s="930"/>
      <c r="H40" s="930"/>
      <c r="I40" s="11"/>
      <c r="J40" s="934"/>
      <c r="K40" s="934"/>
      <c r="M40" s="11"/>
      <c r="N40" s="931"/>
      <c r="O40" s="11"/>
      <c r="P40" s="934"/>
      <c r="Q40" s="934"/>
      <c r="S40" s="930"/>
      <c r="U40" s="11"/>
      <c r="V40" s="934"/>
      <c r="W40" s="934"/>
      <c r="X40" s="11"/>
      <c r="Y40" s="930"/>
      <c r="AA40" s="11"/>
      <c r="AB40" s="934"/>
      <c r="AC40" s="934"/>
      <c r="AE40" s="930"/>
      <c r="AF40" s="930"/>
      <c r="AI40" s="934"/>
      <c r="AJ40" s="934"/>
    </row>
    <row r="41" spans="1:37" s="937" customFormat="1" x14ac:dyDescent="0.25">
      <c r="A41" s="935" t="s">
        <v>1256</v>
      </c>
      <c r="B41" s="936"/>
      <c r="C41" s="936"/>
      <c r="E41" s="938"/>
      <c r="G41" s="936"/>
      <c r="H41" s="936"/>
      <c r="I41" s="939"/>
      <c r="J41" s="940">
        <f>J39+J31+J23</f>
        <v>648.52840490605581</v>
      </c>
      <c r="K41" s="940">
        <f>SQRT((K39^2)+(K31^2)+(K23^2))</f>
        <v>0</v>
      </c>
      <c r="L41" s="937" t="s">
        <v>1226</v>
      </c>
      <c r="M41" s="939"/>
      <c r="N41" s="938"/>
      <c r="O41" s="939"/>
      <c r="P41" s="940">
        <f>P39+P31+P23</f>
        <v>46.539317034264961</v>
      </c>
      <c r="Q41" s="940">
        <f>SQRT((Q39^2)+(Q31^2)+(Q23^2))</f>
        <v>0</v>
      </c>
      <c r="R41" s="937" t="s">
        <v>1229</v>
      </c>
      <c r="S41" s="936"/>
      <c r="U41" s="939"/>
      <c r="V41" s="903">
        <f>V39+V31+V23</f>
        <v>9.6705074356914188E-3</v>
      </c>
      <c r="W41" s="903">
        <f>SQRT((W39^2)+(W31^2)+(W23^2))</f>
        <v>0</v>
      </c>
      <c r="X41" s="937" t="s">
        <v>1231</v>
      </c>
      <c r="Y41" s="936"/>
      <c r="AA41" s="939"/>
      <c r="AB41" s="903">
        <f>AB39+AB31+AB23</f>
        <v>1.2571659666398846E-2</v>
      </c>
      <c r="AC41" s="903">
        <f>SQRT((AC39^2)+(AC31^2)+(AC23^2))</f>
        <v>0</v>
      </c>
      <c r="AD41" s="937" t="s">
        <v>1233</v>
      </c>
      <c r="AE41" s="936"/>
      <c r="AF41" s="936"/>
      <c r="AI41" s="940">
        <f>AI39+AI31+AI23</f>
        <v>52.143287338984031</v>
      </c>
      <c r="AJ41" s="940">
        <f>SQRT((AJ39^2)+(AJ31^2)+(AJ23^2))</f>
        <v>0</v>
      </c>
      <c r="AK41" s="937" t="s">
        <v>1236</v>
      </c>
    </row>
    <row r="42" spans="1:37" s="941" customFormat="1" x14ac:dyDescent="0.25">
      <c r="A42" s="942"/>
      <c r="B42" s="943"/>
      <c r="C42" s="878"/>
      <c r="D42" s="944"/>
      <c r="F42" s="878"/>
      <c r="I42" s="878"/>
      <c r="K42" s="878"/>
      <c r="L42" s="878"/>
      <c r="M42" s="878"/>
      <c r="O42" s="878"/>
      <c r="P42" s="878"/>
      <c r="Q42" s="943"/>
      <c r="R42" s="878"/>
      <c r="S42" s="878"/>
      <c r="U42" s="891"/>
      <c r="V42" s="891"/>
      <c r="W42" s="943"/>
      <c r="X42" s="891"/>
      <c r="Y42" s="891"/>
      <c r="AA42" s="891"/>
      <c r="AB42" s="891"/>
      <c r="AC42" s="892"/>
      <c r="AD42" s="891"/>
      <c r="AE42" s="891"/>
    </row>
    <row r="43" spans="1:37" s="941" customFormat="1" x14ac:dyDescent="0.25">
      <c r="A43" s="942"/>
      <c r="B43" s="943"/>
      <c r="C43" s="878"/>
      <c r="D43" s="944"/>
      <c r="F43" s="878"/>
      <c r="I43" s="878"/>
      <c r="K43" s="878"/>
      <c r="L43" s="878"/>
      <c r="M43" s="878"/>
      <c r="O43" s="878"/>
      <c r="P43" s="878"/>
      <c r="Q43" s="943"/>
      <c r="R43" s="878"/>
      <c r="S43" s="878"/>
      <c r="U43" s="891"/>
      <c r="V43" s="891"/>
      <c r="W43" s="943"/>
      <c r="X43" s="891"/>
      <c r="Y43" s="891"/>
      <c r="AA43" s="891"/>
      <c r="AB43" s="891"/>
      <c r="AC43" s="892"/>
      <c r="AD43" s="891"/>
      <c r="AE43" s="891"/>
    </row>
    <row r="44" spans="1:37" s="941" customFormat="1" x14ac:dyDescent="0.25">
      <c r="A44" s="942"/>
      <c r="B44" s="943"/>
      <c r="C44" s="878"/>
      <c r="D44" s="944"/>
      <c r="F44" s="878"/>
      <c r="I44" s="878"/>
      <c r="K44" s="878"/>
      <c r="L44" s="878"/>
      <c r="M44" s="878"/>
      <c r="O44" s="878"/>
      <c r="P44" s="878"/>
      <c r="Q44" s="943"/>
      <c r="R44" s="878"/>
      <c r="S44" s="878"/>
      <c r="U44" s="891"/>
      <c r="V44" s="891"/>
      <c r="W44" s="943"/>
      <c r="X44" s="891"/>
      <c r="Y44" s="891"/>
      <c r="AA44" s="891"/>
      <c r="AB44" s="891"/>
      <c r="AC44" s="892"/>
      <c r="AD44" s="891"/>
      <c r="AE44" s="891"/>
    </row>
    <row r="45" spans="1:37" s="941" customFormat="1" x14ac:dyDescent="0.25">
      <c r="B45" s="943"/>
      <c r="C45" s="878"/>
      <c r="D45" s="944"/>
      <c r="F45" s="878"/>
      <c r="I45" s="878"/>
      <c r="K45" s="878"/>
      <c r="L45" s="878"/>
      <c r="M45" s="878"/>
      <c r="O45" s="878"/>
      <c r="P45" s="878"/>
      <c r="Q45" s="943"/>
      <c r="R45" s="878"/>
      <c r="S45" s="878"/>
      <c r="U45" s="891"/>
      <c r="V45" s="891"/>
      <c r="W45" s="943"/>
      <c r="X45" s="891"/>
      <c r="Y45" s="891"/>
      <c r="AA45" s="891"/>
      <c r="AB45" s="891"/>
      <c r="AC45" s="892"/>
      <c r="AD45" s="891"/>
      <c r="AE45" s="891"/>
    </row>
    <row r="46" spans="1:37" s="941" customFormat="1" x14ac:dyDescent="0.25">
      <c r="B46" s="943"/>
      <c r="C46" s="878"/>
      <c r="D46" s="944"/>
      <c r="F46" s="878"/>
      <c r="I46" s="878"/>
      <c r="K46" s="878"/>
      <c r="L46" s="878"/>
      <c r="M46" s="878"/>
      <c r="O46" s="878"/>
      <c r="P46" s="878"/>
      <c r="Q46" s="943"/>
      <c r="R46" s="878"/>
      <c r="S46" s="878"/>
      <c r="U46" s="891"/>
      <c r="V46" s="891"/>
      <c r="W46" s="943"/>
      <c r="X46" s="891"/>
      <c r="Y46" s="891"/>
      <c r="AA46" s="891"/>
      <c r="AB46" s="891"/>
      <c r="AC46" s="892"/>
      <c r="AD46" s="891"/>
      <c r="AE46" s="891"/>
    </row>
    <row r="47" spans="1:37" s="117" customFormat="1" x14ac:dyDescent="0.25">
      <c r="A47" s="896"/>
      <c r="B47" s="893"/>
      <c r="C47" s="878"/>
      <c r="D47" s="897"/>
      <c r="E47" s="896"/>
      <c r="F47" s="894"/>
      <c r="G47" s="896"/>
      <c r="H47" s="896"/>
      <c r="I47" s="894"/>
      <c r="J47" s="896"/>
      <c r="K47" s="894"/>
      <c r="L47" s="894"/>
      <c r="M47" s="894"/>
      <c r="N47" s="896"/>
      <c r="O47" s="894"/>
      <c r="P47" s="894"/>
      <c r="Q47" s="893"/>
      <c r="R47" s="894"/>
      <c r="S47" s="894"/>
      <c r="T47" s="896"/>
      <c r="U47" s="895"/>
      <c r="V47" s="895"/>
      <c r="W47" s="893"/>
      <c r="X47" s="895"/>
      <c r="Y47" s="895"/>
      <c r="Z47" s="896"/>
      <c r="AA47" s="895"/>
      <c r="AB47" s="895"/>
      <c r="AC47" s="898"/>
      <c r="AD47" s="895"/>
      <c r="AE47" s="895"/>
    </row>
    <row r="48" spans="1:37" s="117" customFormat="1" x14ac:dyDescent="0.25">
      <c r="A48" s="896"/>
      <c r="B48" s="893"/>
      <c r="C48" s="897"/>
      <c r="D48" s="897"/>
      <c r="E48" s="896"/>
      <c r="F48" s="894"/>
      <c r="G48" s="896"/>
      <c r="H48" s="896"/>
      <c r="I48" s="894"/>
      <c r="J48" s="896"/>
      <c r="K48" s="878"/>
      <c r="L48" s="878"/>
      <c r="M48" s="878"/>
      <c r="N48" s="896"/>
      <c r="O48" s="894"/>
      <c r="P48" s="894"/>
      <c r="Q48" s="893"/>
      <c r="R48" s="878"/>
      <c r="S48" s="878"/>
      <c r="T48" s="896"/>
      <c r="U48" s="895"/>
      <c r="V48" s="895"/>
      <c r="W48" s="893"/>
      <c r="X48" s="891"/>
      <c r="Y48" s="891"/>
      <c r="Z48" s="896"/>
      <c r="AA48" s="895"/>
      <c r="AB48" s="895"/>
      <c r="AC48" s="898"/>
      <c r="AD48" s="891"/>
      <c r="AE48" s="891"/>
    </row>
    <row r="49" spans="1:31" s="117" customFormat="1" x14ac:dyDescent="0.25">
      <c r="B49" s="113"/>
      <c r="C49" s="878"/>
      <c r="D49" s="321"/>
      <c r="F49" s="878"/>
      <c r="I49" s="878"/>
      <c r="K49" s="878"/>
      <c r="L49" s="878"/>
      <c r="M49" s="878"/>
      <c r="O49" s="878"/>
      <c r="P49" s="878"/>
      <c r="Q49" s="113"/>
      <c r="R49" s="878"/>
      <c r="S49" s="878"/>
      <c r="U49" s="891"/>
      <c r="V49" s="891"/>
      <c r="W49" s="113"/>
      <c r="X49" s="891"/>
      <c r="Y49" s="891"/>
      <c r="AA49" s="891"/>
      <c r="AB49" s="891"/>
      <c r="AC49" s="892"/>
      <c r="AD49" s="891"/>
      <c r="AE49" s="891"/>
    </row>
    <row r="50" spans="1:31" s="117" customFormat="1" x14ac:dyDescent="0.25">
      <c r="B50" s="113"/>
      <c r="C50" s="878"/>
      <c r="D50" s="321"/>
      <c r="F50" s="878"/>
      <c r="I50" s="878"/>
      <c r="K50" s="878"/>
      <c r="L50" s="878"/>
      <c r="M50" s="878"/>
      <c r="O50" s="878"/>
      <c r="P50" s="878"/>
      <c r="Q50" s="113"/>
      <c r="R50" s="878"/>
      <c r="S50" s="878"/>
      <c r="U50" s="891"/>
      <c r="V50" s="945"/>
      <c r="W50" s="113"/>
      <c r="X50" s="891"/>
      <c r="Y50" s="945"/>
      <c r="AA50" s="891"/>
      <c r="AB50" s="945"/>
      <c r="AC50" s="892"/>
      <c r="AD50" s="891"/>
      <c r="AE50" s="945"/>
    </row>
    <row r="51" spans="1:31" s="290" customFormat="1" x14ac:dyDescent="0.25">
      <c r="B51" s="946"/>
      <c r="C51" s="947"/>
      <c r="D51" s="944"/>
      <c r="E51" s="889"/>
      <c r="F51" s="878"/>
      <c r="I51" s="890"/>
      <c r="J51" s="889"/>
      <c r="K51" s="890"/>
      <c r="L51" s="890"/>
      <c r="M51" s="890"/>
      <c r="N51" s="889"/>
      <c r="O51" s="878"/>
      <c r="P51" s="890"/>
      <c r="Q51" s="948"/>
      <c r="R51" s="890"/>
      <c r="S51" s="890"/>
      <c r="T51" s="889"/>
      <c r="U51" s="945"/>
      <c r="V51" s="945"/>
      <c r="W51" s="948"/>
      <c r="X51" s="945"/>
      <c r="Y51" s="945"/>
      <c r="Z51" s="889"/>
      <c r="AA51" s="945"/>
      <c r="AB51" s="945"/>
      <c r="AC51" s="892"/>
      <c r="AD51" s="945"/>
      <c r="AE51" s="945"/>
    </row>
    <row r="52" spans="1:31" s="117" customFormat="1" x14ac:dyDescent="0.25">
      <c r="B52" s="113"/>
      <c r="C52" s="878"/>
      <c r="D52" s="944"/>
      <c r="E52" s="889"/>
      <c r="F52" s="878"/>
      <c r="I52" s="878"/>
      <c r="K52" s="878"/>
      <c r="L52" s="878"/>
      <c r="M52" s="878"/>
      <c r="O52" s="878"/>
      <c r="P52" s="878"/>
      <c r="Q52" s="113"/>
      <c r="R52" s="878"/>
      <c r="S52" s="878"/>
      <c r="U52" s="945"/>
      <c r="V52" s="945"/>
      <c r="W52" s="113"/>
      <c r="X52" s="891"/>
      <c r="Y52" s="945"/>
      <c r="AA52" s="945"/>
      <c r="AB52" s="945"/>
      <c r="AC52" s="892"/>
      <c r="AD52" s="891"/>
      <c r="AE52" s="945"/>
    </row>
    <row r="53" spans="1:31" s="117" customFormat="1" x14ac:dyDescent="0.25">
      <c r="B53" s="113"/>
      <c r="C53" s="878"/>
      <c r="D53" s="944"/>
      <c r="E53" s="889"/>
      <c r="F53" s="878"/>
      <c r="I53" s="878"/>
      <c r="K53" s="878"/>
      <c r="L53" s="878"/>
      <c r="M53" s="878"/>
      <c r="O53" s="878"/>
      <c r="P53" s="878"/>
      <c r="Q53" s="113"/>
      <c r="R53" s="878"/>
      <c r="S53" s="878"/>
      <c r="U53" s="891"/>
      <c r="V53" s="945"/>
      <c r="W53" s="113"/>
      <c r="X53" s="891"/>
      <c r="Y53" s="945"/>
      <c r="AA53" s="945"/>
      <c r="AB53" s="945"/>
      <c r="AC53" s="892"/>
      <c r="AD53" s="891"/>
      <c r="AE53" s="945"/>
    </row>
    <row r="54" spans="1:31" s="117" customFormat="1" x14ac:dyDescent="0.25">
      <c r="B54" s="113"/>
      <c r="C54" s="878"/>
      <c r="D54" s="944"/>
      <c r="E54" s="889"/>
      <c r="F54" s="878"/>
      <c r="I54" s="878"/>
      <c r="K54" s="878"/>
      <c r="L54" s="878"/>
      <c r="M54" s="878"/>
      <c r="O54" s="878"/>
      <c r="P54" s="878"/>
      <c r="Q54" s="113"/>
      <c r="R54" s="878"/>
      <c r="S54" s="878"/>
      <c r="U54" s="891"/>
      <c r="V54" s="945"/>
      <c r="W54" s="113"/>
      <c r="X54" s="891"/>
      <c r="Y54" s="945"/>
      <c r="AA54" s="945"/>
      <c r="AB54" s="945"/>
      <c r="AC54" s="892"/>
      <c r="AD54" s="891"/>
      <c r="AE54" s="945"/>
    </row>
    <row r="55" spans="1:31" s="117" customFormat="1" x14ac:dyDescent="0.25">
      <c r="B55" s="113"/>
      <c r="C55" s="878"/>
      <c r="D55" s="944"/>
      <c r="E55" s="889"/>
      <c r="F55" s="878"/>
      <c r="I55" s="878"/>
      <c r="J55" s="888"/>
      <c r="K55" s="878"/>
      <c r="L55" s="878"/>
      <c r="M55" s="878"/>
      <c r="O55" s="878"/>
      <c r="P55" s="878"/>
      <c r="Q55" s="113"/>
      <c r="R55" s="878"/>
      <c r="S55" s="878"/>
      <c r="U55" s="891"/>
      <c r="V55" s="945"/>
      <c r="W55" s="113"/>
      <c r="X55" s="891"/>
      <c r="Y55" s="945"/>
      <c r="AA55" s="945"/>
      <c r="AB55" s="945"/>
      <c r="AC55" s="892"/>
      <c r="AD55" s="891"/>
      <c r="AE55" s="945"/>
    </row>
    <row r="56" spans="1:31" s="117" customFormat="1" x14ac:dyDescent="0.25">
      <c r="B56" s="113"/>
      <c r="C56" s="878"/>
      <c r="D56" s="944"/>
      <c r="E56" s="889"/>
      <c r="F56" s="878"/>
      <c r="I56" s="878"/>
      <c r="J56" s="888"/>
      <c r="K56" s="878"/>
      <c r="L56" s="878"/>
      <c r="M56" s="878"/>
      <c r="O56" s="878"/>
      <c r="P56" s="878"/>
      <c r="Q56" s="113"/>
      <c r="R56" s="878"/>
      <c r="S56" s="878"/>
      <c r="U56" s="891"/>
      <c r="V56" s="945"/>
      <c r="W56" s="113"/>
      <c r="X56" s="891"/>
      <c r="Y56" s="945"/>
      <c r="AA56" s="945"/>
      <c r="AB56" s="945"/>
      <c r="AC56" s="892"/>
      <c r="AD56" s="891"/>
      <c r="AE56" s="945"/>
    </row>
    <row r="57" spans="1:31" s="117" customFormat="1" x14ac:dyDescent="0.25">
      <c r="B57" s="113"/>
      <c r="C57" s="878"/>
      <c r="D57" s="944"/>
      <c r="E57" s="889"/>
      <c r="F57" s="878"/>
      <c r="I57" s="878"/>
      <c r="J57" s="889"/>
      <c r="K57" s="878"/>
      <c r="L57" s="878"/>
      <c r="M57" s="878"/>
      <c r="O57" s="878"/>
      <c r="P57" s="878"/>
      <c r="Q57" s="113"/>
      <c r="R57" s="878"/>
      <c r="S57" s="878"/>
      <c r="U57" s="891"/>
      <c r="V57" s="949"/>
      <c r="W57" s="113"/>
      <c r="X57" s="891"/>
      <c r="Y57" s="949"/>
      <c r="AA57" s="949"/>
      <c r="AB57" s="949"/>
      <c r="AC57" s="892"/>
      <c r="AD57" s="891"/>
      <c r="AE57" s="949"/>
    </row>
    <row r="58" spans="1:31" s="117" customFormat="1" x14ac:dyDescent="0.25">
      <c r="B58" s="113"/>
      <c r="C58" s="878"/>
      <c r="D58" s="944"/>
      <c r="E58" s="889"/>
      <c r="F58" s="878"/>
      <c r="I58" s="878"/>
      <c r="J58" s="889"/>
      <c r="K58" s="878"/>
      <c r="L58" s="878"/>
      <c r="M58" s="878"/>
      <c r="O58" s="878"/>
      <c r="P58" s="878"/>
      <c r="Q58" s="113"/>
      <c r="R58" s="878"/>
      <c r="S58" s="878"/>
      <c r="U58" s="891"/>
      <c r="V58" s="949"/>
      <c r="W58" s="113"/>
      <c r="X58" s="891"/>
      <c r="Y58" s="949"/>
      <c r="AA58" s="949"/>
      <c r="AB58" s="949"/>
      <c r="AC58" s="892"/>
      <c r="AD58" s="891"/>
      <c r="AE58" s="949"/>
    </row>
    <row r="59" spans="1:31" s="117" customFormat="1" x14ac:dyDescent="0.25">
      <c r="B59" s="113"/>
      <c r="C59" s="878"/>
      <c r="D59" s="321"/>
      <c r="E59" s="889"/>
      <c r="F59" s="890"/>
      <c r="I59" s="878"/>
      <c r="J59" s="888"/>
      <c r="K59" s="878"/>
      <c r="L59" s="878"/>
      <c r="M59" s="878"/>
      <c r="O59" s="878"/>
      <c r="P59" s="878"/>
      <c r="Q59" s="113"/>
      <c r="R59" s="878"/>
      <c r="S59" s="878"/>
      <c r="U59" s="891"/>
      <c r="V59" s="891"/>
      <c r="W59" s="113"/>
      <c r="X59" s="891"/>
      <c r="Y59" s="891"/>
      <c r="AA59" s="891"/>
      <c r="AB59" s="891"/>
      <c r="AC59" s="892"/>
      <c r="AD59" s="891"/>
      <c r="AE59" s="891"/>
    </row>
    <row r="60" spans="1:31" s="117" customFormat="1" x14ac:dyDescent="0.25">
      <c r="A60" s="896"/>
      <c r="B60" s="893"/>
      <c r="C60" s="894"/>
      <c r="D60" s="897"/>
      <c r="E60" s="896"/>
      <c r="F60" s="894"/>
      <c r="G60" s="896"/>
      <c r="H60" s="896"/>
      <c r="I60" s="894"/>
      <c r="J60" s="896"/>
      <c r="K60" s="894"/>
      <c r="L60" s="894"/>
      <c r="M60" s="894"/>
      <c r="N60" s="896"/>
      <c r="O60" s="894"/>
      <c r="P60" s="894"/>
      <c r="Q60" s="893"/>
      <c r="R60" s="894"/>
      <c r="S60" s="894"/>
      <c r="T60" s="896"/>
      <c r="U60" s="895"/>
      <c r="V60" s="895"/>
      <c r="W60" s="893"/>
      <c r="X60" s="895"/>
      <c r="Y60" s="895"/>
      <c r="Z60" s="896"/>
      <c r="AA60" s="895"/>
      <c r="AB60" s="895"/>
      <c r="AC60" s="898"/>
      <c r="AD60" s="895"/>
      <c r="AE60" s="895"/>
    </row>
    <row r="61" spans="1:31" s="117" customFormat="1" x14ac:dyDescent="0.25">
      <c r="A61" s="896"/>
      <c r="B61" s="893"/>
      <c r="C61" s="894"/>
      <c r="D61" s="897"/>
      <c r="E61" s="896"/>
      <c r="F61" s="894"/>
      <c r="G61" s="896"/>
      <c r="H61" s="896"/>
      <c r="I61" s="894"/>
      <c r="J61" s="896"/>
      <c r="K61" s="894"/>
      <c r="L61" s="894"/>
      <c r="M61" s="894"/>
      <c r="N61" s="896"/>
      <c r="O61" s="894"/>
      <c r="P61" s="894"/>
      <c r="Q61" s="893"/>
      <c r="R61" s="894"/>
      <c r="S61" s="894"/>
      <c r="T61" s="896"/>
      <c r="U61" s="895"/>
      <c r="V61" s="895"/>
      <c r="W61" s="893"/>
      <c r="X61" s="895"/>
      <c r="Y61" s="895"/>
      <c r="Z61" s="896"/>
      <c r="AA61" s="895"/>
      <c r="AB61" s="895"/>
      <c r="AC61" s="898"/>
      <c r="AD61" s="895"/>
      <c r="AE61" s="895"/>
    </row>
    <row r="62" spans="1:31" s="117" customFormat="1" x14ac:dyDescent="0.25">
      <c r="B62" s="113"/>
      <c r="C62" s="878"/>
      <c r="D62" s="321"/>
      <c r="F62" s="878"/>
      <c r="I62" s="878"/>
      <c r="K62" s="878"/>
      <c r="L62" s="878"/>
      <c r="M62" s="878"/>
      <c r="O62" s="878"/>
      <c r="P62" s="878"/>
      <c r="Q62" s="113"/>
      <c r="R62" s="878"/>
      <c r="S62" s="878"/>
      <c r="U62" s="891"/>
      <c r="V62" s="891"/>
      <c r="W62" s="113"/>
      <c r="X62" s="891"/>
      <c r="Y62" s="891"/>
      <c r="AA62" s="891"/>
      <c r="AB62" s="891"/>
      <c r="AC62" s="892"/>
      <c r="AD62" s="891"/>
      <c r="AE62" s="891"/>
    </row>
    <row r="63" spans="1:31" s="117" customFormat="1" x14ac:dyDescent="0.25">
      <c r="B63" s="113"/>
      <c r="C63" s="878"/>
      <c r="D63" s="321"/>
      <c r="F63" s="878"/>
      <c r="I63" s="878"/>
      <c r="K63" s="878"/>
      <c r="L63" s="878"/>
      <c r="M63" s="878"/>
      <c r="O63" s="878"/>
      <c r="P63" s="878"/>
      <c r="Q63" s="113"/>
      <c r="R63" s="878"/>
      <c r="S63" s="878"/>
      <c r="U63" s="891"/>
      <c r="V63" s="891"/>
      <c r="W63" s="113"/>
      <c r="X63" s="891"/>
      <c r="Y63" s="891"/>
      <c r="AA63" s="891"/>
      <c r="AB63" s="891"/>
      <c r="AC63" s="892"/>
      <c r="AD63" s="891"/>
      <c r="AE63" s="891"/>
    </row>
    <row r="64" spans="1:31" s="117" customFormat="1" x14ac:dyDescent="0.25">
      <c r="B64" s="113"/>
      <c r="C64" s="878"/>
      <c r="D64" s="321"/>
      <c r="F64" s="878"/>
      <c r="I64" s="878"/>
      <c r="K64" s="878"/>
      <c r="L64" s="878"/>
      <c r="M64" s="878"/>
      <c r="O64" s="878"/>
      <c r="P64" s="878"/>
      <c r="Q64" s="113"/>
      <c r="R64" s="878"/>
      <c r="S64" s="878"/>
      <c r="U64" s="891"/>
      <c r="V64" s="891"/>
      <c r="W64" s="113"/>
      <c r="X64" s="891"/>
      <c r="Y64" s="891"/>
      <c r="AA64" s="891"/>
      <c r="AB64" s="891"/>
      <c r="AC64" s="892"/>
      <c r="AD64" s="891"/>
      <c r="AE64" s="891"/>
    </row>
    <row r="65" spans="1:31" s="117" customFormat="1" x14ac:dyDescent="0.25">
      <c r="B65" s="113"/>
      <c r="C65" s="878"/>
      <c r="D65" s="321"/>
      <c r="F65" s="878"/>
      <c r="I65" s="878"/>
      <c r="K65" s="878"/>
      <c r="L65" s="878"/>
      <c r="M65" s="878"/>
      <c r="O65" s="894"/>
      <c r="P65" s="894"/>
      <c r="Q65" s="113"/>
      <c r="R65" s="878"/>
      <c r="S65" s="878"/>
      <c r="U65" s="891"/>
      <c r="V65" s="891"/>
      <c r="W65" s="113"/>
      <c r="X65" s="891"/>
      <c r="Y65" s="891"/>
      <c r="AA65" s="891"/>
      <c r="AB65" s="891"/>
      <c r="AC65" s="892"/>
      <c r="AD65" s="891"/>
      <c r="AE65" s="891"/>
    </row>
    <row r="66" spans="1:31" s="117" customFormat="1" x14ac:dyDescent="0.25">
      <c r="B66" s="113"/>
      <c r="C66" s="878"/>
      <c r="D66" s="321"/>
      <c r="F66" s="878"/>
      <c r="I66" s="878"/>
      <c r="K66" s="878"/>
      <c r="L66" s="878"/>
      <c r="M66" s="878"/>
      <c r="O66" s="878"/>
      <c r="P66" s="878"/>
      <c r="Q66" s="113"/>
      <c r="R66" s="878"/>
      <c r="S66" s="878"/>
      <c r="U66" s="891"/>
      <c r="V66" s="891"/>
      <c r="W66" s="113"/>
      <c r="X66" s="891"/>
      <c r="Y66" s="891"/>
      <c r="AA66" s="891"/>
      <c r="AB66" s="891"/>
      <c r="AC66" s="892"/>
      <c r="AD66" s="891"/>
      <c r="AE66" s="891"/>
    </row>
    <row r="67" spans="1:31" s="117" customFormat="1" x14ac:dyDescent="0.25">
      <c r="B67" s="113"/>
      <c r="C67" s="878"/>
      <c r="D67" s="321"/>
      <c r="F67" s="878"/>
      <c r="I67" s="878"/>
      <c r="K67" s="878"/>
      <c r="L67" s="878"/>
      <c r="M67" s="878"/>
      <c r="O67" s="878"/>
      <c r="P67" s="878"/>
      <c r="Q67" s="113"/>
      <c r="R67" s="878"/>
      <c r="S67" s="878"/>
      <c r="U67" s="891"/>
      <c r="V67" s="891"/>
      <c r="W67" s="113"/>
      <c r="X67" s="891"/>
      <c r="Y67" s="891"/>
      <c r="AA67" s="891"/>
      <c r="AB67" s="891"/>
      <c r="AC67" s="892"/>
      <c r="AD67" s="891"/>
      <c r="AE67" s="891"/>
    </row>
    <row r="68" spans="1:31" s="117" customFormat="1" x14ac:dyDescent="0.25">
      <c r="B68" s="113"/>
      <c r="C68" s="878"/>
      <c r="D68" s="321"/>
      <c r="F68" s="878"/>
      <c r="I68" s="878"/>
      <c r="K68" s="878"/>
      <c r="L68" s="878"/>
      <c r="M68" s="878"/>
      <c r="O68" s="878"/>
      <c r="P68" s="878"/>
      <c r="Q68" s="113"/>
      <c r="R68" s="878"/>
      <c r="S68" s="878"/>
      <c r="U68" s="891"/>
      <c r="V68" s="891"/>
      <c r="W68" s="113"/>
      <c r="X68" s="891"/>
      <c r="Y68" s="891"/>
      <c r="AA68" s="891"/>
      <c r="AB68" s="891"/>
      <c r="AC68" s="892"/>
      <c r="AD68" s="891"/>
      <c r="AE68" s="891"/>
    </row>
    <row r="69" spans="1:31" s="117" customFormat="1" x14ac:dyDescent="0.25">
      <c r="B69" s="113"/>
      <c r="C69" s="878"/>
      <c r="D69" s="321"/>
      <c r="F69" s="894"/>
      <c r="G69" s="896"/>
      <c r="H69" s="896"/>
      <c r="I69" s="894"/>
      <c r="J69" s="896"/>
      <c r="K69" s="878"/>
      <c r="L69" s="878"/>
      <c r="M69" s="878"/>
      <c r="N69" s="896"/>
      <c r="O69" s="894"/>
      <c r="P69" s="894"/>
      <c r="Q69" s="893"/>
      <c r="R69" s="878"/>
      <c r="S69" s="878"/>
      <c r="T69" s="896"/>
      <c r="U69" s="895"/>
      <c r="V69" s="895"/>
      <c r="W69" s="893"/>
      <c r="X69" s="891"/>
      <c r="Y69" s="891"/>
      <c r="Z69" s="896"/>
      <c r="AA69" s="895"/>
      <c r="AB69" s="895"/>
      <c r="AC69" s="898"/>
      <c r="AD69" s="891"/>
      <c r="AE69" s="891"/>
    </row>
    <row r="70" spans="1:31" s="117" customFormat="1" x14ac:dyDescent="0.25">
      <c r="A70" s="896"/>
      <c r="B70" s="893"/>
      <c r="C70" s="894"/>
      <c r="D70" s="897"/>
      <c r="E70" s="896"/>
      <c r="F70" s="894"/>
      <c r="G70" s="896"/>
      <c r="H70" s="896"/>
      <c r="I70" s="894"/>
      <c r="J70" s="896"/>
      <c r="K70" s="894"/>
      <c r="L70" s="894"/>
      <c r="M70" s="894"/>
      <c r="N70" s="896"/>
      <c r="O70" s="894"/>
      <c r="P70" s="894"/>
      <c r="Q70" s="893"/>
      <c r="R70" s="894"/>
      <c r="S70" s="894"/>
      <c r="T70" s="896"/>
      <c r="U70" s="895"/>
      <c r="V70" s="895"/>
      <c r="W70" s="893"/>
      <c r="X70" s="895"/>
      <c r="Y70" s="895"/>
      <c r="Z70" s="896"/>
      <c r="AA70" s="895"/>
      <c r="AB70" s="895"/>
      <c r="AC70" s="898"/>
      <c r="AD70" s="895"/>
      <c r="AE70" s="895"/>
    </row>
    <row r="71" spans="1:31" s="117" customFormat="1" x14ac:dyDescent="0.25">
      <c r="A71" s="896"/>
      <c r="B71" s="893"/>
      <c r="C71" s="894"/>
      <c r="D71" s="897"/>
      <c r="E71" s="896"/>
      <c r="F71" s="894"/>
      <c r="G71" s="896"/>
      <c r="H71" s="896"/>
      <c r="I71" s="894"/>
      <c r="J71" s="896"/>
      <c r="K71" s="894"/>
      <c r="L71" s="894"/>
      <c r="M71" s="894"/>
      <c r="N71" s="896"/>
      <c r="O71" s="894"/>
      <c r="P71" s="894"/>
      <c r="Q71" s="893"/>
      <c r="R71" s="894"/>
      <c r="S71" s="894"/>
      <c r="T71" s="896"/>
      <c r="U71" s="895"/>
      <c r="V71" s="895"/>
      <c r="W71" s="893"/>
      <c r="X71" s="895"/>
      <c r="Y71" s="895"/>
      <c r="Z71" s="896"/>
      <c r="AA71" s="895"/>
      <c r="AB71" s="895"/>
      <c r="AC71" s="898"/>
      <c r="AD71" s="895"/>
      <c r="AE71" s="895"/>
    </row>
    <row r="72" spans="1:31" s="117" customFormat="1" x14ac:dyDescent="0.25">
      <c r="A72" s="896"/>
      <c r="B72" s="893"/>
      <c r="C72" s="894"/>
      <c r="D72" s="897"/>
      <c r="E72" s="896"/>
      <c r="F72" s="894"/>
      <c r="G72" s="896"/>
      <c r="H72" s="896"/>
      <c r="I72" s="894"/>
      <c r="J72" s="896"/>
      <c r="K72" s="894"/>
      <c r="L72" s="894"/>
      <c r="M72" s="894"/>
      <c r="N72" s="896"/>
      <c r="O72" s="894"/>
      <c r="P72" s="894"/>
      <c r="Q72" s="893"/>
      <c r="R72" s="894"/>
      <c r="S72" s="894"/>
      <c r="T72" s="896"/>
      <c r="U72" s="895"/>
      <c r="V72" s="895"/>
      <c r="W72" s="893"/>
      <c r="X72" s="895"/>
      <c r="Y72" s="895"/>
      <c r="Z72" s="896"/>
      <c r="AA72" s="895"/>
      <c r="AB72" s="895"/>
      <c r="AC72" s="898"/>
      <c r="AD72" s="895"/>
      <c r="AE72" s="895"/>
    </row>
    <row r="73" spans="1:31" s="43" customFormat="1" x14ac:dyDescent="0.25">
      <c r="C73" s="934"/>
      <c r="D73" s="934"/>
      <c r="E73" s="11"/>
      <c r="F73" s="934"/>
      <c r="I73" s="934"/>
      <c r="J73" s="11"/>
      <c r="K73" s="934"/>
      <c r="L73" s="934"/>
      <c r="M73" s="934"/>
      <c r="O73" s="934"/>
      <c r="P73" s="934"/>
      <c r="Q73" s="11"/>
      <c r="R73" s="934"/>
      <c r="S73" s="934"/>
      <c r="U73" s="209"/>
      <c r="V73" s="209"/>
      <c r="W73" s="11"/>
      <c r="X73" s="950"/>
      <c r="Y73" s="950"/>
      <c r="AA73" s="209"/>
      <c r="AB73" s="209"/>
      <c r="AC73" s="11"/>
      <c r="AD73" s="950"/>
      <c r="AE73" s="950"/>
    </row>
    <row r="74" spans="1:31" s="43" customFormat="1" x14ac:dyDescent="0.25">
      <c r="C74" s="934"/>
      <c r="D74" s="934"/>
      <c r="E74" s="11"/>
      <c r="F74" s="934"/>
      <c r="I74" s="934"/>
      <c r="J74" s="11"/>
      <c r="K74" s="934"/>
      <c r="L74" s="934"/>
      <c r="M74" s="934"/>
      <c r="O74" s="934"/>
      <c r="P74" s="934"/>
      <c r="Q74" s="11"/>
      <c r="R74" s="934"/>
      <c r="S74" s="934"/>
      <c r="U74" s="209"/>
      <c r="V74" s="209"/>
      <c r="W74" s="11"/>
      <c r="X74" s="950"/>
      <c r="Y74" s="950"/>
      <c r="AA74" s="209"/>
      <c r="AB74" s="209"/>
      <c r="AC74" s="11"/>
      <c r="AD74" s="950"/>
      <c r="AE74" s="950"/>
    </row>
    <row r="75" spans="1:31" s="43" customFormat="1" x14ac:dyDescent="0.25">
      <c r="C75" s="934"/>
      <c r="D75" s="934"/>
      <c r="E75" s="11"/>
      <c r="F75" s="934"/>
      <c r="I75" s="934"/>
      <c r="J75" s="11"/>
      <c r="K75" s="934"/>
      <c r="L75" s="934"/>
      <c r="M75" s="934"/>
      <c r="O75" s="934"/>
      <c r="P75" s="934"/>
      <c r="Q75" s="11"/>
      <c r="R75" s="934"/>
      <c r="S75" s="934"/>
      <c r="U75" s="950"/>
      <c r="V75" s="950"/>
      <c r="W75" s="11"/>
      <c r="X75" s="950"/>
      <c r="Y75" s="950"/>
      <c r="AA75" s="950"/>
      <c r="AB75" s="950"/>
      <c r="AC75" s="11"/>
      <c r="AD75" s="950"/>
      <c r="AE75" s="950"/>
    </row>
    <row r="76" spans="1:31" s="43" customFormat="1" x14ac:dyDescent="0.25">
      <c r="C76" s="934"/>
      <c r="D76" s="934"/>
      <c r="E76" s="11"/>
      <c r="F76" s="934"/>
      <c r="I76" s="934"/>
      <c r="J76" s="11"/>
      <c r="K76" s="934"/>
      <c r="L76" s="934"/>
      <c r="M76" s="934"/>
      <c r="O76" s="934"/>
      <c r="P76" s="934"/>
      <c r="Q76" s="11"/>
      <c r="R76" s="934"/>
      <c r="S76" s="934"/>
      <c r="U76" s="950"/>
      <c r="V76" s="950"/>
      <c r="W76" s="11"/>
      <c r="X76" s="950"/>
      <c r="Y76" s="950"/>
      <c r="AA76" s="950"/>
      <c r="AB76" s="950"/>
      <c r="AC76" s="11"/>
      <c r="AD76" s="950"/>
      <c r="AE76" s="950"/>
    </row>
    <row r="77" spans="1:31" s="43" customFormat="1" x14ac:dyDescent="0.25">
      <c r="C77" s="934"/>
      <c r="D77" s="934"/>
      <c r="E77" s="11"/>
      <c r="F77" s="934"/>
      <c r="I77" s="934"/>
      <c r="J77" s="11"/>
      <c r="K77" s="934"/>
      <c r="L77" s="934"/>
      <c r="M77" s="934"/>
      <c r="O77" s="934"/>
      <c r="P77" s="934"/>
      <c r="Q77" s="11"/>
      <c r="R77" s="934"/>
      <c r="S77" s="934"/>
      <c r="U77" s="950"/>
      <c r="V77" s="950"/>
      <c r="W77" s="11"/>
      <c r="X77" s="950"/>
      <c r="Y77" s="950"/>
      <c r="AA77" s="950"/>
      <c r="AB77" s="950"/>
      <c r="AC77" s="11"/>
      <c r="AD77" s="950"/>
      <c r="AE77" s="950"/>
    </row>
    <row r="78" spans="1:31" s="43" customFormat="1" x14ac:dyDescent="0.25">
      <c r="C78" s="934"/>
      <c r="D78" s="934"/>
      <c r="E78" s="11"/>
      <c r="F78" s="934"/>
      <c r="I78" s="934"/>
      <c r="J78" s="11"/>
      <c r="K78" s="934"/>
      <c r="L78" s="934"/>
      <c r="M78" s="934"/>
      <c r="O78" s="934"/>
      <c r="P78" s="934"/>
      <c r="Q78" s="11"/>
      <c r="R78" s="934"/>
      <c r="S78" s="934"/>
      <c r="U78" s="950"/>
      <c r="V78" s="950"/>
      <c r="W78" s="11"/>
      <c r="X78" s="950"/>
      <c r="Y78" s="950"/>
      <c r="AA78" s="950"/>
      <c r="AB78" s="950"/>
      <c r="AC78" s="11"/>
      <c r="AD78" s="950"/>
      <c r="AE78" s="950"/>
    </row>
    <row r="79" spans="1:31" s="43" customFormat="1" x14ac:dyDescent="0.25">
      <c r="C79" s="934"/>
      <c r="D79" s="934"/>
      <c r="E79" s="11"/>
      <c r="F79" s="934"/>
      <c r="I79" s="934"/>
      <c r="J79" s="11"/>
      <c r="K79" s="934"/>
      <c r="L79" s="934"/>
      <c r="M79" s="934"/>
      <c r="O79" s="934"/>
      <c r="P79" s="934"/>
      <c r="Q79" s="11"/>
      <c r="R79" s="934"/>
      <c r="S79" s="934"/>
      <c r="U79" s="950"/>
      <c r="V79" s="950"/>
      <c r="W79" s="11"/>
      <c r="X79" s="950"/>
      <c r="Y79" s="950"/>
      <c r="AA79" s="950"/>
      <c r="AB79" s="950"/>
      <c r="AC79" s="11"/>
      <c r="AD79" s="950"/>
      <c r="AE79" s="950"/>
    </row>
    <row r="80" spans="1:31" s="907" customFormat="1" x14ac:dyDescent="0.25">
      <c r="A80" s="43"/>
      <c r="B80" s="43"/>
      <c r="C80" s="934"/>
      <c r="D80" s="934"/>
      <c r="E80" s="11"/>
      <c r="F80" s="934"/>
      <c r="G80" s="43"/>
      <c r="H80" s="43"/>
      <c r="I80" s="934"/>
      <c r="J80" s="11"/>
      <c r="K80" s="934"/>
      <c r="L80" s="934"/>
      <c r="M80" s="934"/>
      <c r="N80" s="43"/>
      <c r="O80" s="934"/>
      <c r="P80" s="934"/>
      <c r="Q80" s="11"/>
      <c r="R80" s="934"/>
      <c r="S80" s="934"/>
      <c r="T80" s="43"/>
      <c r="U80" s="950"/>
      <c r="V80" s="950"/>
      <c r="W80" s="11"/>
      <c r="X80" s="950"/>
      <c r="Y80" s="950"/>
      <c r="Z80" s="43"/>
      <c r="AA80" s="950"/>
      <c r="AB80" s="950"/>
      <c r="AC80" s="11"/>
      <c r="AD80" s="950"/>
      <c r="AE80" s="950"/>
    </row>
    <row r="81" spans="1:36" s="907" customFormat="1" x14ac:dyDescent="0.25">
      <c r="C81" s="908"/>
      <c r="D81" s="908"/>
      <c r="E81" s="909"/>
      <c r="F81" s="908"/>
      <c r="I81" s="908"/>
      <c r="J81" s="909"/>
      <c r="K81" s="908"/>
      <c r="L81" s="908"/>
      <c r="M81" s="908"/>
      <c r="O81" s="908"/>
      <c r="P81" s="908"/>
      <c r="Q81" s="909"/>
      <c r="R81" s="908"/>
      <c r="S81" s="908"/>
      <c r="U81" s="910"/>
      <c r="V81" s="910"/>
      <c r="W81" s="909"/>
      <c r="X81" s="910"/>
      <c r="Y81" s="910"/>
      <c r="AA81" s="910"/>
      <c r="AB81" s="910"/>
      <c r="AC81" s="909"/>
      <c r="AD81" s="910"/>
      <c r="AE81" s="910"/>
    </row>
    <row r="82" spans="1:36" s="907" customFormat="1" x14ac:dyDescent="0.25">
      <c r="C82" s="908"/>
      <c r="D82" s="908"/>
      <c r="E82" s="909"/>
      <c r="F82" s="908"/>
      <c r="I82" s="908"/>
      <c r="J82" s="909"/>
      <c r="K82" s="908"/>
      <c r="L82" s="908"/>
      <c r="M82" s="908"/>
      <c r="O82" s="908"/>
      <c r="P82" s="908"/>
      <c r="Q82" s="909"/>
      <c r="R82" s="908"/>
      <c r="S82" s="908"/>
      <c r="U82" s="910"/>
      <c r="V82" s="910"/>
      <c r="W82" s="909"/>
      <c r="X82" s="910"/>
      <c r="Y82" s="910"/>
      <c r="AA82" s="910"/>
      <c r="AB82" s="910"/>
      <c r="AC82" s="909"/>
      <c r="AD82" s="910"/>
      <c r="AE82" s="910"/>
    </row>
    <row r="83" spans="1:36" s="43" customFormat="1" x14ac:dyDescent="0.25">
      <c r="C83" s="934"/>
      <c r="D83" s="934"/>
      <c r="E83" s="951"/>
      <c r="F83" s="934"/>
      <c r="I83" s="934"/>
      <c r="J83" s="11"/>
      <c r="K83" s="934"/>
      <c r="L83" s="934"/>
      <c r="M83" s="934"/>
      <c r="O83" s="934"/>
      <c r="P83" s="934"/>
      <c r="Q83" s="11"/>
      <c r="R83" s="934"/>
      <c r="S83" s="934"/>
      <c r="U83" s="950"/>
      <c r="V83" s="950"/>
      <c r="W83" s="11"/>
      <c r="X83" s="950"/>
      <c r="Y83" s="950"/>
      <c r="AA83" s="950"/>
      <c r="AB83" s="950"/>
      <c r="AC83" s="11"/>
      <c r="AD83" s="950"/>
      <c r="AE83" s="950"/>
    </row>
    <row r="84" spans="1:36" s="907" customFormat="1" x14ac:dyDescent="0.25">
      <c r="C84" s="909"/>
      <c r="D84" s="909"/>
      <c r="E84" s="909"/>
      <c r="F84" s="909"/>
      <c r="I84" s="909"/>
      <c r="J84" s="909"/>
      <c r="K84" s="908"/>
      <c r="L84" s="908"/>
      <c r="M84" s="908"/>
      <c r="O84" s="908"/>
      <c r="P84" s="908"/>
      <c r="Q84" s="909"/>
      <c r="R84" s="908"/>
      <c r="S84" s="908"/>
      <c r="U84" s="909"/>
      <c r="V84" s="909"/>
      <c r="W84" s="909"/>
      <c r="X84" s="910"/>
      <c r="Y84" s="910"/>
      <c r="AA84" s="910"/>
      <c r="AB84" s="910"/>
      <c r="AC84" s="909"/>
      <c r="AD84" s="910"/>
      <c r="AE84" s="910"/>
    </row>
    <row r="85" spans="1:36" s="117" customFormat="1" x14ac:dyDescent="0.25">
      <c r="B85" s="113"/>
      <c r="C85" s="878"/>
      <c r="D85" s="321"/>
      <c r="F85" s="878"/>
      <c r="I85" s="878"/>
      <c r="K85" s="878"/>
      <c r="L85" s="878"/>
      <c r="M85" s="878"/>
      <c r="O85" s="952"/>
      <c r="P85" s="952"/>
      <c r="Q85" s="113"/>
      <c r="R85" s="878"/>
      <c r="S85" s="878"/>
      <c r="U85" s="953"/>
      <c r="V85" s="953"/>
      <c r="W85" s="113"/>
      <c r="X85" s="891"/>
      <c r="Y85" s="891"/>
      <c r="AA85" s="891"/>
      <c r="AB85" s="891"/>
      <c r="AC85" s="892"/>
      <c r="AD85" s="891"/>
      <c r="AE85" s="891"/>
    </row>
    <row r="86" spans="1:36" s="117" customFormat="1" x14ac:dyDescent="0.25">
      <c r="B86" s="113"/>
      <c r="C86" s="878"/>
      <c r="D86" s="321"/>
      <c r="F86" s="878"/>
      <c r="I86" s="878"/>
      <c r="K86" s="878"/>
      <c r="L86" s="878"/>
      <c r="M86" s="878"/>
      <c r="O86" s="952"/>
      <c r="P86" s="952"/>
      <c r="Q86" s="113"/>
      <c r="R86" s="878"/>
      <c r="S86" s="878"/>
      <c r="U86" s="953"/>
      <c r="V86" s="953"/>
      <c r="W86" s="113"/>
      <c r="X86" s="891"/>
      <c r="Y86" s="891"/>
      <c r="AA86" s="953"/>
      <c r="AB86" s="953"/>
      <c r="AC86" s="892"/>
      <c r="AD86" s="891"/>
      <c r="AE86" s="891"/>
    </row>
    <row r="87" spans="1:36" s="117" customFormat="1" x14ac:dyDescent="0.25">
      <c r="A87" s="954"/>
      <c r="B87" s="955"/>
      <c r="C87" s="956"/>
      <c r="D87" s="957"/>
      <c r="E87" s="954"/>
      <c r="F87" s="956"/>
      <c r="G87" s="954"/>
      <c r="H87" s="954"/>
      <c r="I87" s="956"/>
      <c r="J87" s="954"/>
      <c r="K87" s="956"/>
      <c r="L87" s="956"/>
      <c r="M87" s="956"/>
      <c r="N87" s="954"/>
      <c r="O87" s="958"/>
      <c r="P87" s="958"/>
      <c r="Q87" s="955"/>
      <c r="R87" s="956"/>
      <c r="S87" s="956"/>
      <c r="T87" s="954"/>
      <c r="U87" s="959"/>
      <c r="V87" s="959"/>
      <c r="W87" s="955"/>
      <c r="X87" s="956"/>
      <c r="Y87" s="956"/>
      <c r="Z87" s="954"/>
      <c r="AA87" s="959"/>
      <c r="AB87" s="959"/>
      <c r="AC87" s="960"/>
      <c r="AD87" s="956"/>
      <c r="AE87" s="956"/>
    </row>
    <row r="88" spans="1:36" s="43" customFormat="1" x14ac:dyDescent="0.25"/>
    <row r="89" spans="1:36" s="43" customFormat="1" ht="13.8" thickBot="1" x14ac:dyDescent="0.3">
      <c r="A89" s="961"/>
    </row>
    <row r="90" spans="1:36" s="11" customFormat="1" ht="13.8" thickBot="1" x14ac:dyDescent="0.3">
      <c r="A90" s="962"/>
      <c r="B90" s="934"/>
      <c r="C90" s="934"/>
      <c r="G90" s="934"/>
      <c r="H90" s="934"/>
      <c r="J90" s="934"/>
      <c r="K90" s="934"/>
      <c r="N90" s="934"/>
      <c r="Q90" s="934"/>
      <c r="R90" s="934"/>
      <c r="T90" s="934"/>
      <c r="W90" s="934"/>
      <c r="X90" s="934"/>
      <c r="Z90" s="934"/>
      <c r="AC90" s="934"/>
      <c r="AD90" s="934"/>
      <c r="AF90" s="934"/>
      <c r="AI90" s="934"/>
      <c r="AJ90" s="934"/>
    </row>
    <row r="91" spans="1:36" s="11" customFormat="1" x14ac:dyDescent="0.25">
      <c r="A91" s="357"/>
      <c r="B91" s="934"/>
      <c r="C91" s="934"/>
      <c r="G91" s="934"/>
      <c r="H91" s="934"/>
      <c r="J91" s="934"/>
      <c r="K91" s="934"/>
      <c r="N91" s="934"/>
      <c r="Q91" s="934"/>
      <c r="R91" s="934"/>
      <c r="T91" s="934"/>
      <c r="W91" s="934"/>
      <c r="X91" s="934"/>
      <c r="Z91" s="934"/>
      <c r="AC91" s="934"/>
      <c r="AD91" s="934"/>
      <c r="AF91" s="934"/>
      <c r="AI91" s="934"/>
      <c r="AJ91" s="934"/>
    </row>
    <row r="92" spans="1:36" s="11" customFormat="1" x14ac:dyDescent="0.25">
      <c r="A92" s="357"/>
      <c r="B92" s="934"/>
      <c r="C92" s="934"/>
      <c r="G92" s="934"/>
      <c r="H92" s="934"/>
      <c r="J92" s="934"/>
      <c r="K92" s="934"/>
      <c r="N92" s="934"/>
      <c r="Q92" s="934"/>
      <c r="R92" s="934"/>
      <c r="T92" s="934"/>
      <c r="W92" s="934"/>
      <c r="X92" s="934"/>
      <c r="Z92" s="934"/>
      <c r="AC92" s="934"/>
      <c r="AD92" s="934"/>
      <c r="AF92" s="934"/>
      <c r="AI92" s="934"/>
      <c r="AJ92" s="934"/>
    </row>
    <row r="93" spans="1:36" s="11" customFormat="1" x14ac:dyDescent="0.25">
      <c r="B93" s="934"/>
      <c r="C93" s="934"/>
      <c r="G93" s="934"/>
      <c r="H93" s="934"/>
      <c r="J93" s="934"/>
      <c r="K93" s="934"/>
      <c r="N93" s="934"/>
      <c r="Q93" s="934"/>
      <c r="R93" s="934"/>
      <c r="T93" s="934"/>
      <c r="W93" s="934"/>
      <c r="X93" s="934"/>
      <c r="Z93" s="934"/>
      <c r="AC93" s="934"/>
      <c r="AD93" s="934"/>
      <c r="AF93" s="934"/>
      <c r="AI93" s="934"/>
      <c r="AJ93" s="934"/>
    </row>
    <row r="94" spans="1:36" s="11" customFormat="1" x14ac:dyDescent="0.25">
      <c r="B94" s="934"/>
      <c r="C94" s="934"/>
      <c r="G94" s="934"/>
      <c r="H94" s="934"/>
      <c r="J94" s="934"/>
      <c r="K94" s="934"/>
      <c r="N94" s="934"/>
      <c r="Q94" s="934"/>
      <c r="R94" s="934"/>
      <c r="T94" s="934"/>
      <c r="W94" s="934"/>
      <c r="X94" s="934"/>
      <c r="Z94" s="934"/>
      <c r="AC94" s="934"/>
      <c r="AD94" s="934"/>
      <c r="AF94" s="934"/>
      <c r="AI94" s="934"/>
      <c r="AJ94" s="934"/>
    </row>
    <row r="95" spans="1:36" s="11" customFormat="1" x14ac:dyDescent="0.25">
      <c r="B95" s="934"/>
      <c r="C95" s="934"/>
      <c r="G95" s="934"/>
      <c r="H95" s="934"/>
      <c r="J95" s="934"/>
      <c r="K95" s="934"/>
      <c r="N95" s="934"/>
      <c r="Q95" s="934"/>
      <c r="R95" s="934"/>
      <c r="T95" s="934"/>
      <c r="W95" s="934"/>
      <c r="X95" s="934"/>
      <c r="Z95" s="934"/>
      <c r="AC95" s="934"/>
      <c r="AD95" s="934"/>
      <c r="AF95" s="934"/>
      <c r="AI95" s="934"/>
      <c r="AJ95" s="934"/>
    </row>
    <row r="96" spans="1:36" s="11" customFormat="1" x14ac:dyDescent="0.25">
      <c r="B96" s="934"/>
      <c r="C96" s="934"/>
      <c r="G96" s="934"/>
      <c r="H96" s="934"/>
      <c r="J96" s="934"/>
      <c r="K96" s="934"/>
      <c r="N96" s="934"/>
      <c r="O96" s="208"/>
      <c r="Q96" s="934"/>
      <c r="R96" s="934"/>
      <c r="T96" s="934"/>
      <c r="W96" s="934"/>
      <c r="X96" s="934"/>
      <c r="Z96" s="934"/>
      <c r="AC96" s="934"/>
      <c r="AD96" s="934"/>
      <c r="AF96" s="934"/>
      <c r="AI96" s="934"/>
      <c r="AJ96" s="934"/>
    </row>
    <row r="97" spans="1:36" s="11" customFormat="1" x14ac:dyDescent="0.25">
      <c r="A97" s="357"/>
      <c r="B97" s="934"/>
      <c r="C97" s="934"/>
      <c r="G97" s="934"/>
      <c r="H97" s="934"/>
      <c r="J97" s="934"/>
      <c r="K97" s="934"/>
      <c r="N97" s="934"/>
      <c r="Q97" s="934"/>
      <c r="R97" s="934"/>
      <c r="T97" s="934"/>
      <c r="W97" s="934"/>
      <c r="X97" s="934"/>
      <c r="Z97" s="934"/>
      <c r="AC97" s="934"/>
      <c r="AD97" s="934"/>
      <c r="AF97" s="934"/>
      <c r="AI97" s="934"/>
      <c r="AJ97" s="934"/>
    </row>
    <row r="98" spans="1:36" s="11" customFormat="1" x14ac:dyDescent="0.25">
      <c r="B98" s="934"/>
      <c r="C98" s="934"/>
      <c r="G98" s="934"/>
      <c r="H98" s="934"/>
      <c r="J98" s="934"/>
      <c r="K98" s="934"/>
      <c r="N98" s="934"/>
      <c r="Q98" s="934"/>
      <c r="R98" s="934"/>
      <c r="T98" s="934"/>
      <c r="U98" s="932"/>
      <c r="W98" s="934"/>
      <c r="X98" s="934"/>
      <c r="Z98" s="934"/>
      <c r="AA98" s="932"/>
      <c r="AC98" s="934"/>
      <c r="AD98" s="934"/>
      <c r="AF98" s="934"/>
      <c r="AI98" s="934"/>
      <c r="AJ98" s="934"/>
    </row>
    <row r="99" spans="1:36" s="11" customFormat="1" x14ac:dyDescent="0.25">
      <c r="B99" s="934"/>
      <c r="C99" s="934"/>
      <c r="G99" s="934"/>
      <c r="H99" s="934"/>
      <c r="I99" s="963"/>
      <c r="J99" s="934"/>
      <c r="K99" s="934"/>
      <c r="N99" s="934"/>
      <c r="Q99" s="934"/>
      <c r="R99" s="934"/>
      <c r="T99" s="950"/>
      <c r="U99" s="932"/>
      <c r="W99" s="934"/>
      <c r="X99" s="934"/>
      <c r="Z99" s="950"/>
      <c r="AA99" s="932"/>
      <c r="AC99" s="934"/>
      <c r="AD99" s="934"/>
      <c r="AF99" s="934"/>
      <c r="AI99" s="934"/>
      <c r="AJ99" s="934"/>
    </row>
    <row r="100" spans="1:36" s="11" customFormat="1" x14ac:dyDescent="0.25">
      <c r="B100" s="934"/>
      <c r="C100" s="934"/>
      <c r="G100" s="934"/>
      <c r="H100" s="934"/>
      <c r="J100" s="934"/>
      <c r="K100" s="934"/>
      <c r="N100" s="934"/>
      <c r="Q100" s="934"/>
      <c r="R100" s="934"/>
      <c r="T100" s="934"/>
      <c r="U100" s="932"/>
      <c r="W100" s="934"/>
      <c r="X100" s="934"/>
      <c r="Z100" s="934"/>
      <c r="AA100" s="932"/>
      <c r="AC100" s="934"/>
      <c r="AD100" s="934"/>
      <c r="AF100" s="934"/>
      <c r="AI100" s="934"/>
      <c r="AJ100" s="934"/>
    </row>
    <row r="101" spans="1:36" s="11" customFormat="1" x14ac:dyDescent="0.25">
      <c r="B101" s="934"/>
      <c r="C101" s="934"/>
      <c r="G101" s="934"/>
      <c r="H101" s="934"/>
      <c r="J101" s="934"/>
      <c r="K101" s="934"/>
      <c r="N101" s="934"/>
      <c r="Q101" s="934"/>
      <c r="R101" s="934"/>
      <c r="T101" s="950"/>
      <c r="U101" s="932"/>
      <c r="W101" s="934"/>
      <c r="X101" s="934"/>
      <c r="Z101" s="950"/>
      <c r="AA101" s="932"/>
      <c r="AC101" s="934"/>
      <c r="AD101" s="934"/>
      <c r="AF101" s="934"/>
      <c r="AI101" s="934"/>
      <c r="AJ101" s="934"/>
    </row>
    <row r="102" spans="1:36" s="11" customFormat="1" x14ac:dyDescent="0.25">
      <c r="B102" s="934"/>
      <c r="C102" s="934"/>
      <c r="E102" s="208"/>
      <c r="G102" s="934"/>
      <c r="H102" s="934"/>
      <c r="J102" s="934"/>
      <c r="K102" s="934"/>
      <c r="N102" s="934"/>
      <c r="O102" s="208"/>
      <c r="Q102" s="934"/>
      <c r="R102" s="934"/>
      <c r="T102" s="934"/>
      <c r="W102" s="934"/>
      <c r="X102" s="934"/>
      <c r="Z102" s="934"/>
      <c r="AC102" s="934"/>
      <c r="AD102" s="934"/>
      <c r="AF102" s="934"/>
      <c r="AI102" s="934"/>
      <c r="AJ102" s="934"/>
    </row>
    <row r="103" spans="1:36" s="11" customFormat="1" x14ac:dyDescent="0.25">
      <c r="A103" s="357"/>
      <c r="B103" s="934"/>
      <c r="C103" s="934"/>
      <c r="E103" s="208"/>
      <c r="G103" s="934"/>
      <c r="H103" s="934"/>
      <c r="J103" s="934"/>
      <c r="K103" s="934"/>
      <c r="N103" s="934"/>
      <c r="O103" s="208"/>
      <c r="Q103" s="934"/>
      <c r="R103" s="934"/>
      <c r="T103" s="934"/>
      <c r="W103" s="934"/>
      <c r="X103" s="934"/>
      <c r="Z103" s="934"/>
      <c r="AC103" s="934"/>
      <c r="AD103" s="934"/>
      <c r="AF103" s="934"/>
      <c r="AI103" s="934"/>
      <c r="AJ103" s="934"/>
    </row>
    <row r="104" spans="1:36" s="11" customFormat="1" x14ac:dyDescent="0.25">
      <c r="B104" s="934"/>
      <c r="C104" s="934"/>
      <c r="G104" s="934"/>
      <c r="H104" s="934"/>
      <c r="J104" s="934"/>
      <c r="K104" s="934"/>
      <c r="N104" s="934"/>
      <c r="O104" s="208"/>
      <c r="Q104" s="934"/>
      <c r="R104" s="934"/>
      <c r="T104" s="934"/>
      <c r="W104" s="934"/>
      <c r="X104" s="934"/>
      <c r="Z104" s="934"/>
      <c r="AC104" s="934"/>
      <c r="AD104" s="934"/>
      <c r="AF104" s="934"/>
      <c r="AI104" s="934"/>
      <c r="AJ104" s="934"/>
    </row>
    <row r="105" spans="1:36" s="11" customFormat="1" x14ac:dyDescent="0.25">
      <c r="B105" s="934"/>
      <c r="C105" s="934"/>
      <c r="G105" s="934"/>
      <c r="H105" s="934"/>
      <c r="J105" s="934"/>
      <c r="K105" s="934"/>
      <c r="N105" s="934"/>
      <c r="O105" s="208"/>
      <c r="Q105" s="934"/>
      <c r="R105" s="934"/>
      <c r="T105" s="934"/>
      <c r="W105" s="934"/>
      <c r="X105" s="934"/>
      <c r="Z105" s="934"/>
      <c r="AC105" s="934"/>
      <c r="AD105" s="934"/>
      <c r="AF105" s="934"/>
      <c r="AI105" s="934"/>
      <c r="AJ105" s="934"/>
    </row>
    <row r="106" spans="1:36" s="11" customFormat="1" x14ac:dyDescent="0.25">
      <c r="B106" s="934"/>
      <c r="C106" s="934"/>
      <c r="G106" s="934"/>
      <c r="H106" s="934"/>
      <c r="J106" s="934"/>
      <c r="K106" s="934"/>
      <c r="N106" s="934"/>
      <c r="O106" s="208"/>
      <c r="Q106" s="934"/>
      <c r="R106" s="934"/>
      <c r="T106" s="934"/>
      <c r="W106" s="934"/>
      <c r="X106" s="934"/>
      <c r="Z106" s="934"/>
      <c r="AC106" s="934"/>
      <c r="AD106" s="934"/>
      <c r="AF106" s="934"/>
      <c r="AI106" s="934"/>
      <c r="AJ106" s="934"/>
    </row>
    <row r="107" spans="1:36" s="11" customFormat="1" x14ac:dyDescent="0.25">
      <c r="B107" s="934"/>
      <c r="C107" s="934"/>
      <c r="G107" s="934"/>
      <c r="H107" s="934"/>
      <c r="J107" s="934"/>
      <c r="K107" s="934"/>
      <c r="N107" s="934"/>
      <c r="O107" s="208"/>
      <c r="Q107" s="934"/>
      <c r="R107" s="934"/>
      <c r="T107" s="934"/>
      <c r="W107" s="934"/>
      <c r="X107" s="934"/>
      <c r="Z107" s="934"/>
      <c r="AC107" s="934"/>
      <c r="AD107" s="934"/>
      <c r="AF107" s="934"/>
      <c r="AI107" s="934"/>
      <c r="AJ107" s="934"/>
    </row>
    <row r="108" spans="1:36" s="11" customFormat="1" x14ac:dyDescent="0.25">
      <c r="B108" s="934"/>
      <c r="C108" s="934"/>
      <c r="E108" s="208"/>
      <c r="G108" s="934"/>
      <c r="H108" s="934"/>
      <c r="J108" s="934"/>
      <c r="K108" s="934"/>
      <c r="N108" s="934"/>
      <c r="O108" s="208"/>
      <c r="Q108" s="934"/>
      <c r="R108" s="934"/>
      <c r="T108" s="934"/>
      <c r="W108" s="934"/>
      <c r="X108" s="934"/>
      <c r="Z108" s="934"/>
      <c r="AC108" s="934"/>
      <c r="AD108" s="934"/>
      <c r="AF108" s="934"/>
      <c r="AI108" s="934"/>
      <c r="AJ108" s="934"/>
    </row>
    <row r="109" spans="1:36" s="939" customFormat="1" x14ac:dyDescent="0.25">
      <c r="A109" s="964"/>
      <c r="B109" s="965"/>
      <c r="C109" s="965"/>
      <c r="E109" s="966"/>
      <c r="G109" s="965"/>
      <c r="H109" s="965"/>
      <c r="J109" s="965"/>
      <c r="K109" s="965"/>
      <c r="N109" s="965"/>
      <c r="O109" s="966"/>
      <c r="Q109" s="965"/>
      <c r="R109" s="965"/>
      <c r="T109" s="965"/>
      <c r="W109" s="965"/>
      <c r="X109" s="965"/>
      <c r="Z109" s="965"/>
      <c r="AC109" s="965"/>
      <c r="AD109" s="965"/>
      <c r="AF109" s="965"/>
      <c r="AI109" s="965"/>
      <c r="AJ109" s="965"/>
    </row>
  </sheetData>
  <pageMargins left="0.7" right="0.7" top="0.75" bottom="0.75" header="0.3" footer="0.3"/>
  <pageSetup paperSize="9" orientation="portrait"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31"/>
  <sheetViews>
    <sheetView zoomScaleNormal="100" workbookViewId="0">
      <pane xSplit="1" ySplit="14" topLeftCell="B15" activePane="bottomRight" state="frozen"/>
      <selection activeCell="E28" sqref="E28"/>
      <selection pane="topRight" activeCell="E28" sqref="E28"/>
      <selection pane="bottomLeft" activeCell="E28" sqref="E28"/>
      <selection pane="bottomRight"/>
    </sheetView>
  </sheetViews>
  <sheetFormatPr defaultColWidth="9.109375" defaultRowHeight="13.2" x14ac:dyDescent="0.25"/>
  <cols>
    <col min="1" max="1" width="59.6640625" style="332" customWidth="1"/>
    <col min="2" max="2" width="28.109375" style="332" customWidth="1"/>
    <col min="3" max="5" width="9.109375" style="332"/>
    <col min="6" max="6" width="14.6640625" style="332" customWidth="1"/>
    <col min="7" max="8" width="9.109375" style="332"/>
    <col min="9" max="9" width="0" style="332" hidden="1" customWidth="1"/>
    <col min="10" max="10" width="14.88671875" style="332" customWidth="1"/>
    <col min="11" max="13" width="9.109375" style="332"/>
    <col min="14" max="14" width="15.109375" style="332" customWidth="1"/>
    <col min="15" max="16384" width="9.109375" style="332"/>
  </cols>
  <sheetData>
    <row r="1" spans="1:17" x14ac:dyDescent="0.25">
      <c r="A1" s="331" t="s">
        <v>238</v>
      </c>
      <c r="B1" s="332" t="s">
        <v>491</v>
      </c>
    </row>
    <row r="2" spans="1:17" x14ac:dyDescent="0.25">
      <c r="A2" s="331" t="s">
        <v>241</v>
      </c>
      <c r="B2" s="332" t="s">
        <v>380</v>
      </c>
    </row>
    <row r="3" spans="1:17" x14ac:dyDescent="0.25">
      <c r="A3" s="331" t="s">
        <v>239</v>
      </c>
      <c r="B3" s="332" t="s">
        <v>381</v>
      </c>
    </row>
    <row r="4" spans="1:17" x14ac:dyDescent="0.25">
      <c r="A4" s="331" t="s">
        <v>240</v>
      </c>
      <c r="B4" s="332" t="s">
        <v>381</v>
      </c>
    </row>
    <row r="5" spans="1:17" x14ac:dyDescent="0.25">
      <c r="A5" s="337"/>
    </row>
    <row r="6" spans="1:17" x14ac:dyDescent="0.25">
      <c r="A6" s="577" t="s">
        <v>415</v>
      </c>
      <c r="B6" s="338"/>
    </row>
    <row r="7" spans="1:17" x14ac:dyDescent="0.25">
      <c r="A7" s="339" t="s">
        <v>382</v>
      </c>
      <c r="B7" s="340" t="str">
        <f>n_fert_sc_type</f>
        <v>Ammonium Nitrate</v>
      </c>
    </row>
    <row r="8" spans="1:17" x14ac:dyDescent="0.25">
      <c r="A8" s="339" t="s">
        <v>548</v>
      </c>
      <c r="B8" s="340" t="str">
        <f>an_source</f>
        <v>EFMA European Union, 2006</v>
      </c>
    </row>
    <row r="9" spans="1:17" x14ac:dyDescent="0.25">
      <c r="A9" s="339" t="s">
        <v>549</v>
      </c>
      <c r="B9" s="340" t="str">
        <f>ur_source</f>
        <v>EFMA European Union, 2006</v>
      </c>
    </row>
    <row r="10" spans="1:17" x14ac:dyDescent="0.25">
      <c r="A10" s="339" t="s">
        <v>550</v>
      </c>
      <c r="B10" s="340" t="str">
        <f>as_source</f>
        <v>IFS European Average, 2002</v>
      </c>
    </row>
    <row r="11" spans="1:17" x14ac:dyDescent="0.25">
      <c r="A11" s="341" t="s">
        <v>551</v>
      </c>
      <c r="B11" s="342" t="str">
        <f>can_source</f>
        <v>EFMA European Union, 2006</v>
      </c>
    </row>
    <row r="12" spans="1:17" x14ac:dyDescent="0.25">
      <c r="A12" s="337"/>
    </row>
    <row r="13" spans="1:17" x14ac:dyDescent="0.25">
      <c r="A13" s="343" t="s">
        <v>383</v>
      </c>
      <c r="B13" s="1576" t="s">
        <v>245</v>
      </c>
      <c r="C13" s="1576"/>
      <c r="D13" s="1576"/>
      <c r="E13" s="1576"/>
      <c r="F13" s="1576" t="s">
        <v>384</v>
      </c>
      <c r="G13" s="1576"/>
      <c r="H13" s="1576"/>
      <c r="I13" s="1576"/>
      <c r="J13" s="1576" t="s">
        <v>385</v>
      </c>
      <c r="K13" s="1576"/>
      <c r="L13" s="1576"/>
      <c r="M13" s="1576"/>
      <c r="N13" s="1576" t="s">
        <v>386</v>
      </c>
      <c r="O13" s="1576"/>
      <c r="P13" s="1576"/>
      <c r="Q13" s="1576"/>
    </row>
    <row r="14" spans="1:17" x14ac:dyDescent="0.25">
      <c r="A14" s="344"/>
      <c r="B14" s="345" t="s">
        <v>244</v>
      </c>
      <c r="C14" s="345" t="s">
        <v>246</v>
      </c>
      <c r="D14" s="345" t="s">
        <v>247</v>
      </c>
      <c r="E14" s="343" t="s">
        <v>28</v>
      </c>
      <c r="F14" s="345" t="s">
        <v>244</v>
      </c>
      <c r="G14" s="345" t="s">
        <v>246</v>
      </c>
      <c r="H14" s="345" t="s">
        <v>247</v>
      </c>
      <c r="I14" s="345" t="s">
        <v>28</v>
      </c>
      <c r="J14" s="345" t="s">
        <v>244</v>
      </c>
      <c r="K14" s="345" t="s">
        <v>246</v>
      </c>
      <c r="L14" s="345" t="s">
        <v>247</v>
      </c>
      <c r="M14" s="345" t="s">
        <v>28</v>
      </c>
      <c r="N14" s="345" t="s">
        <v>244</v>
      </c>
      <c r="O14" s="345" t="s">
        <v>246</v>
      </c>
      <c r="P14" s="345" t="s">
        <v>247</v>
      </c>
      <c r="Q14" s="345" t="s">
        <v>28</v>
      </c>
    </row>
    <row r="15" spans="1:17" x14ac:dyDescent="0.25">
      <c r="A15" t="s">
        <v>479</v>
      </c>
      <c r="C15" s="335"/>
      <c r="D15" s="335"/>
      <c r="E15" s="335"/>
      <c r="F15" s="335"/>
      <c r="G15" s="335"/>
      <c r="H15" s="335"/>
      <c r="I15" s="335"/>
      <c r="J15" s="335"/>
      <c r="K15" s="335"/>
      <c r="L15" s="335"/>
      <c r="M15" s="335"/>
      <c r="N15" s="335"/>
      <c r="O15" s="335"/>
      <c r="P15" s="335"/>
    </row>
    <row r="16" spans="1:17" ht="15.6" x14ac:dyDescent="0.35">
      <c r="A16" s="332" t="s">
        <v>391</v>
      </c>
      <c r="B16" s="332" t="s">
        <v>387</v>
      </c>
      <c r="C16" s="347">
        <v>40</v>
      </c>
      <c r="D16" s="347">
        <f>0.15*C16</f>
        <v>6</v>
      </c>
      <c r="E16" s="332" t="s">
        <v>495</v>
      </c>
      <c r="F16" s="332" t="s">
        <v>388</v>
      </c>
      <c r="G16" s="333">
        <v>2.343</v>
      </c>
      <c r="H16" s="334">
        <f>0.15*G16</f>
        <v>0.35144999999999998</v>
      </c>
      <c r="I16" s="332" t="s">
        <v>503</v>
      </c>
      <c r="J16" s="332" t="s">
        <v>389</v>
      </c>
      <c r="K16" s="346">
        <v>6.2100000000000002E-3</v>
      </c>
      <c r="L16" s="346">
        <f>0.15*K16</f>
        <v>9.3150000000000004E-4</v>
      </c>
      <c r="M16" s="332" t="s">
        <v>509</v>
      </c>
      <c r="N16" s="332" t="s">
        <v>390</v>
      </c>
      <c r="O16" s="333">
        <v>1.2500000000000001E-2</v>
      </c>
      <c r="P16" s="346">
        <f>0.15*O16</f>
        <v>1.8749999999999999E-3</v>
      </c>
      <c r="Q16" s="332" t="s">
        <v>517</v>
      </c>
    </row>
    <row r="17" spans="1:17" ht="15.6" x14ac:dyDescent="0.35">
      <c r="A17" s="332" t="s">
        <v>477</v>
      </c>
      <c r="B17" s="332" t="s">
        <v>387</v>
      </c>
      <c r="C17" s="333">
        <v>29.8</v>
      </c>
      <c r="D17" s="347">
        <f>0.15*C17</f>
        <v>4.47</v>
      </c>
      <c r="E17" s="332" t="s">
        <v>496</v>
      </c>
      <c r="F17" s="332" t="s">
        <v>388</v>
      </c>
      <c r="G17" s="333">
        <v>1.7709999999999999</v>
      </c>
      <c r="H17" s="334">
        <f>0.15*G17</f>
        <v>0.26565</v>
      </c>
      <c r="I17" s="332" t="s">
        <v>504</v>
      </c>
      <c r="J17" s="332" t="s">
        <v>389</v>
      </c>
      <c r="K17" s="346">
        <v>4.9699999999999996E-3</v>
      </c>
      <c r="L17" s="346">
        <f>0.15*K17</f>
        <v>7.4549999999999996E-4</v>
      </c>
      <c r="M17" s="332" t="s">
        <v>510</v>
      </c>
      <c r="N17" s="332" t="s">
        <v>390</v>
      </c>
      <c r="O17" s="333">
        <v>2.8E-3</v>
      </c>
      <c r="P17" s="346">
        <f>0.15*O17</f>
        <v>4.1999999999999996E-4</v>
      </c>
      <c r="Q17" s="332" t="s">
        <v>518</v>
      </c>
    </row>
    <row r="18" spans="1:17" x14ac:dyDescent="0.25">
      <c r="C18" s="335"/>
      <c r="D18" s="335"/>
      <c r="G18" s="335"/>
      <c r="H18" s="335"/>
      <c r="K18" s="335"/>
      <c r="L18" s="335"/>
      <c r="O18" s="335"/>
      <c r="P18" s="335"/>
    </row>
    <row r="19" spans="1:17" x14ac:dyDescent="0.25">
      <c r="A19" t="s">
        <v>480</v>
      </c>
      <c r="C19" s="335"/>
      <c r="D19" s="335"/>
      <c r="E19" s="335"/>
      <c r="F19" s="335"/>
      <c r="G19" s="335"/>
      <c r="H19" s="335"/>
      <c r="I19" s="335"/>
      <c r="J19" s="335"/>
      <c r="K19" s="335"/>
      <c r="L19" s="335"/>
      <c r="M19" s="335"/>
      <c r="N19" s="335"/>
      <c r="O19" s="335"/>
      <c r="P19" s="335"/>
    </row>
    <row r="20" spans="1:17" ht="15.6" x14ac:dyDescent="0.35">
      <c r="A20" s="332" t="s">
        <v>391</v>
      </c>
      <c r="B20" s="332" t="s">
        <v>387</v>
      </c>
      <c r="C20" s="333">
        <v>51.6</v>
      </c>
      <c r="D20" s="347">
        <f>0.15*C20</f>
        <v>7.74</v>
      </c>
      <c r="E20" s="332" t="s">
        <v>497</v>
      </c>
      <c r="F20" s="332" t="s">
        <v>388</v>
      </c>
      <c r="G20" s="333">
        <v>1.391</v>
      </c>
      <c r="H20" s="334">
        <f>0.15*G20</f>
        <v>0.20865</v>
      </c>
      <c r="I20" s="332" t="s">
        <v>505</v>
      </c>
      <c r="J20" s="332" t="s">
        <v>389</v>
      </c>
      <c r="K20" s="333">
        <v>7.6E-3</v>
      </c>
      <c r="L20" s="346">
        <f>0.15*K20</f>
        <v>1.14E-3</v>
      </c>
      <c r="M20" s="332" t="s">
        <v>511</v>
      </c>
      <c r="N20" s="332" t="s">
        <v>390</v>
      </c>
      <c r="O20" s="334">
        <v>0</v>
      </c>
      <c r="P20" s="334">
        <f>0.15*O20</f>
        <v>0</v>
      </c>
      <c r="Q20" s="332" t="s">
        <v>519</v>
      </c>
    </row>
    <row r="21" spans="1:17" ht="15.6" x14ac:dyDescent="0.35">
      <c r="A21" s="332" t="s">
        <v>477</v>
      </c>
      <c r="B21" s="332" t="s">
        <v>387</v>
      </c>
      <c r="C21" s="333">
        <v>44.1</v>
      </c>
      <c r="D21" s="347">
        <f>0.15*C21</f>
        <v>6.6150000000000002</v>
      </c>
      <c r="E21" s="332" t="s">
        <v>498</v>
      </c>
      <c r="F21" s="332" t="s">
        <v>388</v>
      </c>
      <c r="G21" s="333">
        <v>0.97799999999999998</v>
      </c>
      <c r="H21" s="334">
        <f>0.15*G21</f>
        <v>0.1467</v>
      </c>
      <c r="I21" s="332" t="s">
        <v>506</v>
      </c>
      <c r="J21" s="332" t="s">
        <v>389</v>
      </c>
      <c r="K21" s="333">
        <v>6.6E-3</v>
      </c>
      <c r="L21" s="346">
        <f>0.15*K21</f>
        <v>9.8999999999999999E-4</v>
      </c>
      <c r="M21" s="332" t="s">
        <v>512</v>
      </c>
      <c r="N21" s="332" t="s">
        <v>390</v>
      </c>
      <c r="O21" s="334">
        <v>0</v>
      </c>
      <c r="P21" s="334">
        <f>0.15*O21</f>
        <v>0</v>
      </c>
      <c r="Q21" s="332" t="s">
        <v>520</v>
      </c>
    </row>
    <row r="22" spans="1:17" s="335" customFormat="1" x14ac:dyDescent="0.25">
      <c r="D22" s="488"/>
      <c r="H22" s="489"/>
      <c r="L22" s="490"/>
      <c r="O22" s="489"/>
      <c r="P22" s="489"/>
    </row>
    <row r="23" spans="1:17" x14ac:dyDescent="0.25">
      <c r="A23" s="43" t="s">
        <v>472</v>
      </c>
      <c r="B23" s="43"/>
      <c r="C23" s="43"/>
      <c r="D23" s="193"/>
      <c r="E23" s="43"/>
      <c r="F23" s="43"/>
      <c r="G23" s="43"/>
      <c r="H23" s="195"/>
      <c r="I23" s="43"/>
      <c r="J23" s="43"/>
      <c r="K23" s="43"/>
      <c r="L23" s="197"/>
      <c r="M23" s="43"/>
      <c r="N23" s="43"/>
      <c r="O23" s="195"/>
      <c r="P23" s="195"/>
      <c r="Q23" s="43"/>
    </row>
    <row r="24" spans="1:17" ht="15.6" x14ac:dyDescent="0.35">
      <c r="A24" s="43" t="s">
        <v>473</v>
      </c>
      <c r="B24" t="s">
        <v>387</v>
      </c>
      <c r="C24" s="448">
        <v>28.571000000000002</v>
      </c>
      <c r="D24" s="448">
        <f>0.15*C24</f>
        <v>4.2856500000000004</v>
      </c>
      <c r="E24" s="3" t="s">
        <v>499</v>
      </c>
      <c r="F24" t="s">
        <v>388</v>
      </c>
      <c r="G24" s="109">
        <v>1.619</v>
      </c>
      <c r="H24" s="397">
        <f>0.15*G24</f>
        <v>0.24284999999999998</v>
      </c>
      <c r="I24" s="3" t="s">
        <v>507</v>
      </c>
      <c r="J24" t="s">
        <v>389</v>
      </c>
      <c r="K24" s="449">
        <v>0</v>
      </c>
      <c r="L24" s="449">
        <f>0.15*K24</f>
        <v>0</v>
      </c>
      <c r="M24" s="3" t="s">
        <v>513</v>
      </c>
      <c r="N24" t="s">
        <v>390</v>
      </c>
      <c r="O24" s="449">
        <v>0</v>
      </c>
      <c r="P24" s="449">
        <f>0.15*O24</f>
        <v>0</v>
      </c>
      <c r="Q24" s="3" t="s">
        <v>521</v>
      </c>
    </row>
    <row r="25" spans="1:17" ht="15.6" x14ac:dyDescent="0.35">
      <c r="A25" s="43" t="s">
        <v>474</v>
      </c>
      <c r="B25" t="s">
        <v>387</v>
      </c>
      <c r="C25" s="448">
        <v>13.81</v>
      </c>
      <c r="D25" s="448">
        <f>0.15*C25</f>
        <v>2.0714999999999999</v>
      </c>
      <c r="E25" s="3" t="s">
        <v>500</v>
      </c>
      <c r="F25" t="s">
        <v>388</v>
      </c>
      <c r="G25" s="109">
        <v>0.66700000000000004</v>
      </c>
      <c r="H25" s="397">
        <f>0.15*G25</f>
        <v>0.10005</v>
      </c>
      <c r="I25" s="3" t="s">
        <v>508</v>
      </c>
      <c r="J25" t="s">
        <v>389</v>
      </c>
      <c r="K25" s="449">
        <v>0</v>
      </c>
      <c r="L25" s="449">
        <f>0.15*K25</f>
        <v>0</v>
      </c>
      <c r="M25" s="3" t="s">
        <v>514</v>
      </c>
      <c r="N25" t="s">
        <v>390</v>
      </c>
      <c r="O25" s="449">
        <v>0</v>
      </c>
      <c r="P25" s="449">
        <f>0.15*O25</f>
        <v>0</v>
      </c>
      <c r="Q25" s="3" t="s">
        <v>522</v>
      </c>
    </row>
    <row r="26" spans="1:17" x14ac:dyDescent="0.25">
      <c r="A26" s="43"/>
      <c r="B26" s="43"/>
      <c r="C26" s="43"/>
      <c r="D26" s="193"/>
      <c r="E26" s="43"/>
      <c r="F26" s="43"/>
      <c r="G26" s="43"/>
      <c r="H26" s="195"/>
      <c r="I26" s="43"/>
      <c r="J26" s="43"/>
      <c r="K26" s="43"/>
      <c r="L26" s="197"/>
      <c r="M26" s="43"/>
      <c r="N26" s="43"/>
      <c r="O26" s="195"/>
      <c r="P26" s="195"/>
      <c r="Q26" s="43"/>
    </row>
    <row r="27" spans="1:17" x14ac:dyDescent="0.25">
      <c r="A27" s="43" t="s">
        <v>475</v>
      </c>
      <c r="B27" s="43"/>
      <c r="C27" s="43"/>
      <c r="D27" s="193"/>
      <c r="E27" s="43"/>
      <c r="F27" s="43"/>
      <c r="G27" s="43"/>
      <c r="H27" s="195"/>
      <c r="I27" s="43"/>
      <c r="J27" s="43"/>
      <c r="K27" s="43"/>
      <c r="L27" s="197"/>
      <c r="M27" s="43"/>
      <c r="N27" s="43"/>
      <c r="O27" s="195"/>
      <c r="P27" s="195"/>
      <c r="Q27" s="43"/>
    </row>
    <row r="28" spans="1:17" ht="15.6" x14ac:dyDescent="0.35">
      <c r="A28" t="s">
        <v>391</v>
      </c>
      <c r="B28" t="s">
        <v>387</v>
      </c>
      <c r="C28" s="448">
        <v>42.566000000000003</v>
      </c>
      <c r="D28" s="448">
        <f>0.15*C28</f>
        <v>6.3849</v>
      </c>
      <c r="E28" s="3" t="s">
        <v>501</v>
      </c>
      <c r="F28" t="s">
        <v>388</v>
      </c>
      <c r="G28" s="109">
        <v>2.4910000000000001</v>
      </c>
      <c r="H28" s="397">
        <f>0.15*G28</f>
        <v>0.37364999999999998</v>
      </c>
      <c r="I28" t="s">
        <v>476</v>
      </c>
      <c r="J28" t="s">
        <v>389</v>
      </c>
      <c r="K28" s="109">
        <v>6.6E-3</v>
      </c>
      <c r="L28" s="449">
        <f>0.15*K28</f>
        <v>9.8999999999999999E-4</v>
      </c>
      <c r="M28" s="3" t="s">
        <v>515</v>
      </c>
      <c r="N28" t="s">
        <v>390</v>
      </c>
      <c r="O28" s="449">
        <v>1.24E-2</v>
      </c>
      <c r="P28" s="449">
        <f>0.15*O28</f>
        <v>1.8599999999999999E-3</v>
      </c>
      <c r="Q28" s="3" t="s">
        <v>523</v>
      </c>
    </row>
    <row r="29" spans="1:17" ht="15.6" x14ac:dyDescent="0.35">
      <c r="A29" t="s">
        <v>477</v>
      </c>
      <c r="B29" t="s">
        <v>387</v>
      </c>
      <c r="C29" s="448">
        <v>31.396000000000001</v>
      </c>
      <c r="D29" s="448">
        <f>0.15*C29</f>
        <v>4.7093999999999996</v>
      </c>
      <c r="E29" s="3" t="s">
        <v>502</v>
      </c>
      <c r="F29" t="s">
        <v>388</v>
      </c>
      <c r="G29" s="109">
        <v>1.887</v>
      </c>
      <c r="H29" s="397">
        <f>0.15*G29</f>
        <v>0.28304999999999997</v>
      </c>
      <c r="I29" t="s">
        <v>478</v>
      </c>
      <c r="J29" t="s">
        <v>389</v>
      </c>
      <c r="K29" s="109">
        <v>4.8999999999999998E-3</v>
      </c>
      <c r="L29" s="449">
        <f>0.15*K29</f>
        <v>7.3499999999999998E-4</v>
      </c>
      <c r="M29" s="3" t="s">
        <v>516</v>
      </c>
      <c r="N29" t="s">
        <v>390</v>
      </c>
      <c r="O29" s="449">
        <v>2.8E-3</v>
      </c>
      <c r="P29" s="449">
        <f>0.15*O29</f>
        <v>4.1999999999999996E-4</v>
      </c>
      <c r="Q29" s="3" t="s">
        <v>524</v>
      </c>
    </row>
    <row r="30" spans="1:17" x14ac:dyDescent="0.25">
      <c r="A30" s="43"/>
      <c r="B30" s="43"/>
      <c r="C30" s="43"/>
      <c r="D30" s="193"/>
      <c r="E30" s="43"/>
      <c r="F30" s="43"/>
      <c r="G30" s="43"/>
      <c r="H30" s="195"/>
      <c r="I30" s="43"/>
      <c r="J30" s="43"/>
      <c r="K30" s="43"/>
      <c r="L30" s="197"/>
      <c r="M30" s="43"/>
      <c r="N30" s="43"/>
      <c r="O30" s="195"/>
      <c r="P30" s="195"/>
      <c r="Q30" s="43"/>
    </row>
    <row r="31" spans="1:17" ht="15.6" x14ac:dyDescent="0.35">
      <c r="A31" s="331" t="s">
        <v>546</v>
      </c>
      <c r="B31" s="332" t="s">
        <v>387</v>
      </c>
      <c r="C31" s="348">
        <f>IF($B$7="Ammonium Nitrate",IF($B$8="EFMA European Union, 2006",C16,C17),IF($B$7="Urea",IF($B$9="EFMA European Union, 2006",C20,C21),IF($B$7="Ammonium Sulphate",IF($B$10="IFS European Average, 2002",C24,C25),IF($B$7="Calcium Ammonium Nitrate",IF($B$11="EFMA European Union, 2006",C28,C29)))))</f>
        <v>40</v>
      </c>
      <c r="D31" s="348">
        <f>IF($B$7="Ammonium Nitrate",IF($B$8="EFMA European Union, 2006",D16,D17),IF($B$7="Urea",IF($B$9="EFMA European Union, 2006",D20,D21),IF($B$7="Ammonium Sulphate",IF($B$10="IFS European Average, 2002",D24,D25),IF($B$7="Calcium Ammonium Nitrate",IF($B$11="EFMA European Union, 2006",D28,D29)))))</f>
        <v>6</v>
      </c>
      <c r="F31" s="332" t="s">
        <v>388</v>
      </c>
      <c r="G31" s="349">
        <f>IF($B$7="Ammonium Nitrate",IF($B$8="EFMA European Union, 2006",G16,G17),IF($B$7="Urea",IF($B$9="EFMA European Union, 2006",G20,G21),IF($B$7="Ammonium Sulphate",IF($B$10="IFS European Average, 2002",G24,G25),IF($B$7="Calcium Ammonium Nitrate",IF($B$11="EFMA European Union, 2006",G28,G29)))))</f>
        <v>2.343</v>
      </c>
      <c r="H31" s="350">
        <f>IF($B$7="Ammonium Nitrate",IF($B$8="EFMA European Union, 2006",H16,H17),IF($B$7="Urea",IF($B$9="EFMA European Union, 2006",H20,H21),IF($B$7="Ammonium Sulphate",IF($B$10="IFS European Average, 2002",H24,H25),IF($B$7="Calcium Ammonium Nitrate",IF($B$11="EFMA European Union, 2006",H28,H29)))))</f>
        <v>0.35144999999999998</v>
      </c>
      <c r="J31" s="332" t="s">
        <v>389</v>
      </c>
      <c r="K31" s="351">
        <f>IF($B$7="Ammonium Nitrate",IF($B$8="EFMA European Union, 2006",K16,K17),IF($B$7="Urea",IF($B$9="EFMA European Union, 2006",K20,K21),IF($B$7="Ammonium Sulphate",IF($B$10="IFS European Average, 2002",K24,K25),IF($B$7="Calcium Ammonium Nitrate",IF($B$11="EFMA European Union, 2006",K28,K29)))))</f>
        <v>6.2100000000000002E-3</v>
      </c>
      <c r="L31" s="351">
        <f>IF($B$7="Ammonium Nitrate",IF($B$8="EFMA European Union, 2006",L16,L17),IF($B$7="Urea",IF($B$9="EFMA European Union, 2006",L20,L21),IF($B$7="Ammonium Sulphate",IF($B$10="IFS European Average, 2002",L24,L25),IF($B$7="Calcium Ammonium Nitrate",IF($B$11="EFMA European Union, 2006",L28,L29)))))</f>
        <v>9.3150000000000004E-4</v>
      </c>
      <c r="N31" s="332" t="s">
        <v>390</v>
      </c>
      <c r="O31" s="351">
        <f>IF($B$7="Ammonium Nitrate",IF($B$8="EFMA European Union, 2006",O16,O17),IF($B$7="Urea",IF($B$9="EFMA European Union, 2006",O20,O21),IF($B$7="Ammonium Sulphate",IF($B$10="IFS European Average, 2002",O24,O25),IF($B$7="Calcium Ammonium Nitrate",IF($B$11="EFMA European Union, 2006",O28,O29)))))</f>
        <v>1.2500000000000001E-2</v>
      </c>
      <c r="P31" s="350">
        <f>IF($B$7="Ammonium Nitrate",IF($B$8="EFMA European Union, 2006",P16,P17),IF($B$7="Urea",IF($B$9="EFMA European Union, 2006",P20,P21),IF($B$7="Ammonium Sulphate",IF($B$10="IFS European Average, 2002",P24,P25),IF($B$7="Calcium Ammonium Nitrate",IF($B$11="EFMA European Union, 2006",P28,P29)))))</f>
        <v>1.8749999999999999E-3</v>
      </c>
    </row>
  </sheetData>
  <mergeCells count="4">
    <mergeCell ref="B13:E13"/>
    <mergeCell ref="F13:I13"/>
    <mergeCell ref="J13:M13"/>
    <mergeCell ref="N13:Q13"/>
  </mergeCells>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26"/>
  <sheetViews>
    <sheetView workbookViewId="0">
      <pane xSplit="1" ySplit="10" topLeftCell="B11" activePane="bottomRight" state="frozen"/>
      <selection activeCell="E28" sqref="E28"/>
      <selection pane="topRight" activeCell="E28" sqref="E28"/>
      <selection pane="bottomLeft" activeCell="E28" sqref="E28"/>
      <selection pane="bottomRight"/>
    </sheetView>
  </sheetViews>
  <sheetFormatPr defaultRowHeight="13.2" x14ac:dyDescent="0.25"/>
  <cols>
    <col min="1" max="1" width="51.5546875" customWidth="1"/>
    <col min="2" max="2" width="29.33203125" customWidth="1"/>
    <col min="6" max="6" width="15.6640625" customWidth="1"/>
    <col min="10" max="10" width="16.88671875" customWidth="1"/>
    <col min="14" max="14" width="17.109375" customWidth="1"/>
    <col min="15" max="16" width="10.5546875" bestFit="1" customWidth="1"/>
  </cols>
  <sheetData>
    <row r="1" spans="1:17" x14ac:dyDescent="0.25">
      <c r="A1" s="2" t="s">
        <v>238</v>
      </c>
      <c r="B1" s="3" t="s">
        <v>492</v>
      </c>
    </row>
    <row r="2" spans="1:17" ht="15.6" x14ac:dyDescent="0.35">
      <c r="A2" s="2" t="s">
        <v>241</v>
      </c>
      <c r="B2" t="s">
        <v>483</v>
      </c>
    </row>
    <row r="3" spans="1:17" x14ac:dyDescent="0.25">
      <c r="A3" s="2" t="s">
        <v>239</v>
      </c>
      <c r="B3" t="s">
        <v>381</v>
      </c>
    </row>
    <row r="4" spans="1:17" x14ac:dyDescent="0.25">
      <c r="A4" s="2" t="s">
        <v>240</v>
      </c>
      <c r="B4" t="s">
        <v>381</v>
      </c>
    </row>
    <row r="5" spans="1:17" x14ac:dyDescent="0.25">
      <c r="A5" s="2"/>
    </row>
    <row r="6" spans="1:17" x14ac:dyDescent="0.25">
      <c r="A6" s="462" t="s">
        <v>415</v>
      </c>
      <c r="B6" s="463"/>
    </row>
    <row r="7" spans="1:17" s="3" customFormat="1" x14ac:dyDescent="0.25">
      <c r="A7" s="464" t="s">
        <v>545</v>
      </c>
      <c r="B7" s="465" t="str">
        <f>p_fert_type</f>
        <v>Triple Superphosphate</v>
      </c>
    </row>
    <row r="8" spans="1:17" s="3" customFormat="1" x14ac:dyDescent="0.25"/>
    <row r="9" spans="1:17" x14ac:dyDescent="0.25">
      <c r="A9" s="14" t="s">
        <v>484</v>
      </c>
      <c r="B9" s="1577" t="s">
        <v>245</v>
      </c>
      <c r="C9" s="1577"/>
      <c r="D9" s="1577"/>
      <c r="E9" s="1577"/>
      <c r="F9" s="1577" t="s">
        <v>384</v>
      </c>
      <c r="G9" s="1577"/>
      <c r="H9" s="1577"/>
      <c r="I9" s="1577"/>
      <c r="J9" s="1577" t="s">
        <v>385</v>
      </c>
      <c r="K9" s="1577"/>
      <c r="L9" s="1577"/>
      <c r="M9" s="1577"/>
      <c r="N9" s="1577" t="s">
        <v>386</v>
      </c>
      <c r="O9" s="1577"/>
      <c r="P9" s="1577"/>
      <c r="Q9" s="1577"/>
    </row>
    <row r="10" spans="1:17" x14ac:dyDescent="0.25">
      <c r="A10" s="298"/>
      <c r="B10" s="450" t="s">
        <v>244</v>
      </c>
      <c r="C10" s="450" t="s">
        <v>246</v>
      </c>
      <c r="D10" s="450" t="s">
        <v>247</v>
      </c>
      <c r="E10" s="14" t="s">
        <v>28</v>
      </c>
      <c r="F10" s="450" t="s">
        <v>244</v>
      </c>
      <c r="G10" s="450" t="s">
        <v>246</v>
      </c>
      <c r="H10" s="450" t="s">
        <v>247</v>
      </c>
      <c r="I10" s="450" t="s">
        <v>28</v>
      </c>
      <c r="J10" s="450" t="s">
        <v>244</v>
      </c>
      <c r="K10" s="450" t="s">
        <v>246</v>
      </c>
      <c r="L10" s="450" t="s">
        <v>247</v>
      </c>
      <c r="M10" s="450" t="s">
        <v>28</v>
      </c>
      <c r="N10" s="450" t="s">
        <v>244</v>
      </c>
      <c r="O10" s="450" t="s">
        <v>246</v>
      </c>
      <c r="P10" s="450" t="s">
        <v>247</v>
      </c>
      <c r="Q10" s="450" t="s">
        <v>28</v>
      </c>
    </row>
    <row r="11" spans="1:17" ht="15.6" x14ac:dyDescent="0.35">
      <c r="A11" s="356" t="s">
        <v>555</v>
      </c>
      <c r="B11" s="43"/>
      <c r="C11" s="43"/>
      <c r="D11" s="193"/>
      <c r="E11" s="43"/>
      <c r="F11" s="43"/>
      <c r="G11" s="43"/>
      <c r="H11" s="195"/>
      <c r="I11" s="43"/>
      <c r="J11" s="43"/>
      <c r="K11" s="43"/>
      <c r="L11" s="197"/>
      <c r="M11" s="43"/>
      <c r="N11" s="43"/>
      <c r="O11" s="195"/>
      <c r="P11" s="195"/>
      <c r="Q11" s="43"/>
    </row>
    <row r="12" spans="1:17" ht="15.6" x14ac:dyDescent="0.35">
      <c r="A12" s="43" t="s">
        <v>473</v>
      </c>
      <c r="B12" s="453" t="s">
        <v>486</v>
      </c>
      <c r="C12" s="448">
        <v>9.6150000000000002</v>
      </c>
      <c r="D12" s="448">
        <f>0.15*C12</f>
        <v>1.44225</v>
      </c>
      <c r="E12" s="3" t="s">
        <v>525</v>
      </c>
      <c r="F12" s="455" t="s">
        <v>488</v>
      </c>
      <c r="G12" s="397">
        <v>0.59599999999999997</v>
      </c>
      <c r="H12" s="397">
        <f>0.15*G12</f>
        <v>8.9399999999999993E-2</v>
      </c>
      <c r="I12" s="3" t="s">
        <v>526</v>
      </c>
      <c r="J12" s="455" t="s">
        <v>489</v>
      </c>
      <c r="K12" s="472">
        <v>0</v>
      </c>
      <c r="L12" s="472">
        <f>0.15*K12</f>
        <v>0</v>
      </c>
      <c r="M12" s="3" t="s">
        <v>527</v>
      </c>
      <c r="N12" s="457" t="s">
        <v>490</v>
      </c>
      <c r="O12" s="479">
        <v>0</v>
      </c>
      <c r="P12" s="479">
        <f>0.15*O12</f>
        <v>0</v>
      </c>
      <c r="Q12" s="3" t="s">
        <v>528</v>
      </c>
    </row>
    <row r="13" spans="1:17" x14ac:dyDescent="0.25">
      <c r="A13" s="43"/>
      <c r="B13" s="43"/>
      <c r="C13" s="43"/>
      <c r="D13" s="193"/>
      <c r="E13" s="43"/>
      <c r="F13" s="43"/>
      <c r="G13" s="195"/>
      <c r="H13" s="195"/>
      <c r="I13" s="43"/>
      <c r="J13" s="43"/>
      <c r="K13" s="473"/>
      <c r="L13" s="473"/>
      <c r="M13" s="43"/>
      <c r="N13" s="43"/>
      <c r="O13" s="480"/>
      <c r="P13" s="480"/>
      <c r="Q13" s="43"/>
    </row>
    <row r="14" spans="1:17" ht="15.6" x14ac:dyDescent="0.35">
      <c r="A14" s="356" t="s">
        <v>556</v>
      </c>
      <c r="B14" s="43"/>
      <c r="C14" s="43"/>
      <c r="D14" s="193"/>
      <c r="E14" s="43"/>
      <c r="F14" s="43"/>
      <c r="G14" s="195"/>
      <c r="H14" s="195"/>
      <c r="I14" s="43"/>
      <c r="J14" s="43"/>
      <c r="K14" s="473"/>
      <c r="L14" s="473"/>
      <c r="M14" s="43"/>
      <c r="N14" s="43"/>
      <c r="O14" s="480"/>
      <c r="P14" s="480"/>
      <c r="Q14" s="43"/>
    </row>
    <row r="15" spans="1:17" ht="15.6" x14ac:dyDescent="0.35">
      <c r="A15" t="s">
        <v>391</v>
      </c>
      <c r="B15" s="453" t="s">
        <v>486</v>
      </c>
      <c r="C15" s="448">
        <v>26.138999999999999</v>
      </c>
      <c r="D15" s="448">
        <f>0.15*C15</f>
        <v>3.9208499999999997</v>
      </c>
      <c r="E15" s="3" t="s">
        <v>529</v>
      </c>
      <c r="F15" s="455" t="s">
        <v>488</v>
      </c>
      <c r="G15" s="397">
        <v>1.456</v>
      </c>
      <c r="H15" s="397">
        <f>0.15*G15</f>
        <v>0.21839999999999998</v>
      </c>
      <c r="I15" s="3" t="s">
        <v>530</v>
      </c>
      <c r="J15" s="455" t="s">
        <v>489</v>
      </c>
      <c r="K15" s="472">
        <v>2.82E-3</v>
      </c>
      <c r="L15" s="472">
        <f>0.15*K15</f>
        <v>4.2299999999999998E-4</v>
      </c>
      <c r="M15" s="3" t="s">
        <v>531</v>
      </c>
      <c r="N15" s="457" t="s">
        <v>490</v>
      </c>
      <c r="O15" s="479">
        <v>0</v>
      </c>
      <c r="P15" s="479">
        <f>0.15*O15</f>
        <v>0</v>
      </c>
      <c r="Q15" s="3" t="s">
        <v>532</v>
      </c>
    </row>
    <row r="16" spans="1:17" x14ac:dyDescent="0.25">
      <c r="A16" s="298"/>
      <c r="B16" s="450"/>
      <c r="C16" s="450"/>
      <c r="D16" s="450"/>
      <c r="E16" s="14"/>
      <c r="F16" s="450"/>
      <c r="G16" s="469"/>
      <c r="H16" s="469"/>
      <c r="I16" s="450"/>
      <c r="J16" s="450"/>
      <c r="K16" s="474"/>
      <c r="L16" s="474"/>
      <c r="M16" s="450"/>
      <c r="N16" s="450"/>
      <c r="O16" s="481"/>
      <c r="P16" s="481"/>
      <c r="Q16" s="450"/>
    </row>
    <row r="17" spans="1:17" x14ac:dyDescent="0.25">
      <c r="A17" s="451" t="s">
        <v>487</v>
      </c>
      <c r="B17" s="450"/>
      <c r="C17" s="450"/>
      <c r="D17" s="450"/>
      <c r="E17" s="452"/>
      <c r="F17" s="450"/>
      <c r="G17" s="469"/>
      <c r="H17" s="469"/>
      <c r="I17" s="450"/>
      <c r="J17" s="450"/>
      <c r="K17" s="474"/>
      <c r="L17" s="474"/>
      <c r="M17" s="450"/>
      <c r="N17" s="450"/>
      <c r="O17" s="481"/>
      <c r="P17" s="481"/>
      <c r="Q17" s="450"/>
    </row>
    <row r="18" spans="1:17" ht="15.6" x14ac:dyDescent="0.35">
      <c r="A18" s="451" t="s">
        <v>473</v>
      </c>
      <c r="B18" s="453" t="s">
        <v>486</v>
      </c>
      <c r="C18" s="454">
        <v>1.429</v>
      </c>
      <c r="D18" s="454">
        <f>0.15*C18</f>
        <v>0.21435000000000001</v>
      </c>
      <c r="E18" s="453" t="s">
        <v>533</v>
      </c>
      <c r="F18" s="455" t="s">
        <v>488</v>
      </c>
      <c r="G18" s="456">
        <v>9.5200000000000007E-2</v>
      </c>
      <c r="H18" s="456">
        <f>0.15*G18</f>
        <v>1.4280000000000001E-2</v>
      </c>
      <c r="I18" s="453" t="s">
        <v>534</v>
      </c>
      <c r="J18" s="455" t="s">
        <v>489</v>
      </c>
      <c r="K18" s="475">
        <v>0</v>
      </c>
      <c r="L18" s="475">
        <f>0.15*K18</f>
        <v>0</v>
      </c>
      <c r="M18" s="450" t="s">
        <v>535</v>
      </c>
      <c r="N18" s="457" t="s">
        <v>490</v>
      </c>
      <c r="O18" s="482">
        <v>0</v>
      </c>
      <c r="P18" s="482">
        <f>0.15*O18</f>
        <v>0</v>
      </c>
      <c r="Q18" s="450" t="s">
        <v>536</v>
      </c>
    </row>
    <row r="19" spans="1:17" x14ac:dyDescent="0.25">
      <c r="A19" s="298"/>
      <c r="B19" s="450"/>
      <c r="C19" s="450"/>
      <c r="D19" s="450"/>
      <c r="E19" s="452"/>
      <c r="F19" s="450"/>
      <c r="G19" s="469"/>
      <c r="H19" s="469"/>
      <c r="I19" s="450"/>
      <c r="J19" s="450"/>
      <c r="K19" s="474"/>
      <c r="L19" s="474"/>
      <c r="M19" s="450"/>
      <c r="N19" s="450"/>
      <c r="O19" s="481"/>
      <c r="P19" s="481"/>
      <c r="Q19" s="450"/>
    </row>
    <row r="20" spans="1:17" x14ac:dyDescent="0.25">
      <c r="A20" s="453" t="s">
        <v>485</v>
      </c>
      <c r="B20" s="453"/>
      <c r="C20" s="458"/>
      <c r="D20" s="458"/>
      <c r="E20" s="458"/>
      <c r="F20" s="458"/>
      <c r="G20" s="470"/>
      <c r="H20" s="470"/>
      <c r="I20" s="458"/>
      <c r="J20" s="458"/>
      <c r="K20" s="476"/>
      <c r="L20" s="476"/>
      <c r="M20" s="458"/>
      <c r="N20" s="458"/>
      <c r="O20" s="483"/>
      <c r="P20" s="483"/>
      <c r="Q20" s="453"/>
    </row>
    <row r="21" spans="1:17" ht="15.6" x14ac:dyDescent="0.35">
      <c r="A21" s="453" t="s">
        <v>391</v>
      </c>
      <c r="B21" s="453" t="s">
        <v>486</v>
      </c>
      <c r="C21" s="459">
        <v>13.3125</v>
      </c>
      <c r="D21" s="459">
        <f>0.15*C21</f>
        <v>1.996875</v>
      </c>
      <c r="E21" s="453" t="s">
        <v>537</v>
      </c>
      <c r="F21" s="455" t="s">
        <v>488</v>
      </c>
      <c r="G21" s="460">
        <v>0.70830000000000004</v>
      </c>
      <c r="H21" s="460">
        <f>0.15*G21</f>
        <v>0.10624500000000001</v>
      </c>
      <c r="I21" s="453" t="s">
        <v>538</v>
      </c>
      <c r="J21" s="455" t="s">
        <v>489</v>
      </c>
      <c r="K21" s="477">
        <v>9.0600000000000001E-4</v>
      </c>
      <c r="L21" s="477">
        <f>0.15*K21</f>
        <v>1.359E-4</v>
      </c>
      <c r="M21" s="453" t="s">
        <v>539</v>
      </c>
      <c r="N21" s="457" t="s">
        <v>490</v>
      </c>
      <c r="O21" s="484">
        <v>0</v>
      </c>
      <c r="P21" s="484">
        <f>0.15*O21</f>
        <v>0</v>
      </c>
      <c r="Q21" s="453" t="s">
        <v>540</v>
      </c>
    </row>
    <row r="22" spans="1:17" x14ac:dyDescent="0.25">
      <c r="A22" s="298"/>
      <c r="B22" s="450"/>
      <c r="C22" s="450"/>
      <c r="D22" s="450"/>
      <c r="E22" s="14"/>
      <c r="F22" s="450"/>
      <c r="G22" s="469"/>
      <c r="H22" s="469"/>
      <c r="I22" s="450"/>
      <c r="J22" s="450"/>
      <c r="K22" s="474"/>
      <c r="L22" s="474"/>
      <c r="M22" s="450"/>
      <c r="N22" s="450"/>
      <c r="O22" s="481"/>
      <c r="P22" s="481"/>
      <c r="Q22" s="450"/>
    </row>
    <row r="23" spans="1:17" s="453" customFormat="1" x14ac:dyDescent="0.25">
      <c r="A23" s="453" t="s">
        <v>482</v>
      </c>
      <c r="G23" s="471"/>
      <c r="H23" s="471"/>
      <c r="K23" s="478"/>
      <c r="L23" s="478"/>
      <c r="O23" s="485"/>
      <c r="P23" s="485"/>
    </row>
    <row r="24" spans="1:17" s="453" customFormat="1" ht="15.6" x14ac:dyDescent="0.35">
      <c r="A24" s="453" t="s">
        <v>473</v>
      </c>
      <c r="B24" s="453" t="s">
        <v>486</v>
      </c>
      <c r="C24" s="461">
        <v>2.8</v>
      </c>
      <c r="D24" s="459">
        <f>0.15*C24</f>
        <v>0.42</v>
      </c>
      <c r="E24" s="453" t="s">
        <v>541</v>
      </c>
      <c r="F24" s="455" t="s">
        <v>488</v>
      </c>
      <c r="G24" s="460">
        <f>(C24/1.073)*0.076502</f>
        <v>0.19963243243243242</v>
      </c>
      <c r="H24" s="460">
        <f>0.15*G24</f>
        <v>2.9944864864864862E-2</v>
      </c>
      <c r="I24" s="453" t="s">
        <v>542</v>
      </c>
      <c r="J24" s="455" t="s">
        <v>489</v>
      </c>
      <c r="K24" s="477">
        <f>(C24/1.073)*0.0000096</f>
        <v>2.5051258154706428E-5</v>
      </c>
      <c r="L24" s="477">
        <f>0.15*K24</f>
        <v>3.757688723205964E-6</v>
      </c>
      <c r="M24" s="453" t="s">
        <v>543</v>
      </c>
      <c r="N24" s="457" t="s">
        <v>490</v>
      </c>
      <c r="O24" s="484">
        <f>(C24/1.073)*0.000000751</f>
        <v>1.9597390493942216E-6</v>
      </c>
      <c r="P24" s="484">
        <f>0.15*O24</f>
        <v>2.9396085740913322E-7</v>
      </c>
      <c r="Q24" s="453" t="s">
        <v>544</v>
      </c>
    </row>
    <row r="25" spans="1:17" x14ac:dyDescent="0.25">
      <c r="G25" s="194"/>
      <c r="H25" s="194"/>
      <c r="K25" s="13"/>
      <c r="L25" s="13"/>
      <c r="O25" s="486"/>
      <c r="P25" s="486"/>
    </row>
    <row r="26" spans="1:17" s="2" customFormat="1" ht="15.6" x14ac:dyDescent="0.35">
      <c r="A26" s="2" t="s">
        <v>547</v>
      </c>
      <c r="B26" s="453" t="s">
        <v>486</v>
      </c>
      <c r="C26" s="466">
        <f>IF($B$7="Monoammonium Phosphate",C12,IF($B$7="Diammonium Phosphate",C15,IF($B$7="Single Superphosphate",C18,IF($B$7="Triple Superphosphate",C21,C24))))</f>
        <v>13.3125</v>
      </c>
      <c r="D26" s="466">
        <f>IF($B$7="Monoammonium Phosphate",D12,IF($B$7="Diammonium Phosphate",D15,IF($B$7="Single Superphosphate",D18,IF($B$7="Triple Superphosphate",D21,D24))))</f>
        <v>1.996875</v>
      </c>
      <c r="F26" s="455" t="s">
        <v>488</v>
      </c>
      <c r="G26" s="467">
        <f>IF($B$7="Monoammonium Phosphate",G12,IF($B$7="Diammonium Phosphate",G15,IF($B$7="Single Superphosphate",G18,IF($B$7="Triple Superphosphate",G21,G24))))</f>
        <v>0.70830000000000004</v>
      </c>
      <c r="H26" s="467">
        <f>IF($B$7="Monoammonium Phosphate",H12,IF($B$7="Diammonium Phosphate",H15,IF($B$7="Single Superphosphate",H18,IF($B$7="Triple Superphosphate",H21,H24))))</f>
        <v>0.10624500000000001</v>
      </c>
      <c r="J26" s="455" t="s">
        <v>489</v>
      </c>
      <c r="K26" s="468">
        <f>IF($B$7="Monoammonium Phosphate",K12,IF($B$7="Diammonium Phosphate",K15,IF($B$7="Single Superphosphate",K18,IF($B$7="Triple Superphosphate",K21,K24))))</f>
        <v>9.0600000000000001E-4</v>
      </c>
      <c r="L26" s="468">
        <f>IF($B$7="Monoammonium Phosphate",L12,IF($B$7="Diammonium Phosphate",L15,IF($B$7="Single Superphosphate",L18,IF($B$7="Triple Superphosphate",L21,L24))))</f>
        <v>1.359E-4</v>
      </c>
      <c r="N26" s="457" t="s">
        <v>490</v>
      </c>
      <c r="O26" s="487">
        <f>IF($B$7="Monoammonium Phosphate",O12,IF($B$7="Diammonium Phosphate",O15,IF($B$7="Single Superphosphate",O18,IF($B$7="Triple Superphosphate",O21,O24))))</f>
        <v>0</v>
      </c>
      <c r="P26" s="487">
        <f>IF($B$7="Monoammonium Phosphate",P12,IF($B$7="Diammonium Phosphate",P15,IF($B$7="Single Superphosphate",P18,IF($B$7="Triple Superphosphate",P21,P24))))</f>
        <v>0</v>
      </c>
    </row>
  </sheetData>
  <mergeCells count="4">
    <mergeCell ref="B9:E9"/>
    <mergeCell ref="F9:I9"/>
    <mergeCell ref="J9:M9"/>
    <mergeCell ref="N9:Q9"/>
  </mergeCells>
  <pageMargins left="0.7" right="0.7" top="0.75" bottom="0.75" header="0.3" footer="0.3"/>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4"/>
  <sheetViews>
    <sheetView tabSelected="1" workbookViewId="0"/>
  </sheetViews>
  <sheetFormatPr defaultRowHeight="13.2" x14ac:dyDescent="0.25"/>
  <cols>
    <col min="1" max="1" width="76.6640625" customWidth="1"/>
  </cols>
  <sheetData>
    <row r="1" spans="1:1" x14ac:dyDescent="0.25">
      <c r="A1" s="2" t="s">
        <v>979</v>
      </c>
    </row>
    <row r="3" spans="1:1" ht="39.6" x14ac:dyDescent="0.25">
      <c r="A3" s="1453" t="s">
        <v>1601</v>
      </c>
    </row>
    <row r="4" spans="1:1" x14ac:dyDescent="0.25">
      <c r="A4" s="802"/>
    </row>
    <row r="5" spans="1:1" ht="26.4" x14ac:dyDescent="0.25">
      <c r="A5" s="807" t="s">
        <v>982</v>
      </c>
    </row>
    <row r="6" spans="1:1" x14ac:dyDescent="0.25">
      <c r="A6" s="802"/>
    </row>
    <row r="7" spans="1:1" ht="39.75" customHeight="1" x14ac:dyDescent="0.25">
      <c r="A7" s="1453" t="s">
        <v>1602</v>
      </c>
    </row>
    <row r="8" spans="1:1" x14ac:dyDescent="0.25">
      <c r="A8" s="802"/>
    </row>
    <row r="9" spans="1:1" ht="39.6" x14ac:dyDescent="0.25">
      <c r="A9" s="807" t="s">
        <v>983</v>
      </c>
    </row>
    <row r="10" spans="1:1" x14ac:dyDescent="0.25">
      <c r="A10" s="802"/>
    </row>
    <row r="11" spans="1:1" ht="63.75" customHeight="1" x14ac:dyDescent="0.25">
      <c r="A11" s="807" t="s">
        <v>984</v>
      </c>
    </row>
    <row r="12" spans="1:1" x14ac:dyDescent="0.25">
      <c r="A12" s="802"/>
    </row>
    <row r="13" spans="1:1" ht="26.4" x14ac:dyDescent="0.25">
      <c r="A13" s="1454" t="s">
        <v>1603</v>
      </c>
    </row>
    <row r="14" spans="1:1" x14ac:dyDescent="0.25">
      <c r="A14" s="802"/>
    </row>
    <row r="15" spans="1:1" x14ac:dyDescent="0.25">
      <c r="A15" s="802"/>
    </row>
    <row r="16" spans="1:1" x14ac:dyDescent="0.25">
      <c r="A16" s="802"/>
    </row>
    <row r="17" spans="1:1" x14ac:dyDescent="0.25">
      <c r="A17" s="802"/>
    </row>
    <row r="18" spans="1:1" x14ac:dyDescent="0.25">
      <c r="A18" s="802"/>
    </row>
    <row r="19" spans="1:1" x14ac:dyDescent="0.25">
      <c r="A19" s="802"/>
    </row>
    <row r="20" spans="1:1" x14ac:dyDescent="0.25">
      <c r="A20" s="802"/>
    </row>
    <row r="21" spans="1:1" x14ac:dyDescent="0.25">
      <c r="A21" s="802"/>
    </row>
    <row r="22" spans="1:1" x14ac:dyDescent="0.25">
      <c r="A22" s="802"/>
    </row>
    <row r="23" spans="1:1" x14ac:dyDescent="0.25">
      <c r="A23" s="802"/>
    </row>
    <row r="24" spans="1:1" x14ac:dyDescent="0.25">
      <c r="A24" s="802"/>
    </row>
    <row r="25" spans="1:1" x14ac:dyDescent="0.25">
      <c r="A25" s="802"/>
    </row>
    <row r="26" spans="1:1" x14ac:dyDescent="0.25">
      <c r="A26" s="802"/>
    </row>
    <row r="27" spans="1:1" x14ac:dyDescent="0.25">
      <c r="A27" s="802"/>
    </row>
    <row r="28" spans="1:1" x14ac:dyDescent="0.25">
      <c r="A28" s="802"/>
    </row>
    <row r="29" spans="1:1" x14ac:dyDescent="0.25">
      <c r="A29" s="802"/>
    </row>
    <row r="30" spans="1:1" x14ac:dyDescent="0.25">
      <c r="A30" s="802"/>
    </row>
    <row r="31" spans="1:1" x14ac:dyDescent="0.25">
      <c r="A31" s="802"/>
    </row>
    <row r="32" spans="1:1" x14ac:dyDescent="0.25">
      <c r="A32" s="802"/>
    </row>
    <row r="33" spans="1:1" x14ac:dyDescent="0.25">
      <c r="A33" s="802"/>
    </row>
    <row r="34" spans="1:1" x14ac:dyDescent="0.25">
      <c r="A34" s="802"/>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17"/>
  <sheetViews>
    <sheetView workbookViewId="0"/>
  </sheetViews>
  <sheetFormatPr defaultRowHeight="13.2" x14ac:dyDescent="0.25"/>
  <cols>
    <col min="1" max="1" width="41.5546875" customWidth="1"/>
    <col min="2" max="2" width="28.109375" customWidth="1"/>
    <col min="6" max="6" width="14.6640625" customWidth="1"/>
    <col min="10" max="10" width="14.88671875" customWidth="1"/>
    <col min="14" max="14" width="15.109375" customWidth="1"/>
    <col min="15" max="15" width="10.109375" bestFit="1" customWidth="1"/>
    <col min="16" max="16" width="9.5546875" bestFit="1" customWidth="1"/>
  </cols>
  <sheetData>
    <row r="1" spans="1:17" x14ac:dyDescent="0.25">
      <c r="A1" s="2" t="s">
        <v>238</v>
      </c>
      <c r="B1" t="s">
        <v>1278</v>
      </c>
    </row>
    <row r="2" spans="1:17" ht="15.6" x14ac:dyDescent="0.35">
      <c r="A2" s="2" t="s">
        <v>241</v>
      </c>
      <c r="B2" t="s">
        <v>1279</v>
      </c>
    </row>
    <row r="3" spans="1:17" x14ac:dyDescent="0.25">
      <c r="A3" s="2" t="s">
        <v>239</v>
      </c>
      <c r="B3" t="s">
        <v>381</v>
      </c>
    </row>
    <row r="4" spans="1:17" x14ac:dyDescent="0.25">
      <c r="A4" s="2" t="s">
        <v>240</v>
      </c>
      <c r="B4" t="s">
        <v>381</v>
      </c>
    </row>
    <row r="5" spans="1:17" x14ac:dyDescent="0.25">
      <c r="A5" s="2"/>
    </row>
    <row r="6" spans="1:17" x14ac:dyDescent="0.25">
      <c r="A6" s="447" t="s">
        <v>415</v>
      </c>
      <c r="B6" s="104"/>
    </row>
    <row r="7" spans="1:17" x14ac:dyDescent="0.25">
      <c r="A7" s="976" t="s">
        <v>1280</v>
      </c>
      <c r="B7" s="116" t="str">
        <f>k_fert_source</f>
        <v>BIOGRACE EC Database</v>
      </c>
    </row>
    <row r="8" spans="1:17" x14ac:dyDescent="0.25">
      <c r="A8" s="923"/>
    </row>
    <row r="9" spans="1:17" x14ac:dyDescent="0.25">
      <c r="A9" s="14" t="s">
        <v>1281</v>
      </c>
      <c r="B9" s="1577" t="s">
        <v>245</v>
      </c>
      <c r="C9" s="1577"/>
      <c r="D9" s="1577"/>
      <c r="E9" s="1577"/>
      <c r="F9" s="1577" t="s">
        <v>384</v>
      </c>
      <c r="G9" s="1577"/>
      <c r="H9" s="1577"/>
      <c r="I9" s="1577"/>
      <c r="J9" s="1577" t="s">
        <v>385</v>
      </c>
      <c r="K9" s="1577"/>
      <c r="L9" s="1577"/>
      <c r="M9" s="1577"/>
      <c r="N9" s="1577" t="s">
        <v>386</v>
      </c>
      <c r="O9" s="1577"/>
      <c r="P9" s="1577"/>
      <c r="Q9" s="1577"/>
    </row>
    <row r="10" spans="1:17" x14ac:dyDescent="0.25">
      <c r="A10" s="298"/>
      <c r="B10" s="450" t="s">
        <v>244</v>
      </c>
      <c r="C10" s="450" t="s">
        <v>246</v>
      </c>
      <c r="D10" s="450" t="s">
        <v>247</v>
      </c>
      <c r="E10" s="14" t="s">
        <v>28</v>
      </c>
      <c r="F10" s="450" t="s">
        <v>244</v>
      </c>
      <c r="G10" s="450" t="s">
        <v>246</v>
      </c>
      <c r="H10" s="450" t="s">
        <v>247</v>
      </c>
      <c r="I10" s="450" t="s">
        <v>28</v>
      </c>
      <c r="J10" s="450" t="s">
        <v>244</v>
      </c>
      <c r="K10" s="450" t="s">
        <v>246</v>
      </c>
      <c r="L10" s="450" t="s">
        <v>247</v>
      </c>
      <c r="M10" s="450" t="s">
        <v>28</v>
      </c>
      <c r="N10" s="450" t="s">
        <v>244</v>
      </c>
      <c r="O10" s="450" t="s">
        <v>246</v>
      </c>
      <c r="P10" s="450" t="s">
        <v>247</v>
      </c>
      <c r="Q10" s="450" t="s">
        <v>28</v>
      </c>
    </row>
    <row r="11" spans="1:17" x14ac:dyDescent="0.25">
      <c r="A11" t="s">
        <v>1282</v>
      </c>
      <c r="C11" s="43"/>
      <c r="D11" s="43"/>
      <c r="E11" s="43"/>
      <c r="F11" s="43"/>
      <c r="G11" s="43"/>
      <c r="H11" s="43"/>
      <c r="I11" s="43"/>
      <c r="J11" s="43"/>
      <c r="K11" s="43"/>
      <c r="L11" s="43"/>
      <c r="M11" s="43"/>
      <c r="N11" s="43"/>
      <c r="O11" s="43"/>
      <c r="P11" s="43"/>
    </row>
    <row r="12" spans="1:17" ht="15.6" x14ac:dyDescent="0.35">
      <c r="A12" t="s">
        <v>1283</v>
      </c>
      <c r="B12" t="s">
        <v>1284</v>
      </c>
      <c r="C12" s="448">
        <v>29.155999999999999</v>
      </c>
      <c r="D12" s="448">
        <v>3.093</v>
      </c>
      <c r="E12" t="s">
        <v>1285</v>
      </c>
      <c r="F12" s="68" t="s">
        <v>1286</v>
      </c>
      <c r="G12" s="296">
        <v>1.655</v>
      </c>
      <c r="H12" s="296">
        <v>0.24199999999999999</v>
      </c>
      <c r="I12" t="s">
        <v>1287</v>
      </c>
      <c r="J12" s="68" t="s">
        <v>1288</v>
      </c>
      <c r="K12" s="472">
        <v>2.64E-3</v>
      </c>
      <c r="L12" s="472">
        <v>3.57E-4</v>
      </c>
      <c r="M12" t="s">
        <v>1289</v>
      </c>
      <c r="N12" s="869" t="s">
        <v>1290</v>
      </c>
      <c r="O12" s="398">
        <v>4.57E-5</v>
      </c>
      <c r="P12" s="398">
        <v>4.95E-6</v>
      </c>
      <c r="Q12" s="196" t="s">
        <v>1291</v>
      </c>
    </row>
    <row r="13" spans="1:17" ht="15.6" x14ac:dyDescent="0.35">
      <c r="A13" t="s">
        <v>1292</v>
      </c>
      <c r="B13" t="s">
        <v>1284</v>
      </c>
      <c r="C13" s="448">
        <v>29.629000000000001</v>
      </c>
      <c r="D13" s="448">
        <v>3.0939999999999999</v>
      </c>
      <c r="E13" t="s">
        <v>1293</v>
      </c>
      <c r="F13" s="68" t="s">
        <v>1286</v>
      </c>
      <c r="G13" s="296">
        <v>1.6850000000000001</v>
      </c>
      <c r="H13" s="296">
        <v>0.24199999999999999</v>
      </c>
      <c r="I13" t="s">
        <v>1294</v>
      </c>
      <c r="J13" s="68" t="s">
        <v>1288</v>
      </c>
      <c r="K13" s="472">
        <v>2.66E-3</v>
      </c>
      <c r="L13" s="472">
        <v>3.57E-4</v>
      </c>
      <c r="M13" t="s">
        <v>1295</v>
      </c>
      <c r="N13" s="869" t="s">
        <v>1290</v>
      </c>
      <c r="O13" s="398">
        <v>5.2500000000000002E-5</v>
      </c>
      <c r="P13" s="398">
        <v>4.9699999999999998E-6</v>
      </c>
      <c r="Q13" t="s">
        <v>1296</v>
      </c>
    </row>
    <row r="14" spans="1:17" ht="15.6" x14ac:dyDescent="0.35">
      <c r="A14" t="s">
        <v>1297</v>
      </c>
      <c r="B14" t="s">
        <v>1284</v>
      </c>
      <c r="C14" s="448">
        <v>9.6790000000000003</v>
      </c>
      <c r="D14" s="448">
        <f>0.15*C14</f>
        <v>1.4518500000000001</v>
      </c>
      <c r="E14" t="s">
        <v>1298</v>
      </c>
      <c r="F14" s="68" t="s">
        <v>1286</v>
      </c>
      <c r="G14" s="296">
        <v>0.5363</v>
      </c>
      <c r="H14" s="296">
        <f>0.15*G14</f>
        <v>8.0445000000000003E-2</v>
      </c>
      <c r="I14" t="s">
        <v>1299</v>
      </c>
      <c r="J14" s="68" t="s">
        <v>1288</v>
      </c>
      <c r="K14" s="472">
        <v>1.5709000000000001E-3</v>
      </c>
      <c r="L14" s="472">
        <f>0.15*K14</f>
        <v>2.3563499999999999E-4</v>
      </c>
      <c r="M14" t="s">
        <v>1300</v>
      </c>
      <c r="N14" s="869" t="s">
        <v>1290</v>
      </c>
      <c r="O14" s="398">
        <v>1.2300000000000001E-5</v>
      </c>
      <c r="P14" s="398">
        <f>0.15*O14</f>
        <v>1.8450000000000001E-6</v>
      </c>
      <c r="Q14" t="s">
        <v>1301</v>
      </c>
    </row>
    <row r="15" spans="1:17" ht="15.6" x14ac:dyDescent="0.35">
      <c r="A15" t="s">
        <v>391</v>
      </c>
      <c r="B15" s="923" t="s">
        <v>1284</v>
      </c>
      <c r="C15" s="448">
        <v>8.35</v>
      </c>
      <c r="D15" s="448">
        <f>0.15*C15</f>
        <v>1.2524999999999999</v>
      </c>
      <c r="E15" t="s">
        <v>1302</v>
      </c>
      <c r="F15" s="68" t="s">
        <v>1286</v>
      </c>
      <c r="G15" s="296">
        <v>0.48330000000000001</v>
      </c>
      <c r="H15" s="296">
        <f>0.15*G15</f>
        <v>7.2495000000000004E-2</v>
      </c>
      <c r="I15" t="s">
        <v>1303</v>
      </c>
      <c r="J15" s="68" t="s">
        <v>1288</v>
      </c>
      <c r="K15" s="472">
        <v>7.2499999999999995E-4</v>
      </c>
      <c r="L15" s="472">
        <f>0.15*K15</f>
        <v>1.0874999999999999E-4</v>
      </c>
      <c r="M15" t="s">
        <v>1304</v>
      </c>
      <c r="N15" s="869" t="s">
        <v>1290</v>
      </c>
      <c r="O15" s="398">
        <v>0</v>
      </c>
      <c r="P15" s="398">
        <f>0.15*O15</f>
        <v>0</v>
      </c>
      <c r="Q15" t="s">
        <v>1305</v>
      </c>
    </row>
    <row r="16" spans="1:17" x14ac:dyDescent="0.25">
      <c r="C16" s="43"/>
      <c r="D16" s="43"/>
      <c r="E16" s="43"/>
      <c r="F16" s="43"/>
      <c r="G16" s="153"/>
      <c r="H16" s="153"/>
      <c r="I16" s="43"/>
      <c r="J16" s="43"/>
      <c r="K16" s="473"/>
      <c r="L16" s="473"/>
      <c r="M16" s="43"/>
      <c r="N16" s="43"/>
      <c r="O16" s="819"/>
      <c r="P16" s="819"/>
    </row>
    <row r="17" spans="1:16" ht="15.6" x14ac:dyDescent="0.35">
      <c r="A17" s="2" t="s">
        <v>1306</v>
      </c>
      <c r="B17" s="923" t="s">
        <v>1284</v>
      </c>
      <c r="C17" s="299">
        <f>IF($B$7="NNFCC United Kingdom, 1996",C12,(IF($B$7="CT Database United Kingdom, 1996",C13,(IF($B$7="BIOGRACE EC Database",C14, C15)))))</f>
        <v>9.6790000000000003</v>
      </c>
      <c r="D17" s="299">
        <f>IF($B$7="NNFCC United Kingdom, 1996",D12,(IF($B$7="CT Database United Kingdom, 1996",D13,(IF($B$7="BIOGRACE EC Database",D14, D15)))))</f>
        <v>1.4518500000000001</v>
      </c>
      <c r="F17" s="68" t="s">
        <v>1307</v>
      </c>
      <c r="G17" s="299">
        <f>IF($B$7="NNFCC United Kingdom, 1996",G12,(IF($B$7="CT Database United Kingdom, 1996",G13,(IF($B$7="BIOGRACE EC Database",G14, G15)))))</f>
        <v>0.5363</v>
      </c>
      <c r="H17" s="621">
        <f>IF($B$7="NNFCC United Kingdom, 1996",H12,(IF($B$7="CT Database United Kingdom, 1996",H13,(IF($B$7="BIOGRACE EC Database",H14, H15)))))</f>
        <v>8.0445000000000003E-2</v>
      </c>
      <c r="J17" s="68" t="s">
        <v>1308</v>
      </c>
      <c r="K17" s="977">
        <f>IF($B$7="NNFCC United Kingdom, 1996",K12,(IF($B$7="CT Database United Kingdom, 1996",K13,(IF($B$7="BIOGRACE EC Database",K14, K15)))))</f>
        <v>1.5709000000000001E-3</v>
      </c>
      <c r="L17" s="977">
        <f>IF($B$7="NNFCC United Kingdom, 1996",L12,(IF($B$7="CT Database United Kingdom, 1996",L13,(IF($B$7="BIOGRACE EC Database",L14, L15)))))</f>
        <v>2.3563499999999999E-4</v>
      </c>
      <c r="N17" s="869" t="s">
        <v>1309</v>
      </c>
      <c r="O17" s="977">
        <f>IF($B$7="NNFCC United Kingdom, 1996",O12,(IF($B$7="CT Database United Kingdom, 1996",O13,(IF($B$7="BIOGRACE EC Database",O14, O15)))))</f>
        <v>1.2300000000000001E-5</v>
      </c>
      <c r="P17" s="977">
        <f>IF($B$7="NNFCC United Kingdom, 1996",P12,(IF($B$7="CT Database United Kingdom, 1996",P13,(IF($B$7="BIOGRACE EC Database",P14, P15)))))</f>
        <v>1.8450000000000001E-6</v>
      </c>
    </row>
  </sheetData>
  <mergeCells count="4">
    <mergeCell ref="B9:E9"/>
    <mergeCell ref="F9:I9"/>
    <mergeCell ref="J9:M9"/>
    <mergeCell ref="N9:Q9"/>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20"/>
  <sheetViews>
    <sheetView workbookViewId="0">
      <pane xSplit="1" ySplit="11" topLeftCell="B12" activePane="bottomRight" state="frozen"/>
      <selection pane="topRight" activeCell="B1" sqref="B1"/>
      <selection pane="bottomLeft" activeCell="A12" sqref="A12"/>
      <selection pane="bottomRight"/>
    </sheetView>
  </sheetViews>
  <sheetFormatPr defaultRowHeight="13.2" x14ac:dyDescent="0.25"/>
  <cols>
    <col min="1" max="1" width="41.5546875" customWidth="1"/>
    <col min="2" max="2" width="28.109375" customWidth="1"/>
    <col min="6" max="6" width="17" customWidth="1"/>
    <col min="10" max="10" width="16.88671875" customWidth="1"/>
    <col min="14" max="14" width="16.33203125" customWidth="1"/>
    <col min="15" max="15" width="10.109375" bestFit="1" customWidth="1"/>
    <col min="16" max="16" width="9.5546875" bestFit="1" customWidth="1"/>
  </cols>
  <sheetData>
    <row r="1" spans="1:17" x14ac:dyDescent="0.25">
      <c r="A1" s="2" t="s">
        <v>238</v>
      </c>
      <c r="B1" t="s">
        <v>1310</v>
      </c>
    </row>
    <row r="2" spans="1:17" x14ac:dyDescent="0.25">
      <c r="A2" s="2" t="s">
        <v>241</v>
      </c>
      <c r="B2" s="923" t="s">
        <v>1423</v>
      </c>
    </row>
    <row r="3" spans="1:17" x14ac:dyDescent="0.25">
      <c r="A3" s="2" t="s">
        <v>239</v>
      </c>
      <c r="B3" t="s">
        <v>381</v>
      </c>
    </row>
    <row r="4" spans="1:17" x14ac:dyDescent="0.25">
      <c r="A4" s="2" t="s">
        <v>240</v>
      </c>
      <c r="B4" t="s">
        <v>381</v>
      </c>
    </row>
    <row r="5" spans="1:17" x14ac:dyDescent="0.25">
      <c r="A5" s="923"/>
    </row>
    <row r="6" spans="1:17" x14ac:dyDescent="0.25">
      <c r="A6" s="447" t="s">
        <v>415</v>
      </c>
      <c r="B6" s="104"/>
    </row>
    <row r="7" spans="1:17" x14ac:dyDescent="0.25">
      <c r="A7" s="925" t="s">
        <v>1311</v>
      </c>
      <c r="B7" s="115" t="str">
        <f>lime_fert_source</f>
        <v>BIOGRACE EC Database</v>
      </c>
    </row>
    <row r="8" spans="1:17" x14ac:dyDescent="0.25">
      <c r="A8" s="1045" t="s">
        <v>1399</v>
      </c>
      <c r="B8" s="116" t="str">
        <f>lime_type</f>
        <v>CaO</v>
      </c>
    </row>
    <row r="9" spans="1:17" x14ac:dyDescent="0.25">
      <c r="A9" s="923"/>
    </row>
    <row r="10" spans="1:17" x14ac:dyDescent="0.25">
      <c r="A10" s="14" t="s">
        <v>1312</v>
      </c>
      <c r="B10" s="1577" t="s">
        <v>245</v>
      </c>
      <c r="C10" s="1577"/>
      <c r="D10" s="1577"/>
      <c r="E10" s="1577"/>
      <c r="F10" s="1577" t="s">
        <v>384</v>
      </c>
      <c r="G10" s="1577"/>
      <c r="H10" s="1577"/>
      <c r="I10" s="1577"/>
      <c r="J10" s="1577" t="s">
        <v>385</v>
      </c>
      <c r="K10" s="1577"/>
      <c r="L10" s="1577"/>
      <c r="M10" s="1577"/>
      <c r="N10" s="1577" t="s">
        <v>386</v>
      </c>
      <c r="O10" s="1577"/>
      <c r="P10" s="1577"/>
      <c r="Q10" s="1577"/>
    </row>
    <row r="11" spans="1:17" x14ac:dyDescent="0.25">
      <c r="A11" s="298"/>
      <c r="B11" s="450" t="s">
        <v>244</v>
      </c>
      <c r="C11" s="450" t="s">
        <v>246</v>
      </c>
      <c r="D11" s="450" t="s">
        <v>247</v>
      </c>
      <c r="E11" s="14" t="s">
        <v>28</v>
      </c>
      <c r="F11" s="450" t="s">
        <v>244</v>
      </c>
      <c r="G11" s="450" t="s">
        <v>246</v>
      </c>
      <c r="H11" s="450" t="s">
        <v>247</v>
      </c>
      <c r="I11" s="450" t="s">
        <v>28</v>
      </c>
      <c r="J11" s="450" t="s">
        <v>244</v>
      </c>
      <c r="K11" s="450" t="s">
        <v>246</v>
      </c>
      <c r="L11" s="450" t="s">
        <v>247</v>
      </c>
      <c r="M11" s="450" t="s">
        <v>28</v>
      </c>
      <c r="N11" s="450" t="s">
        <v>244</v>
      </c>
      <c r="O11" s="450" t="s">
        <v>246</v>
      </c>
      <c r="P11" s="450" t="s">
        <v>247</v>
      </c>
      <c r="Q11" s="450" t="s">
        <v>28</v>
      </c>
    </row>
    <row r="12" spans="1:17" x14ac:dyDescent="0.25">
      <c r="A12" t="s">
        <v>1310</v>
      </c>
      <c r="C12" s="43"/>
      <c r="D12" s="43"/>
      <c r="E12" s="43"/>
      <c r="F12" s="43"/>
      <c r="G12" s="43"/>
      <c r="H12" s="43"/>
      <c r="I12" s="43"/>
      <c r="J12" s="43"/>
      <c r="K12" s="43"/>
      <c r="L12" s="43"/>
      <c r="M12" s="43"/>
      <c r="N12" s="43"/>
      <c r="O12" s="43"/>
      <c r="P12" s="43"/>
    </row>
    <row r="13" spans="1:17" ht="15.6" x14ac:dyDescent="0.35">
      <c r="A13" t="s">
        <v>1283</v>
      </c>
      <c r="B13" t="s">
        <v>1313</v>
      </c>
      <c r="C13" s="296">
        <v>1.29</v>
      </c>
      <c r="D13" s="296">
        <v>5.3199999999999997E-2</v>
      </c>
      <c r="E13" t="s">
        <v>1314</v>
      </c>
      <c r="F13" s="68" t="s">
        <v>1307</v>
      </c>
      <c r="G13" s="449">
        <v>5.7700000000000001E-2</v>
      </c>
      <c r="H13" s="449">
        <v>2.2899999999999999E-3</v>
      </c>
      <c r="I13" t="s">
        <v>1315</v>
      </c>
      <c r="J13" s="68" t="s">
        <v>1308</v>
      </c>
      <c r="K13" s="175">
        <v>1.1400000000000001E-4</v>
      </c>
      <c r="L13" s="175">
        <v>6.0000000000000002E-6</v>
      </c>
      <c r="M13" t="s">
        <v>1316</v>
      </c>
      <c r="N13" s="869" t="s">
        <v>1309</v>
      </c>
      <c r="O13" s="398">
        <v>6.3899999999999998E-6</v>
      </c>
      <c r="P13" s="398">
        <v>2.2600000000000001E-7</v>
      </c>
      <c r="Q13" s="196" t="s">
        <v>1317</v>
      </c>
    </row>
    <row r="14" spans="1:17" ht="15.6" x14ac:dyDescent="0.35">
      <c r="A14" t="s">
        <v>1292</v>
      </c>
      <c r="B14" t="s">
        <v>1313</v>
      </c>
      <c r="C14" s="296">
        <v>1.5744</v>
      </c>
      <c r="D14" s="296">
        <v>5.7200000000000001E-2</v>
      </c>
      <c r="E14" s="923" t="s">
        <v>1410</v>
      </c>
      <c r="F14" s="68" t="s">
        <v>1307</v>
      </c>
      <c r="G14" s="449">
        <v>7.5600000000000001E-2</v>
      </c>
      <c r="H14" s="449">
        <v>2.6099999999999999E-3</v>
      </c>
      <c r="I14" t="s">
        <v>1318</v>
      </c>
      <c r="J14" s="68" t="s">
        <v>1308</v>
      </c>
      <c r="K14" s="175">
        <v>1.2769999999999999E-4</v>
      </c>
      <c r="L14" s="175">
        <v>6.3300000000000004E-6</v>
      </c>
      <c r="M14" t="s">
        <v>1319</v>
      </c>
      <c r="N14" s="869" t="s">
        <v>1309</v>
      </c>
      <c r="O14" s="398">
        <v>1.0499999999999999E-5</v>
      </c>
      <c r="P14" s="398">
        <v>3.3799999999999998E-7</v>
      </c>
      <c r="Q14" t="s">
        <v>1320</v>
      </c>
    </row>
    <row r="15" spans="1:17" ht="15.6" x14ac:dyDescent="0.35">
      <c r="A15" s="851" t="s">
        <v>1297</v>
      </c>
      <c r="B15" t="s">
        <v>1313</v>
      </c>
      <c r="C15" s="296">
        <v>1.1060000000000001</v>
      </c>
      <c r="D15" s="296">
        <f>0.15*C15</f>
        <v>0.16590000000000002</v>
      </c>
      <c r="E15" t="s">
        <v>1321</v>
      </c>
      <c r="F15" s="68" t="s">
        <v>1307</v>
      </c>
      <c r="G15" s="449">
        <v>6.6729999999999998E-2</v>
      </c>
      <c r="H15" s="449">
        <f>0.15*G15</f>
        <v>1.0009499999999999E-2</v>
      </c>
      <c r="I15" t="s">
        <v>1322</v>
      </c>
      <c r="J15" s="68" t="s">
        <v>1308</v>
      </c>
      <c r="K15" s="175">
        <v>1.21E-4</v>
      </c>
      <c r="L15" s="175">
        <f>0.15*K15</f>
        <v>1.8150000000000001E-5</v>
      </c>
      <c r="M15" t="s">
        <v>1323</v>
      </c>
      <c r="N15" s="869" t="s">
        <v>1309</v>
      </c>
      <c r="O15" s="398">
        <v>1.025E-5</v>
      </c>
      <c r="P15" s="398">
        <f>0.15*O15</f>
        <v>1.5374999999999999E-6</v>
      </c>
      <c r="Q15" t="s">
        <v>1324</v>
      </c>
    </row>
    <row r="16" spans="1:17" x14ac:dyDescent="0.25">
      <c r="C16" s="296"/>
      <c r="D16" s="296"/>
      <c r="F16" s="68"/>
      <c r="G16" s="449"/>
      <c r="H16" s="449"/>
      <c r="J16" s="68"/>
      <c r="K16" s="175"/>
      <c r="L16" s="175"/>
      <c r="N16" s="869"/>
      <c r="O16" s="398"/>
      <c r="P16" s="398"/>
    </row>
    <row r="17" spans="1:17" ht="15.6" x14ac:dyDescent="0.25">
      <c r="A17" t="s">
        <v>1297</v>
      </c>
      <c r="B17" t="s">
        <v>1105</v>
      </c>
      <c r="C17" s="296">
        <v>1.9735200000000002</v>
      </c>
      <c r="D17" s="296">
        <f>0.15*C17</f>
        <v>0.29602800000000001</v>
      </c>
      <c r="E17" t="s">
        <v>1321</v>
      </c>
      <c r="F17" s="68" t="s">
        <v>1394</v>
      </c>
      <c r="G17" s="449">
        <v>0.119116</v>
      </c>
      <c r="H17" s="296">
        <f>0.15*G17</f>
        <v>1.7867399999999999E-2</v>
      </c>
      <c r="I17" t="s">
        <v>1322</v>
      </c>
      <c r="J17" s="68" t="s">
        <v>1395</v>
      </c>
      <c r="K17" s="175">
        <v>2.1589999999999999E-4</v>
      </c>
      <c r="L17" s="175">
        <f>0.15*K17</f>
        <v>3.2384999999999996E-5</v>
      </c>
      <c r="M17" t="s">
        <v>1323</v>
      </c>
      <c r="N17" s="869" t="s">
        <v>1396</v>
      </c>
      <c r="O17" s="398">
        <v>1.8300000000000001E-5</v>
      </c>
      <c r="P17" s="175">
        <f>0.15*O17</f>
        <v>2.745E-6</v>
      </c>
      <c r="Q17" t="s">
        <v>1324</v>
      </c>
    </row>
    <row r="18" spans="1:17" x14ac:dyDescent="0.25">
      <c r="C18" s="296"/>
      <c r="D18" s="296"/>
      <c r="F18" s="68"/>
      <c r="G18" s="449"/>
      <c r="H18" s="449"/>
      <c r="J18" s="68"/>
      <c r="K18" s="175"/>
      <c r="L18" s="175"/>
      <c r="N18" s="869"/>
      <c r="O18" s="398"/>
      <c r="P18" s="398"/>
    </row>
    <row r="19" spans="1:17" ht="15.6" x14ac:dyDescent="0.25">
      <c r="A19" s="2" t="s">
        <v>1325</v>
      </c>
      <c r="B19" s="923" t="s">
        <v>1398</v>
      </c>
      <c r="C19" s="299">
        <f>IF(AND($B$7="NNFCC United Kingdom, 1996",$B$8="CaCO3"),$C$13,(IF(AND($B$7="CT Database United Kingdom, 1996",$B$8="CaCO3"),$C$14,IF(AND($B$7="BIOGRACE EC Database",$B$8="CaCO3"),$C$15,$C$17))))</f>
        <v>1.9735200000000002</v>
      </c>
      <c r="D19" s="299">
        <f>IF(AND($B$7="NNFCC United Kingdom, 1996",$B$8="CaCO3"),D13,(IF(AND($B$7="CT Database United Kingdom, 1996",$B$8="CaCO3"),D14,IF(AND($B$7="BIOGRACE EC Database",$B$8="CaCO3"),D15,D17))))</f>
        <v>0.29602800000000001</v>
      </c>
      <c r="F19" s="922" t="s">
        <v>1416</v>
      </c>
      <c r="G19" s="299">
        <f>IF(AND($B$7="NNFCC United Kingdom, 1996",$B$8="CaCO3"),G13,(IF(AND($B$7="CT Database United Kingdom, 1996",$B$8="CaCO3"),G14,IF(AND($B$7="BIOGRACE EC Database",$B$8="CaCO3"),G15,G17))))</f>
        <v>0.119116</v>
      </c>
      <c r="H19" s="299">
        <f>IF(AND($B$7="NNFCC United Kingdom, 1996",$B$8="CaCO3"),H13,(IF(AND($B$7="CT Database United Kingdom, 1996",$B$8="CaCO3"),H14,IF(AND($B$7="BIOGRACE EC Database",$B$8="CaCO3"),H15,H17))))</f>
        <v>1.7867399999999999E-2</v>
      </c>
      <c r="J19" s="922" t="s">
        <v>1417</v>
      </c>
      <c r="K19" s="299">
        <f>IF(AND($B$7="NNFCC United Kingdom, 1996",$B$8="CaCO3"),K13,(IF(AND($B$7="CT Database United Kingdom, 1996",$B$8="CaCO3"),K14,IF(AND($B$7="BIOGRACE EC Database",$B$8="CaCO3"),K15,K17))))</f>
        <v>2.1589999999999999E-4</v>
      </c>
      <c r="L19" s="299">
        <f>IF(AND($B$7="NNFCC United Kingdom, 1996",$B$8="CaCO3"),L13,(IF(AND($B$7="CT Database United Kingdom, 1996",$B$8="CaCO3"),L14,IF(AND($B$7="BIOGRACE EC Database",$B$8="CaCO3"),L15,L17))))</f>
        <v>3.2384999999999996E-5</v>
      </c>
      <c r="N19" s="974" t="s">
        <v>1418</v>
      </c>
      <c r="O19" s="398">
        <f>IF(AND($B$7="NNFCC United Kingdom, 1996",$B$8="CaCO3"),O13,(IF(AND($B$7="CT Database United Kingdom, 1996",$B$8="CaCO3"),O14,IF(AND($B$7="BIOGRACE EC Database",$B$8="CaCO3"),O15,O17))))</f>
        <v>1.8300000000000001E-5</v>
      </c>
      <c r="P19" s="299">
        <f>IF(AND($B$7="NNFCC United Kingdom, 1996",$B$8="CaCO3"),P13,(IF(AND($B$7="CT Database United Kingdom, 1996",$B$8="CaCO3"),P14,IF(AND($B$7="BIOGRACE EC Database",$B$8="CaCO3"),P15,P17))))</f>
        <v>2.745E-6</v>
      </c>
    </row>
    <row r="20" spans="1:17" x14ac:dyDescent="0.25">
      <c r="C20" s="299"/>
      <c r="D20" s="299"/>
      <c r="F20" s="68"/>
      <c r="G20" s="299"/>
      <c r="H20" s="299"/>
      <c r="J20" s="68"/>
      <c r="K20" s="299"/>
      <c r="L20" s="299"/>
      <c r="N20" s="68"/>
      <c r="O20" s="398"/>
      <c r="P20" s="299"/>
    </row>
  </sheetData>
  <mergeCells count="4">
    <mergeCell ref="B10:E10"/>
    <mergeCell ref="F10:I10"/>
    <mergeCell ref="J10:M10"/>
    <mergeCell ref="N10:Q10"/>
  </mergeCells>
  <pageMargins left="0.7" right="0.7" top="0.75" bottom="0.75" header="0.3" footer="0.3"/>
  <pageSetup orientation="portrait" horizontalDpi="360" verticalDpi="36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2"/>
  <sheetViews>
    <sheetView workbookViewId="0">
      <pane xSplit="1" ySplit="11" topLeftCell="B12" activePane="bottomRight" state="frozen"/>
      <selection pane="topRight"/>
      <selection pane="bottomLeft"/>
      <selection pane="bottomRight"/>
    </sheetView>
  </sheetViews>
  <sheetFormatPr defaultColWidth="9.109375" defaultRowHeight="13.2" x14ac:dyDescent="0.25"/>
  <cols>
    <col min="1" max="1" width="46.44140625" style="118" customWidth="1"/>
    <col min="2" max="2" width="15.33203125" style="118" customWidth="1"/>
    <col min="3" max="3" width="11.5546875" style="118" customWidth="1"/>
    <col min="4" max="9" width="9.109375" style="118"/>
    <col min="10" max="10" width="13.33203125" style="118" customWidth="1"/>
    <col min="11" max="11" width="14.33203125" style="118" customWidth="1"/>
    <col min="12" max="15" width="9.109375" style="118"/>
    <col min="16" max="16" width="17.5546875" style="118" customWidth="1"/>
    <col min="17" max="17" width="17.6640625" style="118" customWidth="1"/>
    <col min="18" max="21" width="9.109375" style="118"/>
    <col min="22" max="22" width="15.6640625" style="118" customWidth="1"/>
    <col min="23" max="23" width="18" style="118" customWidth="1"/>
    <col min="24" max="27" width="9.109375" style="118"/>
    <col min="28" max="28" width="17.109375" style="118" customWidth="1"/>
    <col min="29" max="29" width="17.6640625" style="118" customWidth="1"/>
    <col min="30" max="16384" width="9.109375" style="118"/>
  </cols>
  <sheetData>
    <row r="1" spans="1:29" x14ac:dyDescent="0.25">
      <c r="A1" s="152" t="s">
        <v>238</v>
      </c>
      <c r="B1" s="291" t="s">
        <v>688</v>
      </c>
    </row>
    <row r="2" spans="1:29" x14ac:dyDescent="0.25">
      <c r="A2" s="152" t="s">
        <v>241</v>
      </c>
      <c r="B2" s="118" t="s">
        <v>168</v>
      </c>
    </row>
    <row r="3" spans="1:29" x14ac:dyDescent="0.25">
      <c r="A3" s="152" t="s">
        <v>239</v>
      </c>
      <c r="B3" s="118" t="s">
        <v>169</v>
      </c>
    </row>
    <row r="4" spans="1:29" x14ac:dyDescent="0.25">
      <c r="A4" s="152" t="s">
        <v>240</v>
      </c>
      <c r="B4" s="1">
        <v>2001</v>
      </c>
    </row>
    <row r="5" spans="1:29" x14ac:dyDescent="0.25">
      <c r="A5" s="152"/>
    </row>
    <row r="6" spans="1:29" x14ac:dyDescent="0.25">
      <c r="A6" s="578" t="s">
        <v>415</v>
      </c>
      <c r="B6" s="411"/>
      <c r="C6" s="412"/>
      <c r="E6" s="983"/>
    </row>
    <row r="7" spans="1:29" x14ac:dyDescent="0.25">
      <c r="A7" s="584" t="s">
        <v>587</v>
      </c>
      <c r="B7" s="585" t="s">
        <v>440</v>
      </c>
      <c r="C7" s="583">
        <f>Unitflowchart!S327</f>
        <v>44</v>
      </c>
    </row>
    <row r="8" spans="1:29" x14ac:dyDescent="0.25">
      <c r="A8" s="413" t="s">
        <v>369</v>
      </c>
      <c r="B8" s="414" t="s">
        <v>370</v>
      </c>
      <c r="C8" s="415">
        <f>include_machinery</f>
        <v>0</v>
      </c>
    </row>
    <row r="10" spans="1:29" x14ac:dyDescent="0.25">
      <c r="A10" s="120" t="s">
        <v>243</v>
      </c>
      <c r="B10" s="120" t="s">
        <v>242</v>
      </c>
      <c r="C10" s="120"/>
      <c r="D10" s="120"/>
      <c r="E10" s="198" t="s">
        <v>28</v>
      </c>
      <c r="F10" s="120" t="s">
        <v>245</v>
      </c>
      <c r="G10" s="120"/>
      <c r="H10" s="120"/>
      <c r="I10" s="198" t="s">
        <v>28</v>
      </c>
      <c r="J10" s="120" t="s">
        <v>92</v>
      </c>
      <c r="K10" s="120"/>
      <c r="L10" s="120" t="s">
        <v>249</v>
      </c>
      <c r="M10" s="120"/>
      <c r="N10" s="120"/>
      <c r="O10" s="198" t="s">
        <v>28</v>
      </c>
      <c r="P10" s="120" t="s">
        <v>371</v>
      </c>
      <c r="Q10" s="120"/>
      <c r="R10" s="120" t="s">
        <v>251</v>
      </c>
      <c r="S10" s="120"/>
      <c r="T10" s="120"/>
      <c r="U10" s="198" t="s">
        <v>28</v>
      </c>
      <c r="V10" s="120" t="s">
        <v>372</v>
      </c>
      <c r="W10" s="120"/>
      <c r="X10" s="120" t="s">
        <v>253</v>
      </c>
      <c r="Y10" s="120"/>
      <c r="Z10" s="120"/>
      <c r="AA10" s="198" t="s">
        <v>28</v>
      </c>
      <c r="AB10" s="120" t="s">
        <v>373</v>
      </c>
      <c r="AC10" s="120"/>
    </row>
    <row r="11" spans="1:29" x14ac:dyDescent="0.25">
      <c r="A11" s="312" t="s">
        <v>93</v>
      </c>
      <c r="B11" s="120" t="s">
        <v>244</v>
      </c>
      <c r="C11" s="120" t="s">
        <v>246</v>
      </c>
      <c r="D11" s="120" t="s">
        <v>247</v>
      </c>
      <c r="E11" s="198"/>
      <c r="F11" s="120" t="s">
        <v>244</v>
      </c>
      <c r="G11" s="120" t="s">
        <v>246</v>
      </c>
      <c r="H11" s="120" t="s">
        <v>247</v>
      </c>
      <c r="I11" s="198"/>
      <c r="J11" s="120" t="s">
        <v>246</v>
      </c>
      <c r="K11" s="120" t="s">
        <v>247</v>
      </c>
      <c r="L11" s="120" t="s">
        <v>244</v>
      </c>
      <c r="M11" s="120" t="s">
        <v>246</v>
      </c>
      <c r="N11" s="120" t="s">
        <v>247</v>
      </c>
      <c r="O11" s="198"/>
      <c r="P11" s="120" t="s">
        <v>246</v>
      </c>
      <c r="Q11" s="120" t="s">
        <v>247</v>
      </c>
      <c r="R11" s="120" t="s">
        <v>244</v>
      </c>
      <c r="S11" s="120" t="s">
        <v>246</v>
      </c>
      <c r="T11" s="120" t="s">
        <v>247</v>
      </c>
      <c r="U11" s="198"/>
      <c r="V11" s="120" t="s">
        <v>246</v>
      </c>
      <c r="W11" s="120" t="s">
        <v>247</v>
      </c>
      <c r="X11" s="120" t="s">
        <v>244</v>
      </c>
      <c r="Y11" s="120" t="s">
        <v>246</v>
      </c>
      <c r="Z11" s="120" t="s">
        <v>247</v>
      </c>
      <c r="AA11" s="198"/>
      <c r="AB11" s="120" t="s">
        <v>246</v>
      </c>
      <c r="AC11" s="120" t="s">
        <v>247</v>
      </c>
    </row>
    <row r="12" spans="1:29" x14ac:dyDescent="0.25">
      <c r="A12" s="120"/>
      <c r="B12" s="120"/>
      <c r="C12" s="120"/>
      <c r="D12" s="120"/>
      <c r="E12" s="198"/>
      <c r="F12" s="120"/>
      <c r="G12" s="120"/>
      <c r="H12" s="120"/>
      <c r="I12" s="198"/>
      <c r="J12" s="120"/>
      <c r="K12" s="120"/>
      <c r="L12" s="120"/>
      <c r="M12" s="120"/>
      <c r="N12" s="120"/>
      <c r="O12" s="198"/>
      <c r="P12" s="120"/>
      <c r="Q12" s="120"/>
      <c r="R12" s="120"/>
      <c r="S12" s="120"/>
      <c r="T12" s="120"/>
      <c r="U12" s="198"/>
      <c r="V12" s="120"/>
      <c r="W12" s="120"/>
      <c r="X12" s="120"/>
      <c r="Y12" s="120"/>
      <c r="Z12" s="120"/>
      <c r="AA12" s="198"/>
      <c r="AB12" s="120"/>
      <c r="AC12" s="120"/>
    </row>
    <row r="13" spans="1:29" x14ac:dyDescent="0.25">
      <c r="A13" s="313" t="s">
        <v>683</v>
      </c>
      <c r="B13" s="314"/>
      <c r="C13" s="314"/>
      <c r="D13" s="314"/>
      <c r="E13" s="315"/>
      <c r="F13" s="314"/>
      <c r="G13" s="314"/>
      <c r="H13" s="314"/>
      <c r="I13" s="315"/>
      <c r="J13" s="314"/>
      <c r="K13" s="314"/>
      <c r="L13" s="314"/>
      <c r="M13" s="314"/>
      <c r="N13" s="314"/>
      <c r="O13" s="315"/>
      <c r="P13" s="314"/>
      <c r="Q13" s="314"/>
      <c r="R13" s="314"/>
      <c r="S13" s="314"/>
      <c r="T13" s="314"/>
      <c r="U13" s="315"/>
      <c r="V13" s="314"/>
      <c r="W13" s="314"/>
      <c r="X13" s="314"/>
      <c r="Y13" s="314"/>
      <c r="Z13" s="314"/>
      <c r="AA13" s="315"/>
      <c r="AB13" s="314"/>
      <c r="AC13" s="314"/>
    </row>
    <row r="14" spans="1:29" ht="12.75" customHeight="1" x14ac:dyDescent="0.25">
      <c r="A14" s="316" t="s">
        <v>863</v>
      </c>
      <c r="B14" s="316" t="s">
        <v>18</v>
      </c>
      <c r="C14" s="581">
        <v>0.62658255419993736</v>
      </c>
      <c r="D14" s="581">
        <v>2.9449380047397056E-2</v>
      </c>
      <c r="E14" s="982" t="s">
        <v>1338</v>
      </c>
      <c r="F14" s="316" t="s">
        <v>7</v>
      </c>
      <c r="G14" s="582">
        <v>1.073</v>
      </c>
      <c r="H14" s="582">
        <v>0</v>
      </c>
      <c r="I14" s="314" t="s">
        <v>1503</v>
      </c>
      <c r="J14" s="586">
        <f>C14*G14</f>
        <v>0.67232308065653279</v>
      </c>
      <c r="K14" s="586">
        <f>SQRT(((D14*G14)^2)+((C14*H14)^2))</f>
        <v>3.1599184790857042E-2</v>
      </c>
      <c r="L14" s="314" t="s">
        <v>8</v>
      </c>
      <c r="M14" s="582">
        <v>7.6999999999999999E-2</v>
      </c>
      <c r="N14" s="582">
        <v>0</v>
      </c>
      <c r="O14" s="314" t="s">
        <v>1504</v>
      </c>
      <c r="P14" s="591">
        <f>C14*M14</f>
        <v>4.8246856673395178E-2</v>
      </c>
      <c r="Q14" s="591">
        <f>SQRT(((D14*M14)^2)+((C14*N14)^2))</f>
        <v>2.2676022636495732E-3</v>
      </c>
      <c r="R14" s="314" t="s">
        <v>9</v>
      </c>
      <c r="S14" s="582">
        <v>1.5999999999999999E-5</v>
      </c>
      <c r="T14" s="582">
        <v>0</v>
      </c>
      <c r="U14" s="314" t="s">
        <v>1505</v>
      </c>
      <c r="V14" s="602">
        <f>C14*S14</f>
        <v>1.0025320867198998E-5</v>
      </c>
      <c r="W14" s="602">
        <f>SQRT(((D14*S14)^2)+((C14*T14)^2))</f>
        <v>4.7119008075835288E-7</v>
      </c>
      <c r="X14" s="314" t="s">
        <v>10</v>
      </c>
      <c r="Y14" s="582">
        <v>2.0800000000000001E-5</v>
      </c>
      <c r="Z14" s="582">
        <v>0</v>
      </c>
      <c r="AA14" s="314" t="s">
        <v>1506</v>
      </c>
      <c r="AB14" s="394">
        <f>C14*Y14</f>
        <v>1.3032917127358698E-5</v>
      </c>
      <c r="AC14" s="394">
        <f>SQRT(((D14*Y14)^2)+((C14*Z14)^2))</f>
        <v>6.1254710498585883E-7</v>
      </c>
    </row>
    <row r="15" spans="1:29" ht="12.75" customHeight="1" x14ac:dyDescent="0.25">
      <c r="A15" s="316" t="s">
        <v>864</v>
      </c>
      <c r="B15" s="316" t="s">
        <v>18</v>
      </c>
      <c r="C15" s="581">
        <v>0.14145560868509663</v>
      </c>
      <c r="D15" s="581">
        <v>1.0363501866666666E-2</v>
      </c>
      <c r="E15" s="319" t="s">
        <v>95</v>
      </c>
      <c r="F15" s="316" t="s">
        <v>7</v>
      </c>
      <c r="G15" s="581">
        <v>1</v>
      </c>
      <c r="H15" s="581">
        <v>0</v>
      </c>
      <c r="I15" s="319"/>
      <c r="J15" s="516">
        <f>$C15*$G15*$C$8</f>
        <v>0</v>
      </c>
      <c r="K15" s="516">
        <f>SQRT((($D15*$G15)^2)+(($C15*$H15)^2))*$C$8</f>
        <v>0</v>
      </c>
      <c r="L15" s="316" t="s">
        <v>218</v>
      </c>
      <c r="M15" s="581">
        <v>6.0333866666666663E-3</v>
      </c>
      <c r="N15" s="581">
        <v>6.9987285333333339E-4</v>
      </c>
      <c r="O15" s="319" t="s">
        <v>96</v>
      </c>
      <c r="P15" s="591">
        <f>M15*$C$8</f>
        <v>0</v>
      </c>
      <c r="Q15" s="591">
        <f>N15*$C$8</f>
        <v>0</v>
      </c>
      <c r="R15" s="316" t="s">
        <v>219</v>
      </c>
      <c r="S15" s="581">
        <v>9.5547959999999994E-6</v>
      </c>
      <c r="T15" s="581">
        <v>1.1083563360000001E-6</v>
      </c>
      <c r="U15" s="319" t="s">
        <v>97</v>
      </c>
      <c r="V15" s="602">
        <f>S15*$C$8</f>
        <v>0</v>
      </c>
      <c r="W15" s="602">
        <f>T15*$C$8</f>
        <v>0</v>
      </c>
      <c r="X15" s="316" t="s">
        <v>220</v>
      </c>
      <c r="Y15" s="581">
        <v>4.7570933333333328E-7</v>
      </c>
      <c r="Z15" s="581">
        <v>5.5182282666666666E-8</v>
      </c>
      <c r="AA15" s="319" t="s">
        <v>98</v>
      </c>
      <c r="AB15" s="394">
        <f>Y15*$C$8</f>
        <v>0</v>
      </c>
      <c r="AC15" s="394">
        <f>Z15*$C$8</f>
        <v>0</v>
      </c>
    </row>
    <row r="16" spans="1:29" ht="15" customHeight="1" x14ac:dyDescent="0.25">
      <c r="A16" s="316" t="s">
        <v>221</v>
      </c>
      <c r="B16" s="316" t="s">
        <v>12</v>
      </c>
      <c r="C16" s="581">
        <v>2</v>
      </c>
      <c r="D16" s="581">
        <f>C16*15/100</f>
        <v>0.3</v>
      </c>
      <c r="E16" s="319" t="s">
        <v>684</v>
      </c>
      <c r="F16" s="316"/>
      <c r="G16" s="321"/>
      <c r="H16" s="321"/>
      <c r="I16" s="319"/>
      <c r="J16" s="516">
        <f>($C$16/100)*$J$15</f>
        <v>0</v>
      </c>
      <c r="K16" s="516">
        <f>SQRT(((($D$16/100)*J15)^2)+((($C$16/100)*K15)^2))</f>
        <v>0</v>
      </c>
      <c r="L16" s="316"/>
      <c r="M16" s="321"/>
      <c r="N16" s="321"/>
      <c r="O16" s="319" t="s">
        <v>99</v>
      </c>
      <c r="P16" s="592">
        <f>($C$16/100)*$P15</f>
        <v>0</v>
      </c>
      <c r="Q16" s="592">
        <f>SQRT(((($D$16/100)*$P15)^2)+((($C$16/100)*$Q15)^2))</f>
        <v>0</v>
      </c>
      <c r="R16" s="316"/>
      <c r="S16" s="321"/>
      <c r="T16" s="321"/>
      <c r="U16" s="319" t="s">
        <v>118</v>
      </c>
      <c r="V16" s="603">
        <f>($C$16/100)*$V15</f>
        <v>0</v>
      </c>
      <c r="W16" s="603">
        <f>SQRT(((($D$16/100)*$V15)^2)+((($C$16/100)*$W15)^2))</f>
        <v>0</v>
      </c>
      <c r="X16" s="316"/>
      <c r="Y16" s="321"/>
      <c r="Z16" s="321"/>
      <c r="AA16" s="319" t="s">
        <v>119</v>
      </c>
      <c r="AB16" s="597">
        <f>($C$16/100)*$AB15</f>
        <v>0</v>
      </c>
      <c r="AC16" s="597">
        <f>SQRT(((($D$16/100)*$AB15)^2)+((($C$16/100)*$AC15)^2))</f>
        <v>0</v>
      </c>
    </row>
    <row r="17" spans="1:29" x14ac:dyDescent="0.25">
      <c r="A17" s="316"/>
      <c r="B17" s="316"/>
      <c r="C17" s="316"/>
      <c r="D17" s="316"/>
      <c r="E17" s="319"/>
      <c r="F17" s="316"/>
      <c r="G17" s="316"/>
      <c r="H17" s="316"/>
      <c r="I17" s="319"/>
      <c r="J17" s="514"/>
      <c r="K17" s="514"/>
      <c r="L17" s="316"/>
      <c r="M17" s="316"/>
      <c r="N17" s="316"/>
      <c r="O17" s="319"/>
      <c r="P17" s="593"/>
      <c r="Q17" s="593"/>
      <c r="R17" s="316"/>
      <c r="S17" s="316"/>
      <c r="T17" s="316"/>
      <c r="U17" s="319"/>
      <c r="V17" s="604"/>
      <c r="W17" s="604"/>
      <c r="X17" s="316"/>
      <c r="Y17" s="316"/>
      <c r="Z17" s="316"/>
      <c r="AA17" s="319"/>
      <c r="AB17" s="598"/>
      <c r="AC17" s="598"/>
    </row>
    <row r="18" spans="1:29" x14ac:dyDescent="0.25">
      <c r="A18" s="322" t="s">
        <v>19</v>
      </c>
      <c r="B18" s="322"/>
      <c r="C18" s="322"/>
      <c r="D18" s="322"/>
      <c r="E18" s="323"/>
      <c r="F18" s="322"/>
      <c r="G18" s="322"/>
      <c r="H18" s="322"/>
      <c r="I18" s="323"/>
      <c r="J18" s="515">
        <f>SUM(J14:J16)</f>
        <v>0.67232308065653279</v>
      </c>
      <c r="K18" s="515">
        <f>SQRT((K14^2)+(K15^2)+(K16^2))</f>
        <v>3.1599184790857042E-2</v>
      </c>
      <c r="L18" s="322"/>
      <c r="M18" s="322"/>
      <c r="N18" s="322"/>
      <c r="O18" s="323"/>
      <c r="P18" s="594">
        <f>SUM(P14:P16)</f>
        <v>4.8246856673395178E-2</v>
      </c>
      <c r="Q18" s="594">
        <f>SQRT((Q14^2)+(Q15^2)+(Q16^2))</f>
        <v>2.2676022636495732E-3</v>
      </c>
      <c r="R18" s="322"/>
      <c r="S18" s="322"/>
      <c r="T18" s="322"/>
      <c r="U18" s="323"/>
      <c r="V18" s="605">
        <f>SUM(V14:V16)</f>
        <v>1.0025320867198998E-5</v>
      </c>
      <c r="W18" s="605">
        <f>SQRT((W14^2)+(W15^2)+(W16^2))</f>
        <v>4.7119008075835288E-7</v>
      </c>
      <c r="X18" s="322"/>
      <c r="Y18" s="322"/>
      <c r="Z18" s="322"/>
      <c r="AA18" s="323"/>
      <c r="AB18" s="599">
        <f>SUM(AB14:AB16)</f>
        <v>1.3032917127358698E-5</v>
      </c>
      <c r="AC18" s="599">
        <f>SQRT((AC14^2)+(AC15^2)+(AC16^2))</f>
        <v>6.1254710498585883E-7</v>
      </c>
    </row>
    <row r="19" spans="1:29" x14ac:dyDescent="0.25">
      <c r="J19" s="587"/>
      <c r="K19" s="587"/>
      <c r="P19" s="325"/>
      <c r="Q19" s="325"/>
      <c r="V19" s="326"/>
      <c r="W19" s="326"/>
      <c r="AB19" s="600"/>
      <c r="AC19" s="600"/>
    </row>
    <row r="20" spans="1:29" x14ac:dyDescent="0.25">
      <c r="A20" s="324" t="s">
        <v>685</v>
      </c>
      <c r="J20" s="587"/>
      <c r="K20" s="587"/>
      <c r="P20" s="325"/>
      <c r="Q20" s="325"/>
      <c r="V20" s="326"/>
      <c r="W20" s="326"/>
      <c r="AB20" s="600"/>
      <c r="AC20" s="600"/>
    </row>
    <row r="21" spans="1:29" ht="14.25" customHeight="1" x14ac:dyDescent="0.25">
      <c r="A21" s="316" t="s">
        <v>863</v>
      </c>
      <c r="B21" s="316" t="s">
        <v>18</v>
      </c>
      <c r="C21" s="581">
        <v>0.56099542181382334</v>
      </c>
      <c r="D21" s="581">
        <v>2.6366784825249696E-2</v>
      </c>
      <c r="E21" s="982" t="s">
        <v>1338</v>
      </c>
      <c r="F21" s="316" t="s">
        <v>7</v>
      </c>
      <c r="G21" s="582">
        <v>1.073</v>
      </c>
      <c r="H21" s="582">
        <v>0</v>
      </c>
      <c r="I21" s="314" t="s">
        <v>1503</v>
      </c>
      <c r="J21" s="586">
        <f>C21*G21</f>
        <v>0.60194808760623242</v>
      </c>
      <c r="K21" s="586">
        <f>SQRT(((D21*G21)^2)+((C21*H21)^2))</f>
        <v>2.8291560117492922E-2</v>
      </c>
      <c r="L21" s="314" t="s">
        <v>8</v>
      </c>
      <c r="M21" s="582">
        <v>7.6999999999999999E-2</v>
      </c>
      <c r="N21" s="582">
        <v>0</v>
      </c>
      <c r="O21" s="314" t="s">
        <v>1504</v>
      </c>
      <c r="P21" s="591">
        <f>C21*M21</f>
        <v>4.3196647479664396E-2</v>
      </c>
      <c r="Q21" s="591">
        <f>SQRT(((D21*M21)^2)+((C21*N21)^2))</f>
        <v>2.0302424315442264E-3</v>
      </c>
      <c r="R21" s="314" t="s">
        <v>9</v>
      </c>
      <c r="S21" s="582">
        <v>1.5999999999999999E-5</v>
      </c>
      <c r="T21" s="582">
        <v>0</v>
      </c>
      <c r="U21" s="314" t="s">
        <v>1505</v>
      </c>
      <c r="V21" s="602">
        <f>C21*S21</f>
        <v>8.9759267490211735E-6</v>
      </c>
      <c r="W21" s="602">
        <f>SQRT(((D21*S21)^2)+((C21*T21)^2))</f>
        <v>4.2186855720399514E-7</v>
      </c>
      <c r="X21" s="314" t="s">
        <v>10</v>
      </c>
      <c r="Y21" s="582">
        <v>2.0800000000000001E-5</v>
      </c>
      <c r="Z21" s="582">
        <v>0</v>
      </c>
      <c r="AA21" s="314" t="s">
        <v>1506</v>
      </c>
      <c r="AB21" s="394">
        <f>C21*Y21</f>
        <v>1.1668704773727526E-5</v>
      </c>
      <c r="AC21" s="394">
        <f>SQRT(((D21*Y21)^2)+((C21*Z21)^2))</f>
        <v>5.484291243651937E-7</v>
      </c>
    </row>
    <row r="22" spans="1:29" ht="15" customHeight="1" x14ac:dyDescent="0.25">
      <c r="A22" s="316" t="s">
        <v>864</v>
      </c>
      <c r="B22" s="316" t="s">
        <v>18</v>
      </c>
      <c r="C22" s="581">
        <v>0.12661999111841793</v>
      </c>
      <c r="D22" s="581">
        <v>8.3218218039215683E-3</v>
      </c>
      <c r="E22" s="319" t="s">
        <v>95</v>
      </c>
      <c r="F22" s="316" t="s">
        <v>7</v>
      </c>
      <c r="G22" s="581">
        <v>1</v>
      </c>
      <c r="H22" s="581">
        <v>0</v>
      </c>
      <c r="I22" s="319"/>
      <c r="J22" s="516">
        <f>$C22*$G22*$C$8</f>
        <v>0</v>
      </c>
      <c r="K22" s="516">
        <f>SQRT((($D22*$G22)^2)+(($C22*$H22)^2))*$C$8</f>
        <v>0</v>
      </c>
      <c r="L22" s="316" t="s">
        <v>218</v>
      </c>
      <c r="M22" s="581">
        <v>4.8447686274509802E-3</v>
      </c>
      <c r="N22" s="581">
        <v>5.619931607843137E-4</v>
      </c>
      <c r="O22" s="319" t="s">
        <v>96</v>
      </c>
      <c r="P22" s="591">
        <f>M22*$C$8</f>
        <v>0</v>
      </c>
      <c r="Q22" s="591">
        <f>N22*$C$8</f>
        <v>0</v>
      </c>
      <c r="R22" s="316" t="s">
        <v>219</v>
      </c>
      <c r="S22" s="581">
        <v>7.6724364705882355E-6</v>
      </c>
      <c r="T22" s="581">
        <v>8.9000263058823523E-7</v>
      </c>
      <c r="U22" s="319" t="s">
        <v>97</v>
      </c>
      <c r="V22" s="602">
        <f>S22*$C$8</f>
        <v>0</v>
      </c>
      <c r="W22" s="602">
        <f>T22*$C$8</f>
        <v>0</v>
      </c>
      <c r="X22" s="316" t="s">
        <v>220</v>
      </c>
      <c r="Y22" s="581">
        <v>3.8199137254901959E-7</v>
      </c>
      <c r="Z22" s="581">
        <v>4.4310999215686275E-8</v>
      </c>
      <c r="AA22" s="319" t="s">
        <v>98</v>
      </c>
      <c r="AB22" s="394">
        <f>Y22*$C$8</f>
        <v>0</v>
      </c>
      <c r="AC22" s="394">
        <f>Z22*$C$8</f>
        <v>0</v>
      </c>
    </row>
    <row r="23" spans="1:29" ht="14.25" customHeight="1" x14ac:dyDescent="0.25">
      <c r="A23" s="316" t="s">
        <v>221</v>
      </c>
      <c r="B23" s="316" t="s">
        <v>12</v>
      </c>
      <c r="C23" s="581">
        <v>2</v>
      </c>
      <c r="D23" s="581">
        <f>C23*15/100</f>
        <v>0.3</v>
      </c>
      <c r="E23" s="319" t="s">
        <v>684</v>
      </c>
      <c r="F23" s="316"/>
      <c r="G23" s="321"/>
      <c r="H23" s="321"/>
      <c r="I23" s="319"/>
      <c r="J23" s="516">
        <f>($C$16/100)*$J$15</f>
        <v>0</v>
      </c>
      <c r="K23" s="516">
        <f>SQRT(((($D$16/100)*J22)^2)+((($C$16/100)*K22)^2))</f>
        <v>0</v>
      </c>
      <c r="L23" s="316"/>
      <c r="M23" s="321"/>
      <c r="N23" s="321"/>
      <c r="O23" s="319" t="s">
        <v>99</v>
      </c>
      <c r="P23" s="592">
        <f>($C$16/100)*$P22</f>
        <v>0</v>
      </c>
      <c r="Q23" s="592">
        <f>SQRT(((($D$16/100)*$P22)^2)+((($C$16/100)*$Q22)^2))</f>
        <v>0</v>
      </c>
      <c r="R23" s="316"/>
      <c r="S23" s="321"/>
      <c r="T23" s="321"/>
      <c r="U23" s="319" t="s">
        <v>118</v>
      </c>
      <c r="V23" s="603">
        <f>($C$16/100)*$V22</f>
        <v>0</v>
      </c>
      <c r="W23" s="603">
        <f>SQRT(((($D$16/100)*$V22)^2)+((($C$16/100)*$W22)^2))</f>
        <v>0</v>
      </c>
      <c r="X23" s="316"/>
      <c r="Y23" s="321"/>
      <c r="Z23" s="321"/>
      <c r="AA23" s="319" t="s">
        <v>119</v>
      </c>
      <c r="AB23" s="597">
        <f>($C$16/100)*$AB22</f>
        <v>0</v>
      </c>
      <c r="AC23" s="597">
        <f>SQRT(((($D$16/100)*$AB22)^2)+((($C$16/100)*$AC22)^2))</f>
        <v>0</v>
      </c>
    </row>
    <row r="24" spans="1:29" x14ac:dyDescent="0.25">
      <c r="A24" s="316"/>
      <c r="B24" s="316"/>
      <c r="C24" s="316"/>
      <c r="D24" s="316"/>
      <c r="E24" s="319"/>
      <c r="F24" s="316"/>
      <c r="G24" s="316"/>
      <c r="H24" s="316"/>
      <c r="I24" s="319"/>
      <c r="J24" s="514"/>
      <c r="K24" s="514"/>
      <c r="L24" s="316"/>
      <c r="M24" s="316"/>
      <c r="N24" s="316"/>
      <c r="O24" s="319"/>
      <c r="P24" s="593"/>
      <c r="Q24" s="593"/>
      <c r="R24" s="316"/>
      <c r="S24" s="316"/>
      <c r="T24" s="316"/>
      <c r="U24" s="319"/>
      <c r="V24" s="604"/>
      <c r="W24" s="604"/>
      <c r="X24" s="316"/>
      <c r="Y24" s="316"/>
      <c r="Z24" s="316"/>
      <c r="AA24" s="319"/>
      <c r="AB24" s="598"/>
      <c r="AC24" s="598"/>
    </row>
    <row r="25" spans="1:29" x14ac:dyDescent="0.25">
      <c r="A25" s="322" t="s">
        <v>19</v>
      </c>
      <c r="B25" s="322"/>
      <c r="C25" s="322"/>
      <c r="D25" s="322"/>
      <c r="E25" s="323"/>
      <c r="F25" s="322"/>
      <c r="G25" s="322"/>
      <c r="H25" s="322"/>
      <c r="I25" s="323"/>
      <c r="J25" s="515">
        <f>SUM(J21:J23)</f>
        <v>0.60194808760623242</v>
      </c>
      <c r="K25" s="515">
        <f>SQRT((K21^2)+(K22^2)+(K23^2))</f>
        <v>2.8291560117492922E-2</v>
      </c>
      <c r="L25" s="322"/>
      <c r="M25" s="322"/>
      <c r="N25" s="322"/>
      <c r="O25" s="323"/>
      <c r="P25" s="594">
        <f>SUM(P21:P23)</f>
        <v>4.3196647479664396E-2</v>
      </c>
      <c r="Q25" s="594">
        <f>SQRT((Q21^2)+(Q22^2)+(Q23^2))</f>
        <v>2.0302424315442264E-3</v>
      </c>
      <c r="R25" s="322"/>
      <c r="S25" s="322"/>
      <c r="T25" s="322"/>
      <c r="U25" s="323"/>
      <c r="V25" s="605">
        <f>SUM(V21:V23)</f>
        <v>8.9759267490211735E-6</v>
      </c>
      <c r="W25" s="605">
        <f>SQRT((W21^2)+(W22^2)+(W23^2))</f>
        <v>4.2186855720399514E-7</v>
      </c>
      <c r="X25" s="322"/>
      <c r="Y25" s="322"/>
      <c r="Z25" s="322"/>
      <c r="AA25" s="323"/>
      <c r="AB25" s="599">
        <f>SUM(AB21:AB23)</f>
        <v>1.1668704773727526E-5</v>
      </c>
      <c r="AC25" s="599">
        <f>SQRT((AC21^2)+(AC22^2)+(AC23^2))</f>
        <v>5.484291243651937E-7</v>
      </c>
    </row>
    <row r="26" spans="1:29" x14ac:dyDescent="0.25">
      <c r="J26" s="587"/>
      <c r="K26" s="587"/>
      <c r="P26" s="325"/>
      <c r="Q26" s="325"/>
      <c r="V26" s="326"/>
      <c r="W26" s="326"/>
      <c r="AB26" s="600"/>
      <c r="AC26" s="600"/>
    </row>
    <row r="27" spans="1:29" x14ac:dyDescent="0.25">
      <c r="A27" s="152" t="s">
        <v>374</v>
      </c>
      <c r="J27" s="588"/>
      <c r="K27" s="588"/>
      <c r="P27" s="325"/>
      <c r="Q27" s="325"/>
      <c r="V27" s="326"/>
      <c r="W27" s="326"/>
      <c r="AB27" s="600"/>
      <c r="AC27" s="600"/>
    </row>
    <row r="28" spans="1:29" x14ac:dyDescent="0.25">
      <c r="A28" s="152" t="s">
        <v>863</v>
      </c>
      <c r="J28" s="589">
        <f>IF($C$7=44,J14,J21)</f>
        <v>0.67232308065653279</v>
      </c>
      <c r="K28" s="589">
        <f>IF($C$7=44,K14,K21)</f>
        <v>3.1599184790857042E-2</v>
      </c>
      <c r="P28" s="589">
        <f>IF($C$7=44,P14,P21)</f>
        <v>4.8246856673395178E-2</v>
      </c>
      <c r="Q28" s="589">
        <f>IF($C$7=44,Q14,Q21)</f>
        <v>2.2676022636495732E-3</v>
      </c>
      <c r="V28" s="1077">
        <f>IF($C$7=44,V14,V21)</f>
        <v>1.0025320867198998E-5</v>
      </c>
      <c r="W28" s="1077">
        <f>IF($C$7=44,W14,W21)</f>
        <v>4.7119008075835288E-7</v>
      </c>
      <c r="X28" s="1078"/>
      <c r="Y28" s="1078"/>
      <c r="Z28" s="1078"/>
      <c r="AA28" s="1078"/>
      <c r="AB28" s="1077">
        <f>IF($C$7=44,AB14,AB21)</f>
        <v>1.3032917127358698E-5</v>
      </c>
      <c r="AC28" s="1077">
        <f>IF($C$7=44,AC14,AC21)</f>
        <v>6.1254710498585883E-7</v>
      </c>
    </row>
    <row r="29" spans="1:29" x14ac:dyDescent="0.25">
      <c r="A29" s="152" t="s">
        <v>865</v>
      </c>
      <c r="J29" s="589">
        <f t="shared" ref="J29:K32" si="0">IF($C$7=44,J15,J22)</f>
        <v>0</v>
      </c>
      <c r="K29" s="589">
        <f t="shared" si="0"/>
        <v>0</v>
      </c>
      <c r="P29" s="589">
        <f t="shared" ref="P29:Q29" si="1">IF($C$7=44,P15,P22)</f>
        <v>0</v>
      </c>
      <c r="Q29" s="589">
        <f t="shared" si="1"/>
        <v>0</v>
      </c>
      <c r="V29" s="1077">
        <f t="shared" ref="V29:W29" si="2">IF($C$7=44,V15,V22)</f>
        <v>0</v>
      </c>
      <c r="W29" s="1077">
        <f t="shared" si="2"/>
        <v>0</v>
      </c>
      <c r="X29" s="1078"/>
      <c r="Y29" s="1078"/>
      <c r="Z29" s="1078"/>
      <c r="AA29" s="1078"/>
      <c r="AB29" s="1077">
        <f t="shared" ref="AB29:AC29" si="3">IF($C$7=44,AB15,AB22)</f>
        <v>0</v>
      </c>
      <c r="AC29" s="1077">
        <f t="shared" si="3"/>
        <v>0</v>
      </c>
    </row>
    <row r="30" spans="1:29" x14ac:dyDescent="0.25">
      <c r="A30" s="152" t="s">
        <v>221</v>
      </c>
      <c r="J30" s="589">
        <f t="shared" si="0"/>
        <v>0</v>
      </c>
      <c r="K30" s="589">
        <f t="shared" si="0"/>
        <v>0</v>
      </c>
      <c r="P30" s="589">
        <f t="shared" ref="P30:Q30" si="4">IF($C$7=44,P16,P23)</f>
        <v>0</v>
      </c>
      <c r="Q30" s="589">
        <f t="shared" si="4"/>
        <v>0</v>
      </c>
      <c r="V30" s="1077">
        <f t="shared" ref="V30:W30" si="5">IF($C$7=44,V16,V23)</f>
        <v>0</v>
      </c>
      <c r="W30" s="1077">
        <f t="shared" si="5"/>
        <v>0</v>
      </c>
      <c r="X30" s="1078"/>
      <c r="Y30" s="1078"/>
      <c r="Z30" s="1078"/>
      <c r="AA30" s="1078"/>
      <c r="AB30" s="1077">
        <f t="shared" ref="AB30:AC30" si="6">IF($C$7=44,AB16,AB23)</f>
        <v>0</v>
      </c>
      <c r="AC30" s="1077">
        <f t="shared" si="6"/>
        <v>0</v>
      </c>
    </row>
    <row r="31" spans="1:29" x14ac:dyDescent="0.25">
      <c r="A31" s="2"/>
      <c r="J31" s="587"/>
      <c r="K31" s="587"/>
      <c r="P31" s="587"/>
      <c r="Q31" s="587"/>
      <c r="V31" s="1080"/>
      <c r="W31" s="1080"/>
      <c r="X31" s="1078"/>
      <c r="Y31" s="1078"/>
      <c r="Z31" s="1078"/>
      <c r="AA31" s="1078"/>
      <c r="AB31" s="1080"/>
      <c r="AC31" s="1080"/>
    </row>
    <row r="32" spans="1:29" x14ac:dyDescent="0.25">
      <c r="A32" s="2" t="s">
        <v>375</v>
      </c>
      <c r="J32" s="590">
        <f t="shared" si="0"/>
        <v>0.67232308065653279</v>
      </c>
      <c r="K32" s="590">
        <f t="shared" si="0"/>
        <v>3.1599184790857042E-2</v>
      </c>
      <c r="P32" s="590">
        <f t="shared" ref="P32:Q32" si="7">IF($C$7=44,P18,P25)</f>
        <v>4.8246856673395178E-2</v>
      </c>
      <c r="Q32" s="590">
        <f t="shared" si="7"/>
        <v>2.2676022636495732E-3</v>
      </c>
      <c r="V32" s="1081">
        <f t="shared" ref="V32:W32" si="8">IF($C$7=44,V18,V25)</f>
        <v>1.0025320867198998E-5</v>
      </c>
      <c r="W32" s="1081">
        <f t="shared" si="8"/>
        <v>4.7119008075835288E-7</v>
      </c>
      <c r="X32" s="1078"/>
      <c r="Y32" s="1078"/>
      <c r="Z32" s="1078"/>
      <c r="AA32" s="1078"/>
      <c r="AB32" s="1081">
        <f t="shared" ref="AB32:AC32" si="9">IF($C$7=44,AB18,AB25)</f>
        <v>1.3032917127358698E-5</v>
      </c>
      <c r="AC32" s="1081">
        <f t="shared" si="9"/>
        <v>6.1254710498585883E-7</v>
      </c>
    </row>
  </sheetData>
  <pageMargins left="0.75" right="0.75" top="1" bottom="1" header="0.5" footer="0.5"/>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2"/>
  <sheetViews>
    <sheetView workbookViewId="0">
      <pane xSplit="1" ySplit="11" topLeftCell="B12" activePane="bottomRight" state="frozen"/>
      <selection pane="topRight"/>
      <selection pane="bottomLeft"/>
      <selection pane="bottomRight"/>
    </sheetView>
  </sheetViews>
  <sheetFormatPr defaultColWidth="9.109375" defaultRowHeight="13.2" x14ac:dyDescent="0.25"/>
  <cols>
    <col min="1" max="1" width="46.44140625" style="118" customWidth="1"/>
    <col min="2" max="2" width="15.33203125" style="118" customWidth="1"/>
    <col min="3" max="3" width="11.5546875" style="118" customWidth="1"/>
    <col min="4" max="9" width="9.109375" style="118"/>
    <col min="10" max="10" width="13.33203125" style="118" customWidth="1"/>
    <col min="11" max="11" width="14.33203125" style="118" customWidth="1"/>
    <col min="12" max="15" width="9.109375" style="118"/>
    <col min="16" max="16" width="17.5546875" style="118" customWidth="1"/>
    <col min="17" max="17" width="17.6640625" style="118" customWidth="1"/>
    <col min="18" max="21" width="9.109375" style="118"/>
    <col min="22" max="22" width="15.6640625" style="118" customWidth="1"/>
    <col min="23" max="23" width="18" style="118" customWidth="1"/>
    <col min="24" max="27" width="9.109375" style="118"/>
    <col min="28" max="28" width="17.109375" style="118" customWidth="1"/>
    <col min="29" max="29" width="17.6640625" style="118" customWidth="1"/>
    <col min="30" max="16384" width="9.109375" style="118"/>
  </cols>
  <sheetData>
    <row r="1" spans="1:29" x14ac:dyDescent="0.25">
      <c r="A1" s="152" t="s">
        <v>238</v>
      </c>
      <c r="B1" s="291" t="s">
        <v>688</v>
      </c>
    </row>
    <row r="2" spans="1:29" x14ac:dyDescent="0.25">
      <c r="A2" s="152" t="s">
        <v>241</v>
      </c>
      <c r="B2" s="118" t="s">
        <v>168</v>
      </c>
    </row>
    <row r="3" spans="1:29" x14ac:dyDescent="0.25">
      <c r="A3" s="152" t="s">
        <v>239</v>
      </c>
      <c r="B3" s="118" t="s">
        <v>169</v>
      </c>
    </row>
    <row r="4" spans="1:29" x14ac:dyDescent="0.25">
      <c r="A4" s="152" t="s">
        <v>240</v>
      </c>
      <c r="B4" s="1">
        <v>2001</v>
      </c>
    </row>
    <row r="5" spans="1:29" x14ac:dyDescent="0.25">
      <c r="A5" s="152"/>
    </row>
    <row r="6" spans="1:29" x14ac:dyDescent="0.25">
      <c r="A6" s="578" t="s">
        <v>415</v>
      </c>
      <c r="B6" s="411"/>
      <c r="C6" s="412"/>
      <c r="E6" s="983"/>
    </row>
    <row r="7" spans="1:29" x14ac:dyDescent="0.25">
      <c r="A7" s="584" t="s">
        <v>587</v>
      </c>
      <c r="B7" s="585" t="s">
        <v>440</v>
      </c>
      <c r="C7" s="583">
        <f>Unitflowchart!S327</f>
        <v>44</v>
      </c>
    </row>
    <row r="8" spans="1:29" x14ac:dyDescent="0.25">
      <c r="A8" s="413" t="s">
        <v>369</v>
      </c>
      <c r="B8" s="414" t="s">
        <v>370</v>
      </c>
      <c r="C8" s="415">
        <f>include_machinery</f>
        <v>0</v>
      </c>
    </row>
    <row r="10" spans="1:29" x14ac:dyDescent="0.25">
      <c r="A10" s="120" t="s">
        <v>243</v>
      </c>
      <c r="B10" s="120" t="s">
        <v>242</v>
      </c>
      <c r="C10" s="120"/>
      <c r="D10" s="120"/>
      <c r="E10" s="198" t="s">
        <v>28</v>
      </c>
      <c r="F10" s="120" t="s">
        <v>245</v>
      </c>
      <c r="G10" s="120"/>
      <c r="H10" s="120"/>
      <c r="I10" s="198" t="s">
        <v>28</v>
      </c>
      <c r="J10" s="120" t="s">
        <v>92</v>
      </c>
      <c r="K10" s="120"/>
      <c r="L10" s="120" t="s">
        <v>249</v>
      </c>
      <c r="M10" s="120"/>
      <c r="N10" s="120"/>
      <c r="O10" s="198" t="s">
        <v>28</v>
      </c>
      <c r="P10" s="120" t="s">
        <v>371</v>
      </c>
      <c r="Q10" s="120"/>
      <c r="R10" s="120" t="s">
        <v>251</v>
      </c>
      <c r="S10" s="120"/>
      <c r="T10" s="120"/>
      <c r="U10" s="198" t="s">
        <v>28</v>
      </c>
      <c r="V10" s="120" t="s">
        <v>372</v>
      </c>
      <c r="W10" s="120"/>
      <c r="X10" s="120" t="s">
        <v>253</v>
      </c>
      <c r="Y10" s="120"/>
      <c r="Z10" s="120"/>
      <c r="AA10" s="198" t="s">
        <v>28</v>
      </c>
      <c r="AB10" s="120" t="s">
        <v>373</v>
      </c>
      <c r="AC10" s="120"/>
    </row>
    <row r="11" spans="1:29" x14ac:dyDescent="0.25">
      <c r="A11" s="312" t="s">
        <v>93</v>
      </c>
      <c r="B11" s="120" t="s">
        <v>244</v>
      </c>
      <c r="C11" s="120" t="s">
        <v>246</v>
      </c>
      <c r="D11" s="120" t="s">
        <v>247</v>
      </c>
      <c r="E11" s="198"/>
      <c r="F11" s="120" t="s">
        <v>244</v>
      </c>
      <c r="G11" s="120" t="s">
        <v>246</v>
      </c>
      <c r="H11" s="120" t="s">
        <v>247</v>
      </c>
      <c r="I11" s="198"/>
      <c r="J11" s="120" t="s">
        <v>246</v>
      </c>
      <c r="K11" s="120" t="s">
        <v>247</v>
      </c>
      <c r="L11" s="120" t="s">
        <v>244</v>
      </c>
      <c r="M11" s="120" t="s">
        <v>246</v>
      </c>
      <c r="N11" s="120" t="s">
        <v>247</v>
      </c>
      <c r="O11" s="198"/>
      <c r="P11" s="120" t="s">
        <v>246</v>
      </c>
      <c r="Q11" s="120" t="s">
        <v>247</v>
      </c>
      <c r="R11" s="120" t="s">
        <v>244</v>
      </c>
      <c r="S11" s="120" t="s">
        <v>246</v>
      </c>
      <c r="T11" s="120" t="s">
        <v>247</v>
      </c>
      <c r="U11" s="198"/>
      <c r="V11" s="120" t="s">
        <v>246</v>
      </c>
      <c r="W11" s="120" t="s">
        <v>247</v>
      </c>
      <c r="X11" s="120" t="s">
        <v>244</v>
      </c>
      <c r="Y11" s="120" t="s">
        <v>246</v>
      </c>
      <c r="Z11" s="120" t="s">
        <v>247</v>
      </c>
      <c r="AA11" s="198"/>
      <c r="AB11" s="120" t="s">
        <v>246</v>
      </c>
      <c r="AC11" s="120" t="s">
        <v>247</v>
      </c>
    </row>
    <row r="12" spans="1:29" x14ac:dyDescent="0.25">
      <c r="A12" s="120"/>
      <c r="B12" s="120"/>
      <c r="C12" s="120"/>
      <c r="D12" s="120"/>
      <c r="E12" s="198"/>
      <c r="F12" s="120"/>
      <c r="G12" s="120"/>
      <c r="H12" s="120"/>
      <c r="I12" s="198"/>
      <c r="J12" s="120"/>
      <c r="K12" s="120"/>
      <c r="L12" s="120"/>
      <c r="M12" s="120"/>
      <c r="N12" s="120"/>
      <c r="O12" s="198"/>
      <c r="P12" s="120"/>
      <c r="Q12" s="120"/>
      <c r="R12" s="120"/>
      <c r="S12" s="120"/>
      <c r="T12" s="120"/>
      <c r="U12" s="198"/>
      <c r="V12" s="120"/>
      <c r="W12" s="120"/>
      <c r="X12" s="120"/>
      <c r="Y12" s="120"/>
      <c r="Z12" s="120"/>
      <c r="AA12" s="198"/>
      <c r="AB12" s="120"/>
      <c r="AC12" s="120"/>
    </row>
    <row r="13" spans="1:29" x14ac:dyDescent="0.25">
      <c r="A13" s="313" t="s">
        <v>683</v>
      </c>
      <c r="B13" s="314"/>
      <c r="C13" s="314"/>
      <c r="D13" s="314"/>
      <c r="E13" s="315"/>
      <c r="F13" s="314"/>
      <c r="G13" s="314"/>
      <c r="H13" s="314"/>
      <c r="I13" s="315"/>
      <c r="J13" s="314"/>
      <c r="K13" s="314"/>
      <c r="L13" s="314"/>
      <c r="M13" s="314"/>
      <c r="N13" s="314"/>
      <c r="O13" s="315"/>
      <c r="P13" s="314"/>
      <c r="Q13" s="314"/>
      <c r="R13" s="314"/>
      <c r="S13" s="314"/>
      <c r="T13" s="314"/>
      <c r="U13" s="315"/>
      <c r="V13" s="314"/>
      <c r="W13" s="314"/>
      <c r="X13" s="314"/>
      <c r="Y13" s="314"/>
      <c r="Z13" s="314"/>
      <c r="AA13" s="315"/>
      <c r="AB13" s="314"/>
      <c r="AC13" s="314"/>
    </row>
    <row r="14" spans="1:29" ht="12.75" customHeight="1" x14ac:dyDescent="0.25">
      <c r="A14" s="316" t="s">
        <v>863</v>
      </c>
      <c r="B14" s="316" t="s">
        <v>18</v>
      </c>
      <c r="C14" s="581">
        <v>0.62658255419993736</v>
      </c>
      <c r="D14" s="581">
        <v>2.9449380047397056E-2</v>
      </c>
      <c r="E14" s="982" t="s">
        <v>1338</v>
      </c>
      <c r="F14" s="316" t="s">
        <v>7</v>
      </c>
      <c r="G14" s="582">
        <v>1.073</v>
      </c>
      <c r="H14" s="582">
        <v>0</v>
      </c>
      <c r="I14" s="314" t="s">
        <v>1503</v>
      </c>
      <c r="J14" s="586">
        <f>C14*G14</f>
        <v>0.67232308065653279</v>
      </c>
      <c r="K14" s="586">
        <f>SQRT(((D14*G14)^2)+((C14*H14)^2))</f>
        <v>3.1599184790857042E-2</v>
      </c>
      <c r="L14" s="314" t="s">
        <v>8</v>
      </c>
      <c r="M14" s="582">
        <v>7.6999999999999999E-2</v>
      </c>
      <c r="N14" s="582">
        <v>0</v>
      </c>
      <c r="O14" s="314" t="s">
        <v>1504</v>
      </c>
      <c r="P14" s="591">
        <f>C14*M14</f>
        <v>4.8246856673395178E-2</v>
      </c>
      <c r="Q14" s="591">
        <f>SQRT(((D14*M14)^2)+((C14*N14)^2))</f>
        <v>2.2676022636495732E-3</v>
      </c>
      <c r="R14" s="314" t="s">
        <v>9</v>
      </c>
      <c r="S14" s="582">
        <v>1.5999999999999999E-5</v>
      </c>
      <c r="T14" s="582">
        <v>0</v>
      </c>
      <c r="U14" s="314" t="s">
        <v>1505</v>
      </c>
      <c r="V14" s="602">
        <f>C14*S14</f>
        <v>1.0025320867198998E-5</v>
      </c>
      <c r="W14" s="602">
        <f>SQRT(((D14*S14)^2)+((C14*T14)^2))</f>
        <v>4.7119008075835288E-7</v>
      </c>
      <c r="X14" s="314" t="s">
        <v>10</v>
      </c>
      <c r="Y14" s="582">
        <v>2.0800000000000001E-5</v>
      </c>
      <c r="Z14" s="582">
        <v>0</v>
      </c>
      <c r="AA14" s="314" t="s">
        <v>1506</v>
      </c>
      <c r="AB14" s="394">
        <f>C14*Y14</f>
        <v>1.3032917127358698E-5</v>
      </c>
      <c r="AC14" s="394">
        <f>SQRT(((D14*Y14)^2)+((C14*Z14)^2))</f>
        <v>6.1254710498585883E-7</v>
      </c>
    </row>
    <row r="15" spans="1:29" ht="12.75" customHeight="1" x14ac:dyDescent="0.25">
      <c r="A15" s="316" t="s">
        <v>864</v>
      </c>
      <c r="B15" s="316" t="s">
        <v>18</v>
      </c>
      <c r="C15" s="581">
        <v>0.14145560868509663</v>
      </c>
      <c r="D15" s="581">
        <v>1.0363501866666666E-2</v>
      </c>
      <c r="E15" s="319" t="s">
        <v>95</v>
      </c>
      <c r="F15" s="316" t="s">
        <v>7</v>
      </c>
      <c r="G15" s="581">
        <v>1</v>
      </c>
      <c r="H15" s="581">
        <v>0</v>
      </c>
      <c r="I15" s="319"/>
      <c r="J15" s="516">
        <f>$C15*$G15*$C$8</f>
        <v>0</v>
      </c>
      <c r="K15" s="516">
        <f>SQRT((($D15*$G15)^2)+(($C15*$H15)^2))*$C$8</f>
        <v>0</v>
      </c>
      <c r="L15" s="316" t="s">
        <v>218</v>
      </c>
      <c r="M15" s="581">
        <v>6.0333866666666663E-3</v>
      </c>
      <c r="N15" s="581">
        <v>6.9987285333333339E-4</v>
      </c>
      <c r="O15" s="319" t="s">
        <v>96</v>
      </c>
      <c r="P15" s="591">
        <f>M15*$C$8</f>
        <v>0</v>
      </c>
      <c r="Q15" s="591">
        <f>N15*$C$8</f>
        <v>0</v>
      </c>
      <c r="R15" s="316" t="s">
        <v>219</v>
      </c>
      <c r="S15" s="581">
        <v>9.5547959999999994E-6</v>
      </c>
      <c r="T15" s="581">
        <v>1.1083563360000001E-6</v>
      </c>
      <c r="U15" s="319" t="s">
        <v>97</v>
      </c>
      <c r="V15" s="602">
        <f>S15*$C$8</f>
        <v>0</v>
      </c>
      <c r="W15" s="602">
        <f>T15*$C$8</f>
        <v>0</v>
      </c>
      <c r="X15" s="316" t="s">
        <v>220</v>
      </c>
      <c r="Y15" s="581">
        <v>4.7570933333333328E-7</v>
      </c>
      <c r="Z15" s="581">
        <v>5.5182282666666666E-8</v>
      </c>
      <c r="AA15" s="319" t="s">
        <v>98</v>
      </c>
      <c r="AB15" s="394">
        <f>Y15*$C$8</f>
        <v>0</v>
      </c>
      <c r="AC15" s="394">
        <f>Z15*$C$8</f>
        <v>0</v>
      </c>
    </row>
    <row r="16" spans="1:29" ht="15" customHeight="1" x14ac:dyDescent="0.25">
      <c r="A16" s="316" t="s">
        <v>221</v>
      </c>
      <c r="B16" s="316" t="s">
        <v>12</v>
      </c>
      <c r="C16" s="581">
        <v>2</v>
      </c>
      <c r="D16" s="581">
        <f>C16*15/100</f>
        <v>0.3</v>
      </c>
      <c r="E16" s="319" t="s">
        <v>684</v>
      </c>
      <c r="F16" s="316"/>
      <c r="G16" s="321"/>
      <c r="H16" s="321"/>
      <c r="I16" s="319"/>
      <c r="J16" s="516">
        <f>($C$16/100)*$J$15</f>
        <v>0</v>
      </c>
      <c r="K16" s="516">
        <f>SQRT(((($D$16/100)*J15)^2)+((($C$16/100)*K15)^2))</f>
        <v>0</v>
      </c>
      <c r="L16" s="316"/>
      <c r="M16" s="321"/>
      <c r="N16" s="321"/>
      <c r="O16" s="319" t="s">
        <v>99</v>
      </c>
      <c r="P16" s="592">
        <f>($C$16/100)*$P15</f>
        <v>0</v>
      </c>
      <c r="Q16" s="592">
        <f>SQRT(((($D$16/100)*$P15)^2)+((($C$16/100)*$Q15)^2))</f>
        <v>0</v>
      </c>
      <c r="R16" s="316"/>
      <c r="S16" s="321"/>
      <c r="T16" s="321"/>
      <c r="U16" s="319" t="s">
        <v>118</v>
      </c>
      <c r="V16" s="603">
        <f>($C$16/100)*$V15</f>
        <v>0</v>
      </c>
      <c r="W16" s="603">
        <f>SQRT(((($D$16/100)*$V15)^2)+((($C$16/100)*$W15)^2))</f>
        <v>0</v>
      </c>
      <c r="X16" s="316"/>
      <c r="Y16" s="321"/>
      <c r="Z16" s="321"/>
      <c r="AA16" s="319" t="s">
        <v>119</v>
      </c>
      <c r="AB16" s="597">
        <f>($C$16/100)*$AB15</f>
        <v>0</v>
      </c>
      <c r="AC16" s="597">
        <f>SQRT(((($D$16/100)*$AB15)^2)+((($C$16/100)*$AC15)^2))</f>
        <v>0</v>
      </c>
    </row>
    <row r="17" spans="1:29" x14ac:dyDescent="0.25">
      <c r="A17" s="316"/>
      <c r="B17" s="316"/>
      <c r="C17" s="316"/>
      <c r="D17" s="316"/>
      <c r="E17" s="319"/>
      <c r="F17" s="316"/>
      <c r="G17" s="316"/>
      <c r="H17" s="316"/>
      <c r="I17" s="319"/>
      <c r="J17" s="514"/>
      <c r="K17" s="514"/>
      <c r="L17" s="316"/>
      <c r="M17" s="316"/>
      <c r="N17" s="316"/>
      <c r="O17" s="319"/>
      <c r="P17" s="593"/>
      <c r="Q17" s="593"/>
      <c r="R17" s="316"/>
      <c r="S17" s="316"/>
      <c r="T17" s="316"/>
      <c r="U17" s="319"/>
      <c r="V17" s="604"/>
      <c r="W17" s="604"/>
      <c r="X17" s="316"/>
      <c r="Y17" s="316"/>
      <c r="Z17" s="316"/>
      <c r="AA17" s="319"/>
      <c r="AB17" s="598"/>
      <c r="AC17" s="598"/>
    </row>
    <row r="18" spans="1:29" x14ac:dyDescent="0.25">
      <c r="A18" s="322" t="s">
        <v>19</v>
      </c>
      <c r="B18" s="322"/>
      <c r="C18" s="322"/>
      <c r="D18" s="322"/>
      <c r="E18" s="323"/>
      <c r="F18" s="322"/>
      <c r="G18" s="322"/>
      <c r="H18" s="322"/>
      <c r="I18" s="323"/>
      <c r="J18" s="515">
        <f>SUM(J14:J16)</f>
        <v>0.67232308065653279</v>
      </c>
      <c r="K18" s="515">
        <f>SQRT((K14^2)+(K15^2)+(K16^2))</f>
        <v>3.1599184790857042E-2</v>
      </c>
      <c r="L18" s="322"/>
      <c r="M18" s="322"/>
      <c r="N18" s="322"/>
      <c r="O18" s="323"/>
      <c r="P18" s="594">
        <f>SUM(P14:P16)</f>
        <v>4.8246856673395178E-2</v>
      </c>
      <c r="Q18" s="594">
        <f>SQRT((Q14^2)+(Q15^2)+(Q16^2))</f>
        <v>2.2676022636495732E-3</v>
      </c>
      <c r="R18" s="322"/>
      <c r="S18" s="322"/>
      <c r="T18" s="322"/>
      <c r="U18" s="323"/>
      <c r="V18" s="605">
        <f>SUM(V14:V16)</f>
        <v>1.0025320867198998E-5</v>
      </c>
      <c r="W18" s="605">
        <f>SQRT((W14^2)+(W15^2)+(W16^2))</f>
        <v>4.7119008075835288E-7</v>
      </c>
      <c r="X18" s="322"/>
      <c r="Y18" s="322"/>
      <c r="Z18" s="322"/>
      <c r="AA18" s="323"/>
      <c r="AB18" s="599">
        <f>SUM(AB14:AB16)</f>
        <v>1.3032917127358698E-5</v>
      </c>
      <c r="AC18" s="599">
        <f>SQRT((AC14^2)+(AC15^2)+(AC16^2))</f>
        <v>6.1254710498585883E-7</v>
      </c>
    </row>
    <row r="19" spans="1:29" x14ac:dyDescent="0.25">
      <c r="J19" s="587"/>
      <c r="K19" s="587"/>
      <c r="P19" s="325"/>
      <c r="Q19" s="325"/>
      <c r="V19" s="326"/>
      <c r="W19" s="326"/>
      <c r="AB19" s="600"/>
      <c r="AC19" s="600"/>
    </row>
    <row r="20" spans="1:29" x14ac:dyDescent="0.25">
      <c r="A20" s="324" t="s">
        <v>685</v>
      </c>
      <c r="J20" s="587"/>
      <c r="K20" s="587"/>
      <c r="P20" s="325"/>
      <c r="Q20" s="325"/>
      <c r="V20" s="326"/>
      <c r="W20" s="326"/>
      <c r="AB20" s="600"/>
      <c r="AC20" s="600"/>
    </row>
    <row r="21" spans="1:29" ht="14.25" customHeight="1" x14ac:dyDescent="0.25">
      <c r="A21" s="316" t="s">
        <v>863</v>
      </c>
      <c r="B21" s="316" t="s">
        <v>18</v>
      </c>
      <c r="C21" s="581">
        <v>0.56099542181382334</v>
      </c>
      <c r="D21" s="581">
        <v>2.6366784825249696E-2</v>
      </c>
      <c r="E21" s="982" t="s">
        <v>1338</v>
      </c>
      <c r="F21" s="316" t="s">
        <v>7</v>
      </c>
      <c r="G21" s="582">
        <v>1.073</v>
      </c>
      <c r="H21" s="582">
        <v>0</v>
      </c>
      <c r="I21" s="314" t="s">
        <v>1503</v>
      </c>
      <c r="J21" s="586">
        <f>C21*G21</f>
        <v>0.60194808760623242</v>
      </c>
      <c r="K21" s="586">
        <f>SQRT(((D21*G21)^2)+((C21*H21)^2))</f>
        <v>2.8291560117492922E-2</v>
      </c>
      <c r="L21" s="314" t="s">
        <v>8</v>
      </c>
      <c r="M21" s="582">
        <v>7.6999999999999999E-2</v>
      </c>
      <c r="N21" s="582">
        <v>0</v>
      </c>
      <c r="O21" s="314" t="s">
        <v>1504</v>
      </c>
      <c r="P21" s="591">
        <f>C21*M21</f>
        <v>4.3196647479664396E-2</v>
      </c>
      <c r="Q21" s="591">
        <f>SQRT(((D21*M21)^2)+((C21*N21)^2))</f>
        <v>2.0302424315442264E-3</v>
      </c>
      <c r="R21" s="314" t="s">
        <v>9</v>
      </c>
      <c r="S21" s="582">
        <v>1.5999999999999999E-5</v>
      </c>
      <c r="T21" s="582">
        <v>0</v>
      </c>
      <c r="U21" s="314" t="s">
        <v>1505</v>
      </c>
      <c r="V21" s="602">
        <f>C21*S21</f>
        <v>8.9759267490211735E-6</v>
      </c>
      <c r="W21" s="602">
        <f>SQRT(((D21*S21)^2)+((C21*T21)^2))</f>
        <v>4.2186855720399514E-7</v>
      </c>
      <c r="X21" s="314" t="s">
        <v>10</v>
      </c>
      <c r="Y21" s="582">
        <v>2.0800000000000001E-5</v>
      </c>
      <c r="Z21" s="582">
        <v>0</v>
      </c>
      <c r="AA21" s="314" t="s">
        <v>1506</v>
      </c>
      <c r="AB21" s="394">
        <f>C21*Y21</f>
        <v>1.1668704773727526E-5</v>
      </c>
      <c r="AC21" s="394">
        <f>SQRT(((D21*Y21)^2)+((C21*Z21)^2))</f>
        <v>5.484291243651937E-7</v>
      </c>
    </row>
    <row r="22" spans="1:29" ht="15" customHeight="1" x14ac:dyDescent="0.25">
      <c r="A22" s="316" t="s">
        <v>864</v>
      </c>
      <c r="B22" s="316" t="s">
        <v>18</v>
      </c>
      <c r="C22" s="581">
        <v>0.12661999111841793</v>
      </c>
      <c r="D22" s="581">
        <v>8.3218218039215683E-3</v>
      </c>
      <c r="E22" s="319" t="s">
        <v>95</v>
      </c>
      <c r="F22" s="316" t="s">
        <v>7</v>
      </c>
      <c r="G22" s="581">
        <v>1</v>
      </c>
      <c r="H22" s="581">
        <v>0</v>
      </c>
      <c r="I22" s="319"/>
      <c r="J22" s="516">
        <f>$C22*$G22*$C$8</f>
        <v>0</v>
      </c>
      <c r="K22" s="516">
        <f>SQRT((($D22*$G22)^2)+(($C22*$H22)^2))*$C$8</f>
        <v>0</v>
      </c>
      <c r="L22" s="316" t="s">
        <v>218</v>
      </c>
      <c r="M22" s="581">
        <v>4.8447686274509802E-3</v>
      </c>
      <c r="N22" s="581">
        <v>5.619931607843137E-4</v>
      </c>
      <c r="O22" s="319" t="s">
        <v>96</v>
      </c>
      <c r="P22" s="591">
        <f>M22*$C$8</f>
        <v>0</v>
      </c>
      <c r="Q22" s="591">
        <f>N22*$C$8</f>
        <v>0</v>
      </c>
      <c r="R22" s="316" t="s">
        <v>219</v>
      </c>
      <c r="S22" s="581">
        <v>7.6724364705882355E-6</v>
      </c>
      <c r="T22" s="581">
        <v>8.9000263058823523E-7</v>
      </c>
      <c r="U22" s="319" t="s">
        <v>97</v>
      </c>
      <c r="V22" s="602">
        <f>S22*$C$8</f>
        <v>0</v>
      </c>
      <c r="W22" s="602">
        <f>T22*$C$8</f>
        <v>0</v>
      </c>
      <c r="X22" s="316" t="s">
        <v>220</v>
      </c>
      <c r="Y22" s="581">
        <v>3.8199137254901959E-7</v>
      </c>
      <c r="Z22" s="581">
        <v>4.4310999215686275E-8</v>
      </c>
      <c r="AA22" s="319" t="s">
        <v>98</v>
      </c>
      <c r="AB22" s="394">
        <f>Y22*$C$8</f>
        <v>0</v>
      </c>
      <c r="AC22" s="394">
        <f>Z22*$C$8</f>
        <v>0</v>
      </c>
    </row>
    <row r="23" spans="1:29" ht="14.25" customHeight="1" x14ac:dyDescent="0.25">
      <c r="A23" s="316" t="s">
        <v>221</v>
      </c>
      <c r="B23" s="316" t="s">
        <v>12</v>
      </c>
      <c r="C23" s="581">
        <v>2</v>
      </c>
      <c r="D23" s="581">
        <f>C23*15/100</f>
        <v>0.3</v>
      </c>
      <c r="E23" s="319" t="s">
        <v>684</v>
      </c>
      <c r="F23" s="316"/>
      <c r="G23" s="321"/>
      <c r="H23" s="321"/>
      <c r="I23" s="319"/>
      <c r="J23" s="516">
        <f>($C$16/100)*$J$15</f>
        <v>0</v>
      </c>
      <c r="K23" s="516">
        <f>SQRT(((($D$16/100)*J22)^2)+((($C$16/100)*K22)^2))</f>
        <v>0</v>
      </c>
      <c r="L23" s="316"/>
      <c r="M23" s="321"/>
      <c r="N23" s="321"/>
      <c r="O23" s="319" t="s">
        <v>99</v>
      </c>
      <c r="P23" s="592">
        <f>($C$16/100)*$P22</f>
        <v>0</v>
      </c>
      <c r="Q23" s="592">
        <f>SQRT(((($D$16/100)*$P22)^2)+((($C$16/100)*$Q22)^2))</f>
        <v>0</v>
      </c>
      <c r="R23" s="316"/>
      <c r="S23" s="321"/>
      <c r="T23" s="321"/>
      <c r="U23" s="319" t="s">
        <v>118</v>
      </c>
      <c r="V23" s="603">
        <f>($C$16/100)*$V22</f>
        <v>0</v>
      </c>
      <c r="W23" s="603">
        <f>SQRT(((($D$16/100)*$V22)^2)+((($C$16/100)*$W22)^2))</f>
        <v>0</v>
      </c>
      <c r="X23" s="316"/>
      <c r="Y23" s="321"/>
      <c r="Z23" s="321"/>
      <c r="AA23" s="319" t="s">
        <v>119</v>
      </c>
      <c r="AB23" s="597">
        <f>($C$16/100)*$AB22</f>
        <v>0</v>
      </c>
      <c r="AC23" s="597">
        <f>SQRT(((($D$16/100)*$AB22)^2)+((($C$16/100)*$AC22)^2))</f>
        <v>0</v>
      </c>
    </row>
    <row r="24" spans="1:29" x14ac:dyDescent="0.25">
      <c r="A24" s="316"/>
      <c r="B24" s="316"/>
      <c r="C24" s="316"/>
      <c r="D24" s="316"/>
      <c r="E24" s="319"/>
      <c r="F24" s="316"/>
      <c r="G24" s="316"/>
      <c r="H24" s="316"/>
      <c r="I24" s="319"/>
      <c r="J24" s="514"/>
      <c r="K24" s="514"/>
      <c r="L24" s="316"/>
      <c r="M24" s="316"/>
      <c r="N24" s="316"/>
      <c r="O24" s="319"/>
      <c r="P24" s="593"/>
      <c r="Q24" s="593"/>
      <c r="R24" s="316"/>
      <c r="S24" s="316"/>
      <c r="T24" s="316"/>
      <c r="U24" s="319"/>
      <c r="V24" s="604"/>
      <c r="W24" s="604"/>
      <c r="X24" s="316"/>
      <c r="Y24" s="316"/>
      <c r="Z24" s="316"/>
      <c r="AA24" s="319"/>
      <c r="AB24" s="598"/>
      <c r="AC24" s="598"/>
    </row>
    <row r="25" spans="1:29" x14ac:dyDescent="0.25">
      <c r="A25" s="322" t="s">
        <v>19</v>
      </c>
      <c r="B25" s="322"/>
      <c r="C25" s="322"/>
      <c r="D25" s="322"/>
      <c r="E25" s="323"/>
      <c r="F25" s="322"/>
      <c r="G25" s="322"/>
      <c r="H25" s="322"/>
      <c r="I25" s="323"/>
      <c r="J25" s="515">
        <f>SUM(J21:J23)</f>
        <v>0.60194808760623242</v>
      </c>
      <c r="K25" s="515">
        <f>SQRT((K21^2)+(K22^2)+(K23^2))</f>
        <v>2.8291560117492922E-2</v>
      </c>
      <c r="L25" s="322"/>
      <c r="M25" s="322"/>
      <c r="N25" s="322"/>
      <c r="O25" s="323"/>
      <c r="P25" s="594">
        <f>SUM(P21:P23)</f>
        <v>4.3196647479664396E-2</v>
      </c>
      <c r="Q25" s="594">
        <f>SQRT((Q21^2)+(Q22^2)+(Q23^2))</f>
        <v>2.0302424315442264E-3</v>
      </c>
      <c r="R25" s="322"/>
      <c r="S25" s="322"/>
      <c r="T25" s="322"/>
      <c r="U25" s="323"/>
      <c r="V25" s="605">
        <f>SUM(V21:V23)</f>
        <v>8.9759267490211735E-6</v>
      </c>
      <c r="W25" s="605">
        <f>SQRT((W21^2)+(W22^2)+(W23^2))</f>
        <v>4.2186855720399514E-7</v>
      </c>
      <c r="X25" s="322"/>
      <c r="Y25" s="322"/>
      <c r="Z25" s="322"/>
      <c r="AA25" s="323"/>
      <c r="AB25" s="599">
        <f>SUM(AB21:AB23)</f>
        <v>1.1668704773727526E-5</v>
      </c>
      <c r="AC25" s="599">
        <f>SQRT((AC21^2)+(AC22^2)+(AC23^2))</f>
        <v>5.484291243651937E-7</v>
      </c>
    </row>
    <row r="26" spans="1:29" x14ac:dyDescent="0.25">
      <c r="J26" s="587"/>
      <c r="K26" s="587"/>
      <c r="P26" s="325"/>
      <c r="Q26" s="325"/>
      <c r="V26" s="326"/>
      <c r="W26" s="326"/>
      <c r="AB26" s="600"/>
      <c r="AC26" s="600"/>
    </row>
    <row r="27" spans="1:29" x14ac:dyDescent="0.25">
      <c r="A27" s="152" t="s">
        <v>374</v>
      </c>
      <c r="J27" s="588"/>
      <c r="K27" s="588"/>
      <c r="P27" s="325"/>
      <c r="Q27" s="325"/>
      <c r="V27" s="326"/>
      <c r="W27" s="326"/>
      <c r="AB27" s="600"/>
      <c r="AC27" s="600"/>
    </row>
    <row r="28" spans="1:29" x14ac:dyDescent="0.25">
      <c r="A28" s="152" t="s">
        <v>863</v>
      </c>
      <c r="J28" s="589">
        <f>IF($C$7=44,J14,J21)</f>
        <v>0.67232308065653279</v>
      </c>
      <c r="K28" s="589">
        <f>IF($C$7=44,K14,K21)</f>
        <v>3.1599184790857042E-2</v>
      </c>
      <c r="P28" s="589">
        <f>IF($C$7=44,P14,P21)</f>
        <v>4.8246856673395178E-2</v>
      </c>
      <c r="Q28" s="589">
        <f>IF($C$7=44,Q14,Q21)</f>
        <v>2.2676022636495732E-3</v>
      </c>
      <c r="V28" s="1077">
        <f>IF($C$7=44,V14,V21)</f>
        <v>1.0025320867198998E-5</v>
      </c>
      <c r="W28" s="1077">
        <f>IF($C$7=44,W14,W21)</f>
        <v>4.7119008075835288E-7</v>
      </c>
      <c r="X28" s="1078"/>
      <c r="Y28" s="1078"/>
      <c r="Z28" s="1078"/>
      <c r="AA28" s="1078"/>
      <c r="AB28" s="1077">
        <f>IF($C$7=44,AB14,AB21)</f>
        <v>1.3032917127358698E-5</v>
      </c>
      <c r="AC28" s="1077">
        <f>IF($C$7=44,AC14,AC21)</f>
        <v>6.1254710498585883E-7</v>
      </c>
    </row>
    <row r="29" spans="1:29" x14ac:dyDescent="0.25">
      <c r="A29" s="152" t="s">
        <v>865</v>
      </c>
      <c r="J29" s="589">
        <f t="shared" ref="J29:K32" si="0">IF($C$7=44,J15,J22)</f>
        <v>0</v>
      </c>
      <c r="K29" s="589">
        <f t="shared" si="0"/>
        <v>0</v>
      </c>
      <c r="P29" s="589">
        <f t="shared" ref="P29:Q29" si="1">IF($C$7=44,P15,P22)</f>
        <v>0</v>
      </c>
      <c r="Q29" s="589">
        <f t="shared" si="1"/>
        <v>0</v>
      </c>
      <c r="V29" s="1077">
        <f t="shared" ref="V29:W29" si="2">IF($C$7=44,V15,V22)</f>
        <v>0</v>
      </c>
      <c r="W29" s="1077">
        <f t="shared" si="2"/>
        <v>0</v>
      </c>
      <c r="X29" s="1078"/>
      <c r="Y29" s="1078"/>
      <c r="Z29" s="1078"/>
      <c r="AA29" s="1078"/>
      <c r="AB29" s="1077">
        <f t="shared" ref="AB29:AC29" si="3">IF($C$7=44,AB15,AB22)</f>
        <v>0</v>
      </c>
      <c r="AC29" s="1077">
        <f t="shared" si="3"/>
        <v>0</v>
      </c>
    </row>
    <row r="30" spans="1:29" x14ac:dyDescent="0.25">
      <c r="A30" s="152" t="s">
        <v>221</v>
      </c>
      <c r="J30" s="589">
        <f t="shared" si="0"/>
        <v>0</v>
      </c>
      <c r="K30" s="589">
        <f t="shared" si="0"/>
        <v>0</v>
      </c>
      <c r="P30" s="589">
        <f t="shared" ref="P30:Q30" si="4">IF($C$7=44,P16,P23)</f>
        <v>0</v>
      </c>
      <c r="Q30" s="589">
        <f t="shared" si="4"/>
        <v>0</v>
      </c>
      <c r="V30" s="1077">
        <f t="shared" ref="V30:W30" si="5">IF($C$7=44,V16,V23)</f>
        <v>0</v>
      </c>
      <c r="W30" s="1077">
        <f t="shared" si="5"/>
        <v>0</v>
      </c>
      <c r="X30" s="1078"/>
      <c r="Y30" s="1078"/>
      <c r="Z30" s="1078"/>
      <c r="AA30" s="1078"/>
      <c r="AB30" s="1077">
        <f t="shared" ref="AB30:AC30" si="6">IF($C$7=44,AB16,AB23)</f>
        <v>0</v>
      </c>
      <c r="AC30" s="1077">
        <f t="shared" si="6"/>
        <v>0</v>
      </c>
    </row>
    <row r="31" spans="1:29" x14ac:dyDescent="0.25">
      <c r="A31" s="2"/>
      <c r="J31" s="588"/>
      <c r="K31" s="588"/>
      <c r="P31" s="588"/>
      <c r="Q31" s="588"/>
      <c r="V31" s="1079"/>
      <c r="W31" s="1079"/>
      <c r="X31" s="1078"/>
      <c r="Y31" s="1078"/>
      <c r="Z31" s="1078"/>
      <c r="AA31" s="1078"/>
      <c r="AB31" s="1079"/>
      <c r="AC31" s="1079"/>
    </row>
    <row r="32" spans="1:29" x14ac:dyDescent="0.25">
      <c r="A32" s="2" t="s">
        <v>375</v>
      </c>
      <c r="J32" s="589">
        <f t="shared" si="0"/>
        <v>0.67232308065653279</v>
      </c>
      <c r="K32" s="589">
        <f t="shared" ref="K32" si="7">IF($C$7=44,K18,K25)</f>
        <v>3.1599184790857042E-2</v>
      </c>
      <c r="P32" s="589">
        <f t="shared" ref="P32:Q32" si="8">IF($C$7=44,P18,P25)</f>
        <v>4.8246856673395178E-2</v>
      </c>
      <c r="Q32" s="589">
        <f t="shared" si="8"/>
        <v>2.2676022636495732E-3</v>
      </c>
      <c r="V32" s="1077">
        <f t="shared" ref="V32:W32" si="9">IF($C$7=44,V18,V25)</f>
        <v>1.0025320867198998E-5</v>
      </c>
      <c r="W32" s="1077">
        <f t="shared" si="9"/>
        <v>4.7119008075835288E-7</v>
      </c>
      <c r="X32" s="1078"/>
      <c r="Y32" s="1078"/>
      <c r="Z32" s="1078"/>
      <c r="AA32" s="1078"/>
      <c r="AB32" s="1077">
        <f t="shared" ref="AB32:AC32" si="10">IF($C$7=44,AB18,AB25)</f>
        <v>1.3032917127358698E-5</v>
      </c>
      <c r="AC32" s="1077">
        <f t="shared" si="10"/>
        <v>6.1254710498585883E-7</v>
      </c>
    </row>
  </sheetData>
  <pageMargins left="0.75" right="0.75" top="1" bottom="1" header="0.5" footer="0.5"/>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5"/>
  <sheetViews>
    <sheetView workbookViewId="0">
      <pane xSplit="1" ySplit="9" topLeftCell="B10" activePane="bottomRight" state="frozen"/>
      <selection pane="topRight" activeCell="B1" sqref="B1"/>
      <selection pane="bottomLeft" activeCell="A8" sqref="A8"/>
      <selection pane="bottomRight"/>
    </sheetView>
  </sheetViews>
  <sheetFormatPr defaultRowHeight="13.2" x14ac:dyDescent="0.25"/>
  <cols>
    <col min="1" max="1" width="42.44140625" customWidth="1"/>
    <col min="2" max="2" width="22.6640625" customWidth="1"/>
    <col min="10" max="10" width="18.5546875" customWidth="1"/>
    <col min="11" max="11" width="17.109375" customWidth="1"/>
    <col min="16" max="16" width="24.109375" customWidth="1"/>
    <col min="17" max="17" width="20" customWidth="1"/>
    <col min="19" max="20" width="11.5546875" bestFit="1" customWidth="1"/>
    <col min="22" max="22" width="20.109375" customWidth="1"/>
    <col min="23" max="23" width="18.44140625" customWidth="1"/>
    <col min="25" max="26" width="13.6640625" bestFit="1" customWidth="1"/>
    <col min="28" max="28" width="18.88671875" customWidth="1"/>
    <col min="29" max="29" width="24" customWidth="1"/>
  </cols>
  <sheetData>
    <row r="1" spans="1:29" x14ac:dyDescent="0.25">
      <c r="A1" s="2" t="s">
        <v>238</v>
      </c>
      <c r="B1" t="s">
        <v>170</v>
      </c>
    </row>
    <row r="2" spans="1:29" x14ac:dyDescent="0.25">
      <c r="A2" s="2" t="s">
        <v>241</v>
      </c>
      <c r="B2" t="s">
        <v>168</v>
      </c>
    </row>
    <row r="3" spans="1:29" x14ac:dyDescent="0.25">
      <c r="A3" s="2" t="s">
        <v>239</v>
      </c>
      <c r="B3" t="s">
        <v>169</v>
      </c>
    </row>
    <row r="4" spans="1:29" x14ac:dyDescent="0.25">
      <c r="A4" s="2" t="s">
        <v>240</v>
      </c>
      <c r="B4" s="1">
        <v>2001</v>
      </c>
    </row>
    <row r="5" spans="1:29" x14ac:dyDescent="0.25">
      <c r="A5" s="2"/>
      <c r="B5" s="1"/>
    </row>
    <row r="6" spans="1:29" x14ac:dyDescent="0.25">
      <c r="A6" s="462" t="s">
        <v>415</v>
      </c>
      <c r="B6" s="716"/>
    </row>
    <row r="7" spans="1:29" x14ac:dyDescent="0.25">
      <c r="A7" s="464" t="s">
        <v>669</v>
      </c>
      <c r="B7" s="655">
        <f>include_machinery</f>
        <v>0</v>
      </c>
    </row>
    <row r="8" spans="1:29" s="43" customFormat="1" x14ac:dyDescent="0.25">
      <c r="A8" s="43" t="s">
        <v>243</v>
      </c>
      <c r="B8" s="43" t="s">
        <v>242</v>
      </c>
      <c r="E8" s="43" t="s">
        <v>28</v>
      </c>
      <c r="F8" s="43" t="s">
        <v>245</v>
      </c>
      <c r="I8" s="43" t="s">
        <v>28</v>
      </c>
      <c r="J8" s="43" t="s">
        <v>171</v>
      </c>
      <c r="L8" s="43" t="s">
        <v>249</v>
      </c>
      <c r="O8" s="43" t="s">
        <v>28</v>
      </c>
      <c r="P8" s="43" t="s">
        <v>172</v>
      </c>
      <c r="R8" s="43" t="s">
        <v>251</v>
      </c>
      <c r="U8" s="43" t="s">
        <v>28</v>
      </c>
      <c r="V8" s="43" t="s">
        <v>173</v>
      </c>
      <c r="X8" s="43" t="s">
        <v>253</v>
      </c>
      <c r="AA8" s="43" t="s">
        <v>28</v>
      </c>
      <c r="AB8" s="43" t="s">
        <v>174</v>
      </c>
    </row>
    <row r="9" spans="1:29" s="43" customFormat="1" x14ac:dyDescent="0.25">
      <c r="B9" s="43" t="s">
        <v>244</v>
      </c>
      <c r="C9" s="43" t="s">
        <v>246</v>
      </c>
      <c r="D9" s="43" t="s">
        <v>247</v>
      </c>
      <c r="F9" s="43" t="s">
        <v>244</v>
      </c>
      <c r="G9" s="43" t="s">
        <v>246</v>
      </c>
      <c r="H9" s="43" t="s">
        <v>247</v>
      </c>
      <c r="J9" s="43" t="s">
        <v>246</v>
      </c>
      <c r="K9" s="43" t="s">
        <v>247</v>
      </c>
      <c r="L9" s="43" t="s">
        <v>244</v>
      </c>
      <c r="M9" s="43" t="s">
        <v>246</v>
      </c>
      <c r="N9" s="43" t="s">
        <v>247</v>
      </c>
      <c r="P9" s="43" t="s">
        <v>246</v>
      </c>
      <c r="Q9" s="43" t="s">
        <v>247</v>
      </c>
      <c r="R9" s="43" t="s">
        <v>244</v>
      </c>
      <c r="S9" s="43" t="s">
        <v>246</v>
      </c>
      <c r="T9" s="43" t="s">
        <v>247</v>
      </c>
      <c r="V9" s="43" t="s">
        <v>246</v>
      </c>
      <c r="W9" s="43" t="s">
        <v>247</v>
      </c>
      <c r="X9" s="43" t="s">
        <v>244</v>
      </c>
      <c r="Y9" s="43" t="s">
        <v>246</v>
      </c>
      <c r="Z9" s="43" t="s">
        <v>247</v>
      </c>
      <c r="AB9" s="43" t="s">
        <v>246</v>
      </c>
      <c r="AC9" s="43" t="s">
        <v>247</v>
      </c>
    </row>
    <row r="10" spans="1:29" x14ac:dyDescent="0.25">
      <c r="A10" s="2" t="s">
        <v>175</v>
      </c>
      <c r="C10" s="1"/>
      <c r="D10" s="1"/>
      <c r="E10" s="1"/>
      <c r="G10" s="1"/>
      <c r="H10" s="1"/>
      <c r="I10" s="1"/>
      <c r="J10" s="1"/>
      <c r="K10" s="1"/>
    </row>
    <row r="11" spans="1:29" x14ac:dyDescent="0.25">
      <c r="A11" t="s">
        <v>176</v>
      </c>
      <c r="B11" t="s">
        <v>177</v>
      </c>
      <c r="C11" s="493">
        <v>0.432</v>
      </c>
      <c r="D11" s="493">
        <v>0</v>
      </c>
      <c r="E11" s="1" t="s">
        <v>783</v>
      </c>
      <c r="F11" t="s">
        <v>7</v>
      </c>
      <c r="G11" s="9">
        <v>1.073</v>
      </c>
      <c r="H11" s="9">
        <v>0</v>
      </c>
      <c r="I11" s="1" t="s">
        <v>785</v>
      </c>
      <c r="J11" s="586">
        <f>$C11*G11</f>
        <v>0.46353599999999995</v>
      </c>
      <c r="K11" s="586">
        <f>SQRT((($D11*G11)^2)+(($C11*H11)^2))</f>
        <v>0</v>
      </c>
      <c r="L11" t="s">
        <v>8</v>
      </c>
      <c r="M11" s="495">
        <v>7.6502000000000001E-2</v>
      </c>
      <c r="N11" s="495">
        <v>0</v>
      </c>
      <c r="O11" s="1" t="s">
        <v>786</v>
      </c>
      <c r="P11" s="497">
        <f>$C11*M11</f>
        <v>3.3048863999999997E-2</v>
      </c>
      <c r="Q11" s="497">
        <f>SQRT((($D11*M11)^2)+(($C11*N11)^2))</f>
        <v>0</v>
      </c>
      <c r="R11" t="s">
        <v>9</v>
      </c>
      <c r="S11" s="623">
        <v>9.5999999999999996E-6</v>
      </c>
      <c r="T11" s="623">
        <v>0</v>
      </c>
      <c r="U11" s="1" t="s">
        <v>778</v>
      </c>
      <c r="V11" s="627">
        <f>$C11*S11</f>
        <v>4.1471999999999999E-6</v>
      </c>
      <c r="W11" s="627">
        <f>SQRT((($D11*S11)^2)+(($C11*T11)^2))</f>
        <v>0</v>
      </c>
      <c r="X11" t="s">
        <v>10</v>
      </c>
      <c r="Y11" s="509">
        <v>7.5099999999999999E-7</v>
      </c>
      <c r="Z11" s="509">
        <v>0</v>
      </c>
      <c r="AA11" s="1" t="s">
        <v>780</v>
      </c>
      <c r="AB11" s="634">
        <f>$C11*Y11</f>
        <v>3.24432E-7</v>
      </c>
      <c r="AC11" s="634">
        <f>SQRT((($D11*Y11)^2)+(($C11*Z11)^2))</f>
        <v>0</v>
      </c>
    </row>
    <row r="12" spans="1:29" x14ac:dyDescent="0.25">
      <c r="A12" t="s">
        <v>217</v>
      </c>
      <c r="B12" t="s">
        <v>177</v>
      </c>
      <c r="C12" s="508">
        <v>7.0000000000000001E-3</v>
      </c>
      <c r="D12" s="508">
        <v>0</v>
      </c>
      <c r="E12" t="s">
        <v>784</v>
      </c>
      <c r="F12" t="s">
        <v>7</v>
      </c>
      <c r="G12" s="9">
        <v>1</v>
      </c>
      <c r="H12" s="9">
        <v>0</v>
      </c>
      <c r="J12" s="586">
        <f>$C7*$C12*G12</f>
        <v>0</v>
      </c>
      <c r="K12" s="586">
        <f>$C7*SQRT((($D12*G12)^2)+(($C12*H12)^2))</f>
        <v>0</v>
      </c>
      <c r="L12" t="s">
        <v>218</v>
      </c>
      <c r="M12" s="504">
        <v>3.2000000000000003E-4</v>
      </c>
      <c r="N12" s="504">
        <v>0</v>
      </c>
      <c r="O12" s="1" t="s">
        <v>789</v>
      </c>
      <c r="P12" s="497">
        <f>$C7*$M12</f>
        <v>0</v>
      </c>
      <c r="Q12" s="497">
        <f>$C7*$N12</f>
        <v>0</v>
      </c>
      <c r="R12" t="s">
        <v>219</v>
      </c>
      <c r="S12" s="509">
        <v>8.6000000000000002E-7</v>
      </c>
      <c r="T12" s="509">
        <v>0</v>
      </c>
      <c r="U12" s="1" t="s">
        <v>788</v>
      </c>
      <c r="V12" s="627">
        <f>$C7*$S12</f>
        <v>0</v>
      </c>
      <c r="W12" s="627">
        <f>$C7*$T12</f>
        <v>0</v>
      </c>
      <c r="X12" t="s">
        <v>220</v>
      </c>
      <c r="Y12" s="637">
        <v>9.1999999999999997E-9</v>
      </c>
      <c r="Z12" s="637">
        <v>0</v>
      </c>
      <c r="AA12" s="1" t="s">
        <v>787</v>
      </c>
      <c r="AB12" s="634">
        <f>$C7*$Y12</f>
        <v>0</v>
      </c>
      <c r="AC12" s="634">
        <f>$C7*$Z12</f>
        <v>0</v>
      </c>
    </row>
    <row r="13" spans="1:29" x14ac:dyDescent="0.25">
      <c r="A13" t="s">
        <v>221</v>
      </c>
      <c r="B13" t="s">
        <v>222</v>
      </c>
      <c r="C13" s="418">
        <v>1712</v>
      </c>
      <c r="D13" s="418">
        <v>0</v>
      </c>
      <c r="E13" s="1" t="s">
        <v>782</v>
      </c>
      <c r="G13" s="1"/>
      <c r="H13" s="1"/>
      <c r="I13" s="1"/>
      <c r="J13" s="586">
        <f>($C$13/100)*J12</f>
        <v>0</v>
      </c>
      <c r="K13" s="586">
        <f>SQRT(((($D$13/100)*J12)^2)+((($C$13/100)*K12)^2))</f>
        <v>0</v>
      </c>
      <c r="M13" s="1"/>
      <c r="N13" s="1"/>
      <c r="O13" s="1"/>
      <c r="P13" s="497">
        <f>($C$13/100)*P12</f>
        <v>0</v>
      </c>
      <c r="Q13" s="497">
        <f>SQRT(((($D$13/100)*P12)^2)+((($C$13/100)*Q12)^2))</f>
        <v>0</v>
      </c>
      <c r="S13" s="1"/>
      <c r="T13" s="1"/>
      <c r="U13" s="1"/>
      <c r="V13" s="627">
        <f>($C$13/100)*V12</f>
        <v>0</v>
      </c>
      <c r="W13" s="627">
        <f>SQRT(((($D$13/100)*V12)^2)+((($C$13/100)*W12)^2))</f>
        <v>0</v>
      </c>
      <c r="Y13" s="1"/>
      <c r="Z13" s="1"/>
      <c r="AA13" s="1"/>
      <c r="AB13" s="634">
        <f>($C$13/100)*AB12</f>
        <v>0</v>
      </c>
      <c r="AC13" s="634">
        <f>SQRT(((($D$13/100)*AB12)^2)+((($C$13/100)*AC12)^2))</f>
        <v>0</v>
      </c>
    </row>
    <row r="14" spans="1:29" x14ac:dyDescent="0.25">
      <c r="C14" s="1"/>
      <c r="D14" s="1"/>
      <c r="E14" s="1"/>
      <c r="G14" s="1"/>
      <c r="H14" s="1"/>
      <c r="I14" s="1"/>
      <c r="J14" s="587"/>
      <c r="K14" s="587"/>
      <c r="M14" s="1"/>
      <c r="N14" s="1"/>
      <c r="O14" s="1"/>
      <c r="P14" s="498"/>
      <c r="Q14" s="498"/>
      <c r="S14" s="1"/>
      <c r="T14" s="1"/>
      <c r="U14" s="1"/>
      <c r="V14" s="628"/>
      <c r="W14" s="628"/>
      <c r="Y14" s="1"/>
      <c r="Z14" s="1"/>
      <c r="AA14" s="1"/>
      <c r="AB14" s="635"/>
      <c r="AC14" s="635"/>
    </row>
    <row r="15" spans="1:29" x14ac:dyDescent="0.25">
      <c r="A15" s="2" t="s">
        <v>19</v>
      </c>
      <c r="B15" s="2"/>
      <c r="C15" s="4"/>
      <c r="D15" s="4"/>
      <c r="E15" s="4"/>
      <c r="F15" s="2"/>
      <c r="G15" s="4"/>
      <c r="H15" s="4"/>
      <c r="I15" s="4"/>
      <c r="J15" s="617">
        <f>SUM(J11:J13)</f>
        <v>0.46353599999999995</v>
      </c>
      <c r="K15" s="617">
        <f>SQRT((K11^2)+(K12^2)+(K13^2))</f>
        <v>0</v>
      </c>
      <c r="L15" s="2"/>
      <c r="M15" s="4"/>
      <c r="N15" s="4"/>
      <c r="O15" s="4"/>
      <c r="P15" s="499">
        <f>SUM(P11:P13)</f>
        <v>3.3048863999999997E-2</v>
      </c>
      <c r="Q15" s="499">
        <f>SQRT((Q11^2)+(Q12^2)+(Q13^2))</f>
        <v>0</v>
      </c>
      <c r="R15" s="2"/>
      <c r="S15" s="4"/>
      <c r="T15" s="4"/>
      <c r="U15" s="4"/>
      <c r="V15" s="629">
        <f>SUM(V11:V13)</f>
        <v>4.1471999999999999E-6</v>
      </c>
      <c r="W15" s="629">
        <f>SQRT((W11^2)+(W12^2)+(W13^2))</f>
        <v>0</v>
      </c>
      <c r="X15" s="2"/>
      <c r="Y15" s="4"/>
      <c r="Z15" s="4"/>
      <c r="AA15" s="4"/>
      <c r="AB15" s="636">
        <f>SUM(AB11:AB13)</f>
        <v>3.24432E-7</v>
      </c>
      <c r="AC15" s="636">
        <f>SQRT((AC11^2)+(AC12^2)+(AC13^2))</f>
        <v>0</v>
      </c>
    </row>
  </sheetData>
  <phoneticPr fontId="0"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5"/>
  <sheetViews>
    <sheetView workbookViewId="0">
      <pane xSplit="1" ySplit="9" topLeftCell="B10" activePane="bottomRight" state="frozen"/>
      <selection pane="topRight" activeCell="B1" sqref="B1"/>
      <selection pane="bottomLeft" activeCell="A8" sqref="A8"/>
      <selection pane="bottomRight"/>
    </sheetView>
  </sheetViews>
  <sheetFormatPr defaultRowHeight="13.2" x14ac:dyDescent="0.25"/>
  <cols>
    <col min="1" max="1" width="41.33203125" customWidth="1"/>
    <col min="2" max="2" width="18.109375" customWidth="1"/>
    <col min="10" max="10" width="17.109375" customWidth="1"/>
    <col min="11" max="11" width="17.6640625" customWidth="1"/>
    <col min="16" max="16" width="21.44140625" customWidth="1"/>
    <col min="17" max="17" width="23" customWidth="1"/>
    <col min="19" max="20" width="10.5546875" bestFit="1" customWidth="1"/>
    <col min="22" max="22" width="19.44140625" customWidth="1"/>
    <col min="23" max="23" width="19.6640625" customWidth="1"/>
    <col min="25" max="26" width="12.5546875" bestFit="1" customWidth="1"/>
    <col min="28" max="28" width="19.109375" customWidth="1"/>
    <col min="29" max="29" width="24.109375" customWidth="1"/>
  </cols>
  <sheetData>
    <row r="1" spans="1:29" x14ac:dyDescent="0.25">
      <c r="A1" s="2" t="s">
        <v>238</v>
      </c>
      <c r="B1" t="s">
        <v>223</v>
      </c>
    </row>
    <row r="2" spans="1:29" x14ac:dyDescent="0.25">
      <c r="A2" s="2" t="s">
        <v>241</v>
      </c>
      <c r="B2" t="s">
        <v>168</v>
      </c>
    </row>
    <row r="3" spans="1:29" x14ac:dyDescent="0.25">
      <c r="A3" s="2" t="s">
        <v>239</v>
      </c>
      <c r="B3" t="s">
        <v>169</v>
      </c>
    </row>
    <row r="4" spans="1:29" x14ac:dyDescent="0.25">
      <c r="A4" s="2" t="s">
        <v>240</v>
      </c>
      <c r="B4" s="1">
        <v>2001</v>
      </c>
    </row>
    <row r="5" spans="1:29" s="3" customFormat="1" x14ac:dyDescent="0.25">
      <c r="B5" s="329"/>
    </row>
    <row r="6" spans="1:29" s="3" customFormat="1" x14ac:dyDescent="0.25">
      <c r="A6" s="462" t="s">
        <v>415</v>
      </c>
      <c r="B6" s="717"/>
    </row>
    <row r="7" spans="1:29" s="3" customFormat="1" x14ac:dyDescent="0.25">
      <c r="A7" s="464" t="s">
        <v>874</v>
      </c>
      <c r="B7" s="718">
        <f>include_machinery</f>
        <v>0</v>
      </c>
    </row>
    <row r="8" spans="1:29" s="43" customFormat="1" x14ac:dyDescent="0.25">
      <c r="A8" s="43" t="s">
        <v>243</v>
      </c>
      <c r="B8" s="43" t="s">
        <v>242</v>
      </c>
      <c r="E8" s="43" t="s">
        <v>28</v>
      </c>
      <c r="F8" s="43" t="s">
        <v>245</v>
      </c>
      <c r="I8" s="43" t="s">
        <v>28</v>
      </c>
      <c r="J8" s="43" t="s">
        <v>171</v>
      </c>
      <c r="L8" s="43" t="s">
        <v>249</v>
      </c>
      <c r="O8" s="43" t="s">
        <v>28</v>
      </c>
      <c r="P8" s="43" t="s">
        <v>172</v>
      </c>
      <c r="R8" s="43" t="s">
        <v>251</v>
      </c>
      <c r="U8" s="43" t="s">
        <v>28</v>
      </c>
      <c r="V8" s="43" t="s">
        <v>173</v>
      </c>
      <c r="X8" s="43" t="s">
        <v>253</v>
      </c>
      <c r="AA8" s="43" t="s">
        <v>28</v>
      </c>
      <c r="AB8" s="43" t="s">
        <v>174</v>
      </c>
    </row>
    <row r="9" spans="1:29" s="43" customFormat="1" x14ac:dyDescent="0.25">
      <c r="B9" s="43" t="s">
        <v>244</v>
      </c>
      <c r="C9" s="43" t="s">
        <v>246</v>
      </c>
      <c r="D9" s="43" t="s">
        <v>247</v>
      </c>
      <c r="F9" s="43" t="s">
        <v>244</v>
      </c>
      <c r="G9" s="43" t="s">
        <v>246</v>
      </c>
      <c r="H9" s="43" t="s">
        <v>247</v>
      </c>
      <c r="J9" s="43" t="s">
        <v>246</v>
      </c>
      <c r="K9" s="43" t="s">
        <v>247</v>
      </c>
      <c r="L9" s="43" t="s">
        <v>244</v>
      </c>
      <c r="M9" s="43" t="s">
        <v>246</v>
      </c>
      <c r="N9" s="43" t="s">
        <v>247</v>
      </c>
      <c r="P9" s="43" t="s">
        <v>246</v>
      </c>
      <c r="Q9" s="43" t="s">
        <v>247</v>
      </c>
      <c r="R9" s="43" t="s">
        <v>244</v>
      </c>
      <c r="S9" s="43" t="s">
        <v>246</v>
      </c>
      <c r="T9" s="43" t="s">
        <v>247</v>
      </c>
      <c r="V9" s="43" t="s">
        <v>246</v>
      </c>
      <c r="W9" s="43" t="s">
        <v>247</v>
      </c>
      <c r="X9" s="43" t="s">
        <v>244</v>
      </c>
      <c r="Y9" s="43" t="s">
        <v>246</v>
      </c>
      <c r="Z9" s="43" t="s">
        <v>247</v>
      </c>
      <c r="AB9" s="43" t="s">
        <v>246</v>
      </c>
      <c r="AC9" s="43" t="s">
        <v>247</v>
      </c>
    </row>
    <row r="10" spans="1:29" x14ac:dyDescent="0.25">
      <c r="A10" s="2" t="s">
        <v>224</v>
      </c>
      <c r="C10" s="1"/>
      <c r="D10" s="1"/>
      <c r="E10" s="1"/>
      <c r="G10" s="1"/>
      <c r="H10" s="1"/>
      <c r="I10" s="1"/>
      <c r="J10" s="1"/>
      <c r="K10" s="1"/>
    </row>
    <row r="11" spans="1:29" x14ac:dyDescent="0.25">
      <c r="A11" t="s">
        <v>225</v>
      </c>
      <c r="B11" t="s">
        <v>177</v>
      </c>
      <c r="C11" s="493">
        <v>0.39400000000000002</v>
      </c>
      <c r="D11" s="493">
        <v>0</v>
      </c>
      <c r="E11" s="1" t="s">
        <v>772</v>
      </c>
      <c r="F11" t="s">
        <v>7</v>
      </c>
      <c r="G11" s="493">
        <v>1.073</v>
      </c>
      <c r="H11" s="493">
        <v>0</v>
      </c>
      <c r="I11" s="1" t="s">
        <v>775</v>
      </c>
      <c r="J11" s="586">
        <f>$C11*G11</f>
        <v>0.42276200000000003</v>
      </c>
      <c r="K11" s="586">
        <f>SQRT((($D11*$G11)^2)+(($C11*$H11)^2))</f>
        <v>0</v>
      </c>
      <c r="L11" t="s">
        <v>8</v>
      </c>
      <c r="M11" s="495">
        <v>7.6502000000000001E-2</v>
      </c>
      <c r="N11" s="495">
        <v>0</v>
      </c>
      <c r="O11" s="1" t="s">
        <v>776</v>
      </c>
      <c r="P11" s="591">
        <f>$C11*M11</f>
        <v>3.0141788000000003E-2</v>
      </c>
      <c r="Q11" s="591">
        <f>SQRT((($C11*$N11)^2)+(($D11*$M11)^2))</f>
        <v>0</v>
      </c>
      <c r="R11" t="s">
        <v>9</v>
      </c>
      <c r="S11" s="623">
        <v>9.5999999999999996E-6</v>
      </c>
      <c r="T11" s="623">
        <v>0</v>
      </c>
      <c r="U11" s="1" t="s">
        <v>778</v>
      </c>
      <c r="V11" s="630">
        <f>$C11*S11</f>
        <v>3.7824E-6</v>
      </c>
      <c r="W11" s="630">
        <f>SQRT((($C11*T11)^2)+(($D11*S11)^2))</f>
        <v>0</v>
      </c>
      <c r="X11" t="s">
        <v>10</v>
      </c>
      <c r="Y11" s="509">
        <v>7.5099999999999999E-7</v>
      </c>
      <c r="Z11" s="509">
        <v>0</v>
      </c>
      <c r="AA11" s="1" t="s">
        <v>780</v>
      </c>
      <c r="AB11" s="634">
        <f>$C11*Y11</f>
        <v>2.9589399999999999E-7</v>
      </c>
      <c r="AC11" s="634">
        <f>SQRT((($C11*Z11)^2)+(($D11*Y11)^2))</f>
        <v>0</v>
      </c>
    </row>
    <row r="12" spans="1:29" x14ac:dyDescent="0.25">
      <c r="A12" t="s">
        <v>226</v>
      </c>
      <c r="B12" t="s">
        <v>177</v>
      </c>
      <c r="C12" s="495">
        <v>1.6799999999999999E-2</v>
      </c>
      <c r="D12" s="495">
        <v>0</v>
      </c>
      <c r="E12" s="1" t="s">
        <v>773</v>
      </c>
      <c r="F12" t="s">
        <v>7</v>
      </c>
      <c r="G12" s="492">
        <v>1</v>
      </c>
      <c r="H12" s="492">
        <v>0</v>
      </c>
      <c r="J12" s="586">
        <f>$C7*$C12*G12</f>
        <v>0</v>
      </c>
      <c r="K12" s="586">
        <f>$C7*SQRT((($D12*G12)^2)+(($C12*H12)^2))</f>
        <v>0</v>
      </c>
      <c r="L12" t="s">
        <v>218</v>
      </c>
      <c r="M12" s="504">
        <v>7.2999999999999996E-4</v>
      </c>
      <c r="N12" s="504">
        <v>0</v>
      </c>
      <c r="O12" s="1" t="s">
        <v>777</v>
      </c>
      <c r="P12" s="591">
        <f>$C7*$M12</f>
        <v>0</v>
      </c>
      <c r="Q12" s="591">
        <f>$C7*$N12</f>
        <v>0</v>
      </c>
      <c r="R12" t="s">
        <v>219</v>
      </c>
      <c r="S12" s="623">
        <v>1.9999999999999999E-6</v>
      </c>
      <c r="T12" s="623">
        <v>0</v>
      </c>
      <c r="U12" s="1" t="s">
        <v>779</v>
      </c>
      <c r="V12" s="630">
        <f>$C7*$S12</f>
        <v>0</v>
      </c>
      <c r="W12" s="630">
        <f>$C7*$T12</f>
        <v>0</v>
      </c>
      <c r="X12" t="s">
        <v>220</v>
      </c>
      <c r="Y12" s="633">
        <v>2.0999999999999999E-8</v>
      </c>
      <c r="Z12" s="633">
        <v>0</v>
      </c>
      <c r="AA12" s="1" t="s">
        <v>781</v>
      </c>
      <c r="AB12" s="634">
        <f>$C7*$Y12</f>
        <v>0</v>
      </c>
      <c r="AC12" s="634">
        <f>$C7*$Z12</f>
        <v>0</v>
      </c>
    </row>
    <row r="13" spans="1:29" x14ac:dyDescent="0.25">
      <c r="A13" t="s">
        <v>227</v>
      </c>
      <c r="B13" t="s">
        <v>12</v>
      </c>
      <c r="C13" s="622">
        <v>53</v>
      </c>
      <c r="D13" s="622">
        <v>0</v>
      </c>
      <c r="E13" s="1" t="s">
        <v>774</v>
      </c>
      <c r="G13" s="1"/>
      <c r="H13" s="1"/>
      <c r="I13" s="1"/>
      <c r="J13" s="586">
        <f>($C$13/100)*J12</f>
        <v>0</v>
      </c>
      <c r="K13" s="586">
        <f>SQRT(((($D$13/100)*J12)^2)+((($C$13/100)*K12)^2))</f>
        <v>0</v>
      </c>
      <c r="M13" s="1"/>
      <c r="N13" s="1"/>
      <c r="O13" s="1"/>
      <c r="P13" s="591">
        <f>($C$13/100)*P12</f>
        <v>0</v>
      </c>
      <c r="Q13" s="591">
        <f>SQRT(((($D$13/100)*P12)^2)+((($C$13/100)*Q12)^2))</f>
        <v>0</v>
      </c>
      <c r="S13" s="1"/>
      <c r="T13" s="1"/>
      <c r="U13" s="1"/>
      <c r="V13" s="630">
        <f>($C$13/100)*V12</f>
        <v>0</v>
      </c>
      <c r="W13" s="630">
        <f>SQRT(((($D$13/100)*V12)^2)+((($C$13/100)*W12)^2))</f>
        <v>0</v>
      </c>
      <c r="Y13" s="1"/>
      <c r="Z13" s="1"/>
      <c r="AA13" s="1"/>
      <c r="AB13" s="634">
        <f>($C$13/100)*AB12</f>
        <v>0</v>
      </c>
      <c r="AC13" s="634">
        <f>SQRT(((($D$13/100)*AB12)^2)+((($C$13/100)*AC12)^2))</f>
        <v>0</v>
      </c>
    </row>
    <row r="14" spans="1:29" x14ac:dyDescent="0.25">
      <c r="C14" s="1"/>
      <c r="D14" s="1"/>
      <c r="E14" s="1"/>
      <c r="G14" s="1"/>
      <c r="H14" s="1"/>
      <c r="I14" s="1"/>
      <c r="J14" s="587"/>
      <c r="K14" s="587"/>
      <c r="M14" s="1"/>
      <c r="N14" s="1"/>
      <c r="O14" s="1"/>
      <c r="P14" s="325"/>
      <c r="Q14" s="325"/>
      <c r="S14" s="1"/>
      <c r="T14" s="1"/>
      <c r="U14" s="1"/>
      <c r="V14" s="631"/>
      <c r="W14" s="631"/>
      <c r="Y14" s="1"/>
      <c r="Z14" s="1"/>
      <c r="AA14" s="1"/>
      <c r="AB14" s="635"/>
      <c r="AC14" s="635"/>
    </row>
    <row r="15" spans="1:29" x14ac:dyDescent="0.25">
      <c r="A15" s="2" t="s">
        <v>19</v>
      </c>
      <c r="B15" s="2"/>
      <c r="C15" s="4"/>
      <c r="D15" s="4"/>
      <c r="E15" s="4"/>
      <c r="F15" s="2"/>
      <c r="G15" s="4"/>
      <c r="H15" s="4"/>
      <c r="I15" s="4"/>
      <c r="J15" s="617">
        <f>SUM(J11:J13)</f>
        <v>0.42276200000000003</v>
      </c>
      <c r="K15" s="617">
        <f>SQRT((K11^2)+(K12^2)+(K13^2))</f>
        <v>0</v>
      </c>
      <c r="L15" s="2"/>
      <c r="M15" s="4"/>
      <c r="N15" s="4"/>
      <c r="O15" s="4"/>
      <c r="P15" s="620">
        <f>SUM(P11:P13)</f>
        <v>3.0141788000000003E-2</v>
      </c>
      <c r="Q15" s="620">
        <f>SQRT((Q11^2)+(Q12^2)+(Q13^2))</f>
        <v>0</v>
      </c>
      <c r="R15" s="2"/>
      <c r="S15" s="4"/>
      <c r="T15" s="4"/>
      <c r="U15" s="4"/>
      <c r="V15" s="632">
        <f>SUM(V11:V13)</f>
        <v>3.7824E-6</v>
      </c>
      <c r="W15" s="632">
        <f>SQRT((W11^2)+(W12^2)+(W13^2))</f>
        <v>0</v>
      </c>
      <c r="X15" s="2"/>
      <c r="Y15" s="4"/>
      <c r="Z15" s="4"/>
      <c r="AA15" s="4"/>
      <c r="AB15" s="636">
        <f>SUM(AB11:AB13)</f>
        <v>2.9589399999999999E-7</v>
      </c>
      <c r="AC15" s="636">
        <f>SQRT((AC11^2)+(AC12^2)+(AC13^2))</f>
        <v>0</v>
      </c>
    </row>
  </sheetData>
  <phoneticPr fontId="0"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5"/>
  <sheetViews>
    <sheetView workbookViewId="0">
      <pane xSplit="1" ySplit="9" topLeftCell="B10" activePane="bottomRight" state="frozen"/>
      <selection pane="topRight" activeCell="B1" sqref="B1"/>
      <selection pane="bottomLeft" activeCell="A8" sqref="A8"/>
      <selection pane="bottomRight"/>
    </sheetView>
  </sheetViews>
  <sheetFormatPr defaultRowHeight="13.2" x14ac:dyDescent="0.25"/>
  <cols>
    <col min="1" max="1" width="29.109375" customWidth="1"/>
    <col min="2" max="2" width="19.6640625" customWidth="1"/>
    <col min="10" max="10" width="17" customWidth="1"/>
    <col min="11" max="11" width="18.33203125" customWidth="1"/>
    <col min="16" max="16" width="21.33203125" customWidth="1"/>
    <col min="17" max="17" width="23.33203125" customWidth="1"/>
    <col min="19" max="20" width="11.5546875" bestFit="1" customWidth="1"/>
    <col min="22" max="22" width="20.5546875" customWidth="1"/>
    <col min="23" max="23" width="19.6640625" customWidth="1"/>
    <col min="25" max="25" width="14.5546875" customWidth="1"/>
    <col min="26" max="26" width="13.6640625" bestFit="1" customWidth="1"/>
    <col min="28" max="28" width="20.6640625" customWidth="1"/>
    <col min="29" max="29" width="21.44140625" customWidth="1"/>
  </cols>
  <sheetData>
    <row r="1" spans="1:29" x14ac:dyDescent="0.25">
      <c r="A1" s="2" t="s">
        <v>238</v>
      </c>
      <c r="B1" s="3" t="s">
        <v>228</v>
      </c>
    </row>
    <row r="2" spans="1:29" x14ac:dyDescent="0.25">
      <c r="A2" s="2" t="s">
        <v>241</v>
      </c>
      <c r="B2" t="s">
        <v>168</v>
      </c>
    </row>
    <row r="3" spans="1:29" x14ac:dyDescent="0.25">
      <c r="A3" s="2" t="s">
        <v>239</v>
      </c>
      <c r="B3" s="923" t="s">
        <v>1422</v>
      </c>
    </row>
    <row r="4" spans="1:29" x14ac:dyDescent="0.25">
      <c r="A4" s="2" t="s">
        <v>240</v>
      </c>
      <c r="B4" s="1">
        <v>2001</v>
      </c>
    </row>
    <row r="6" spans="1:29" s="118" customFormat="1" x14ac:dyDescent="0.25">
      <c r="A6" s="578" t="s">
        <v>415</v>
      </c>
      <c r="B6" s="411"/>
      <c r="C6" s="412"/>
    </row>
    <row r="7" spans="1:29" s="118" customFormat="1" x14ac:dyDescent="0.25">
      <c r="A7" s="413" t="s">
        <v>369</v>
      </c>
      <c r="B7" s="414" t="s">
        <v>370</v>
      </c>
      <c r="C7" s="415">
        <f>include_machinery</f>
        <v>0</v>
      </c>
    </row>
    <row r="8" spans="1:29" s="43" customFormat="1" x14ac:dyDescent="0.25">
      <c r="A8" s="43" t="s">
        <v>243</v>
      </c>
      <c r="B8" s="43" t="s">
        <v>242</v>
      </c>
      <c r="E8" s="43" t="s">
        <v>28</v>
      </c>
      <c r="F8" s="43" t="s">
        <v>245</v>
      </c>
      <c r="I8" s="43" t="s">
        <v>28</v>
      </c>
      <c r="J8" s="43" t="s">
        <v>171</v>
      </c>
      <c r="L8" s="43" t="s">
        <v>249</v>
      </c>
      <c r="O8" s="43" t="s">
        <v>28</v>
      </c>
      <c r="P8" s="43" t="s">
        <v>172</v>
      </c>
      <c r="R8" s="43" t="s">
        <v>251</v>
      </c>
      <c r="U8" s="43" t="s">
        <v>28</v>
      </c>
      <c r="V8" s="43" t="s">
        <v>173</v>
      </c>
      <c r="X8" s="43" t="s">
        <v>253</v>
      </c>
      <c r="AA8" s="43" t="s">
        <v>28</v>
      </c>
      <c r="AB8" s="43" t="s">
        <v>174</v>
      </c>
    </row>
    <row r="9" spans="1:29" s="43" customFormat="1" x14ac:dyDescent="0.25">
      <c r="B9" s="43" t="s">
        <v>244</v>
      </c>
      <c r="C9" s="43" t="s">
        <v>246</v>
      </c>
      <c r="D9" s="43" t="s">
        <v>247</v>
      </c>
      <c r="F9" s="43" t="s">
        <v>244</v>
      </c>
      <c r="G9" s="43" t="s">
        <v>246</v>
      </c>
      <c r="H9" s="43" t="s">
        <v>247</v>
      </c>
      <c r="J9" s="43" t="s">
        <v>246</v>
      </c>
      <c r="K9" s="43" t="s">
        <v>247</v>
      </c>
      <c r="L9" s="43" t="s">
        <v>244</v>
      </c>
      <c r="M9" s="43" t="s">
        <v>246</v>
      </c>
      <c r="N9" s="43" t="s">
        <v>247</v>
      </c>
      <c r="P9" s="43" t="s">
        <v>246</v>
      </c>
      <c r="Q9" s="43" t="s">
        <v>247</v>
      </c>
      <c r="R9" s="43" t="s">
        <v>244</v>
      </c>
      <c r="S9" s="43" t="s">
        <v>246</v>
      </c>
      <c r="T9" s="43" t="s">
        <v>247</v>
      </c>
      <c r="V9" s="43" t="s">
        <v>246</v>
      </c>
      <c r="W9" s="43" t="s">
        <v>247</v>
      </c>
      <c r="X9" s="43" t="s">
        <v>244</v>
      </c>
      <c r="Y9" s="43" t="s">
        <v>246</v>
      </c>
      <c r="Z9" s="43" t="s">
        <v>247</v>
      </c>
      <c r="AB9" s="43" t="s">
        <v>246</v>
      </c>
      <c r="AC9" s="43" t="s">
        <v>247</v>
      </c>
    </row>
    <row r="10" spans="1:29" x14ac:dyDescent="0.25">
      <c r="A10" s="2" t="s">
        <v>228</v>
      </c>
      <c r="C10" s="1"/>
      <c r="D10" s="1"/>
      <c r="E10" s="1"/>
      <c r="G10" s="1"/>
      <c r="H10" s="1"/>
      <c r="I10" s="1"/>
      <c r="J10" s="1"/>
      <c r="K10" s="1"/>
    </row>
    <row r="11" spans="1:29" x14ac:dyDescent="0.25">
      <c r="A11" t="s">
        <v>225</v>
      </c>
      <c r="B11" t="s">
        <v>177</v>
      </c>
      <c r="C11" s="493">
        <v>0.10199999999999999</v>
      </c>
      <c r="D11" s="493">
        <v>0</v>
      </c>
      <c r="E11" s="1" t="s">
        <v>790</v>
      </c>
      <c r="F11" t="s">
        <v>7</v>
      </c>
      <c r="G11" s="493">
        <v>1.073</v>
      </c>
      <c r="H11" s="493">
        <v>0</v>
      </c>
      <c r="I11" s="1" t="s">
        <v>775</v>
      </c>
      <c r="J11" s="586">
        <f>$C11*G11</f>
        <v>0.10944599999999999</v>
      </c>
      <c r="K11" s="586">
        <f>SQRT((($D11*$G11)^2)+(($C11*$H11)^2))</f>
        <v>0</v>
      </c>
      <c r="L11" t="s">
        <v>8</v>
      </c>
      <c r="M11" s="495">
        <v>7.6502000000000001E-2</v>
      </c>
      <c r="N11" s="495">
        <v>0</v>
      </c>
      <c r="O11" s="1" t="s">
        <v>776</v>
      </c>
      <c r="P11" s="8">
        <f>$C11*M11</f>
        <v>7.8032039999999993E-3</v>
      </c>
      <c r="Q11" s="8">
        <f>SQRT((($D11*$M11)^2)+(($C11*$N11)^2))</f>
        <v>0</v>
      </c>
      <c r="R11" t="s">
        <v>9</v>
      </c>
      <c r="S11" s="623">
        <v>9.5999999999999996E-6</v>
      </c>
      <c r="T11" s="623">
        <v>0</v>
      </c>
      <c r="U11" s="1" t="s">
        <v>778</v>
      </c>
      <c r="V11" s="630">
        <f>$C11*S11</f>
        <v>9.7919999999999987E-7</v>
      </c>
      <c r="W11" s="630">
        <f>SQRT((($D11*S11)^2)+(($C11*T11)^2))</f>
        <v>0</v>
      </c>
      <c r="X11" t="s">
        <v>10</v>
      </c>
      <c r="Y11" s="509">
        <v>7.5099999999999999E-7</v>
      </c>
      <c r="Z11" s="509">
        <v>0</v>
      </c>
      <c r="AA11" s="1" t="s">
        <v>780</v>
      </c>
      <c r="AB11" s="638">
        <f>$C11*Y11</f>
        <v>7.6602E-8</v>
      </c>
      <c r="AC11" s="638">
        <f>SQRT((($D11*Y11)^2)+(($C11*Z11)^2))</f>
        <v>0</v>
      </c>
    </row>
    <row r="12" spans="1:29" x14ac:dyDescent="0.25">
      <c r="A12" t="s">
        <v>229</v>
      </c>
      <c r="B12" t="s">
        <v>177</v>
      </c>
      <c r="C12" s="508">
        <v>6.0000000000000001E-3</v>
      </c>
      <c r="D12" s="508">
        <v>0</v>
      </c>
      <c r="E12" s="1" t="s">
        <v>791</v>
      </c>
      <c r="F12" t="s">
        <v>7</v>
      </c>
      <c r="G12" s="492">
        <v>1</v>
      </c>
      <c r="H12" s="492">
        <v>0</v>
      </c>
      <c r="J12" s="586">
        <f>$C12*G12*C7</f>
        <v>0</v>
      </c>
      <c r="K12" s="586">
        <f>SQRT((($D12*G12)^2)+(($C12*H12)^2))*C7</f>
        <v>0</v>
      </c>
      <c r="L12" t="s">
        <v>218</v>
      </c>
      <c r="M12" s="504">
        <v>2.5999999999999998E-4</v>
      </c>
      <c r="N12" s="504">
        <v>0</v>
      </c>
      <c r="O12" s="1" t="s">
        <v>792</v>
      </c>
      <c r="P12" s="8">
        <f>$M12*C7</f>
        <v>0</v>
      </c>
      <c r="Q12" s="8">
        <f>$N12*C7</f>
        <v>0</v>
      </c>
      <c r="R12" t="s">
        <v>219</v>
      </c>
      <c r="S12" s="509">
        <v>7.1999999999999999E-7</v>
      </c>
      <c r="T12" s="509">
        <v>0</v>
      </c>
      <c r="U12" s="1" t="s">
        <v>793</v>
      </c>
      <c r="V12" s="630">
        <f>$S12*C7</f>
        <v>0</v>
      </c>
      <c r="W12" s="630">
        <f>$T12*C7</f>
        <v>0</v>
      </c>
      <c r="X12" t="s">
        <v>220</v>
      </c>
      <c r="Y12" s="637">
        <v>7.6999999999999995E-9</v>
      </c>
      <c r="Z12" s="637">
        <v>0</v>
      </c>
      <c r="AA12" s="1" t="s">
        <v>794</v>
      </c>
      <c r="AB12" s="638">
        <f>$Y12*C7</f>
        <v>0</v>
      </c>
      <c r="AC12" s="638">
        <f>$Z12*C7</f>
        <v>0</v>
      </c>
    </row>
    <row r="13" spans="1:29" x14ac:dyDescent="0.25">
      <c r="A13" t="s">
        <v>230</v>
      </c>
      <c r="B13" t="s">
        <v>12</v>
      </c>
      <c r="C13" s="492">
        <v>8</v>
      </c>
      <c r="D13" s="492">
        <v>0</v>
      </c>
      <c r="E13" s="1" t="s">
        <v>774</v>
      </c>
      <c r="G13" s="1"/>
      <c r="H13" s="1"/>
      <c r="I13" s="1"/>
      <c r="J13" s="586">
        <f>($C$13/100)*J12</f>
        <v>0</v>
      </c>
      <c r="K13" s="586">
        <f>SQRT(((($D$13/100)*J12)^2)+((($C$13/100)*K12)^2))</f>
        <v>0</v>
      </c>
      <c r="M13" s="1"/>
      <c r="N13" s="1"/>
      <c r="O13" s="1"/>
      <c r="P13" s="8">
        <f>($C$13/100)*P12</f>
        <v>0</v>
      </c>
      <c r="Q13" s="8">
        <f>SQRT(((($D$13/100)*P12)^2)+((($C$13/100)*Q12)^2))</f>
        <v>0</v>
      </c>
      <c r="S13" s="1"/>
      <c r="T13" s="1"/>
      <c r="U13" s="1"/>
      <c r="V13" s="630">
        <f>($C$13/100)*V12</f>
        <v>0</v>
      </c>
      <c r="W13" s="630">
        <f>SQRT(((($D$13/100)*V12)^2)+((($C$13/100)*W12)^2))</f>
        <v>0</v>
      </c>
      <c r="Y13" s="1"/>
      <c r="Z13" s="1"/>
      <c r="AA13" s="1"/>
      <c r="AB13" s="638">
        <f>($C$13/100)*AB12</f>
        <v>0</v>
      </c>
      <c r="AC13" s="638">
        <f>SQRT(((($D$13/100)*AB12)^2)+((($C$13/100)*AC12)^2))</f>
        <v>0</v>
      </c>
    </row>
    <row r="14" spans="1:29" x14ac:dyDescent="0.25">
      <c r="C14" s="1"/>
      <c r="D14" s="1"/>
      <c r="E14" s="1"/>
      <c r="G14" s="1"/>
      <c r="H14" s="1"/>
      <c r="I14" s="1"/>
      <c r="J14" s="587"/>
      <c r="K14" s="587"/>
      <c r="M14" s="1"/>
      <c r="N14" s="1"/>
      <c r="O14" s="1"/>
      <c r="P14" s="1"/>
      <c r="Q14" s="1"/>
      <c r="S14" s="1"/>
      <c r="T14" s="1"/>
      <c r="U14" s="1"/>
      <c r="V14" s="631"/>
      <c r="W14" s="631"/>
      <c r="Y14" s="1"/>
      <c r="Z14" s="1"/>
      <c r="AA14" s="1"/>
      <c r="AB14" s="639"/>
      <c r="AC14" s="639"/>
    </row>
    <row r="15" spans="1:29" x14ac:dyDescent="0.25">
      <c r="A15" s="2" t="s">
        <v>19</v>
      </c>
      <c r="B15" s="2"/>
      <c r="C15" s="4"/>
      <c r="D15" s="4"/>
      <c r="E15" s="4"/>
      <c r="F15" s="2"/>
      <c r="G15" s="4"/>
      <c r="H15" s="4"/>
      <c r="I15" s="4"/>
      <c r="J15" s="617">
        <f>SUM(J11:J13)</f>
        <v>0.10944599999999999</v>
      </c>
      <c r="K15" s="617">
        <f>SQRT((K11^2)+(K12^2)+(K13^2))</f>
        <v>0</v>
      </c>
      <c r="L15" s="2"/>
      <c r="M15" s="4"/>
      <c r="N15" s="4"/>
      <c r="O15" s="4"/>
      <c r="P15" s="10">
        <f>SUM(P11:P13)</f>
        <v>7.8032039999999993E-3</v>
      </c>
      <c r="Q15" s="10">
        <f>SQRT((Q11^2)+(Q12^2)+(Q13^2))</f>
        <v>0</v>
      </c>
      <c r="R15" s="2"/>
      <c r="S15" s="4"/>
      <c r="T15" s="4"/>
      <c r="U15" s="4"/>
      <c r="V15" s="632">
        <f>SUM(V11:V13)</f>
        <v>9.7919999999999987E-7</v>
      </c>
      <c r="W15" s="632">
        <f>SQRT((W11^2)+(W12^2)+(W13^2))</f>
        <v>0</v>
      </c>
      <c r="X15" s="2"/>
      <c r="Y15" s="4"/>
      <c r="Z15" s="4"/>
      <c r="AA15" s="4"/>
      <c r="AB15" s="640">
        <f>SUM(AB11:AB13)</f>
        <v>7.6602E-8</v>
      </c>
      <c r="AC15" s="640">
        <f>SQRT((AC11^2)+(AC12^2)+(AC13^2))</f>
        <v>0</v>
      </c>
    </row>
  </sheetData>
  <phoneticPr fontId="0" type="noConversion"/>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7"/>
  <sheetViews>
    <sheetView workbookViewId="0">
      <pane xSplit="1" ySplit="16" topLeftCell="B17" activePane="bottomRight" state="frozen"/>
      <selection pane="topRight" activeCell="B1" sqref="B1"/>
      <selection pane="bottomLeft" activeCell="A15" sqref="A15"/>
      <selection pane="bottomRight"/>
    </sheetView>
  </sheetViews>
  <sheetFormatPr defaultRowHeight="13.2" x14ac:dyDescent="0.25"/>
  <cols>
    <col min="1" max="1" width="43.5546875" customWidth="1"/>
    <col min="2" max="2" width="18.109375" customWidth="1"/>
    <col min="10" max="11" width="12.5546875" customWidth="1"/>
    <col min="16" max="16" width="17.33203125" customWidth="1"/>
    <col min="17" max="17" width="15.6640625" customWidth="1"/>
    <col min="19" max="19" width="13.33203125" customWidth="1"/>
    <col min="20" max="20" width="14" customWidth="1"/>
    <col min="22" max="22" width="14.6640625" customWidth="1"/>
    <col min="23" max="23" width="12.88671875" customWidth="1"/>
    <col min="25" max="25" width="13.88671875" customWidth="1"/>
    <col min="26" max="26" width="14.33203125" customWidth="1"/>
    <col min="28" max="29" width="16.109375" customWidth="1"/>
  </cols>
  <sheetData>
    <row r="1" spans="1:29" x14ac:dyDescent="0.25">
      <c r="A1" s="146" t="s">
        <v>238</v>
      </c>
      <c r="B1" s="1046" t="s">
        <v>1469</v>
      </c>
      <c r="E1" s="118"/>
      <c r="I1" s="118"/>
      <c r="O1" s="118"/>
      <c r="U1" s="118"/>
      <c r="AA1" s="118"/>
    </row>
    <row r="2" spans="1:29" x14ac:dyDescent="0.25">
      <c r="A2" s="146" t="s">
        <v>241</v>
      </c>
      <c r="B2" s="43" t="s">
        <v>652</v>
      </c>
      <c r="E2" s="118"/>
      <c r="I2" s="118"/>
      <c r="O2" s="118"/>
      <c r="U2" s="118"/>
      <c r="AA2" s="118"/>
    </row>
    <row r="3" spans="1:29" x14ac:dyDescent="0.25">
      <c r="A3" s="146" t="s">
        <v>239</v>
      </c>
      <c r="B3" s="1009" t="s">
        <v>1422</v>
      </c>
      <c r="E3" s="118"/>
      <c r="I3" s="118"/>
      <c r="O3" s="118"/>
      <c r="U3" s="118"/>
      <c r="AA3" s="118"/>
    </row>
    <row r="4" spans="1:29" x14ac:dyDescent="0.25">
      <c r="A4" s="146" t="s">
        <v>240</v>
      </c>
      <c r="B4" s="11">
        <v>2004</v>
      </c>
      <c r="E4" s="118"/>
      <c r="I4" s="118"/>
      <c r="O4" s="118"/>
      <c r="U4" s="118"/>
      <c r="AA4" s="118"/>
    </row>
    <row r="5" spans="1:29" x14ac:dyDescent="0.25">
      <c r="A5" s="3"/>
      <c r="E5" s="118"/>
      <c r="I5" s="118"/>
      <c r="O5" s="118"/>
      <c r="U5" s="118"/>
      <c r="AA5" s="118"/>
    </row>
    <row r="6" spans="1:29" x14ac:dyDescent="0.25">
      <c r="A6" s="447" t="s">
        <v>415</v>
      </c>
      <c r="B6" s="104"/>
      <c r="E6" s="118"/>
      <c r="I6" s="118"/>
      <c r="O6" s="118"/>
      <c r="U6" s="118"/>
      <c r="AA6" s="118"/>
    </row>
    <row r="7" spans="1:29" x14ac:dyDescent="0.25">
      <c r="A7" s="147" t="s">
        <v>669</v>
      </c>
      <c r="B7" s="115">
        <f>include_machinery</f>
        <v>0</v>
      </c>
      <c r="E7" s="118"/>
      <c r="I7" s="118"/>
      <c r="O7" s="118"/>
      <c r="U7" s="118"/>
      <c r="AA7" s="118"/>
    </row>
    <row r="8" spans="1:29" x14ac:dyDescent="0.25">
      <c r="A8" s="925" t="s">
        <v>1445</v>
      </c>
      <c r="B8" s="148">
        <f>Unitflowchart!$AE$82</f>
        <v>0</v>
      </c>
      <c r="D8" s="923"/>
      <c r="E8" s="118"/>
      <c r="I8" s="118"/>
      <c r="O8" s="118"/>
      <c r="U8" s="118"/>
      <c r="AA8" s="118"/>
    </row>
    <row r="9" spans="1:29" x14ac:dyDescent="0.25">
      <c r="A9" s="147" t="s">
        <v>655</v>
      </c>
      <c r="B9" s="148">
        <f>Unitflowchart!$AE$84</f>
        <v>10743.451198333914</v>
      </c>
      <c r="E9" s="118"/>
      <c r="I9" s="118"/>
      <c r="O9" s="118"/>
      <c r="U9" s="118"/>
      <c r="AA9" s="118"/>
    </row>
    <row r="10" spans="1:29" x14ac:dyDescent="0.25">
      <c r="A10" s="147" t="s">
        <v>654</v>
      </c>
      <c r="B10" s="148">
        <f>Unitflowchart!$AE$104</f>
        <v>1872.5299203305694</v>
      </c>
      <c r="E10" s="118"/>
      <c r="I10" s="118"/>
      <c r="O10" s="118"/>
      <c r="U10" s="118"/>
      <c r="AA10" s="118"/>
    </row>
    <row r="11" spans="1:29" x14ac:dyDescent="0.25">
      <c r="A11" s="147" t="s">
        <v>178</v>
      </c>
      <c r="B11" s="148">
        <f>Unitflowchart!$AE$90</f>
        <v>33.704791241254341</v>
      </c>
      <c r="E11" s="118"/>
      <c r="I11" s="118"/>
      <c r="O11" s="118"/>
      <c r="U11" s="118"/>
      <c r="AA11" s="118"/>
    </row>
    <row r="12" spans="1:29" x14ac:dyDescent="0.25">
      <c r="A12" s="147" t="s">
        <v>656</v>
      </c>
      <c r="B12" s="115">
        <f>Unitflowchart!$AE$98</f>
        <v>20</v>
      </c>
      <c r="E12" s="118"/>
      <c r="I12" s="118"/>
      <c r="O12" s="118"/>
      <c r="U12" s="118"/>
      <c r="AA12" s="118"/>
    </row>
    <row r="13" spans="1:29" x14ac:dyDescent="0.25">
      <c r="A13" s="149" t="s">
        <v>764</v>
      </c>
      <c r="B13" s="207">
        <f>Unitflowchart!$S$114*Unitflowchart!$S$383/Unitflowchart!$S$85</f>
        <v>48790.365750000012</v>
      </c>
      <c r="E13" s="118"/>
      <c r="I13" s="118"/>
      <c r="O13" s="118"/>
      <c r="U13" s="118"/>
      <c r="AA13" s="118"/>
    </row>
    <row r="14" spans="1:29" x14ac:dyDescent="0.25">
      <c r="A14" s="3"/>
      <c r="E14" s="118"/>
      <c r="I14" s="118"/>
      <c r="O14" s="118"/>
      <c r="U14" s="118"/>
      <c r="AA14" s="118"/>
    </row>
    <row r="15" spans="1:29" s="43" customFormat="1" x14ac:dyDescent="0.25">
      <c r="A15" s="43" t="s">
        <v>243</v>
      </c>
      <c r="B15" s="43" t="s">
        <v>242</v>
      </c>
      <c r="E15" s="120" t="s">
        <v>28</v>
      </c>
      <c r="F15" s="43" t="s">
        <v>245</v>
      </c>
      <c r="I15" s="120" t="s">
        <v>28</v>
      </c>
      <c r="J15" s="43" t="s">
        <v>179</v>
      </c>
      <c r="L15" s="43" t="s">
        <v>249</v>
      </c>
      <c r="O15" s="120" t="s">
        <v>28</v>
      </c>
      <c r="P15" s="43" t="s">
        <v>180</v>
      </c>
      <c r="R15" s="43" t="s">
        <v>251</v>
      </c>
      <c r="U15" s="120" t="s">
        <v>28</v>
      </c>
      <c r="V15" s="43" t="s">
        <v>181</v>
      </c>
      <c r="X15" s="43" t="s">
        <v>253</v>
      </c>
      <c r="AA15" s="120" t="s">
        <v>28</v>
      </c>
      <c r="AB15" s="356" t="s">
        <v>194</v>
      </c>
    </row>
    <row r="16" spans="1:29" s="43" customFormat="1" x14ac:dyDescent="0.25">
      <c r="B16" s="43" t="s">
        <v>244</v>
      </c>
      <c r="C16" s="43" t="s">
        <v>246</v>
      </c>
      <c r="D16" s="43" t="s">
        <v>247</v>
      </c>
      <c r="E16" s="120"/>
      <c r="F16" s="43" t="s">
        <v>244</v>
      </c>
      <c r="G16" s="43" t="s">
        <v>246</v>
      </c>
      <c r="H16" s="43" t="s">
        <v>247</v>
      </c>
      <c r="I16" s="120"/>
      <c r="J16" s="43" t="s">
        <v>246</v>
      </c>
      <c r="K16" s="43" t="s">
        <v>247</v>
      </c>
      <c r="L16" s="43" t="s">
        <v>244</v>
      </c>
      <c r="M16" s="43" t="s">
        <v>246</v>
      </c>
      <c r="N16" s="43" t="s">
        <v>247</v>
      </c>
      <c r="O16" s="120"/>
      <c r="P16" s="43" t="s">
        <v>246</v>
      </c>
      <c r="Q16" s="43" t="s">
        <v>247</v>
      </c>
      <c r="R16" s="43" t="s">
        <v>244</v>
      </c>
      <c r="S16" s="43" t="s">
        <v>246</v>
      </c>
      <c r="T16" s="43" t="s">
        <v>247</v>
      </c>
      <c r="U16" s="120"/>
      <c r="V16" s="43" t="s">
        <v>246</v>
      </c>
      <c r="W16" s="43" t="s">
        <v>247</v>
      </c>
      <c r="X16" s="43" t="s">
        <v>244</v>
      </c>
      <c r="Y16" s="43" t="s">
        <v>246</v>
      </c>
      <c r="Z16" s="43" t="s">
        <v>247</v>
      </c>
      <c r="AA16" s="120"/>
      <c r="AB16" s="43" t="s">
        <v>246</v>
      </c>
      <c r="AC16" s="43" t="s">
        <v>247</v>
      </c>
    </row>
    <row r="17" spans="1:29" x14ac:dyDescent="0.25">
      <c r="A17" s="2" t="s">
        <v>182</v>
      </c>
      <c r="E17" s="118"/>
      <c r="I17" s="118"/>
      <c r="O17" s="118"/>
      <c r="U17" s="118"/>
      <c r="AA17" s="118"/>
    </row>
    <row r="18" spans="1:29" x14ac:dyDescent="0.25">
      <c r="A18" s="1088" t="s">
        <v>1441</v>
      </c>
      <c r="B18" s="150" t="s">
        <v>451</v>
      </c>
      <c r="C18" s="151">
        <f>$B$8</f>
        <v>0</v>
      </c>
      <c r="D18" s="151">
        <v>0</v>
      </c>
      <c r="E18" s="68"/>
      <c r="F18" s="68" t="s">
        <v>7</v>
      </c>
      <c r="G18" s="1085">
        <v>1.05</v>
      </c>
      <c r="H18" s="1085">
        <v>0</v>
      </c>
      <c r="I18" s="114" t="s">
        <v>1437</v>
      </c>
      <c r="J18" s="1086">
        <f>C18*G18</f>
        <v>0</v>
      </c>
      <c r="K18" s="1086">
        <f>SQRT(((D18*G18)^2)+((C18*H18)^2))</f>
        <v>0</v>
      </c>
      <c r="L18" s="68" t="s">
        <v>8</v>
      </c>
      <c r="M18" s="1087">
        <v>5.5724000000000003E-2</v>
      </c>
      <c r="N18" s="1087">
        <v>0</v>
      </c>
      <c r="O18" s="114" t="s">
        <v>1438</v>
      </c>
      <c r="P18" s="1086">
        <f>C18*M18</f>
        <v>0</v>
      </c>
      <c r="Q18" s="1086">
        <f>SQRT(((D18*M18)^2)+((C18*N18)^2))</f>
        <v>0</v>
      </c>
      <c r="R18" s="68" t="s">
        <v>9</v>
      </c>
      <c r="S18" s="1087">
        <v>6.6799999999999997E-5</v>
      </c>
      <c r="T18" s="1087">
        <v>0</v>
      </c>
      <c r="U18" s="114" t="s">
        <v>1439</v>
      </c>
      <c r="V18" s="1086">
        <f>C18*S18</f>
        <v>0</v>
      </c>
      <c r="W18" s="1086">
        <f>SQRT(((D18*S18)^2)+((C18*T18)^2))</f>
        <v>0</v>
      </c>
      <c r="X18" s="68" t="s">
        <v>10</v>
      </c>
      <c r="Y18" s="1087">
        <v>1.8300000000000001E-7</v>
      </c>
      <c r="Z18" s="1087">
        <v>0</v>
      </c>
      <c r="AA18" s="114" t="s">
        <v>1440</v>
      </c>
      <c r="AB18" s="1086">
        <f>C18*Y18</f>
        <v>0</v>
      </c>
      <c r="AC18" s="1086">
        <f>SQRT(((D18*Y18)^2)+((C18*Z18)^2))</f>
        <v>0</v>
      </c>
    </row>
    <row r="19" spans="1:29" x14ac:dyDescent="0.25">
      <c r="A19" s="150" t="s">
        <v>810</v>
      </c>
      <c r="B19" s="615" t="s">
        <v>451</v>
      </c>
      <c r="C19" s="151">
        <f>$B$9</f>
        <v>10743.451198333914</v>
      </c>
      <c r="D19" s="151">
        <v>0</v>
      </c>
      <c r="E19" s="316"/>
      <c r="F19" s="316" t="s">
        <v>7</v>
      </c>
      <c r="G19" s="395">
        <v>0</v>
      </c>
      <c r="H19" s="395">
        <v>0</v>
      </c>
      <c r="I19" s="314"/>
      <c r="J19" s="500">
        <f>C19*G19</f>
        <v>0</v>
      </c>
      <c r="K19" s="500">
        <f>SQRT(((D19*G19)^2)+((C19*H19)^2))</f>
        <v>0</v>
      </c>
      <c r="L19" s="314" t="s">
        <v>8</v>
      </c>
      <c r="M19" s="646">
        <v>0</v>
      </c>
      <c r="N19" s="646">
        <v>0</v>
      </c>
      <c r="O19" s="314" t="s">
        <v>818</v>
      </c>
      <c r="P19" s="500">
        <f>C19*M19</f>
        <v>0</v>
      </c>
      <c r="Q19" s="500">
        <f>SQRT(((D19*M19)^2)+((C19*N19)^2))</f>
        <v>0</v>
      </c>
      <c r="R19" s="314" t="s">
        <v>9</v>
      </c>
      <c r="S19" s="396">
        <v>1.0000000000000001E-5</v>
      </c>
      <c r="T19" s="396">
        <v>0</v>
      </c>
      <c r="U19" s="363" t="s">
        <v>795</v>
      </c>
      <c r="V19" s="642">
        <f>C19*S19</f>
        <v>0.10743451198333916</v>
      </c>
      <c r="W19" s="642">
        <f>SQRT(((D19*S19)^2)+((C19*T19)^2))</f>
        <v>0</v>
      </c>
      <c r="X19" s="314" t="s">
        <v>10</v>
      </c>
      <c r="Y19" s="647">
        <v>3.0000000000000001E-6</v>
      </c>
      <c r="Z19" s="647">
        <v>0</v>
      </c>
      <c r="AA19" s="363" t="s">
        <v>405</v>
      </c>
      <c r="AB19" s="624">
        <f>C19*Y19</f>
        <v>3.2230353595001746E-2</v>
      </c>
      <c r="AC19" s="624">
        <f>SQRT(((D19*Y19)^2)+((C19*Z19)^2))</f>
        <v>0</v>
      </c>
    </row>
    <row r="20" spans="1:29" ht="14.4" x14ac:dyDescent="0.35">
      <c r="A20" s="150" t="s">
        <v>184</v>
      </c>
      <c r="B20" s="150" t="s">
        <v>765</v>
      </c>
      <c r="C20" s="616">
        <f>$B$10</f>
        <v>1872.5299203305694</v>
      </c>
      <c r="D20" s="151">
        <v>0</v>
      </c>
      <c r="E20" s="68"/>
      <c r="F20" s="68" t="s">
        <v>185</v>
      </c>
      <c r="G20" s="984">
        <f>2.494*3.6</f>
        <v>8.9784000000000006</v>
      </c>
      <c r="H20" s="395">
        <v>0</v>
      </c>
      <c r="I20" s="43" t="s">
        <v>1341</v>
      </c>
      <c r="J20" s="985">
        <f>G20*C20</f>
        <v>16812.322636695986</v>
      </c>
      <c r="K20" s="500">
        <f>SQRT(((D20*G20)^2)+((C20*H20)^2))</f>
        <v>0</v>
      </c>
      <c r="L20" t="s">
        <v>1342</v>
      </c>
      <c r="M20" s="984">
        <v>0.33100000000000002</v>
      </c>
      <c r="N20" s="646">
        <v>0</v>
      </c>
      <c r="O20" s="43" t="s">
        <v>1341</v>
      </c>
      <c r="P20" s="985">
        <f>M20*C20</f>
        <v>619.80740362941856</v>
      </c>
      <c r="Q20" s="500">
        <f>SQRT(((D20*M20)^2)+((C20*N20)^2))</f>
        <v>0</v>
      </c>
      <c r="R20" t="s">
        <v>1343</v>
      </c>
      <c r="S20" s="986">
        <v>1.0200000000000001E-3</v>
      </c>
      <c r="T20" s="396">
        <v>0</v>
      </c>
      <c r="U20" s="43" t="s">
        <v>1341</v>
      </c>
      <c r="V20" s="642">
        <f>S20*C20</f>
        <v>1.909980518737181</v>
      </c>
      <c r="W20" s="642">
        <f>SQRT(((D20*S20)^2)+((C20*T20)^2))</f>
        <v>0</v>
      </c>
      <c r="X20" t="s">
        <v>1344</v>
      </c>
      <c r="Y20" s="987">
        <v>2.0873539547630425E-5</v>
      </c>
      <c r="Z20" s="647">
        <v>0</v>
      </c>
      <c r="AA20" s="43" t="s">
        <v>1341</v>
      </c>
      <c r="AB20" s="645">
        <f>C20*Y20</f>
        <v>3.908632734614139E-2</v>
      </c>
      <c r="AC20" s="645">
        <f>SQRT(((D20*Y20)^2)+((C20*Z20)^2))</f>
        <v>0</v>
      </c>
    </row>
    <row r="21" spans="1:29" x14ac:dyDescent="0.25">
      <c r="A21" s="150" t="s">
        <v>45</v>
      </c>
      <c r="B21" s="150" t="s">
        <v>766</v>
      </c>
      <c r="C21" s="320">
        <f>(1900*(($B$11)^(2/3)))/($B$12*$B$13)</f>
        <v>2.0316581090018611E-2</v>
      </c>
      <c r="D21" s="320">
        <f>0.15*C21</f>
        <v>3.0474871635027914E-3</v>
      </c>
      <c r="E21" s="117" t="s">
        <v>796</v>
      </c>
      <c r="F21" s="68" t="s">
        <v>189</v>
      </c>
      <c r="G21" s="494">
        <v>36.33</v>
      </c>
      <c r="H21" s="494">
        <v>0</v>
      </c>
      <c r="I21" s="68" t="s">
        <v>797</v>
      </c>
      <c r="J21" s="502">
        <v>0</v>
      </c>
      <c r="K21" s="502">
        <f>SQRT(((D21*G21)^2)+((C21*H21)^2))*B7</f>
        <v>0</v>
      </c>
      <c r="L21" s="68" t="s">
        <v>190</v>
      </c>
      <c r="M21" s="327">
        <v>1.8420000000000001</v>
      </c>
      <c r="N21" s="327">
        <v>0</v>
      </c>
      <c r="O21" s="68" t="s">
        <v>799</v>
      </c>
      <c r="P21" s="502">
        <f>C21*M21*B7</f>
        <v>0</v>
      </c>
      <c r="Q21" s="502">
        <f>SQRT(((D21*M21)^2)+((C21*N21)^2))*B7</f>
        <v>0</v>
      </c>
      <c r="R21" s="68" t="s">
        <v>191</v>
      </c>
      <c r="S21" s="496">
        <v>4.483E-3</v>
      </c>
      <c r="T21" s="496">
        <v>0</v>
      </c>
      <c r="U21" s="68" t="s">
        <v>802</v>
      </c>
      <c r="V21" s="641">
        <f>C21*S21*B7</f>
        <v>0</v>
      </c>
      <c r="W21" s="641">
        <f>SQRT(((D21*S21)^2)+((C21*T21)^2))*B7</f>
        <v>0</v>
      </c>
      <c r="X21" s="68" t="s">
        <v>192</v>
      </c>
      <c r="Y21" s="510">
        <v>7.8280000000000003E-5</v>
      </c>
      <c r="Z21" s="510">
        <v>0</v>
      </c>
      <c r="AA21" s="68" t="s">
        <v>805</v>
      </c>
      <c r="AB21" s="645">
        <f>C21*Y21*B7</f>
        <v>0</v>
      </c>
      <c r="AC21" s="645">
        <f>SQRT(((D21*Y21)^2)+((C21*Z21)^2))*B7</f>
        <v>0</v>
      </c>
    </row>
    <row r="22" spans="1:29" x14ac:dyDescent="0.25">
      <c r="A22" s="150" t="s">
        <v>46</v>
      </c>
      <c r="B22" s="68"/>
      <c r="C22" s="117"/>
      <c r="D22" s="117"/>
      <c r="E22" s="68"/>
      <c r="F22" s="68" t="s">
        <v>38</v>
      </c>
      <c r="G22" s="327">
        <v>2.5</v>
      </c>
      <c r="H22" s="327">
        <v>0</v>
      </c>
      <c r="I22" s="114" t="s">
        <v>193</v>
      </c>
      <c r="J22" s="502">
        <f>$B$12*J21*$G$22/100</f>
        <v>0</v>
      </c>
      <c r="K22" s="502">
        <f>SQRT((($B$12*K21*$G$22/100)^2)+(($B$12*J21*$H$22/100)^2))</f>
        <v>0</v>
      </c>
      <c r="L22" s="68"/>
      <c r="M22" s="113"/>
      <c r="N22" s="113"/>
      <c r="O22" s="114" t="s">
        <v>800</v>
      </c>
      <c r="P22" s="502">
        <f>$B$12*P21*$G$22/100</f>
        <v>0</v>
      </c>
      <c r="Q22" s="502">
        <f>SQRT((($B$12*Q21*$G$22/100)^2)+(($B$12*P21*$H$22/100)^2))</f>
        <v>0</v>
      </c>
      <c r="R22" s="68" t="s">
        <v>9</v>
      </c>
      <c r="S22" s="618">
        <v>1.192E-7</v>
      </c>
      <c r="T22" s="618">
        <v>0</v>
      </c>
      <c r="U22" s="114" t="s">
        <v>803</v>
      </c>
      <c r="V22" s="641">
        <f>$B$12*V21*$G$22/100</f>
        <v>0</v>
      </c>
      <c r="W22" s="641">
        <f>SQRT((($B$12*W21*$G$22/100)^2)+(($B$12*V21*$H$22/100)^2))</f>
        <v>0</v>
      </c>
      <c r="X22" s="68" t="s">
        <v>10</v>
      </c>
      <c r="Y22" s="648">
        <v>1.866E-9</v>
      </c>
      <c r="Z22" s="648">
        <v>0</v>
      </c>
      <c r="AA22" s="114" t="s">
        <v>806</v>
      </c>
      <c r="AB22" s="645">
        <f>$B$12*AB21*$G$22/100</f>
        <v>0</v>
      </c>
      <c r="AC22" s="645">
        <f>SQRT((($B$12*AC21*$G$22/100)^2)+(($B$12*AB21*$H$22/100)^2))</f>
        <v>0</v>
      </c>
    </row>
    <row r="23" spans="1:29" x14ac:dyDescent="0.25">
      <c r="A23" s="150" t="s">
        <v>47</v>
      </c>
      <c r="B23" s="68"/>
      <c r="C23" s="117"/>
      <c r="D23" s="117"/>
      <c r="E23" s="68"/>
      <c r="F23" s="68" t="s">
        <v>38</v>
      </c>
      <c r="G23" s="327">
        <v>4</v>
      </c>
      <c r="H23" s="327">
        <v>1</v>
      </c>
      <c r="I23" s="114" t="s">
        <v>798</v>
      </c>
      <c r="J23" s="502">
        <f>J21*$G$23/100</f>
        <v>0</v>
      </c>
      <c r="K23" s="502">
        <f>SQRT(((K21*($G$23/100))^2)+((J21*($H$23/100))^2))</f>
        <v>0</v>
      </c>
      <c r="L23" s="68"/>
      <c r="M23" s="113"/>
      <c r="N23" s="113"/>
      <c r="O23" s="114" t="s">
        <v>801</v>
      </c>
      <c r="P23" s="502">
        <f>P21*$G$23/100</f>
        <v>0</v>
      </c>
      <c r="Q23" s="502">
        <f>SQRT(((Q21*($G$23/100))^2)+((P21*($H$23/100))^2))</f>
        <v>0</v>
      </c>
      <c r="R23" s="68"/>
      <c r="S23" s="113"/>
      <c r="T23" s="113"/>
      <c r="U23" s="114" t="s">
        <v>804</v>
      </c>
      <c r="V23" s="641">
        <f>V21*$G$23/100</f>
        <v>0</v>
      </c>
      <c r="W23" s="641">
        <f>SQRT(((W21*($G$23/100))^2)+((V21*($H$23/100))^2))</f>
        <v>0</v>
      </c>
      <c r="X23" s="68"/>
      <c r="Y23" s="113"/>
      <c r="Z23" s="113"/>
      <c r="AA23" s="114" t="s">
        <v>807</v>
      </c>
      <c r="AB23" s="645">
        <f>AB21*$G$23/100</f>
        <v>0</v>
      </c>
      <c r="AC23" s="645">
        <f>SQRT(((AC21*($G$23/100))^2)+((AB21*($H$23/100))^2))</f>
        <v>0</v>
      </c>
    </row>
    <row r="24" spans="1:29" x14ac:dyDescent="0.25">
      <c r="A24" s="3"/>
      <c r="E24" s="118"/>
      <c r="I24" s="118"/>
      <c r="J24" s="501"/>
      <c r="K24" s="501"/>
      <c r="O24" s="118"/>
      <c r="P24" s="501"/>
      <c r="Q24" s="501"/>
      <c r="U24" s="118"/>
      <c r="V24" s="643"/>
      <c r="W24" s="643"/>
      <c r="AA24" s="118"/>
      <c r="AB24" s="625"/>
      <c r="AC24" s="625"/>
    </row>
    <row r="25" spans="1:29" x14ac:dyDescent="0.25">
      <c r="A25" s="2" t="s">
        <v>19</v>
      </c>
      <c r="B25" s="2"/>
      <c r="C25" s="2"/>
      <c r="D25" s="2"/>
      <c r="E25" s="152"/>
      <c r="F25" s="2"/>
      <c r="G25" s="2"/>
      <c r="H25" s="2"/>
      <c r="I25" s="152"/>
      <c r="J25" s="503">
        <f>SUM(J18:J23)</f>
        <v>16812.322636695986</v>
      </c>
      <c r="K25" s="503">
        <f>SQRT((K18^2)+(K19^2)+(K20^2)+(K21^2)+(K22^2)+(K23^2))</f>
        <v>0</v>
      </c>
      <c r="L25" s="2"/>
      <c r="M25" s="2"/>
      <c r="N25" s="2"/>
      <c r="O25" s="152"/>
      <c r="P25" s="503">
        <f>SUM(P18:P23)</f>
        <v>619.80740362941856</v>
      </c>
      <c r="Q25" s="503">
        <f>SQRT((Q18^2)+(Q19^2)+(Q20^2)+(Q21^2)+(Q22^2)+(Q23^2))</f>
        <v>0</v>
      </c>
      <c r="R25" s="2"/>
      <c r="S25" s="2"/>
      <c r="T25" s="2"/>
      <c r="U25" s="152"/>
      <c r="V25" s="644">
        <f>SUM(V18:V23)</f>
        <v>2.0174150307205201</v>
      </c>
      <c r="W25" s="644">
        <f>SQRT((W18^2)+(W19^2)+(W20^2)+(W21^2)+(W22^2)+(W23^2))</f>
        <v>0</v>
      </c>
      <c r="X25" s="2"/>
      <c r="Y25" s="2"/>
      <c r="Z25" s="2"/>
      <c r="AA25" s="152"/>
      <c r="AB25" s="626">
        <f>SUM(AB18:AB23)</f>
        <v>7.1316680941143129E-2</v>
      </c>
      <c r="AC25" s="626">
        <f>SQRT((AC18^2)+(AC19^2)+(AC20^2)+(AC21^2)+(AC22^2)+(AC23^2))</f>
        <v>0</v>
      </c>
    </row>
    <row r="26" spans="1:29" x14ac:dyDescent="0.25">
      <c r="A26" s="3"/>
      <c r="E26" s="118"/>
      <c r="I26" s="118"/>
      <c r="O26" s="118"/>
      <c r="U26" s="118"/>
      <c r="AA26" s="118"/>
    </row>
    <row r="27" spans="1:29" x14ac:dyDescent="0.25">
      <c r="A27" s="3"/>
      <c r="E27" s="118"/>
      <c r="I27" s="118"/>
      <c r="O27" s="118"/>
      <c r="U27" s="118"/>
      <c r="AA27" s="118"/>
    </row>
  </sheetData>
  <phoneticPr fontId="0" type="noConversion"/>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6"/>
  <sheetViews>
    <sheetView workbookViewId="0">
      <pane xSplit="1" ySplit="16" topLeftCell="B17" activePane="bottomRight" state="frozen"/>
      <selection pane="topRight" activeCell="B1" sqref="B1"/>
      <selection pane="bottomLeft" activeCell="A16" sqref="A16"/>
      <selection pane="bottomRight"/>
    </sheetView>
  </sheetViews>
  <sheetFormatPr defaultRowHeight="13.2" x14ac:dyDescent="0.25"/>
  <cols>
    <col min="1" max="1" width="65.44140625" customWidth="1"/>
    <col min="2" max="2" width="13.88671875" customWidth="1"/>
    <col min="10" max="10" width="12.6640625" style="110" customWidth="1"/>
    <col min="11" max="11" width="10.6640625" style="110" customWidth="1"/>
    <col min="16" max="16" width="17.33203125" style="14" customWidth="1"/>
    <col min="17" max="17" width="15.33203125" style="14" customWidth="1"/>
    <col min="19" max="20" width="10.5546875" bestFit="1" customWidth="1"/>
    <col min="22" max="22" width="15.33203125" style="194" customWidth="1"/>
    <col min="23" max="23" width="11.88671875" style="194" customWidth="1"/>
    <col min="25" max="26" width="12.5546875" bestFit="1" customWidth="1"/>
    <col min="28" max="28" width="18.109375" style="196" customWidth="1"/>
    <col min="29" max="29" width="13.6640625" style="196" customWidth="1"/>
  </cols>
  <sheetData>
    <row r="1" spans="1:29" x14ac:dyDescent="0.25">
      <c r="A1" s="146" t="s">
        <v>238</v>
      </c>
      <c r="B1" s="1046" t="s">
        <v>1468</v>
      </c>
      <c r="E1" s="118"/>
      <c r="I1" s="118"/>
      <c r="O1" s="118"/>
      <c r="U1" s="118"/>
      <c r="AA1" s="118"/>
    </row>
    <row r="2" spans="1:29" x14ac:dyDescent="0.25">
      <c r="A2" s="146" t="s">
        <v>241</v>
      </c>
      <c r="B2" s="43" t="s">
        <v>652</v>
      </c>
      <c r="E2" s="118"/>
      <c r="I2" s="118"/>
      <c r="O2" s="118"/>
      <c r="U2" s="118"/>
      <c r="AA2" s="118"/>
    </row>
    <row r="3" spans="1:29" x14ac:dyDescent="0.25">
      <c r="A3" s="146" t="s">
        <v>239</v>
      </c>
      <c r="B3" s="1009" t="s">
        <v>1422</v>
      </c>
      <c r="E3" s="118"/>
      <c r="I3" s="118"/>
      <c r="O3" s="118"/>
      <c r="U3" s="118"/>
      <c r="AA3" s="118"/>
    </row>
    <row r="4" spans="1:29" x14ac:dyDescent="0.25">
      <c r="A4" s="146" t="s">
        <v>240</v>
      </c>
      <c r="B4" s="11">
        <v>2004</v>
      </c>
      <c r="E4" s="118"/>
      <c r="I4" s="118"/>
      <c r="O4" s="118"/>
      <c r="U4" s="118"/>
      <c r="AA4" s="118"/>
    </row>
    <row r="5" spans="1:29" x14ac:dyDescent="0.25">
      <c r="E5" s="118"/>
      <c r="I5" s="118"/>
      <c r="O5" s="118"/>
      <c r="U5" s="118"/>
      <c r="AA5" s="118"/>
    </row>
    <row r="6" spans="1:29" x14ac:dyDescent="0.25">
      <c r="A6" s="447" t="s">
        <v>415</v>
      </c>
      <c r="B6" s="104"/>
      <c r="E6" s="118"/>
      <c r="I6" s="118"/>
      <c r="O6" s="118"/>
      <c r="U6" s="118"/>
      <c r="AA6" s="118"/>
    </row>
    <row r="7" spans="1:29" x14ac:dyDescent="0.25">
      <c r="A7" s="147" t="s">
        <v>669</v>
      </c>
      <c r="B7" s="115">
        <f>include_machinery</f>
        <v>0</v>
      </c>
      <c r="E7" s="118"/>
      <c r="I7" s="118"/>
      <c r="O7" s="118"/>
      <c r="U7" s="118"/>
      <c r="AA7" s="118"/>
    </row>
    <row r="8" spans="1:29" x14ac:dyDescent="0.25">
      <c r="A8" s="925" t="s">
        <v>1444</v>
      </c>
      <c r="B8" s="148">
        <f>Unitflowchart!$AE$114</f>
        <v>0</v>
      </c>
      <c r="E8" s="118"/>
      <c r="I8" s="118"/>
      <c r="O8" s="118"/>
      <c r="U8" s="118"/>
      <c r="AA8" s="118"/>
    </row>
    <row r="9" spans="1:29" x14ac:dyDescent="0.25">
      <c r="A9" s="147" t="s">
        <v>653</v>
      </c>
      <c r="B9" s="148">
        <f>Unitflowchart!$AE$116</f>
        <v>10111.483480784862</v>
      </c>
      <c r="E9" s="118"/>
      <c r="I9" s="118"/>
      <c r="O9" s="118"/>
      <c r="U9" s="118"/>
      <c r="AA9" s="118"/>
    </row>
    <row r="10" spans="1:29" x14ac:dyDescent="0.25">
      <c r="A10" s="147" t="s">
        <v>809</v>
      </c>
      <c r="B10" s="148">
        <f>Unitflowchart!AE130</f>
        <v>26.963832993003475</v>
      </c>
      <c r="E10" s="118"/>
      <c r="I10" s="118"/>
      <c r="O10" s="118"/>
      <c r="U10" s="118"/>
      <c r="AA10" s="118"/>
    </row>
    <row r="11" spans="1:29" x14ac:dyDescent="0.25">
      <c r="A11" s="147" t="s">
        <v>657</v>
      </c>
      <c r="B11" s="115">
        <f>Unitflowchart!$AE$136</f>
        <v>20</v>
      </c>
      <c r="E11" s="118"/>
      <c r="I11" s="118"/>
      <c r="O11" s="118"/>
      <c r="U11" s="118"/>
      <c r="AA11" s="118"/>
    </row>
    <row r="12" spans="1:29" x14ac:dyDescent="0.25">
      <c r="A12" s="149" t="s">
        <v>764</v>
      </c>
      <c r="B12" s="207">
        <f>Unitflowchart!$S$114*Unitflowchart!$S$383/Unitflowchart!$S$85</f>
        <v>48790.365750000012</v>
      </c>
      <c r="E12" s="118"/>
      <c r="I12" s="118"/>
      <c r="O12" s="118"/>
      <c r="U12" s="118"/>
      <c r="AA12" s="118"/>
    </row>
    <row r="13" spans="1:29" x14ac:dyDescent="0.25">
      <c r="E13" s="118"/>
      <c r="I13" s="118"/>
      <c r="O13" s="118"/>
      <c r="U13" s="118"/>
      <c r="AA13" s="118"/>
    </row>
    <row r="14" spans="1:29" s="43" customFormat="1" x14ac:dyDescent="0.25">
      <c r="A14" s="43" t="s">
        <v>243</v>
      </c>
      <c r="B14" s="43" t="s">
        <v>242</v>
      </c>
      <c r="E14" s="120" t="s">
        <v>28</v>
      </c>
      <c r="F14" s="43" t="s">
        <v>245</v>
      </c>
      <c r="I14" s="120" t="s">
        <v>28</v>
      </c>
      <c r="J14" s="193" t="s">
        <v>179</v>
      </c>
      <c r="K14" s="193"/>
      <c r="L14" s="43" t="s">
        <v>249</v>
      </c>
      <c r="O14" s="120" t="s">
        <v>28</v>
      </c>
      <c r="P14" s="153" t="s">
        <v>180</v>
      </c>
      <c r="Q14" s="153"/>
      <c r="R14" s="43" t="s">
        <v>251</v>
      </c>
      <c r="U14" s="120" t="s">
        <v>28</v>
      </c>
      <c r="V14" s="195" t="s">
        <v>181</v>
      </c>
      <c r="W14" s="195"/>
      <c r="X14" s="43" t="s">
        <v>253</v>
      </c>
      <c r="AA14" s="120" t="s">
        <v>28</v>
      </c>
      <c r="AB14" s="197" t="s">
        <v>194</v>
      </c>
      <c r="AC14" s="197"/>
    </row>
    <row r="15" spans="1:29" s="43" customFormat="1" x14ac:dyDescent="0.25">
      <c r="B15" s="43" t="s">
        <v>244</v>
      </c>
      <c r="C15" s="43" t="s">
        <v>246</v>
      </c>
      <c r="D15" s="43" t="s">
        <v>247</v>
      </c>
      <c r="E15" s="120"/>
      <c r="F15" s="43" t="s">
        <v>244</v>
      </c>
      <c r="G15" s="43" t="s">
        <v>246</v>
      </c>
      <c r="H15" s="43" t="s">
        <v>247</v>
      </c>
      <c r="I15" s="120"/>
      <c r="J15" s="193" t="s">
        <v>246</v>
      </c>
      <c r="K15" s="193" t="s">
        <v>247</v>
      </c>
      <c r="L15" s="43" t="s">
        <v>244</v>
      </c>
      <c r="M15" s="43" t="s">
        <v>246</v>
      </c>
      <c r="N15" s="43" t="s">
        <v>247</v>
      </c>
      <c r="O15" s="120"/>
      <c r="P15" s="153" t="s">
        <v>246</v>
      </c>
      <c r="Q15" s="153" t="s">
        <v>247</v>
      </c>
      <c r="R15" s="43" t="s">
        <v>244</v>
      </c>
      <c r="S15" s="43" t="s">
        <v>246</v>
      </c>
      <c r="T15" s="43" t="s">
        <v>247</v>
      </c>
      <c r="U15" s="120"/>
      <c r="V15" s="195" t="s">
        <v>246</v>
      </c>
      <c r="W15" s="195" t="s">
        <v>247</v>
      </c>
      <c r="X15" s="43" t="s">
        <v>244</v>
      </c>
      <c r="Y15" s="43" t="s">
        <v>246</v>
      </c>
      <c r="Z15" s="43" t="s">
        <v>247</v>
      </c>
      <c r="AA15" s="120"/>
      <c r="AB15" s="197" t="s">
        <v>246</v>
      </c>
      <c r="AC15" s="197" t="s">
        <v>247</v>
      </c>
    </row>
    <row r="16" spans="1:29" x14ac:dyDescent="0.25">
      <c r="A16" s="2" t="s">
        <v>195</v>
      </c>
      <c r="E16" s="118"/>
      <c r="I16" s="118"/>
      <c r="O16" s="118"/>
      <c r="U16" s="118"/>
      <c r="AA16" s="118"/>
    </row>
    <row r="17" spans="1:29" x14ac:dyDescent="0.25">
      <c r="A17" s="922" t="s">
        <v>1442</v>
      </c>
      <c r="B17" s="68" t="s">
        <v>451</v>
      </c>
      <c r="C17" s="649">
        <f>$B$8</f>
        <v>0</v>
      </c>
      <c r="D17" s="649">
        <v>0</v>
      </c>
      <c r="E17" s="68"/>
      <c r="F17" s="68" t="s">
        <v>7</v>
      </c>
      <c r="G17" s="1085">
        <v>1.05</v>
      </c>
      <c r="H17" s="1085">
        <v>0</v>
      </c>
      <c r="I17" s="114" t="s">
        <v>1437</v>
      </c>
      <c r="J17" s="500">
        <f>C17*G17</f>
        <v>0</v>
      </c>
      <c r="K17" s="500">
        <f>SQRT(((D17*G17)^2)+((C17*H17)^2))</f>
        <v>0</v>
      </c>
      <c r="L17" s="68" t="s">
        <v>8</v>
      </c>
      <c r="M17" s="646">
        <v>5.5724000000000003E-2</v>
      </c>
      <c r="N17" s="646">
        <v>0</v>
      </c>
      <c r="O17" s="114" t="s">
        <v>1438</v>
      </c>
      <c r="P17" s="500">
        <f>C17*M17</f>
        <v>0</v>
      </c>
      <c r="Q17" s="500">
        <f>SQRT(((D17*M17)^2)+((C17*N17)^2))</f>
        <v>0</v>
      </c>
      <c r="R17" s="68" t="s">
        <v>9</v>
      </c>
      <c r="S17" s="396">
        <v>6.6799999999999997E-5</v>
      </c>
      <c r="T17" s="396">
        <v>0</v>
      </c>
      <c r="U17" s="114" t="s">
        <v>1439</v>
      </c>
      <c r="V17" s="500">
        <f>C17*S17</f>
        <v>0</v>
      </c>
      <c r="W17" s="500">
        <f>SQRT(((D17*S17)^2)+((C17*T17)^2))</f>
        <v>0</v>
      </c>
      <c r="X17" s="68" t="s">
        <v>10</v>
      </c>
      <c r="Y17" s="647">
        <v>1.8300000000000001E-7</v>
      </c>
      <c r="Z17" s="647">
        <v>0</v>
      </c>
      <c r="AA17" s="114" t="s">
        <v>1440</v>
      </c>
      <c r="AB17" s="500">
        <f>C17*Y17</f>
        <v>0</v>
      </c>
      <c r="AC17" s="500">
        <f>SQRT(((D17*Y17)^2)+((C17*Z17)^2))</f>
        <v>0</v>
      </c>
    </row>
    <row r="18" spans="1:29" x14ac:dyDescent="0.25">
      <c r="A18" s="150" t="s">
        <v>810</v>
      </c>
      <c r="B18" s="316" t="s">
        <v>451</v>
      </c>
      <c r="C18" s="650">
        <f>$B$9</f>
        <v>10111.483480784862</v>
      </c>
      <c r="D18" s="650">
        <v>0</v>
      </c>
      <c r="E18" s="316"/>
      <c r="F18" s="316" t="s">
        <v>7</v>
      </c>
      <c r="G18" s="646">
        <v>0</v>
      </c>
      <c r="H18" s="646">
        <v>0</v>
      </c>
      <c r="I18" s="314"/>
      <c r="J18" s="500">
        <f>C18*G18</f>
        <v>0</v>
      </c>
      <c r="K18" s="500">
        <f>SQRT(((D18*G18)^2)+((C18*H18)^2))</f>
        <v>0</v>
      </c>
      <c r="L18" s="314" t="s">
        <v>8</v>
      </c>
      <c r="M18" s="646">
        <v>0</v>
      </c>
      <c r="N18" s="646">
        <v>0</v>
      </c>
      <c r="O18" s="314" t="s">
        <v>818</v>
      </c>
      <c r="P18" s="500">
        <f>C18*M18</f>
        <v>0</v>
      </c>
      <c r="Q18" s="500">
        <f>SQRT(((D18*M18)^2)+((C18*N18)^2))</f>
        <v>0</v>
      </c>
      <c r="R18" s="314" t="s">
        <v>9</v>
      </c>
      <c r="S18" s="396">
        <v>1.0000000000000001E-5</v>
      </c>
      <c r="T18" s="396">
        <v>0</v>
      </c>
      <c r="U18" s="363" t="s">
        <v>404</v>
      </c>
      <c r="V18" s="642">
        <f>C18*S18</f>
        <v>0.10111483480784862</v>
      </c>
      <c r="W18" s="642">
        <f>SQRT(((D18*S18)^2)+((C18*T18)^2))</f>
        <v>0</v>
      </c>
      <c r="X18" s="314" t="s">
        <v>10</v>
      </c>
      <c r="Y18" s="647">
        <v>3.0000000000000001E-6</v>
      </c>
      <c r="Z18" s="647">
        <v>0</v>
      </c>
      <c r="AA18" s="363" t="s">
        <v>405</v>
      </c>
      <c r="AB18" s="624">
        <f>C18*Y18</f>
        <v>3.0334450442354586E-2</v>
      </c>
      <c r="AC18" s="624">
        <f>SQRT(((D18*Y18)^2)+((C18*Z18)^2))</f>
        <v>0</v>
      </c>
    </row>
    <row r="19" spans="1:29" x14ac:dyDescent="0.25">
      <c r="A19" s="150" t="s">
        <v>45</v>
      </c>
      <c r="B19" s="68" t="s">
        <v>766</v>
      </c>
      <c r="C19" s="645">
        <f>(11698*(($B$10)^(2/3)))/($B$11*$B$12)</f>
        <v>0.10779583144822351</v>
      </c>
      <c r="D19" s="645">
        <f>0.15*C19</f>
        <v>1.6169374717233526E-2</v>
      </c>
      <c r="E19" s="117" t="s">
        <v>808</v>
      </c>
      <c r="F19" s="68" t="s">
        <v>189</v>
      </c>
      <c r="G19" s="494">
        <v>29.76</v>
      </c>
      <c r="H19" s="494">
        <v>0</v>
      </c>
      <c r="I19" s="68" t="s">
        <v>811</v>
      </c>
      <c r="J19" s="502">
        <f>C19*G19*B7</f>
        <v>0</v>
      </c>
      <c r="K19" s="502">
        <f>SQRT(((D19*G19)^2)+((C19*H19)^2))*B7</f>
        <v>0</v>
      </c>
      <c r="L19" s="68" t="s">
        <v>190</v>
      </c>
      <c r="M19" s="327">
        <v>1.595</v>
      </c>
      <c r="N19" s="327">
        <v>0</v>
      </c>
      <c r="O19" s="68" t="s">
        <v>812</v>
      </c>
      <c r="P19" s="502">
        <f>C19*M19*B7</f>
        <v>0</v>
      </c>
      <c r="Q19" s="502">
        <f>SQRT(((D19*M19)^2)+((C19*N19)^2))*B7</f>
        <v>0</v>
      </c>
      <c r="R19" s="68" t="s">
        <v>191</v>
      </c>
      <c r="S19" s="496">
        <v>3.5270000000000002E-3</v>
      </c>
      <c r="T19" s="496">
        <v>0</v>
      </c>
      <c r="U19" s="68" t="s">
        <v>813</v>
      </c>
      <c r="V19" s="641">
        <f>C19*S19*B7</f>
        <v>0</v>
      </c>
      <c r="W19" s="641">
        <f>SQRT(((D19*S19)^2)+((C19*T19)^2))*B7</f>
        <v>0</v>
      </c>
      <c r="X19" s="68" t="s">
        <v>192</v>
      </c>
      <c r="Y19" s="510">
        <v>7.3540000000000004E-5</v>
      </c>
      <c r="Z19" s="510">
        <v>0</v>
      </c>
      <c r="AA19" s="68" t="s">
        <v>814</v>
      </c>
      <c r="AB19" s="645">
        <f>C19*Y19*B7</f>
        <v>0</v>
      </c>
      <c r="AC19" s="645">
        <f>SQRT(((D19*Y19)^2)+((C19*Z19)^2))*B7</f>
        <v>0</v>
      </c>
    </row>
    <row r="20" spans="1:29" x14ac:dyDescent="0.25">
      <c r="A20" s="150" t="s">
        <v>46</v>
      </c>
      <c r="B20" s="68"/>
      <c r="C20" s="68"/>
      <c r="D20" s="68"/>
      <c r="E20" s="68"/>
      <c r="F20" s="68" t="s">
        <v>38</v>
      </c>
      <c r="G20" s="327">
        <v>2.5</v>
      </c>
      <c r="H20" s="327">
        <v>0</v>
      </c>
      <c r="I20" s="68" t="s">
        <v>815</v>
      </c>
      <c r="J20" s="502">
        <f>$B$11*J19*$G$20/100</f>
        <v>0</v>
      </c>
      <c r="K20" s="502">
        <f>SQRT((($B$11*K19*$G$20/100)^2)+(($B$11*J19*$H$20/100)^2))</f>
        <v>0</v>
      </c>
      <c r="L20" s="68"/>
      <c r="M20" s="117"/>
      <c r="N20" s="117"/>
      <c r="O20" s="68" t="s">
        <v>800</v>
      </c>
      <c r="P20" s="502">
        <f>$B$11*P19*$G$20/100</f>
        <v>0</v>
      </c>
      <c r="Q20" s="502">
        <f>SQRT((($B$11*Q19*$G$20/100)^2)+(($B$11*P19*$H$20/100)^2))</f>
        <v>0</v>
      </c>
      <c r="R20" s="68"/>
      <c r="S20" s="619"/>
      <c r="T20" s="619"/>
      <c r="U20" s="68" t="s">
        <v>815</v>
      </c>
      <c r="V20" s="641">
        <f>$B$11*V19*$G$20/100</f>
        <v>0</v>
      </c>
      <c r="W20" s="641">
        <f>SQRT((($B$11*W19*$G$20/100)^2)+(($B$11*V19*$H$20/100)^2))</f>
        <v>0</v>
      </c>
      <c r="X20" s="68"/>
      <c r="Y20" s="619"/>
      <c r="Z20" s="619"/>
      <c r="AA20" s="68" t="s">
        <v>815</v>
      </c>
      <c r="AB20" s="645">
        <f>$B$11*AB19*$G$20/100</f>
        <v>0</v>
      </c>
      <c r="AC20" s="645">
        <f>SQRT((($B$11*AC19*$G$20/100)^2)+(($B$11*AB19*$H$20/100)^2))</f>
        <v>0</v>
      </c>
    </row>
    <row r="21" spans="1:29" x14ac:dyDescent="0.25">
      <c r="A21" s="150" t="s">
        <v>47</v>
      </c>
      <c r="B21" s="68"/>
      <c r="C21" s="68"/>
      <c r="D21" s="68"/>
      <c r="E21" s="68"/>
      <c r="F21" s="68" t="s">
        <v>38</v>
      </c>
      <c r="G21" s="327">
        <v>4</v>
      </c>
      <c r="H21" s="327">
        <v>1</v>
      </c>
      <c r="I21" s="68" t="s">
        <v>798</v>
      </c>
      <c r="J21" s="502">
        <f>J19*$G$21/100</f>
        <v>0</v>
      </c>
      <c r="K21" s="502">
        <f>SQRT(((K19*($G$21/100))^2)+((J19*($H$21/100))^2))</f>
        <v>0</v>
      </c>
      <c r="L21" s="68"/>
      <c r="M21" s="117"/>
      <c r="N21" s="117"/>
      <c r="O21" s="68" t="s">
        <v>801</v>
      </c>
      <c r="P21" s="502">
        <f>P19*$G$21/100</f>
        <v>0</v>
      </c>
      <c r="Q21" s="502">
        <f>SQRT(((Q19*($G$21/100))^2)+((P19*($H$21/100))^2))</f>
        <v>0</v>
      </c>
      <c r="R21" s="68"/>
      <c r="S21" s="113"/>
      <c r="T21" s="113"/>
      <c r="U21" s="68" t="s">
        <v>804</v>
      </c>
      <c r="V21" s="641">
        <f>V19*$G$21/100</f>
        <v>0</v>
      </c>
      <c r="W21" s="641">
        <f>SQRT(((W19*($G$21/100))^2)+((V19*($H$21/100))^2))</f>
        <v>0</v>
      </c>
      <c r="X21" s="68"/>
      <c r="Y21" s="113"/>
      <c r="Z21" s="113"/>
      <c r="AA21" s="68" t="s">
        <v>807</v>
      </c>
      <c r="AB21" s="645">
        <f>AB19*$G$21/100</f>
        <v>0</v>
      </c>
      <c r="AC21" s="645">
        <f>SQRT(((AC19*($G$21/100))^2)+((AB19*($H$21/100))^2))</f>
        <v>0</v>
      </c>
    </row>
    <row r="22" spans="1:29" x14ac:dyDescent="0.25">
      <c r="A22" s="3"/>
      <c r="E22" s="118"/>
      <c r="I22" s="118"/>
      <c r="J22" s="501"/>
      <c r="K22" s="501"/>
      <c r="O22" s="118"/>
      <c r="P22" s="501"/>
      <c r="Q22" s="501"/>
      <c r="U22" s="118"/>
      <c r="V22" s="643"/>
      <c r="W22" s="643"/>
      <c r="AA22" s="118"/>
      <c r="AB22" s="625"/>
      <c r="AC22" s="625"/>
    </row>
    <row r="23" spans="1:29" x14ac:dyDescent="0.25">
      <c r="A23" s="2" t="s">
        <v>19</v>
      </c>
      <c r="E23" s="118"/>
      <c r="I23" s="118"/>
      <c r="J23" s="503">
        <f>SUM(J17:J21)</f>
        <v>0</v>
      </c>
      <c r="K23" s="503">
        <f>SQRT((K17^2)+(K18^2)+(K19^2)+(K20^2)+(K21^2))</f>
        <v>0</v>
      </c>
      <c r="O23" s="118"/>
      <c r="P23" s="503">
        <f>SUM(P17:P21)</f>
        <v>0</v>
      </c>
      <c r="Q23" s="503">
        <f>SQRT((Q17^2)+(Q18^2)+(Q19^2)+(Q20^2)+(Q21^2))</f>
        <v>0</v>
      </c>
      <c r="U23" s="118"/>
      <c r="V23" s="644">
        <f>SUM(V17:V21)</f>
        <v>0.10111483480784862</v>
      </c>
      <c r="W23" s="644">
        <f>SQRT((W17^2)+(W18^2)+(W19^2)+(W20^2)+(W21^2))</f>
        <v>0</v>
      </c>
      <c r="AA23" s="118"/>
      <c r="AB23" s="626">
        <f>SUM(AB17:AB21)</f>
        <v>3.0334450442354586E-2</v>
      </c>
      <c r="AC23" s="626">
        <f>SQRT((AC17^2)+(AC18^2)+(AC19^2)+(AC20^2)+(AC21^2))</f>
        <v>0</v>
      </c>
    </row>
    <row r="24" spans="1:29" x14ac:dyDescent="0.25">
      <c r="E24" s="118"/>
      <c r="I24" s="118"/>
      <c r="O24" s="118"/>
      <c r="U24" s="118"/>
      <c r="AA24" s="118"/>
    </row>
    <row r="25" spans="1:29" x14ac:dyDescent="0.25">
      <c r="E25" s="118"/>
      <c r="I25" s="118"/>
      <c r="O25" s="118"/>
      <c r="U25" s="118"/>
      <c r="AA25" s="118"/>
    </row>
    <row r="26" spans="1:29" x14ac:dyDescent="0.25">
      <c r="E26" s="118"/>
      <c r="I26" s="118"/>
      <c r="O26" s="118"/>
      <c r="U26" s="118"/>
      <c r="AA26" s="118"/>
    </row>
  </sheetData>
  <phoneticPr fontId="0" type="noConversion"/>
  <pageMargins left="0.75" right="0.75" top="1" bottom="1" header="0.5" footer="0.5"/>
  <pageSetup paperSize="9" orientation="portrait" verticalDpi="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workbookViewId="0"/>
  </sheetViews>
  <sheetFormatPr defaultRowHeight="13.2" x14ac:dyDescent="0.25"/>
  <cols>
    <col min="1" max="1" width="80.5546875" customWidth="1"/>
    <col min="2" max="9" width="25.6640625" customWidth="1"/>
    <col min="10" max="10" width="14.109375" customWidth="1"/>
    <col min="11" max="11" width="14.5546875" customWidth="1"/>
    <col min="12" max="12" width="12.6640625" customWidth="1"/>
    <col min="16" max="16" width="18.109375" customWidth="1"/>
    <col min="17" max="17" width="17.109375" customWidth="1"/>
    <col min="18" max="18" width="12.6640625" customWidth="1"/>
    <col min="19" max="20" width="10.5546875" bestFit="1" customWidth="1"/>
    <col min="22" max="22" width="16" customWidth="1"/>
    <col min="23" max="23" width="13.88671875" customWidth="1"/>
    <col min="24" max="24" width="12.33203125" customWidth="1"/>
    <col min="25" max="25" width="12" customWidth="1"/>
    <col min="26" max="26" width="11.6640625" customWidth="1"/>
    <col min="28" max="28" width="18.6640625" customWidth="1"/>
    <col min="29" max="29" width="16.6640625" customWidth="1"/>
  </cols>
  <sheetData>
    <row r="1" spans="1:29" x14ac:dyDescent="0.25">
      <c r="A1" s="154" t="s">
        <v>238</v>
      </c>
      <c r="B1" s="1101" t="s">
        <v>1470</v>
      </c>
    </row>
    <row r="2" spans="1:29" x14ac:dyDescent="0.25">
      <c r="A2" s="154" t="s">
        <v>241</v>
      </c>
      <c r="B2" s="364" t="s">
        <v>196</v>
      </c>
    </row>
    <row r="3" spans="1:29" x14ac:dyDescent="0.25">
      <c r="A3" s="154" t="s">
        <v>239</v>
      </c>
      <c r="B3" s="979" t="s">
        <v>1422</v>
      </c>
    </row>
    <row r="4" spans="1:29" x14ac:dyDescent="0.25">
      <c r="A4" s="154" t="s">
        <v>240</v>
      </c>
      <c r="B4" s="42">
        <v>2004</v>
      </c>
    </row>
    <row r="5" spans="1:29" x14ac:dyDescent="0.25">
      <c r="A5" s="24"/>
      <c r="B5" s="24"/>
      <c r="C5" s="24"/>
      <c r="D5" s="24"/>
      <c r="E5" s="24"/>
      <c r="F5" s="24"/>
      <c r="G5" s="24"/>
      <c r="H5" s="24"/>
      <c r="I5" s="24"/>
    </row>
    <row r="6" spans="1:29" s="273" customFormat="1" x14ac:dyDescent="0.25">
      <c r="A6" s="579" t="s">
        <v>415</v>
      </c>
      <c r="B6" s="400"/>
      <c r="C6" s="400"/>
      <c r="D6" s="411"/>
      <c r="E6" s="412"/>
    </row>
    <row r="7" spans="1:29" s="118" customFormat="1" x14ac:dyDescent="0.25">
      <c r="A7" s="401" t="s">
        <v>416</v>
      </c>
      <c r="B7" s="390" t="str">
        <f>Credit</f>
        <v>Replacement Generation</v>
      </c>
      <c r="C7" s="174"/>
      <c r="D7" s="651"/>
      <c r="E7" s="583"/>
    </row>
    <row r="8" spans="1:29" s="118" customFormat="1" x14ac:dyDescent="0.25">
      <c r="A8" s="401"/>
      <c r="B8" s="174" t="s">
        <v>242</v>
      </c>
      <c r="C8" s="174"/>
      <c r="D8" s="652"/>
      <c r="E8" s="653" t="s">
        <v>28</v>
      </c>
      <c r="F8" s="43" t="s">
        <v>245</v>
      </c>
      <c r="G8" s="43"/>
      <c r="H8" s="43"/>
      <c r="I8" s="43" t="s">
        <v>28</v>
      </c>
      <c r="J8" s="43" t="s">
        <v>417</v>
      </c>
      <c r="K8" s="43"/>
      <c r="L8" s="43" t="s">
        <v>249</v>
      </c>
      <c r="M8" s="43"/>
      <c r="N8" s="43"/>
      <c r="O8" s="43" t="s">
        <v>28</v>
      </c>
      <c r="P8" s="43" t="s">
        <v>418</v>
      </c>
      <c r="Q8" s="43"/>
      <c r="R8" s="43" t="s">
        <v>251</v>
      </c>
      <c r="S8" s="43"/>
      <c r="T8" s="43"/>
      <c r="U8" s="43" t="s">
        <v>28</v>
      </c>
      <c r="V8" s="43" t="s">
        <v>419</v>
      </c>
      <c r="W8" s="43"/>
      <c r="X8" s="43" t="s">
        <v>253</v>
      </c>
      <c r="Y8" s="43"/>
      <c r="Z8" s="43"/>
      <c r="AA8" s="43" t="s">
        <v>28</v>
      </c>
      <c r="AB8" s="43" t="s">
        <v>420</v>
      </c>
      <c r="AC8" s="43"/>
    </row>
    <row r="9" spans="1:29" s="118" customFormat="1" x14ac:dyDescent="0.25">
      <c r="A9" s="402" t="s">
        <v>816</v>
      </c>
      <c r="B9" s="174" t="s">
        <v>244</v>
      </c>
      <c r="C9" s="174" t="s">
        <v>246</v>
      </c>
      <c r="D9" s="652" t="s">
        <v>247</v>
      </c>
      <c r="E9" s="653"/>
      <c r="F9" s="43" t="s">
        <v>244</v>
      </c>
      <c r="G9" s="43" t="s">
        <v>246</v>
      </c>
      <c r="H9" s="43" t="s">
        <v>247</v>
      </c>
      <c r="I9" s="43"/>
      <c r="J9" s="43" t="s">
        <v>246</v>
      </c>
      <c r="K9" s="43" t="s">
        <v>247</v>
      </c>
      <c r="L9" s="43" t="s">
        <v>244</v>
      </c>
      <c r="M9" s="43" t="s">
        <v>246</v>
      </c>
      <c r="N9" s="43" t="s">
        <v>247</v>
      </c>
      <c r="O9" s="43"/>
      <c r="P9" s="43" t="s">
        <v>246</v>
      </c>
      <c r="Q9" s="43" t="s">
        <v>247</v>
      </c>
      <c r="R9" s="43" t="s">
        <v>244</v>
      </c>
      <c r="S9" s="43" t="s">
        <v>246</v>
      </c>
      <c r="T9" s="43" t="s">
        <v>247</v>
      </c>
      <c r="U9" s="43"/>
      <c r="V9" s="43" t="s">
        <v>246</v>
      </c>
      <c r="W9" s="43" t="s">
        <v>247</v>
      </c>
      <c r="X9" s="43" t="s">
        <v>244</v>
      </c>
      <c r="Y9" s="43" t="s">
        <v>246</v>
      </c>
      <c r="Z9" s="43" t="s">
        <v>247</v>
      </c>
      <c r="AA9" s="43"/>
      <c r="AB9" s="43" t="s">
        <v>246</v>
      </c>
      <c r="AC9" s="43" t="s">
        <v>247</v>
      </c>
    </row>
    <row r="10" spans="1:29" s="118" customFormat="1" x14ac:dyDescent="0.25">
      <c r="A10" s="1089" t="s">
        <v>1446</v>
      </c>
      <c r="B10" s="656" t="s">
        <v>38</v>
      </c>
      <c r="C10" s="657">
        <v>25</v>
      </c>
      <c r="D10" s="443">
        <v>0</v>
      </c>
      <c r="E10" s="653"/>
      <c r="F10" s="43"/>
      <c r="G10" s="43"/>
      <c r="H10" s="43"/>
      <c r="I10" s="43"/>
      <c r="J10" s="43"/>
      <c r="K10" s="43"/>
      <c r="L10" s="43"/>
      <c r="M10" s="43"/>
      <c r="N10" s="43"/>
      <c r="O10" s="43"/>
      <c r="P10" s="43"/>
      <c r="Q10" s="43"/>
      <c r="R10" s="43"/>
      <c r="S10" s="43"/>
      <c r="T10" s="43"/>
      <c r="U10" s="43"/>
      <c r="V10" s="43"/>
      <c r="W10" s="43"/>
      <c r="X10" s="43"/>
      <c r="Y10" s="43"/>
      <c r="Z10" s="43"/>
      <c r="AA10" s="43"/>
      <c r="AB10" s="43"/>
      <c r="AC10" s="43"/>
    </row>
    <row r="11" spans="1:29" s="118" customFormat="1" x14ac:dyDescent="0.25">
      <c r="A11" s="401" t="s">
        <v>1443</v>
      </c>
      <c r="B11" s="174" t="s">
        <v>38</v>
      </c>
      <c r="C11" s="658">
        <f>(Unitflowchart!AE114*100)/(Unitflowchart!AE114+Unitflowchart!AE116)</f>
        <v>0</v>
      </c>
      <c r="D11" s="659">
        <v>0</v>
      </c>
      <c r="E11" s="653"/>
      <c r="F11" s="316" t="s">
        <v>421</v>
      </c>
      <c r="G11" s="1085">
        <v>1.05</v>
      </c>
      <c r="H11" s="1085">
        <v>0</v>
      </c>
      <c r="I11" s="114" t="s">
        <v>1437</v>
      </c>
      <c r="J11" s="318">
        <f>C11*G11</f>
        <v>0</v>
      </c>
      <c r="K11" s="318">
        <f>SQRT(((D11*G11)^2)+((C11*H11)^2))</f>
        <v>0</v>
      </c>
      <c r="L11" s="68" t="s">
        <v>8</v>
      </c>
      <c r="M11" s="1087">
        <v>5.5724000000000003E-2</v>
      </c>
      <c r="N11" s="1087">
        <v>0</v>
      </c>
      <c r="O11" s="114" t="s">
        <v>1438</v>
      </c>
      <c r="P11" s="1086">
        <f>C11*M11</f>
        <v>0</v>
      </c>
      <c r="Q11" s="1086">
        <f>SQRT(((D11*M11)^2)+((C11*N11)^2))</f>
        <v>0</v>
      </c>
      <c r="R11" s="68" t="s">
        <v>9</v>
      </c>
      <c r="S11" s="1087">
        <v>6.6799999999999997E-5</v>
      </c>
      <c r="T11" s="1087">
        <v>0</v>
      </c>
      <c r="U11" s="114" t="s">
        <v>1439</v>
      </c>
      <c r="V11" s="1086">
        <f>C11*S11</f>
        <v>0</v>
      </c>
      <c r="W11" s="1086">
        <f>SQRT(((D11*S11)^2)+((C11*T11)^2))</f>
        <v>0</v>
      </c>
      <c r="X11" s="68" t="s">
        <v>10</v>
      </c>
      <c r="Y11" s="1087">
        <v>1.8300000000000001E-7</v>
      </c>
      <c r="Z11" s="1087">
        <v>0</v>
      </c>
      <c r="AA11" s="114" t="s">
        <v>1440</v>
      </c>
      <c r="AB11" s="1086">
        <f>C11*Y11</f>
        <v>0</v>
      </c>
      <c r="AC11" s="1086">
        <f>SQRT(((D11*Y11)^2)+((C11*Z11)^2))</f>
        <v>0</v>
      </c>
    </row>
    <row r="12" spans="1:29" s="118" customFormat="1" x14ac:dyDescent="0.25">
      <c r="A12" s="401" t="s">
        <v>817</v>
      </c>
      <c r="B12" s="174" t="s">
        <v>38</v>
      </c>
      <c r="C12" s="658">
        <f>(Unitflowchart!AE116*100)/(Unitflowchart!AE114+Unitflowchart!AE116)</f>
        <v>100</v>
      </c>
      <c r="D12" s="659">
        <v>0</v>
      </c>
      <c r="E12" s="653"/>
      <c r="F12" s="316" t="s">
        <v>421</v>
      </c>
      <c r="G12" s="391">
        <v>0</v>
      </c>
      <c r="H12" s="391">
        <v>0</v>
      </c>
      <c r="I12" s="314"/>
      <c r="J12" s="318">
        <f>C12*G12/$C$10</f>
        <v>0</v>
      </c>
      <c r="K12" s="318">
        <f>SQRT(((D12*G12)^2)+((C12*H12)^2))/$C$10</f>
        <v>0</v>
      </c>
      <c r="L12" s="314" t="s">
        <v>186</v>
      </c>
      <c r="M12" s="391">
        <v>0</v>
      </c>
      <c r="N12" s="391">
        <v>0</v>
      </c>
      <c r="O12" s="314" t="s">
        <v>818</v>
      </c>
      <c r="P12" s="392">
        <f>C12*M12/$C$10</f>
        <v>0</v>
      </c>
      <c r="Q12" s="392">
        <f>SQRT(((D12*M12)^2)+((C12*N12)^2))/$C$10</f>
        <v>0</v>
      </c>
      <c r="R12" s="314" t="s">
        <v>187</v>
      </c>
      <c r="S12" s="396">
        <f>0.00001*3.6</f>
        <v>3.6000000000000001E-5</v>
      </c>
      <c r="T12" s="396">
        <v>0</v>
      </c>
      <c r="U12" s="399" t="s">
        <v>795</v>
      </c>
      <c r="V12" s="393">
        <f>C12*S12/$C$10</f>
        <v>1.44E-4</v>
      </c>
      <c r="W12" s="393">
        <f>SQRT(((D12*S12)^2)+((C12*T12)^2))/$C$10</f>
        <v>0</v>
      </c>
      <c r="X12" s="314" t="s">
        <v>188</v>
      </c>
      <c r="Y12" s="396">
        <f>0.000003*3.6</f>
        <v>1.08E-5</v>
      </c>
      <c r="Z12" s="396">
        <v>0</v>
      </c>
      <c r="AA12" s="399" t="s">
        <v>405</v>
      </c>
      <c r="AB12" s="394">
        <f>C12*Y12/$C$10</f>
        <v>4.32E-5</v>
      </c>
      <c r="AC12" s="394">
        <f>SQRT(((D12*Y12)^2)+((C12*Z12)^2))/$C$10</f>
        <v>0</v>
      </c>
    </row>
    <row r="13" spans="1:29" s="118" customFormat="1" x14ac:dyDescent="0.25">
      <c r="A13" s="676" t="s">
        <v>207</v>
      </c>
      <c r="B13" s="174"/>
      <c r="C13" s="174"/>
      <c r="D13" s="652"/>
      <c r="E13" s="653"/>
      <c r="F13"/>
      <c r="G13"/>
      <c r="H13"/>
      <c r="I13"/>
      <c r="J13" s="296">
        <f>SUM(J11:J12)</f>
        <v>0</v>
      </c>
      <c r="K13" s="296">
        <f>SQRT(SUMSQ(K11:K12))</f>
        <v>0</v>
      </c>
      <c r="L13"/>
      <c r="M13"/>
      <c r="N13"/>
      <c r="O13"/>
      <c r="P13" s="397">
        <f>SUM(P11:P12)</f>
        <v>0</v>
      </c>
      <c r="Q13" s="397">
        <f>SQRT(SUMSQ(Q11:Q12))</f>
        <v>0</v>
      </c>
      <c r="R13"/>
      <c r="S13"/>
      <c r="T13"/>
      <c r="U13"/>
      <c r="V13" s="175">
        <f>SUM(V11:V12)</f>
        <v>1.44E-4</v>
      </c>
      <c r="W13" s="175">
        <f>SQRT(SUMSQ(W11:W12))</f>
        <v>0</v>
      </c>
      <c r="X13"/>
      <c r="Y13"/>
      <c r="Z13"/>
      <c r="AA13"/>
      <c r="AB13" s="398">
        <f>SUM(AB11:AB12)</f>
        <v>4.32E-5</v>
      </c>
      <c r="AC13" s="398">
        <f>SQRT(SUMSQ(AC11:AC12))</f>
        <v>0</v>
      </c>
    </row>
    <row r="14" spans="1:29" s="118" customFormat="1" x14ac:dyDescent="0.25">
      <c r="A14" s="584" t="s">
        <v>820</v>
      </c>
      <c r="B14" s="174" t="s">
        <v>765</v>
      </c>
      <c r="C14" s="678">
        <f>Unitflowchart!S152+Unitflowchart!AE145</f>
        <v>2387.4335996297586</v>
      </c>
      <c r="D14" s="652"/>
      <c r="E14" s="653"/>
      <c r="F14"/>
      <c r="G14"/>
      <c r="H14"/>
      <c r="I14"/>
      <c r="J14" s="153"/>
      <c r="K14" s="153"/>
      <c r="L14" s="43"/>
      <c r="M14" s="43"/>
      <c r="N14" s="43"/>
      <c r="O14" s="43"/>
      <c r="P14" s="195"/>
      <c r="Q14" s="195"/>
      <c r="R14" s="43"/>
      <c r="S14" s="43"/>
      <c r="T14" s="43"/>
      <c r="U14" s="43"/>
      <c r="V14" s="818"/>
      <c r="W14" s="818"/>
      <c r="X14" s="43"/>
      <c r="Y14" s="43"/>
      <c r="Z14" s="43"/>
      <c r="AA14" s="43"/>
      <c r="AB14" s="819"/>
      <c r="AC14" s="819"/>
    </row>
    <row r="15" spans="1:29" s="118" customFormat="1" x14ac:dyDescent="0.25">
      <c r="A15" s="584" t="s">
        <v>822</v>
      </c>
      <c r="B15" s="174" t="s">
        <v>765</v>
      </c>
      <c r="C15" s="678">
        <f>Unitflowchart!AE143</f>
        <v>0</v>
      </c>
      <c r="D15" s="652"/>
      <c r="E15" s="653"/>
      <c r="F15"/>
      <c r="G15"/>
      <c r="H15"/>
      <c r="I15"/>
      <c r="J15" s="153"/>
      <c r="K15" s="153"/>
      <c r="L15" s="43"/>
      <c r="M15" s="43"/>
      <c r="N15" s="43"/>
      <c r="O15" s="43"/>
      <c r="P15" s="195"/>
      <c r="Q15" s="195"/>
      <c r="R15" s="43"/>
      <c r="S15" s="43"/>
      <c r="T15" s="43"/>
      <c r="U15" s="43"/>
      <c r="V15" s="818"/>
      <c r="W15" s="818"/>
      <c r="X15" s="43"/>
      <c r="Y15" s="43"/>
      <c r="Z15" s="43"/>
      <c r="AA15" s="43"/>
      <c r="AB15" s="819"/>
      <c r="AC15" s="819"/>
    </row>
    <row r="16" spans="1:29" s="118" customFormat="1" x14ac:dyDescent="0.25">
      <c r="A16" s="584" t="s">
        <v>821</v>
      </c>
      <c r="B16" s="174" t="s">
        <v>765</v>
      </c>
      <c r="C16" s="680">
        <f>C14+C15</f>
        <v>2387.4335996297586</v>
      </c>
      <c r="D16" s="652"/>
      <c r="E16" s="653"/>
      <c r="F16"/>
      <c r="G16"/>
      <c r="H16"/>
      <c r="I16"/>
      <c r="J16" s="153"/>
      <c r="K16" s="153"/>
      <c r="L16" s="43"/>
      <c r="M16" s="43"/>
      <c r="N16" s="43"/>
      <c r="O16" s="43"/>
      <c r="P16" s="195"/>
      <c r="Q16" s="195"/>
      <c r="R16" s="43"/>
      <c r="S16" s="43"/>
      <c r="T16" s="43"/>
      <c r="U16" s="43"/>
      <c r="V16" s="818"/>
      <c r="W16" s="818"/>
      <c r="X16" s="43"/>
      <c r="Y16" s="43"/>
      <c r="Z16" s="43"/>
      <c r="AA16" s="43"/>
      <c r="AB16" s="819"/>
      <c r="AC16" s="819"/>
    </row>
    <row r="17" spans="1:29" s="118" customFormat="1" x14ac:dyDescent="0.25">
      <c r="A17" s="584" t="s">
        <v>823</v>
      </c>
      <c r="B17" s="174" t="s">
        <v>38</v>
      </c>
      <c r="C17" s="680">
        <f>(C14/C16)*100</f>
        <v>100</v>
      </c>
      <c r="D17" s="652"/>
      <c r="E17" s="653"/>
      <c r="F17"/>
      <c r="G17"/>
      <c r="H17"/>
      <c r="I17"/>
      <c r="J17" s="153"/>
      <c r="K17" s="153"/>
      <c r="L17" s="43"/>
      <c r="M17" s="43"/>
      <c r="N17" s="43"/>
      <c r="O17" s="43"/>
      <c r="P17" s="195"/>
      <c r="Q17" s="195"/>
      <c r="R17" s="43"/>
      <c r="S17" s="43"/>
      <c r="T17" s="43"/>
      <c r="U17" s="43"/>
      <c r="V17" s="818"/>
      <c r="W17" s="818"/>
      <c r="X17" s="43"/>
      <c r="Y17" s="43"/>
      <c r="Z17" s="43"/>
      <c r="AA17" s="43"/>
      <c r="AB17" s="819"/>
      <c r="AC17" s="819"/>
    </row>
    <row r="18" spans="1:29" s="118" customFormat="1" x14ac:dyDescent="0.25">
      <c r="A18" s="677" t="s">
        <v>824</v>
      </c>
      <c r="B18" s="403" t="s">
        <v>38</v>
      </c>
      <c r="C18" s="681">
        <f>(C15/C16)*100</f>
        <v>0</v>
      </c>
      <c r="D18" s="654"/>
      <c r="E18" s="655"/>
      <c r="F18"/>
      <c r="G18"/>
      <c r="H18"/>
      <c r="I18"/>
      <c r="J18" s="153"/>
      <c r="K18" s="153"/>
      <c r="L18" s="43"/>
      <c r="M18" s="43"/>
      <c r="N18" s="43"/>
      <c r="O18" s="43"/>
      <c r="P18" s="195"/>
      <c r="Q18" s="195"/>
      <c r="R18" s="43"/>
      <c r="S18" s="43"/>
      <c r="T18" s="43"/>
      <c r="U18" s="43"/>
      <c r="V18" s="818"/>
      <c r="W18" s="818"/>
      <c r="X18" s="43"/>
      <c r="Y18" s="43"/>
      <c r="Z18" s="43"/>
      <c r="AA18" s="43"/>
      <c r="AB18" s="819"/>
      <c r="AC18" s="819"/>
    </row>
    <row r="19" spans="1:29" x14ac:dyDescent="0.25">
      <c r="A19" s="24"/>
      <c r="B19" s="30"/>
      <c r="C19" s="24"/>
      <c r="D19" s="24"/>
      <c r="E19" s="24"/>
      <c r="F19" s="24"/>
      <c r="G19" s="24"/>
      <c r="H19" s="24"/>
      <c r="I19" s="24"/>
    </row>
    <row r="20" spans="1:29" x14ac:dyDescent="0.25">
      <c r="A20" s="404" t="s">
        <v>672</v>
      </c>
      <c r="B20" s="405"/>
      <c r="C20" s="156"/>
      <c r="D20" s="156"/>
      <c r="E20" s="156"/>
      <c r="F20" s="156"/>
      <c r="G20" s="156"/>
      <c r="H20" s="156"/>
      <c r="I20" s="156"/>
    </row>
    <row r="21" spans="1:29" s="43" customFormat="1" x14ac:dyDescent="0.25">
      <c r="A21" s="157" t="s">
        <v>197</v>
      </c>
      <c r="B21" s="158" t="s">
        <v>22</v>
      </c>
      <c r="C21" s="159"/>
      <c r="D21" s="158" t="s">
        <v>23</v>
      </c>
      <c r="E21" s="159"/>
      <c r="F21" s="158" t="s">
        <v>24</v>
      </c>
      <c r="G21" s="159"/>
      <c r="H21" s="158" t="s">
        <v>25</v>
      </c>
      <c r="I21" s="160"/>
    </row>
    <row r="22" spans="1:29" s="43" customFormat="1" x14ac:dyDescent="0.25">
      <c r="A22" s="157"/>
      <c r="B22" s="158"/>
      <c r="C22" s="159"/>
      <c r="D22" s="158"/>
      <c r="E22" s="159"/>
      <c r="F22" s="158"/>
      <c r="G22" s="159"/>
      <c r="H22" s="158"/>
      <c r="I22" s="160"/>
    </row>
    <row r="23" spans="1:29" s="43" customFormat="1" x14ac:dyDescent="0.25">
      <c r="A23" s="161"/>
      <c r="B23" s="162" t="s">
        <v>198</v>
      </c>
      <c r="C23" s="163" t="s">
        <v>1493</v>
      </c>
      <c r="D23" s="162" t="s">
        <v>199</v>
      </c>
      <c r="E23" s="163" t="s">
        <v>200</v>
      </c>
      <c r="F23" s="162" t="s">
        <v>201</v>
      </c>
      <c r="G23" s="163" t="s">
        <v>202</v>
      </c>
      <c r="H23" s="162" t="s">
        <v>203</v>
      </c>
      <c r="I23" s="164" t="s">
        <v>204</v>
      </c>
    </row>
    <row r="24" spans="1:29" x14ac:dyDescent="0.25">
      <c r="A24" s="166" t="s">
        <v>205</v>
      </c>
      <c r="C24" s="167"/>
      <c r="E24" s="167"/>
      <c r="G24" s="167"/>
      <c r="I24" s="167"/>
    </row>
    <row r="25" spans="1:29" x14ac:dyDescent="0.25">
      <c r="A25" s="16"/>
      <c r="C25" s="16"/>
      <c r="E25" s="16"/>
      <c r="G25" s="16"/>
      <c r="I25" s="16"/>
    </row>
    <row r="26" spans="1:29" x14ac:dyDescent="0.25">
      <c r="A26" s="16" t="s">
        <v>206</v>
      </c>
      <c r="B26" s="660">
        <f>(BoilerGrid!J25-BoilerGrid!J20)/Unitflowchart!$S$150</f>
        <v>0</v>
      </c>
      <c r="C26" s="660">
        <f>(BoilerGrid!K25-BoilerGrid!K20)/Unitflowchart!$S$150</f>
        <v>0</v>
      </c>
      <c r="D26" s="401">
        <f>(BoilerGrid!P25-BoilerGrid!P20)/(Unitflowchart!$S$150/3.6)</f>
        <v>0</v>
      </c>
      <c r="E26" s="168">
        <f>(BoilerGrid!Q25-BoilerGrid!Q20)/(Unitflowchart!$S$150/3.6)</f>
        <v>0</v>
      </c>
      <c r="F26" s="406">
        <f>(BoilerGrid!V25-BoilerGrid!V20)/(Unitflowchart!$S$150/3.6)</f>
        <v>4.4999999999999976E-5</v>
      </c>
      <c r="G26" s="170">
        <f>(BoilerGrid!W25-BoilerGrid!W20)/(Unitflowchart!$S$150/3.6)</f>
        <v>0</v>
      </c>
      <c r="H26" s="666">
        <f>(BoilerGrid!AB25-BoilerGrid!AB20)/(Unitflowchart!$S$150/3.6)</f>
        <v>1.3499999999999999E-5</v>
      </c>
      <c r="I26" s="667">
        <f>(BoilerGrid!AC25-BoilerGrid!AC20)/(Unitflowchart!$S$150/3.6)</f>
        <v>0</v>
      </c>
    </row>
    <row r="27" spans="1:29" x14ac:dyDescent="0.25">
      <c r="A27" s="16" t="s">
        <v>207</v>
      </c>
      <c r="B27" s="660">
        <f>(BoilerGrid!G20/3.6)</f>
        <v>2.4940000000000002</v>
      </c>
      <c r="C27" s="214">
        <f>(BoilerGrid!H20/3.6)</f>
        <v>0</v>
      </c>
      <c r="D27" s="168">
        <f>BoilerGrid!M20</f>
        <v>0.33100000000000002</v>
      </c>
      <c r="E27" s="169">
        <f>BoilerGrid!N20</f>
        <v>0</v>
      </c>
      <c r="F27" s="170">
        <f>BoilerGrid!S20</f>
        <v>1.0200000000000001E-3</v>
      </c>
      <c r="G27" s="171">
        <f>BoilerGrid!T20</f>
        <v>0</v>
      </c>
      <c r="H27" s="668">
        <f>BoilerGrid!Y20</f>
        <v>2.0873539547630425E-5</v>
      </c>
      <c r="I27" s="667">
        <f>BoilerGrid!Z20</f>
        <v>0</v>
      </c>
    </row>
    <row r="28" spans="1:29" x14ac:dyDescent="0.25">
      <c r="A28" s="172"/>
      <c r="B28" s="661"/>
      <c r="C28" s="662"/>
      <c r="D28" s="173"/>
      <c r="E28" s="172"/>
      <c r="F28" s="173"/>
      <c r="G28" s="172"/>
      <c r="H28" s="669"/>
      <c r="I28" s="670"/>
    </row>
    <row r="29" spans="1:29" x14ac:dyDescent="0.25">
      <c r="A29" s="18" t="s">
        <v>195</v>
      </c>
      <c r="B29" s="194"/>
      <c r="C29" s="32"/>
      <c r="E29" s="16"/>
      <c r="G29" s="16"/>
      <c r="H29" s="671"/>
      <c r="I29" s="672"/>
    </row>
    <row r="30" spans="1:29" x14ac:dyDescent="0.25">
      <c r="A30" s="16"/>
      <c r="B30" s="194"/>
      <c r="C30" s="32"/>
      <c r="E30" s="16"/>
      <c r="G30" s="16"/>
      <c r="H30" s="671"/>
      <c r="I30" s="672"/>
    </row>
    <row r="31" spans="1:29" x14ac:dyDescent="0.25">
      <c r="A31" s="16" t="s">
        <v>206</v>
      </c>
      <c r="B31" s="663">
        <f>(CHP!J23/Unitflowchart!$S$150)*(1/(1+(Unitflowchart!$AE$132/Unitflowchart!$AE$126)))</f>
        <v>0</v>
      </c>
      <c r="C31" s="214">
        <f>(CHP!K23/Unitflowchart!$S$150)*(1/(1+(Unitflowchart!$AE$132/Unitflowchart!$AE$126)))</f>
        <v>0</v>
      </c>
      <c r="D31" s="168">
        <f>(CHP!P23/(Unitflowchart!$S$150/3.6))*(1/(1+(Unitflowchart!$AE$132/Unitflowchart!$AE$126)))</f>
        <v>0</v>
      </c>
      <c r="E31" s="169">
        <f>(CHP!Q23/(Unitflowchart!$S$150/3.6))*(1/(1+(Unitflowchart!$AE$132/Unitflowchart!$AE$126)))</f>
        <v>0</v>
      </c>
      <c r="F31" s="170">
        <f>(CHP!V23/(Unitflowchart!$S$150/3.6))*(1/(1+(Unitflowchart!$AE$132/Unitflowchart!$AE$126)))</f>
        <v>1.4117647058823532E-5</v>
      </c>
      <c r="G31" s="171">
        <f>(CHP!W23/(Unitflowchart!$S$150/3.6))*(1/(1+(Unitflowchart!$AE$132/Unitflowchart!$AE$126)))</f>
        <v>0</v>
      </c>
      <c r="H31" s="668">
        <f>(CHP!AB23/(Unitflowchart!$S$150/3.6))*(1/(1+(Unitflowchart!$AE$132/Unitflowchart!$AE$126)))</f>
        <v>4.2352941176470591E-6</v>
      </c>
      <c r="I31" s="667">
        <f>(CHP!AC23/(Unitflowchart!$S$150/3.6))*(1/(1+(Unitflowchart!$AE$132/Unitflowchart!$AE$126)))</f>
        <v>0</v>
      </c>
    </row>
    <row r="32" spans="1:29" x14ac:dyDescent="0.25">
      <c r="A32" s="16" t="s">
        <v>208</v>
      </c>
      <c r="B32" s="663">
        <f>(CHP!J23/(3.6*(Unitflowchart!$S$152+Unitflowchart!$AE$145)))*(1/(1+(Unitflowchart!$AE$126/Unitflowchart!$AE$132)))</f>
        <v>0</v>
      </c>
      <c r="C32" s="214">
        <f>(CHP!K23/(3.6*(Unitflowchart!$S$152+Unitflowchart!$AE$145)))*(1/(1+(Unitflowchart!$AE$126/Unitflowchart!$AE$132)))</f>
        <v>0</v>
      </c>
      <c r="D32" s="174">
        <f>(CHP!P23/(Unitflowchart!$S$152+Unitflowchart!$AE$145))*(1/(1+(Unitflowchart!$AE$126/Unitflowchart!$AE$132)))</f>
        <v>0</v>
      </c>
      <c r="E32" s="169">
        <f>(CHP!Q23/(Unitflowchart!$S$152+Unitflowchart!$AE$145))*(1/(1+(Unitflowchart!$AE$126/Unitflowchart!$AE$132)))</f>
        <v>0</v>
      </c>
      <c r="F32" s="170">
        <f>(CHP!V23/(Unitflowchart!$S$152+Unitflowchart!$AE$145))*(1/(1+(Unitflowchart!$AE$126/Unitflowchart!$AE$132)))</f>
        <v>2.8235294117647063E-5</v>
      </c>
      <c r="G32" s="171">
        <f>((CHP!W23)/(((((Unitflowchart!$S$152*Unitflowchart!$S$312/Unitflowchart!$S$383)+Unitflowchart!$AE$145)))*(1/(1+(Unitflowchart!$AE$126/(Unitflowchart!$AE$132))))))</f>
        <v>0</v>
      </c>
      <c r="H32" s="668">
        <f>(CHP!AB23/(Unitflowchart!$S$152+Unitflowchart!$AE$145))*(1/(1+(Unitflowchart!$AE$126/Unitflowchart!$AE$132)))</f>
        <v>8.4705882352941183E-6</v>
      </c>
      <c r="I32" s="667">
        <f>(CHP!AC23/(Unitflowchart!$S$152+Unitflowchart!$AE$145))*(1/(1+(Unitflowchart!$AE$126/Unitflowchart!$AE$132)))</f>
        <v>0</v>
      </c>
    </row>
    <row r="33" spans="1:9" x14ac:dyDescent="0.25">
      <c r="A33" s="16" t="s">
        <v>825</v>
      </c>
      <c r="B33" s="663">
        <f>(BoilerGrid!G20/3.6)</f>
        <v>2.4940000000000002</v>
      </c>
      <c r="C33" s="214">
        <f>(BoilerGrid!H20/3.6)</f>
        <v>0</v>
      </c>
      <c r="D33" s="174">
        <f>BoilerGrid!M20</f>
        <v>0.33100000000000002</v>
      </c>
      <c r="E33" s="169">
        <f>BoilerGrid!N20</f>
        <v>0</v>
      </c>
      <c r="F33" s="170">
        <f>BoilerGrid!S20</f>
        <v>1.0200000000000001E-3</v>
      </c>
      <c r="G33" s="171">
        <f>BoilerGrid!T20</f>
        <v>0</v>
      </c>
      <c r="H33" s="668">
        <f>BoilerGrid!Y20</f>
        <v>2.0873539547630425E-5</v>
      </c>
      <c r="I33" s="667">
        <f>BoilerGrid!Z20</f>
        <v>0</v>
      </c>
    </row>
    <row r="34" spans="1:9" x14ac:dyDescent="0.25">
      <c r="A34" s="16" t="s">
        <v>819</v>
      </c>
      <c r="B34" s="679">
        <f>(B32*$C$17/100)+(B33*$C$18/100)</f>
        <v>0</v>
      </c>
      <c r="C34" s="682">
        <f>SQRT((($C$17*B32*C33/100)^2)+(($C$18*C32*B33/100)^2))</f>
        <v>0</v>
      </c>
      <c r="D34" s="675">
        <f>(D32*$C$17/100)+(D33*$C$18/100)</f>
        <v>0</v>
      </c>
      <c r="E34" s="683">
        <f>SQRT((($C$17*D32*E33/100)^2)+(($C$18*E32*D33/100)^2))</f>
        <v>0</v>
      </c>
      <c r="F34" s="684">
        <f>(F32*$C$17/100)+(F33*$C$18/100)</f>
        <v>2.8235294117647067E-5</v>
      </c>
      <c r="G34" s="685">
        <f>SQRT((($C$17*F32*G33/100)^2)+(($C$18*G32*F33/100)^2))</f>
        <v>0</v>
      </c>
      <c r="H34" s="686">
        <f>(H32*$C$17/100)+(H33*$C$18/100)</f>
        <v>8.4705882352941183E-6</v>
      </c>
      <c r="I34" s="687">
        <f>SQRT((($C$17*H32*I33/100)^2)+(($C$18*I32*H33/100)^2))</f>
        <v>0</v>
      </c>
    </row>
    <row r="35" spans="1:9" x14ac:dyDescent="0.25">
      <c r="A35" s="16" t="s">
        <v>209</v>
      </c>
      <c r="B35" s="664">
        <f>(IF($B$7="Replacement Generation",-J13,(IF($B$7="Net Grid",B32-B27,(IF($B$7="Gross Grid",-B27))))))</f>
        <v>0</v>
      </c>
      <c r="C35" s="665">
        <f>(IF($B$7="Replacement Generation",-K13,(IF($B$7="Net Grid",C32-C27,(IF($B$7="Gross Grid",-C27))))))</f>
        <v>0</v>
      </c>
      <c r="D35" s="408">
        <f>(IF($B$7="Replacement Generation",-P13,(IF($B$7="Net Grid",D32-D27,(IF($B$7="Gross Grid",-D27))))))</f>
        <v>0</v>
      </c>
      <c r="E35" s="407">
        <f>(IF($B$7="Replacement Generation",-Q13,(IF($B$7="Net Grid",E32-E27,(IF($B$7="Gross Grid",-E27))))))</f>
        <v>0</v>
      </c>
      <c r="F35" s="409">
        <f>(IF($B$7="Replacement Generation",-V13,(IF($B$7="Net Grid",F32-F27,(IF($B$7="Gross Grid",-F27))))))</f>
        <v>-1.44E-4</v>
      </c>
      <c r="G35" s="410">
        <f>(IF($B$7="Replacement Generation",-W13,(IF($B$7="Net Grid",G32-G27,(IF($B$7="Gross Grid",-G27))))))</f>
        <v>0</v>
      </c>
      <c r="H35" s="673">
        <f>(IF($B$7="Replacement Generation",-AB13,(IF($B$7="Net Grid",H32-H27,(IF($B$7="Gross Grid",-H27))))))</f>
        <v>-4.32E-5</v>
      </c>
      <c r="I35" s="674">
        <f>(IF($B$7="Replacement Generation",-AC13,(IF($B$7="Net Grid",I32-I27,(IF($B$7="Gross Grid",-I27))))))</f>
        <v>0</v>
      </c>
    </row>
    <row r="36" spans="1:9" x14ac:dyDescent="0.25">
      <c r="A36" s="17"/>
      <c r="B36" s="156"/>
      <c r="C36" s="17"/>
      <c r="D36" s="156"/>
      <c r="E36" s="17"/>
      <c r="F36" s="156"/>
      <c r="G36" s="17"/>
      <c r="H36" s="156"/>
      <c r="I36" s="17"/>
    </row>
  </sheetData>
  <phoneticPr fontId="0" type="noConversion"/>
  <pageMargins left="0.75" right="0.75" top="1" bottom="1" header="0.5" footer="0.5"/>
  <pageSetup paperSize="9"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
  <sheetViews>
    <sheetView workbookViewId="0"/>
  </sheetViews>
  <sheetFormatPr defaultRowHeight="13.2" x14ac:dyDescent="0.25"/>
  <cols>
    <col min="1" max="1" width="76.109375" customWidth="1"/>
  </cols>
  <sheetData>
    <row r="1" spans="1:26" x14ac:dyDescent="0.25">
      <c r="A1" s="839" t="s">
        <v>978</v>
      </c>
      <c r="B1" s="224"/>
      <c r="C1" s="224"/>
      <c r="D1" s="224"/>
      <c r="E1" s="224"/>
      <c r="F1" s="224"/>
      <c r="G1" s="224"/>
      <c r="H1" s="224"/>
      <c r="I1" s="224"/>
      <c r="J1" s="224"/>
      <c r="K1" s="224"/>
      <c r="L1" s="224"/>
      <c r="M1" s="224"/>
      <c r="N1" s="224"/>
      <c r="O1" s="224"/>
      <c r="P1" s="224"/>
      <c r="Q1" s="224"/>
      <c r="R1" s="224"/>
      <c r="S1" s="224"/>
      <c r="T1" s="224"/>
      <c r="U1" s="224"/>
      <c r="V1" s="224"/>
      <c r="W1" s="224"/>
      <c r="X1" s="224"/>
      <c r="Y1" s="224"/>
      <c r="Z1" s="224"/>
    </row>
    <row r="2" spans="1:26" x14ac:dyDescent="0.25">
      <c r="A2" s="224"/>
      <c r="B2" s="224"/>
      <c r="C2" s="224"/>
      <c r="D2" s="224"/>
      <c r="E2" s="224"/>
      <c r="F2" s="224"/>
      <c r="G2" s="224"/>
      <c r="H2" s="224"/>
      <c r="I2" s="224"/>
      <c r="J2" s="224"/>
      <c r="K2" s="224"/>
      <c r="L2" s="224"/>
      <c r="M2" s="224"/>
      <c r="N2" s="224"/>
      <c r="O2" s="224"/>
      <c r="P2" s="224"/>
      <c r="Q2" s="224"/>
      <c r="R2" s="224"/>
      <c r="S2" s="224"/>
      <c r="T2" s="224"/>
      <c r="U2" s="224"/>
      <c r="V2" s="224"/>
      <c r="W2" s="224"/>
      <c r="X2" s="224"/>
      <c r="Y2" s="224"/>
      <c r="Z2" s="224"/>
    </row>
    <row r="3" spans="1:26" ht="39.6" x14ac:dyDescent="0.25">
      <c r="A3" s="841" t="s">
        <v>981</v>
      </c>
      <c r="B3" s="224"/>
      <c r="C3" s="224"/>
      <c r="D3" s="224"/>
      <c r="E3" s="224"/>
      <c r="F3" s="224"/>
      <c r="G3" s="224"/>
      <c r="H3" s="224"/>
      <c r="I3" s="224"/>
      <c r="J3" s="224"/>
      <c r="K3" s="224"/>
      <c r="L3" s="224"/>
      <c r="M3" s="224"/>
      <c r="N3" s="224"/>
      <c r="O3" s="224"/>
      <c r="P3" s="224"/>
      <c r="Q3" s="224"/>
      <c r="R3" s="224"/>
      <c r="S3" s="224"/>
      <c r="T3" s="224"/>
      <c r="U3" s="224"/>
      <c r="V3" s="224"/>
      <c r="W3" s="224"/>
      <c r="X3" s="224"/>
      <c r="Y3" s="224"/>
      <c r="Z3" s="224"/>
    </row>
    <row r="4" spans="1:26" x14ac:dyDescent="0.25">
      <c r="A4" s="224"/>
      <c r="B4" s="224"/>
      <c r="C4" s="224"/>
      <c r="D4" s="224"/>
      <c r="E4" s="224"/>
      <c r="F4" s="224"/>
      <c r="G4" s="224"/>
      <c r="H4" s="224"/>
      <c r="I4" s="224"/>
      <c r="J4" s="224"/>
      <c r="K4" s="224"/>
      <c r="L4" s="224"/>
      <c r="M4" s="224"/>
      <c r="N4" s="224"/>
      <c r="O4" s="224"/>
      <c r="P4" s="224"/>
      <c r="Q4" s="224"/>
      <c r="R4" s="224"/>
      <c r="S4" s="224"/>
      <c r="T4" s="224"/>
      <c r="U4" s="224"/>
      <c r="V4" s="224"/>
      <c r="W4" s="224"/>
      <c r="X4" s="224"/>
      <c r="Y4" s="224"/>
      <c r="Z4" s="224"/>
    </row>
    <row r="5" spans="1:26" x14ac:dyDescent="0.25">
      <c r="A5" s="224"/>
      <c r="B5" s="224"/>
      <c r="C5" s="224"/>
      <c r="D5" s="224"/>
      <c r="E5" s="224"/>
      <c r="F5" s="224"/>
      <c r="G5" s="224"/>
      <c r="H5" s="224"/>
      <c r="I5" s="224"/>
      <c r="J5" s="224"/>
      <c r="K5" s="224"/>
      <c r="L5" s="224"/>
      <c r="M5" s="224"/>
      <c r="N5" s="224"/>
      <c r="O5" s="224"/>
      <c r="P5" s="224"/>
      <c r="Q5" s="224"/>
      <c r="R5" s="224"/>
      <c r="S5" s="224"/>
      <c r="T5" s="224"/>
      <c r="U5" s="224"/>
      <c r="V5" s="224"/>
      <c r="W5" s="224"/>
      <c r="X5" s="224"/>
      <c r="Y5" s="224"/>
      <c r="Z5" s="224"/>
    </row>
    <row r="6" spans="1:26" x14ac:dyDescent="0.25">
      <c r="A6" s="224"/>
      <c r="B6" s="224"/>
      <c r="C6" s="224"/>
      <c r="D6" s="224"/>
      <c r="E6" s="224"/>
      <c r="F6" s="224"/>
      <c r="G6" s="224"/>
      <c r="H6" s="224"/>
      <c r="I6" s="224"/>
      <c r="J6" s="224"/>
      <c r="K6" s="224"/>
      <c r="L6" s="224"/>
      <c r="M6" s="224"/>
      <c r="N6" s="224"/>
      <c r="O6" s="224"/>
      <c r="P6" s="224"/>
      <c r="Q6" s="224"/>
      <c r="R6" s="224"/>
      <c r="S6" s="224"/>
      <c r="T6" s="224"/>
      <c r="U6" s="224"/>
      <c r="V6" s="224"/>
      <c r="W6" s="224"/>
      <c r="X6" s="224"/>
      <c r="Y6" s="224"/>
      <c r="Z6" s="224"/>
    </row>
    <row r="7" spans="1:26" x14ac:dyDescent="0.25">
      <c r="A7" s="224"/>
      <c r="B7" s="224"/>
      <c r="C7" s="224"/>
      <c r="D7" s="224"/>
      <c r="E7" s="224"/>
      <c r="F7" s="224"/>
      <c r="G7" s="224"/>
      <c r="H7" s="224"/>
      <c r="I7" s="224"/>
      <c r="J7" s="224"/>
      <c r="K7" s="224"/>
      <c r="L7" s="224"/>
      <c r="M7" s="224"/>
      <c r="N7" s="224"/>
      <c r="O7" s="224"/>
      <c r="P7" s="224"/>
      <c r="Q7" s="224"/>
      <c r="R7" s="224"/>
      <c r="S7" s="224"/>
      <c r="T7" s="224"/>
      <c r="U7" s="224"/>
      <c r="V7" s="224"/>
      <c r="W7" s="224"/>
      <c r="X7" s="224"/>
      <c r="Y7" s="224"/>
      <c r="Z7" s="224"/>
    </row>
    <row r="8" spans="1:26" x14ac:dyDescent="0.25">
      <c r="A8" s="224"/>
      <c r="B8" s="224"/>
      <c r="C8" s="224"/>
      <c r="D8" s="224"/>
      <c r="E8" s="224"/>
      <c r="F8" s="224"/>
      <c r="G8" s="224"/>
      <c r="H8" s="224"/>
      <c r="I8" s="224"/>
      <c r="J8" s="224"/>
      <c r="K8" s="224"/>
      <c r="L8" s="224"/>
      <c r="M8" s="224"/>
      <c r="N8" s="224"/>
      <c r="O8" s="224"/>
      <c r="P8" s="224"/>
      <c r="Q8" s="224"/>
      <c r="R8" s="224"/>
      <c r="S8" s="224"/>
      <c r="T8" s="224"/>
      <c r="U8" s="224"/>
      <c r="V8" s="224"/>
      <c r="W8" s="224"/>
      <c r="X8" s="224"/>
      <c r="Y8" s="224"/>
      <c r="Z8" s="224"/>
    </row>
    <row r="9" spans="1:26" x14ac:dyDescent="0.25">
      <c r="A9" s="224"/>
      <c r="B9" s="224"/>
      <c r="C9" s="224"/>
      <c r="D9" s="224"/>
      <c r="E9" s="224"/>
      <c r="F9" s="224"/>
      <c r="G9" s="224"/>
      <c r="H9" s="224"/>
      <c r="I9" s="224"/>
      <c r="J9" s="224"/>
      <c r="K9" s="224"/>
      <c r="L9" s="224"/>
      <c r="M9" s="224"/>
      <c r="N9" s="224"/>
      <c r="O9" s="224"/>
      <c r="P9" s="224"/>
      <c r="Q9" s="224"/>
      <c r="R9" s="224"/>
      <c r="S9" s="224"/>
      <c r="T9" s="224"/>
      <c r="U9" s="224"/>
      <c r="V9" s="224"/>
      <c r="W9" s="224"/>
      <c r="X9" s="224"/>
      <c r="Y9" s="224"/>
      <c r="Z9" s="224"/>
    </row>
    <row r="10" spans="1:26" x14ac:dyDescent="0.25">
      <c r="A10" s="224"/>
      <c r="B10" s="224"/>
      <c r="C10" s="224"/>
      <c r="D10" s="224"/>
      <c r="E10" s="224"/>
      <c r="F10" s="224"/>
      <c r="G10" s="224"/>
      <c r="H10" s="224"/>
      <c r="I10" s="224"/>
      <c r="J10" s="224"/>
      <c r="K10" s="224"/>
      <c r="L10" s="224"/>
      <c r="M10" s="224"/>
      <c r="N10" s="224"/>
      <c r="O10" s="224"/>
      <c r="P10" s="224"/>
      <c r="Q10" s="224"/>
      <c r="R10" s="224"/>
      <c r="S10" s="224"/>
      <c r="T10" s="224"/>
      <c r="U10" s="224"/>
      <c r="V10" s="224"/>
      <c r="W10" s="224"/>
      <c r="X10" s="224"/>
      <c r="Y10" s="224"/>
      <c r="Z10" s="224"/>
    </row>
    <row r="11" spans="1:26" x14ac:dyDescent="0.25">
      <c r="A11" s="224"/>
      <c r="B11" s="224"/>
      <c r="C11" s="224"/>
      <c r="D11" s="224"/>
      <c r="E11" s="224"/>
      <c r="F11" s="224"/>
      <c r="G11" s="224"/>
      <c r="H11" s="224"/>
      <c r="I11" s="224"/>
      <c r="J11" s="224"/>
      <c r="K11" s="224"/>
      <c r="L11" s="224"/>
      <c r="M11" s="224"/>
      <c r="N11" s="224"/>
      <c r="O11" s="224"/>
      <c r="P11" s="224"/>
      <c r="Q11" s="224"/>
      <c r="R11" s="224"/>
      <c r="S11" s="224"/>
      <c r="T11" s="224"/>
      <c r="U11" s="224"/>
      <c r="V11" s="224"/>
      <c r="W11" s="224"/>
      <c r="X11" s="224"/>
      <c r="Y11" s="224"/>
      <c r="Z11" s="224"/>
    </row>
    <row r="12" spans="1:26" x14ac:dyDescent="0.25">
      <c r="A12" s="224"/>
      <c r="B12" s="224"/>
      <c r="C12" s="224"/>
      <c r="D12" s="224"/>
      <c r="E12" s="224"/>
      <c r="F12" s="224"/>
      <c r="G12" s="224"/>
      <c r="H12" s="224"/>
      <c r="I12" s="224"/>
      <c r="J12" s="224"/>
      <c r="K12" s="224"/>
      <c r="L12" s="224"/>
      <c r="M12" s="224"/>
      <c r="N12" s="224"/>
      <c r="O12" s="224"/>
      <c r="P12" s="224"/>
      <c r="Q12" s="224"/>
      <c r="R12" s="224"/>
      <c r="S12" s="224"/>
      <c r="T12" s="224"/>
      <c r="U12" s="224"/>
      <c r="V12" s="224"/>
      <c r="W12" s="224"/>
      <c r="X12" s="224"/>
      <c r="Y12" s="224"/>
      <c r="Z12" s="224"/>
    </row>
    <row r="13" spans="1:26" x14ac:dyDescent="0.25">
      <c r="A13" s="224"/>
      <c r="B13" s="224"/>
      <c r="C13" s="224"/>
      <c r="D13" s="224"/>
      <c r="E13" s="224"/>
      <c r="F13" s="224"/>
      <c r="G13" s="224"/>
      <c r="H13" s="224"/>
      <c r="I13" s="224"/>
      <c r="J13" s="224"/>
      <c r="K13" s="224"/>
      <c r="L13" s="224"/>
      <c r="M13" s="224"/>
      <c r="N13" s="224"/>
      <c r="O13" s="224"/>
      <c r="P13" s="224"/>
      <c r="Q13" s="224"/>
      <c r="R13" s="224"/>
      <c r="S13" s="224"/>
      <c r="T13" s="224"/>
      <c r="U13" s="224"/>
      <c r="V13" s="224"/>
      <c r="W13" s="224"/>
      <c r="X13" s="224"/>
      <c r="Y13" s="224"/>
      <c r="Z13" s="224"/>
    </row>
    <row r="14" spans="1:26" x14ac:dyDescent="0.25">
      <c r="A14" s="224"/>
      <c r="B14" s="224"/>
      <c r="C14" s="224"/>
      <c r="D14" s="224"/>
      <c r="E14" s="224"/>
      <c r="F14" s="224"/>
      <c r="G14" s="224"/>
      <c r="H14" s="224"/>
      <c r="I14" s="224"/>
      <c r="J14" s="224"/>
      <c r="K14" s="224"/>
      <c r="L14" s="224"/>
      <c r="M14" s="224"/>
      <c r="N14" s="224"/>
      <c r="O14" s="224"/>
      <c r="P14" s="224"/>
      <c r="Q14" s="224"/>
      <c r="R14" s="224"/>
      <c r="S14" s="224"/>
      <c r="T14" s="224"/>
      <c r="U14" s="224"/>
      <c r="V14" s="224"/>
      <c r="W14" s="224"/>
      <c r="X14" s="224"/>
      <c r="Y14" s="224"/>
      <c r="Z14" s="224"/>
    </row>
    <row r="15" spans="1:26" x14ac:dyDescent="0.25">
      <c r="A15" s="224"/>
      <c r="B15" s="224"/>
      <c r="C15" s="224"/>
      <c r="D15" s="224"/>
      <c r="E15" s="224"/>
      <c r="F15" s="224"/>
      <c r="G15" s="224"/>
      <c r="H15" s="224"/>
      <c r="I15" s="224"/>
      <c r="J15" s="224"/>
      <c r="K15" s="224"/>
      <c r="L15" s="224"/>
      <c r="M15" s="224"/>
      <c r="N15" s="224"/>
      <c r="O15" s="224"/>
      <c r="P15" s="224"/>
      <c r="Q15" s="224"/>
      <c r="R15" s="224"/>
      <c r="S15" s="224"/>
      <c r="T15" s="224"/>
      <c r="U15" s="224"/>
      <c r="V15" s="224"/>
      <c r="W15" s="224"/>
      <c r="X15" s="224"/>
      <c r="Y15" s="224"/>
      <c r="Z15" s="224"/>
    </row>
    <row r="16" spans="1:26" x14ac:dyDescent="0.25">
      <c r="A16" s="224"/>
      <c r="B16" s="224"/>
      <c r="C16" s="224"/>
      <c r="D16" s="224"/>
      <c r="E16" s="224"/>
      <c r="F16" s="224"/>
      <c r="G16" s="224"/>
      <c r="H16" s="224"/>
      <c r="I16" s="224"/>
      <c r="J16" s="224"/>
      <c r="K16" s="224"/>
      <c r="L16" s="224"/>
      <c r="M16" s="224"/>
      <c r="N16" s="224"/>
      <c r="O16" s="224"/>
      <c r="P16" s="224"/>
      <c r="Q16" s="224"/>
      <c r="R16" s="224"/>
      <c r="S16" s="224"/>
      <c r="T16" s="224"/>
      <c r="U16" s="224"/>
      <c r="V16" s="224"/>
      <c r="W16" s="224"/>
      <c r="X16" s="224"/>
      <c r="Y16" s="224"/>
      <c r="Z16" s="224"/>
    </row>
    <row r="17" spans="1:26" x14ac:dyDescent="0.25">
      <c r="A17" s="224"/>
      <c r="B17" s="224"/>
      <c r="C17" s="224"/>
      <c r="D17" s="224"/>
      <c r="E17" s="224"/>
      <c r="F17" s="224"/>
      <c r="G17" s="224"/>
      <c r="H17" s="224"/>
      <c r="I17" s="224"/>
      <c r="J17" s="224"/>
      <c r="K17" s="224"/>
      <c r="L17" s="224"/>
      <c r="M17" s="224"/>
      <c r="N17" s="224"/>
      <c r="O17" s="224"/>
      <c r="P17" s="224"/>
      <c r="Q17" s="224"/>
      <c r="R17" s="224"/>
      <c r="S17" s="224"/>
      <c r="T17" s="224"/>
      <c r="U17" s="224"/>
      <c r="V17" s="224"/>
      <c r="W17" s="224"/>
      <c r="X17" s="224"/>
      <c r="Y17" s="224"/>
      <c r="Z17" s="224"/>
    </row>
    <row r="18" spans="1:26"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row>
    <row r="19" spans="1:26" x14ac:dyDescent="0.25">
      <c r="A19" s="224"/>
      <c r="B19" s="224"/>
      <c r="C19" s="224"/>
      <c r="D19" s="224"/>
      <c r="E19" s="224"/>
      <c r="F19" s="224"/>
      <c r="G19" s="224"/>
      <c r="H19" s="224"/>
      <c r="I19" s="224"/>
      <c r="J19" s="224"/>
      <c r="K19" s="224"/>
      <c r="L19" s="224"/>
      <c r="M19" s="224"/>
      <c r="N19" s="224"/>
      <c r="O19" s="224"/>
      <c r="P19" s="224"/>
      <c r="Q19" s="224"/>
      <c r="R19" s="224"/>
      <c r="S19" s="224"/>
      <c r="T19" s="224"/>
      <c r="U19" s="224"/>
      <c r="V19" s="224"/>
      <c r="W19" s="224"/>
      <c r="X19" s="224"/>
      <c r="Y19" s="224"/>
      <c r="Z19" s="224"/>
    </row>
    <row r="20" spans="1:26" x14ac:dyDescent="0.25">
      <c r="A20" s="224"/>
      <c r="B20" s="224"/>
      <c r="C20" s="224"/>
      <c r="D20" s="224"/>
      <c r="E20" s="224"/>
      <c r="F20" s="224"/>
      <c r="G20" s="224"/>
      <c r="H20" s="224"/>
      <c r="I20" s="224"/>
      <c r="J20" s="224"/>
      <c r="K20" s="224"/>
      <c r="L20" s="224"/>
      <c r="M20" s="224"/>
      <c r="N20" s="224"/>
      <c r="O20" s="224"/>
      <c r="P20" s="224"/>
      <c r="Q20" s="224"/>
      <c r="R20" s="224"/>
      <c r="S20" s="224"/>
      <c r="T20" s="224"/>
      <c r="U20" s="224"/>
      <c r="V20" s="224"/>
      <c r="W20" s="224"/>
      <c r="X20" s="224"/>
      <c r="Y20" s="224"/>
      <c r="Z20" s="224"/>
    </row>
    <row r="21" spans="1:26" x14ac:dyDescent="0.25">
      <c r="A21" s="224"/>
      <c r="B21" s="224"/>
      <c r="C21" s="224"/>
      <c r="D21" s="224"/>
      <c r="E21" s="224"/>
      <c r="F21" s="224"/>
      <c r="G21" s="224"/>
      <c r="H21" s="224"/>
      <c r="I21" s="224"/>
      <c r="J21" s="224"/>
      <c r="K21" s="224"/>
      <c r="L21" s="224"/>
      <c r="M21" s="224"/>
      <c r="N21" s="224"/>
      <c r="O21" s="224"/>
      <c r="P21" s="224"/>
      <c r="Q21" s="224"/>
      <c r="R21" s="224"/>
      <c r="S21" s="224"/>
      <c r="T21" s="224"/>
      <c r="U21" s="224"/>
      <c r="V21" s="224"/>
      <c r="W21" s="224"/>
      <c r="X21" s="224"/>
      <c r="Y21" s="224"/>
      <c r="Z21" s="224"/>
    </row>
    <row r="22" spans="1:26"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row>
    <row r="23" spans="1:26" x14ac:dyDescent="0.25">
      <c r="A23" s="224"/>
      <c r="B23" s="224"/>
      <c r="C23" s="224"/>
      <c r="D23" s="224"/>
      <c r="E23" s="224"/>
      <c r="F23" s="224"/>
      <c r="G23" s="224"/>
      <c r="H23" s="224"/>
      <c r="I23" s="224"/>
      <c r="J23" s="224"/>
      <c r="K23" s="224"/>
      <c r="L23" s="224"/>
      <c r="M23" s="224"/>
      <c r="N23" s="224"/>
      <c r="O23" s="224"/>
      <c r="P23" s="224"/>
      <c r="Q23" s="224"/>
      <c r="R23" s="224"/>
      <c r="S23" s="224"/>
      <c r="T23" s="224"/>
      <c r="U23" s="224"/>
      <c r="V23" s="224"/>
      <c r="W23" s="224"/>
      <c r="X23" s="224"/>
      <c r="Y23" s="224"/>
      <c r="Z23" s="224"/>
    </row>
    <row r="24" spans="1:26" x14ac:dyDescent="0.25">
      <c r="A24" s="224"/>
      <c r="B24" s="224"/>
      <c r="C24" s="224"/>
      <c r="D24" s="224"/>
      <c r="E24" s="224"/>
      <c r="F24" s="224"/>
      <c r="G24" s="224"/>
      <c r="H24" s="224"/>
      <c r="I24" s="224"/>
      <c r="J24" s="224"/>
      <c r="K24" s="224"/>
      <c r="L24" s="224"/>
      <c r="M24" s="224"/>
      <c r="N24" s="224"/>
      <c r="O24" s="224"/>
      <c r="P24" s="224"/>
      <c r="Q24" s="224"/>
      <c r="R24" s="224"/>
      <c r="S24" s="224"/>
      <c r="T24" s="224"/>
      <c r="U24" s="224"/>
      <c r="V24" s="224"/>
      <c r="W24" s="224"/>
      <c r="X24" s="224"/>
      <c r="Y24" s="224"/>
      <c r="Z24" s="224"/>
    </row>
    <row r="25" spans="1:26" x14ac:dyDescent="0.25">
      <c r="A25" s="224"/>
      <c r="B25" s="224"/>
      <c r="C25" s="224"/>
      <c r="D25" s="224"/>
      <c r="E25" s="224"/>
      <c r="F25" s="224"/>
      <c r="G25" s="224"/>
      <c r="H25" s="224"/>
      <c r="I25" s="224"/>
      <c r="J25" s="224"/>
      <c r="K25" s="224"/>
      <c r="L25" s="224"/>
      <c r="M25" s="224"/>
      <c r="N25" s="224"/>
      <c r="O25" s="224"/>
      <c r="P25" s="224"/>
      <c r="Q25" s="224"/>
      <c r="R25" s="224"/>
      <c r="S25" s="224"/>
      <c r="T25" s="224"/>
      <c r="U25" s="224"/>
      <c r="V25" s="224"/>
      <c r="W25" s="224"/>
      <c r="X25" s="224"/>
      <c r="Y25" s="224"/>
      <c r="Z25" s="224"/>
    </row>
    <row r="26" spans="1:26" x14ac:dyDescent="0.25">
      <c r="A26" s="224"/>
      <c r="B26" s="224"/>
      <c r="C26" s="224"/>
      <c r="D26" s="224"/>
      <c r="E26" s="224"/>
      <c r="F26" s="224"/>
      <c r="G26" s="224"/>
      <c r="H26" s="224"/>
      <c r="I26" s="224"/>
      <c r="J26" s="224"/>
      <c r="K26" s="224"/>
      <c r="L26" s="224"/>
      <c r="M26" s="224"/>
      <c r="N26" s="224"/>
      <c r="O26" s="224"/>
      <c r="P26" s="224"/>
      <c r="Q26" s="224"/>
      <c r="R26" s="224"/>
      <c r="S26" s="224"/>
      <c r="T26" s="224"/>
      <c r="U26" s="224"/>
      <c r="V26" s="224"/>
      <c r="W26" s="224"/>
      <c r="X26" s="224"/>
      <c r="Y26" s="224"/>
      <c r="Z26" s="224"/>
    </row>
    <row r="27" spans="1:26" x14ac:dyDescent="0.25">
      <c r="A27" s="224"/>
      <c r="B27" s="224"/>
      <c r="C27" s="224"/>
      <c r="D27" s="224"/>
      <c r="E27" s="224"/>
      <c r="F27" s="224"/>
      <c r="G27" s="224"/>
      <c r="H27" s="224"/>
      <c r="I27" s="224"/>
      <c r="J27" s="224"/>
      <c r="K27" s="224"/>
      <c r="L27" s="224"/>
      <c r="M27" s="224"/>
      <c r="N27" s="224"/>
      <c r="O27" s="224"/>
      <c r="P27" s="224"/>
      <c r="Q27" s="224"/>
      <c r="R27" s="224"/>
      <c r="S27" s="224"/>
      <c r="T27" s="224"/>
      <c r="U27" s="224"/>
      <c r="V27" s="224"/>
      <c r="W27" s="224"/>
      <c r="X27" s="224"/>
      <c r="Y27" s="224"/>
      <c r="Z27" s="224"/>
    </row>
    <row r="28" spans="1:26" x14ac:dyDescent="0.25">
      <c r="A28" s="224"/>
      <c r="B28" s="224"/>
      <c r="C28" s="224"/>
      <c r="D28" s="224"/>
      <c r="E28" s="224"/>
      <c r="F28" s="224"/>
      <c r="G28" s="224"/>
      <c r="H28" s="224"/>
      <c r="I28" s="224"/>
      <c r="J28" s="224"/>
      <c r="K28" s="224"/>
      <c r="L28" s="224"/>
      <c r="M28" s="224"/>
      <c r="N28" s="224"/>
      <c r="O28" s="224"/>
      <c r="P28" s="224"/>
      <c r="Q28" s="224"/>
      <c r="R28" s="224"/>
      <c r="S28" s="224"/>
      <c r="T28" s="224"/>
      <c r="U28" s="224"/>
      <c r="V28" s="224"/>
      <c r="W28" s="224"/>
      <c r="X28" s="224"/>
      <c r="Y28" s="224"/>
      <c r="Z28" s="224"/>
    </row>
    <row r="29" spans="1:26" x14ac:dyDescent="0.25">
      <c r="A29" s="224"/>
      <c r="B29" s="224"/>
      <c r="C29" s="224"/>
      <c r="D29" s="224"/>
      <c r="E29" s="224"/>
      <c r="F29" s="224"/>
      <c r="G29" s="224"/>
      <c r="H29" s="224"/>
      <c r="I29" s="224"/>
      <c r="J29" s="224"/>
      <c r="K29" s="224"/>
      <c r="L29" s="224"/>
      <c r="M29" s="224"/>
      <c r="N29" s="224"/>
      <c r="O29" s="224"/>
      <c r="P29" s="224"/>
      <c r="Q29" s="224"/>
      <c r="R29" s="224"/>
      <c r="S29" s="224"/>
      <c r="T29" s="224"/>
      <c r="U29" s="224"/>
      <c r="V29" s="224"/>
      <c r="W29" s="224"/>
      <c r="X29" s="224"/>
      <c r="Y29" s="224"/>
      <c r="Z29" s="224"/>
    </row>
    <row r="30" spans="1:26" x14ac:dyDescent="0.25">
      <c r="A30" s="224"/>
      <c r="B30" s="224"/>
      <c r="C30" s="224"/>
      <c r="D30" s="224"/>
      <c r="E30" s="224"/>
      <c r="F30" s="224"/>
      <c r="G30" s="224"/>
      <c r="H30" s="224"/>
      <c r="I30" s="224"/>
      <c r="J30" s="224"/>
      <c r="K30" s="224"/>
      <c r="L30" s="224"/>
      <c r="M30" s="224"/>
      <c r="N30" s="224"/>
      <c r="O30" s="224"/>
      <c r="P30" s="224"/>
      <c r="Q30" s="224"/>
      <c r="R30" s="224"/>
      <c r="S30" s="224"/>
      <c r="T30" s="224"/>
      <c r="U30" s="224"/>
      <c r="V30" s="224"/>
      <c r="W30" s="224"/>
      <c r="X30" s="224"/>
      <c r="Y30" s="224"/>
      <c r="Z30" s="224"/>
    </row>
    <row r="31" spans="1:26" x14ac:dyDescent="0.25">
      <c r="A31" s="224"/>
      <c r="B31" s="224"/>
      <c r="C31" s="224"/>
      <c r="D31" s="224"/>
      <c r="E31" s="224"/>
      <c r="F31" s="224"/>
      <c r="G31" s="224"/>
      <c r="H31" s="224"/>
      <c r="I31" s="224"/>
      <c r="J31" s="224"/>
      <c r="K31" s="224"/>
      <c r="L31" s="224"/>
      <c r="M31" s="224"/>
      <c r="N31" s="224"/>
      <c r="O31" s="224"/>
      <c r="P31" s="224"/>
      <c r="Q31" s="224"/>
      <c r="R31" s="224"/>
      <c r="S31" s="224"/>
      <c r="T31" s="224"/>
      <c r="U31" s="224"/>
      <c r="V31" s="224"/>
      <c r="W31" s="224"/>
      <c r="X31" s="224"/>
      <c r="Y31" s="224"/>
      <c r="Z31" s="224"/>
    </row>
    <row r="32" spans="1:26" x14ac:dyDescent="0.25">
      <c r="A32" s="224"/>
      <c r="B32" s="224"/>
      <c r="C32" s="224"/>
      <c r="D32" s="224"/>
      <c r="E32" s="224"/>
      <c r="F32" s="224"/>
      <c r="G32" s="224"/>
      <c r="H32" s="224"/>
      <c r="I32" s="224"/>
      <c r="J32" s="224"/>
      <c r="K32" s="224"/>
      <c r="L32" s="224"/>
      <c r="M32" s="224"/>
      <c r="N32" s="224"/>
      <c r="O32" s="224"/>
      <c r="P32" s="224"/>
      <c r="Q32" s="224"/>
      <c r="R32" s="224"/>
      <c r="S32" s="224"/>
      <c r="T32" s="224"/>
      <c r="U32" s="224"/>
      <c r="V32" s="224"/>
      <c r="W32" s="224"/>
      <c r="X32" s="224"/>
      <c r="Y32" s="224"/>
      <c r="Z32" s="224"/>
    </row>
    <row r="33" spans="1:26" x14ac:dyDescent="0.25">
      <c r="A33" s="224"/>
      <c r="B33" s="224"/>
      <c r="C33" s="224"/>
      <c r="D33" s="224"/>
      <c r="E33" s="224"/>
      <c r="F33" s="224"/>
      <c r="G33" s="224"/>
      <c r="H33" s="224"/>
      <c r="I33" s="224"/>
      <c r="J33" s="224"/>
      <c r="K33" s="224"/>
      <c r="L33" s="224"/>
      <c r="M33" s="224"/>
      <c r="N33" s="224"/>
      <c r="O33" s="224"/>
      <c r="P33" s="224"/>
      <c r="Q33" s="224"/>
      <c r="R33" s="224"/>
      <c r="S33" s="224"/>
      <c r="T33" s="224"/>
      <c r="U33" s="224"/>
      <c r="V33" s="224"/>
      <c r="W33" s="224"/>
      <c r="X33" s="224"/>
      <c r="Y33" s="224"/>
      <c r="Z33" s="224"/>
    </row>
    <row r="34" spans="1:26" x14ac:dyDescent="0.25">
      <c r="A34" s="224"/>
      <c r="B34" s="224"/>
      <c r="C34" s="224"/>
      <c r="D34" s="224"/>
      <c r="E34" s="224"/>
      <c r="F34" s="224"/>
      <c r="G34" s="224"/>
      <c r="H34" s="224"/>
      <c r="I34" s="224"/>
      <c r="J34" s="224"/>
      <c r="K34" s="224"/>
      <c r="L34" s="224"/>
      <c r="M34" s="224"/>
      <c r="N34" s="224"/>
      <c r="O34" s="224"/>
      <c r="P34" s="224"/>
      <c r="Q34" s="224"/>
      <c r="R34" s="224"/>
      <c r="S34" s="224"/>
      <c r="T34" s="224"/>
      <c r="U34" s="224"/>
      <c r="V34" s="224"/>
      <c r="W34" s="224"/>
      <c r="X34" s="224"/>
      <c r="Y34" s="224"/>
      <c r="Z34" s="224"/>
    </row>
    <row r="35" spans="1:26" x14ac:dyDescent="0.25">
      <c r="A35" s="224"/>
      <c r="B35" s="224"/>
      <c r="C35" s="224"/>
      <c r="D35" s="224"/>
      <c r="E35" s="224"/>
      <c r="F35" s="224"/>
      <c r="G35" s="224"/>
      <c r="H35" s="224"/>
      <c r="I35" s="224"/>
      <c r="J35" s="224"/>
      <c r="K35" s="224"/>
      <c r="L35" s="224"/>
      <c r="M35" s="224"/>
      <c r="N35" s="224"/>
      <c r="O35" s="224"/>
      <c r="P35" s="224"/>
      <c r="Q35" s="224"/>
      <c r="R35" s="224"/>
      <c r="S35" s="224"/>
      <c r="T35" s="224"/>
      <c r="U35" s="224"/>
      <c r="V35" s="224"/>
      <c r="W35" s="224"/>
      <c r="X35" s="224"/>
      <c r="Y35" s="224"/>
      <c r="Z35" s="224"/>
    </row>
    <row r="36" spans="1:26" x14ac:dyDescent="0.25">
      <c r="A36" s="224"/>
      <c r="B36" s="224"/>
      <c r="C36" s="224"/>
      <c r="D36" s="224"/>
      <c r="E36" s="224"/>
      <c r="F36" s="224"/>
      <c r="G36" s="224"/>
      <c r="H36" s="224"/>
      <c r="I36" s="224"/>
      <c r="J36" s="224"/>
      <c r="K36" s="224"/>
      <c r="L36" s="224"/>
      <c r="M36" s="224"/>
      <c r="N36" s="224"/>
      <c r="O36" s="224"/>
      <c r="P36" s="224"/>
      <c r="Q36" s="224"/>
      <c r="R36" s="224"/>
      <c r="S36" s="224"/>
      <c r="T36" s="224"/>
      <c r="U36" s="224"/>
      <c r="V36" s="224"/>
      <c r="W36" s="224"/>
      <c r="X36" s="224"/>
      <c r="Y36" s="224"/>
      <c r="Z36" s="224"/>
    </row>
    <row r="37" spans="1:26" x14ac:dyDescent="0.25">
      <c r="A37" s="224"/>
      <c r="B37" s="224"/>
      <c r="C37" s="224"/>
      <c r="D37" s="224"/>
      <c r="E37" s="224"/>
      <c r="F37" s="224"/>
      <c r="G37" s="224"/>
      <c r="H37" s="224"/>
      <c r="I37" s="224"/>
      <c r="J37" s="224"/>
      <c r="K37" s="224"/>
      <c r="L37" s="224"/>
      <c r="M37" s="224"/>
      <c r="N37" s="224"/>
      <c r="O37" s="224"/>
      <c r="P37" s="224"/>
      <c r="Q37" s="224"/>
      <c r="R37" s="224"/>
      <c r="S37" s="224"/>
      <c r="T37" s="224"/>
      <c r="U37" s="224"/>
      <c r="V37" s="224"/>
      <c r="W37" s="224"/>
      <c r="X37" s="224"/>
      <c r="Y37" s="224"/>
      <c r="Z37" s="224"/>
    </row>
    <row r="38" spans="1:26" x14ac:dyDescent="0.25">
      <c r="A38" s="224"/>
      <c r="B38" s="224"/>
      <c r="C38" s="224"/>
      <c r="D38" s="224"/>
      <c r="E38" s="224"/>
      <c r="F38" s="224"/>
      <c r="G38" s="224"/>
      <c r="H38" s="224"/>
      <c r="I38" s="224"/>
      <c r="J38" s="224"/>
      <c r="K38" s="224"/>
      <c r="L38" s="224"/>
      <c r="M38" s="224"/>
      <c r="N38" s="224"/>
      <c r="O38" s="224"/>
      <c r="P38" s="224"/>
      <c r="Q38" s="224"/>
      <c r="R38" s="224"/>
      <c r="S38" s="224"/>
      <c r="T38" s="224"/>
      <c r="U38" s="224"/>
      <c r="V38" s="224"/>
      <c r="W38" s="224"/>
      <c r="X38" s="224"/>
      <c r="Y38" s="224"/>
      <c r="Z38" s="224"/>
    </row>
    <row r="39" spans="1:26" x14ac:dyDescent="0.25">
      <c r="A39" s="224"/>
      <c r="B39" s="224"/>
      <c r="C39" s="224"/>
      <c r="D39" s="224"/>
      <c r="E39" s="224"/>
      <c r="F39" s="224"/>
      <c r="G39" s="224"/>
      <c r="H39" s="224"/>
      <c r="I39" s="224"/>
      <c r="J39" s="224"/>
      <c r="K39" s="224"/>
      <c r="L39" s="224"/>
      <c r="M39" s="224"/>
      <c r="N39" s="224"/>
      <c r="O39" s="224"/>
      <c r="P39" s="224"/>
      <c r="Q39" s="224"/>
      <c r="R39" s="224"/>
      <c r="S39" s="224"/>
      <c r="T39" s="224"/>
      <c r="U39" s="224"/>
      <c r="V39" s="224"/>
      <c r="W39" s="224"/>
      <c r="X39" s="224"/>
      <c r="Y39" s="224"/>
      <c r="Z39" s="224"/>
    </row>
    <row r="40" spans="1:26" x14ac:dyDescent="0.25">
      <c r="A40" s="224"/>
      <c r="B40" s="224"/>
      <c r="C40" s="224"/>
      <c r="D40" s="224"/>
      <c r="E40" s="224"/>
      <c r="F40" s="224"/>
      <c r="G40" s="224"/>
      <c r="H40" s="224"/>
      <c r="I40" s="224"/>
      <c r="J40" s="224"/>
      <c r="K40" s="224"/>
      <c r="L40" s="224"/>
      <c r="M40" s="224"/>
      <c r="N40" s="224"/>
      <c r="O40" s="224"/>
      <c r="P40" s="224"/>
      <c r="Q40" s="224"/>
      <c r="R40" s="224"/>
      <c r="S40" s="224"/>
      <c r="T40" s="224"/>
      <c r="U40" s="224"/>
      <c r="V40" s="224"/>
      <c r="W40" s="224"/>
      <c r="X40" s="224"/>
      <c r="Y40" s="224"/>
      <c r="Z40" s="224"/>
    </row>
    <row r="41" spans="1:26" x14ac:dyDescent="0.25">
      <c r="A41" s="224"/>
      <c r="B41" s="224"/>
      <c r="C41" s="224"/>
      <c r="D41" s="224"/>
      <c r="E41" s="224"/>
      <c r="F41" s="224"/>
      <c r="G41" s="224"/>
      <c r="H41" s="224"/>
      <c r="I41" s="224"/>
      <c r="J41" s="224"/>
      <c r="K41" s="224"/>
      <c r="L41" s="224"/>
      <c r="M41" s="224"/>
      <c r="N41" s="224"/>
      <c r="O41" s="224"/>
      <c r="P41" s="224"/>
      <c r="Q41" s="224"/>
      <c r="R41" s="224"/>
      <c r="S41" s="224"/>
      <c r="T41" s="224"/>
      <c r="U41" s="224"/>
      <c r="V41" s="224"/>
      <c r="W41" s="224"/>
      <c r="X41" s="224"/>
      <c r="Y41" s="224"/>
      <c r="Z41" s="224"/>
    </row>
    <row r="42" spans="1:26" x14ac:dyDescent="0.25">
      <c r="A42" s="224"/>
      <c r="B42" s="224"/>
      <c r="C42" s="224"/>
      <c r="D42" s="224"/>
      <c r="E42" s="224"/>
      <c r="F42" s="224"/>
      <c r="G42" s="224"/>
      <c r="H42" s="224"/>
      <c r="I42" s="224"/>
      <c r="J42" s="224"/>
      <c r="K42" s="224"/>
      <c r="L42" s="224"/>
      <c r="M42" s="224"/>
      <c r="N42" s="224"/>
      <c r="O42" s="224"/>
      <c r="P42" s="224"/>
      <c r="Q42" s="224"/>
      <c r="R42" s="224"/>
      <c r="S42" s="224"/>
      <c r="T42" s="224"/>
      <c r="U42" s="224"/>
      <c r="V42" s="224"/>
      <c r="W42" s="224"/>
      <c r="X42" s="224"/>
      <c r="Y42" s="224"/>
      <c r="Z42" s="224"/>
    </row>
    <row r="43" spans="1:26" x14ac:dyDescent="0.25">
      <c r="A43" s="224"/>
      <c r="B43" s="224"/>
      <c r="C43" s="224"/>
      <c r="D43" s="224"/>
      <c r="E43" s="224"/>
      <c r="F43" s="224"/>
      <c r="G43" s="224"/>
      <c r="H43" s="224"/>
      <c r="I43" s="224"/>
      <c r="J43" s="224"/>
      <c r="K43" s="224"/>
      <c r="L43" s="224"/>
      <c r="M43" s="224"/>
      <c r="N43" s="224"/>
      <c r="O43" s="224"/>
      <c r="P43" s="224"/>
      <c r="Q43" s="224"/>
      <c r="R43" s="224"/>
      <c r="S43" s="224"/>
      <c r="T43" s="224"/>
      <c r="U43" s="224"/>
      <c r="V43" s="224"/>
      <c r="W43" s="224"/>
      <c r="X43" s="224"/>
      <c r="Y43" s="224"/>
      <c r="Z43" s="224"/>
    </row>
    <row r="44" spans="1:26" x14ac:dyDescent="0.25">
      <c r="A44" s="224"/>
      <c r="B44" s="224"/>
      <c r="C44" s="224"/>
      <c r="D44" s="224"/>
      <c r="E44" s="224"/>
      <c r="F44" s="224"/>
      <c r="G44" s="224"/>
      <c r="H44" s="224"/>
      <c r="I44" s="224"/>
      <c r="J44" s="224"/>
      <c r="K44" s="224"/>
      <c r="L44" s="224"/>
      <c r="M44" s="224"/>
      <c r="N44" s="224"/>
      <c r="O44" s="224"/>
      <c r="P44" s="224"/>
      <c r="Q44" s="224"/>
      <c r="R44" s="224"/>
      <c r="S44" s="224"/>
      <c r="T44" s="224"/>
      <c r="U44" s="224"/>
      <c r="V44" s="224"/>
      <c r="W44" s="224"/>
      <c r="X44" s="224"/>
      <c r="Y44" s="224"/>
      <c r="Z44" s="224"/>
    </row>
    <row r="45" spans="1:26" x14ac:dyDescent="0.25">
      <c r="A45" s="224"/>
      <c r="B45" s="224"/>
      <c r="C45" s="224"/>
      <c r="D45" s="224"/>
      <c r="E45" s="224"/>
      <c r="F45" s="224"/>
      <c r="G45" s="224"/>
      <c r="H45" s="224"/>
      <c r="I45" s="224"/>
      <c r="J45" s="224"/>
      <c r="K45" s="224"/>
      <c r="L45" s="224"/>
      <c r="M45" s="224"/>
      <c r="N45" s="224"/>
      <c r="O45" s="224"/>
      <c r="P45" s="224"/>
      <c r="Q45" s="224"/>
      <c r="R45" s="224"/>
      <c r="S45" s="224"/>
      <c r="T45" s="224"/>
      <c r="U45" s="224"/>
      <c r="V45" s="224"/>
      <c r="W45" s="224"/>
      <c r="X45" s="224"/>
      <c r="Y45" s="224"/>
      <c r="Z45" s="224"/>
    </row>
    <row r="46" spans="1:26" x14ac:dyDescent="0.25">
      <c r="A46" s="224"/>
      <c r="B46" s="224"/>
      <c r="C46" s="224"/>
      <c r="D46" s="224"/>
      <c r="E46" s="224"/>
      <c r="F46" s="224"/>
      <c r="G46" s="224"/>
      <c r="H46" s="224"/>
      <c r="I46" s="224"/>
      <c r="J46" s="224"/>
      <c r="K46" s="224"/>
      <c r="L46" s="224"/>
      <c r="M46" s="224"/>
      <c r="N46" s="224"/>
      <c r="O46" s="224"/>
      <c r="P46" s="224"/>
      <c r="Q46" s="224"/>
      <c r="R46" s="224"/>
      <c r="S46" s="224"/>
      <c r="T46" s="224"/>
      <c r="U46" s="224"/>
      <c r="V46" s="224"/>
      <c r="W46" s="224"/>
      <c r="X46" s="224"/>
      <c r="Y46" s="224"/>
      <c r="Z46" s="224"/>
    </row>
    <row r="47" spans="1:26" x14ac:dyDescent="0.25">
      <c r="A47" s="224"/>
      <c r="B47" s="224"/>
      <c r="C47" s="224"/>
      <c r="D47" s="224"/>
      <c r="E47" s="224"/>
      <c r="F47" s="224"/>
      <c r="G47" s="224"/>
      <c r="H47" s="224"/>
      <c r="I47" s="224"/>
      <c r="J47" s="224"/>
      <c r="K47" s="224"/>
      <c r="L47" s="224"/>
      <c r="M47" s="224"/>
      <c r="N47" s="224"/>
      <c r="O47" s="224"/>
      <c r="P47" s="224"/>
      <c r="Q47" s="224"/>
      <c r="R47" s="224"/>
      <c r="S47" s="224"/>
      <c r="T47" s="224"/>
      <c r="U47" s="224"/>
      <c r="V47" s="224"/>
      <c r="W47" s="224"/>
      <c r="X47" s="224"/>
      <c r="Y47" s="224"/>
      <c r="Z47" s="224"/>
    </row>
    <row r="48" spans="1:26" x14ac:dyDescent="0.25">
      <c r="A48" s="224"/>
      <c r="B48" s="224"/>
      <c r="C48" s="224"/>
      <c r="D48" s="224"/>
      <c r="E48" s="224"/>
      <c r="F48" s="224"/>
      <c r="G48" s="224"/>
      <c r="H48" s="224"/>
      <c r="I48" s="224"/>
      <c r="J48" s="224"/>
      <c r="K48" s="224"/>
      <c r="L48" s="224"/>
      <c r="M48" s="224"/>
      <c r="N48" s="224"/>
      <c r="O48" s="224"/>
      <c r="P48" s="224"/>
      <c r="Q48" s="224"/>
      <c r="R48" s="224"/>
      <c r="S48" s="224"/>
      <c r="T48" s="224"/>
      <c r="U48" s="224"/>
      <c r="V48" s="224"/>
      <c r="W48" s="224"/>
      <c r="X48" s="224"/>
      <c r="Y48" s="224"/>
      <c r="Z48" s="224"/>
    </row>
    <row r="49" spans="1:26" x14ac:dyDescent="0.25">
      <c r="A49" s="224"/>
      <c r="B49" s="224"/>
      <c r="C49" s="224"/>
      <c r="D49" s="224"/>
      <c r="E49" s="224"/>
      <c r="F49" s="224"/>
      <c r="G49" s="224"/>
      <c r="H49" s="224"/>
      <c r="I49" s="224"/>
      <c r="J49" s="224"/>
      <c r="K49" s="224"/>
      <c r="L49" s="224"/>
      <c r="M49" s="224"/>
      <c r="N49" s="224"/>
      <c r="O49" s="224"/>
      <c r="P49" s="224"/>
      <c r="Q49" s="224"/>
      <c r="R49" s="224"/>
      <c r="S49" s="224"/>
      <c r="T49" s="224"/>
      <c r="U49" s="224"/>
      <c r="V49" s="224"/>
      <c r="W49" s="224"/>
      <c r="X49" s="224"/>
      <c r="Y49" s="224"/>
      <c r="Z49" s="224"/>
    </row>
    <row r="50" spans="1:26" x14ac:dyDescent="0.25">
      <c r="A50" s="224"/>
      <c r="B50" s="224"/>
      <c r="C50" s="224"/>
      <c r="D50" s="224"/>
      <c r="E50" s="224"/>
      <c r="F50" s="224"/>
      <c r="G50" s="224"/>
      <c r="H50" s="224"/>
      <c r="I50" s="224"/>
      <c r="J50" s="224"/>
      <c r="K50" s="224"/>
      <c r="L50" s="224"/>
      <c r="M50" s="224"/>
      <c r="N50" s="224"/>
      <c r="O50" s="224"/>
      <c r="P50" s="224"/>
      <c r="Q50" s="224"/>
      <c r="R50" s="224"/>
      <c r="S50" s="224"/>
      <c r="T50" s="224"/>
      <c r="U50" s="224"/>
      <c r="V50" s="224"/>
      <c r="W50" s="224"/>
      <c r="X50" s="224"/>
      <c r="Y50" s="224"/>
      <c r="Z50" s="224"/>
    </row>
    <row r="51" spans="1:26" x14ac:dyDescent="0.25">
      <c r="A51" s="224"/>
      <c r="B51" s="224"/>
      <c r="C51" s="224"/>
      <c r="D51" s="224"/>
      <c r="E51" s="224"/>
      <c r="F51" s="224"/>
      <c r="G51" s="224"/>
      <c r="H51" s="224"/>
      <c r="I51" s="224"/>
      <c r="J51" s="224"/>
      <c r="K51" s="224"/>
      <c r="L51" s="224"/>
      <c r="M51" s="224"/>
      <c r="N51" s="224"/>
      <c r="O51" s="224"/>
      <c r="P51" s="224"/>
      <c r="Q51" s="224"/>
      <c r="R51" s="224"/>
      <c r="S51" s="224"/>
      <c r="T51" s="224"/>
      <c r="U51" s="224"/>
      <c r="V51" s="224"/>
      <c r="W51" s="224"/>
      <c r="X51" s="224"/>
      <c r="Y51" s="224"/>
      <c r="Z51" s="224"/>
    </row>
    <row r="52" spans="1:26" x14ac:dyDescent="0.25">
      <c r="A52" s="224"/>
      <c r="B52" s="224"/>
      <c r="C52" s="224"/>
      <c r="D52" s="224"/>
      <c r="E52" s="224"/>
      <c r="F52" s="224"/>
      <c r="G52" s="224"/>
      <c r="H52" s="224"/>
      <c r="I52" s="224"/>
      <c r="J52" s="224"/>
      <c r="K52" s="224"/>
      <c r="L52" s="224"/>
      <c r="M52" s="224"/>
      <c r="N52" s="224"/>
      <c r="O52" s="224"/>
      <c r="P52" s="224"/>
      <c r="Q52" s="224"/>
      <c r="R52" s="224"/>
      <c r="S52" s="224"/>
      <c r="T52" s="224"/>
      <c r="U52" s="224"/>
      <c r="V52" s="224"/>
      <c r="W52" s="224"/>
      <c r="X52" s="224"/>
      <c r="Y52" s="224"/>
      <c r="Z52" s="224"/>
    </row>
    <row r="53" spans="1:26" x14ac:dyDescent="0.25">
      <c r="A53" s="224"/>
      <c r="B53" s="224"/>
      <c r="C53" s="224"/>
      <c r="D53" s="224"/>
      <c r="E53" s="224"/>
      <c r="F53" s="224"/>
      <c r="G53" s="224"/>
      <c r="H53" s="224"/>
      <c r="I53" s="224"/>
      <c r="J53" s="224"/>
      <c r="K53" s="224"/>
      <c r="L53" s="224"/>
      <c r="M53" s="224"/>
      <c r="N53" s="224"/>
      <c r="O53" s="224"/>
      <c r="P53" s="224"/>
      <c r="Q53" s="224"/>
      <c r="R53" s="224"/>
      <c r="S53" s="224"/>
      <c r="T53" s="224"/>
      <c r="U53" s="224"/>
      <c r="V53" s="224"/>
      <c r="W53" s="224"/>
      <c r="X53" s="224"/>
      <c r="Y53" s="224"/>
      <c r="Z53" s="224"/>
    </row>
    <row r="54" spans="1:26" x14ac:dyDescent="0.25">
      <c r="A54" s="224"/>
      <c r="B54" s="224"/>
      <c r="C54" s="224"/>
      <c r="D54" s="224"/>
      <c r="E54" s="224"/>
      <c r="F54" s="224"/>
      <c r="G54" s="224"/>
      <c r="H54" s="224"/>
      <c r="I54" s="224"/>
      <c r="J54" s="224"/>
      <c r="K54" s="224"/>
      <c r="L54" s="224"/>
      <c r="M54" s="224"/>
      <c r="N54" s="224"/>
      <c r="O54" s="224"/>
      <c r="P54" s="224"/>
      <c r="Q54" s="224"/>
      <c r="R54" s="224"/>
      <c r="S54" s="224"/>
      <c r="T54" s="224"/>
      <c r="U54" s="224"/>
      <c r="V54" s="224"/>
      <c r="W54" s="224"/>
      <c r="X54" s="224"/>
      <c r="Y54" s="224"/>
      <c r="Z54" s="224"/>
    </row>
    <row r="55" spans="1:26" x14ac:dyDescent="0.25">
      <c r="A55" s="224"/>
      <c r="B55" s="224"/>
      <c r="C55" s="224"/>
      <c r="D55" s="224"/>
      <c r="E55" s="224"/>
      <c r="F55" s="224"/>
      <c r="G55" s="224"/>
      <c r="H55" s="224"/>
      <c r="I55" s="224"/>
      <c r="J55" s="224"/>
      <c r="K55" s="224"/>
      <c r="L55" s="224"/>
      <c r="M55" s="224"/>
      <c r="N55" s="224"/>
      <c r="O55" s="224"/>
      <c r="P55" s="224"/>
      <c r="Q55" s="224"/>
      <c r="R55" s="224"/>
      <c r="S55" s="224"/>
      <c r="T55" s="224"/>
      <c r="U55" s="224"/>
      <c r="V55" s="224"/>
      <c r="W55" s="224"/>
      <c r="X55" s="224"/>
      <c r="Y55" s="224"/>
      <c r="Z55" s="224"/>
    </row>
    <row r="56" spans="1:26" x14ac:dyDescent="0.25">
      <c r="A56" s="224"/>
      <c r="B56" s="224"/>
      <c r="C56" s="224"/>
      <c r="D56" s="224"/>
      <c r="E56" s="224"/>
      <c r="F56" s="224"/>
      <c r="G56" s="224"/>
      <c r="H56" s="224"/>
      <c r="I56" s="224"/>
      <c r="J56" s="224"/>
      <c r="K56" s="224"/>
      <c r="L56" s="224"/>
      <c r="M56" s="224"/>
      <c r="N56" s="224"/>
      <c r="O56" s="224"/>
      <c r="P56" s="224"/>
      <c r="Q56" s="224"/>
      <c r="R56" s="224"/>
      <c r="S56" s="224"/>
      <c r="T56" s="224"/>
      <c r="U56" s="224"/>
      <c r="V56" s="224"/>
      <c r="W56" s="224"/>
      <c r="X56" s="224"/>
      <c r="Y56" s="224"/>
      <c r="Z56" s="224"/>
    </row>
    <row r="57" spans="1:26" x14ac:dyDescent="0.25">
      <c r="A57" s="224"/>
      <c r="B57" s="224"/>
      <c r="C57" s="224"/>
      <c r="D57" s="224"/>
      <c r="E57" s="224"/>
      <c r="F57" s="224"/>
      <c r="G57" s="224"/>
      <c r="H57" s="224"/>
      <c r="I57" s="224"/>
      <c r="J57" s="224"/>
      <c r="K57" s="224"/>
      <c r="L57" s="224"/>
      <c r="M57" s="224"/>
      <c r="N57" s="224"/>
      <c r="O57" s="224"/>
      <c r="P57" s="224"/>
      <c r="Q57" s="224"/>
      <c r="R57" s="224"/>
      <c r="S57" s="224"/>
      <c r="T57" s="224"/>
      <c r="U57" s="224"/>
      <c r="V57" s="224"/>
      <c r="W57" s="224"/>
      <c r="X57" s="224"/>
      <c r="Y57" s="224"/>
      <c r="Z57" s="224"/>
    </row>
    <row r="58" spans="1:26" x14ac:dyDescent="0.25">
      <c r="A58" s="224"/>
      <c r="B58" s="224"/>
      <c r="C58" s="224"/>
      <c r="D58" s="224"/>
      <c r="E58" s="224"/>
      <c r="F58" s="224"/>
      <c r="G58" s="224"/>
      <c r="H58" s="224"/>
      <c r="I58" s="224"/>
      <c r="J58" s="224"/>
      <c r="K58" s="224"/>
      <c r="L58" s="224"/>
      <c r="M58" s="224"/>
      <c r="N58" s="224"/>
      <c r="O58" s="224"/>
      <c r="P58" s="224"/>
      <c r="Q58" s="224"/>
      <c r="R58" s="224"/>
      <c r="S58" s="224"/>
      <c r="T58" s="224"/>
      <c r="U58" s="224"/>
      <c r="V58" s="224"/>
      <c r="W58" s="224"/>
      <c r="X58" s="224"/>
      <c r="Y58" s="224"/>
      <c r="Z58" s="224"/>
    </row>
    <row r="59" spans="1:26" x14ac:dyDescent="0.25">
      <c r="A59" s="224"/>
      <c r="B59" s="224"/>
      <c r="C59" s="224"/>
      <c r="D59" s="224"/>
      <c r="E59" s="224"/>
      <c r="F59" s="224"/>
      <c r="G59" s="224"/>
      <c r="H59" s="224"/>
      <c r="I59" s="224"/>
      <c r="J59" s="224"/>
      <c r="K59" s="224"/>
      <c r="L59" s="224"/>
      <c r="M59" s="224"/>
      <c r="N59" s="224"/>
      <c r="O59" s="224"/>
      <c r="P59" s="224"/>
      <c r="Q59" s="224"/>
      <c r="R59" s="224"/>
      <c r="S59" s="224"/>
      <c r="T59" s="224"/>
      <c r="U59" s="224"/>
      <c r="V59" s="224"/>
      <c r="W59" s="224"/>
      <c r="X59" s="224"/>
      <c r="Y59" s="224"/>
      <c r="Z59" s="224"/>
    </row>
    <row r="60" spans="1:26" x14ac:dyDescent="0.25">
      <c r="A60" s="224"/>
      <c r="B60" s="224"/>
      <c r="C60" s="224"/>
      <c r="D60" s="224"/>
      <c r="E60" s="224"/>
      <c r="F60" s="224"/>
      <c r="G60" s="224"/>
      <c r="H60" s="224"/>
      <c r="I60" s="224"/>
      <c r="J60" s="224"/>
      <c r="K60" s="224"/>
      <c r="L60" s="224"/>
      <c r="M60" s="224"/>
      <c r="N60" s="224"/>
      <c r="O60" s="224"/>
      <c r="P60" s="224"/>
      <c r="Q60" s="224"/>
      <c r="R60" s="224"/>
      <c r="S60" s="224"/>
      <c r="T60" s="224"/>
      <c r="U60" s="224"/>
      <c r="V60" s="224"/>
      <c r="W60" s="224"/>
      <c r="X60" s="224"/>
      <c r="Y60" s="224"/>
      <c r="Z60" s="224"/>
    </row>
    <row r="61" spans="1:26" x14ac:dyDescent="0.25">
      <c r="A61" s="224"/>
      <c r="B61" s="224"/>
      <c r="C61" s="224"/>
      <c r="D61" s="224"/>
      <c r="E61" s="224"/>
      <c r="F61" s="224"/>
      <c r="G61" s="224"/>
      <c r="H61" s="224"/>
      <c r="I61" s="224"/>
      <c r="J61" s="224"/>
      <c r="K61" s="224"/>
      <c r="L61" s="224"/>
      <c r="M61" s="224"/>
      <c r="N61" s="224"/>
      <c r="O61" s="224"/>
      <c r="P61" s="224"/>
      <c r="Q61" s="224"/>
      <c r="R61" s="224"/>
      <c r="S61" s="224"/>
      <c r="T61" s="224"/>
      <c r="U61" s="224"/>
      <c r="V61" s="224"/>
      <c r="W61" s="224"/>
      <c r="X61" s="224"/>
      <c r="Y61" s="224"/>
      <c r="Z61" s="224"/>
    </row>
    <row r="62" spans="1:26" x14ac:dyDescent="0.25">
      <c r="A62" s="224"/>
      <c r="B62" s="224"/>
      <c r="C62" s="224"/>
      <c r="D62" s="224"/>
      <c r="E62" s="224"/>
      <c r="F62" s="224"/>
      <c r="G62" s="224"/>
      <c r="H62" s="224"/>
      <c r="I62" s="224"/>
      <c r="J62" s="224"/>
      <c r="K62" s="224"/>
      <c r="L62" s="224"/>
      <c r="M62" s="224"/>
      <c r="N62" s="224"/>
      <c r="O62" s="224"/>
      <c r="P62" s="224"/>
      <c r="Q62" s="224"/>
      <c r="R62" s="224"/>
      <c r="S62" s="224"/>
      <c r="T62" s="224"/>
      <c r="U62" s="224"/>
      <c r="V62" s="224"/>
      <c r="W62" s="224"/>
      <c r="X62" s="224"/>
      <c r="Y62" s="224"/>
      <c r="Z62" s="224"/>
    </row>
    <row r="63" spans="1:26" x14ac:dyDescent="0.25">
      <c r="A63" s="224"/>
      <c r="B63" s="224"/>
      <c r="C63" s="224"/>
      <c r="D63" s="224"/>
      <c r="E63" s="224"/>
      <c r="F63" s="224"/>
      <c r="G63" s="224"/>
      <c r="H63" s="224"/>
      <c r="I63" s="224"/>
      <c r="J63" s="224"/>
      <c r="K63" s="224"/>
      <c r="L63" s="224"/>
      <c r="M63" s="224"/>
      <c r="N63" s="224"/>
      <c r="O63" s="224"/>
      <c r="P63" s="224"/>
      <c r="Q63" s="224"/>
      <c r="R63" s="224"/>
      <c r="S63" s="224"/>
      <c r="T63" s="224"/>
      <c r="U63" s="224"/>
      <c r="V63" s="224"/>
      <c r="W63" s="224"/>
      <c r="X63" s="224"/>
      <c r="Y63" s="224"/>
      <c r="Z63" s="224"/>
    </row>
    <row r="64" spans="1:26" x14ac:dyDescent="0.25">
      <c r="A64" s="224"/>
      <c r="B64" s="224"/>
      <c r="C64" s="224"/>
      <c r="D64" s="224"/>
      <c r="E64" s="224"/>
      <c r="F64" s="224"/>
      <c r="G64" s="224"/>
      <c r="H64" s="224"/>
      <c r="I64" s="224"/>
      <c r="J64" s="224"/>
      <c r="K64" s="224"/>
      <c r="L64" s="224"/>
      <c r="M64" s="224"/>
      <c r="N64" s="224"/>
      <c r="O64" s="224"/>
      <c r="P64" s="224"/>
      <c r="Q64" s="224"/>
      <c r="R64" s="224"/>
      <c r="S64" s="224"/>
      <c r="T64" s="224"/>
      <c r="U64" s="224"/>
      <c r="V64" s="224"/>
      <c r="W64" s="224"/>
      <c r="X64" s="224"/>
      <c r="Y64" s="224"/>
      <c r="Z64" s="224"/>
    </row>
    <row r="65" spans="1:26" x14ac:dyDescent="0.25">
      <c r="A65" s="224"/>
      <c r="B65" s="224"/>
      <c r="C65" s="224"/>
      <c r="D65" s="224"/>
      <c r="E65" s="224"/>
      <c r="F65" s="224"/>
      <c r="G65" s="224"/>
      <c r="H65" s="224"/>
      <c r="I65" s="224"/>
      <c r="J65" s="224"/>
      <c r="K65" s="224"/>
      <c r="L65" s="224"/>
      <c r="M65" s="224"/>
      <c r="N65" s="224"/>
      <c r="O65" s="224"/>
      <c r="P65" s="224"/>
      <c r="Q65" s="224"/>
      <c r="R65" s="224"/>
      <c r="S65" s="224"/>
      <c r="T65" s="224"/>
      <c r="U65" s="224"/>
      <c r="V65" s="224"/>
      <c r="W65" s="224"/>
      <c r="X65" s="224"/>
      <c r="Y65" s="224"/>
      <c r="Z65" s="224"/>
    </row>
    <row r="66" spans="1:26" x14ac:dyDescent="0.25">
      <c r="A66" s="224"/>
      <c r="B66" s="224"/>
      <c r="C66" s="224"/>
      <c r="D66" s="224"/>
      <c r="E66" s="224"/>
      <c r="F66" s="224"/>
      <c r="G66" s="224"/>
      <c r="H66" s="224"/>
      <c r="I66" s="224"/>
      <c r="J66" s="224"/>
      <c r="K66" s="224"/>
      <c r="L66" s="224"/>
      <c r="M66" s="224"/>
      <c r="N66" s="224"/>
      <c r="O66" s="224"/>
      <c r="P66" s="224"/>
      <c r="Q66" s="224"/>
      <c r="R66" s="224"/>
      <c r="S66" s="224"/>
      <c r="T66" s="224"/>
      <c r="U66" s="224"/>
      <c r="V66" s="224"/>
      <c r="W66" s="224"/>
      <c r="X66" s="224"/>
      <c r="Y66" s="224"/>
      <c r="Z66" s="224"/>
    </row>
    <row r="67" spans="1:26" x14ac:dyDescent="0.25">
      <c r="A67" s="224"/>
      <c r="B67" s="224"/>
      <c r="C67" s="224"/>
      <c r="D67" s="224"/>
      <c r="E67" s="224"/>
      <c r="F67" s="224"/>
      <c r="G67" s="224"/>
      <c r="H67" s="224"/>
      <c r="I67" s="224"/>
      <c r="J67" s="224"/>
      <c r="K67" s="224"/>
      <c r="L67" s="224"/>
      <c r="M67" s="224"/>
      <c r="N67" s="224"/>
      <c r="O67" s="224"/>
      <c r="P67" s="224"/>
      <c r="Q67" s="224"/>
      <c r="R67" s="224"/>
      <c r="S67" s="224"/>
      <c r="T67" s="224"/>
      <c r="U67" s="224"/>
      <c r="V67" s="224"/>
      <c r="W67" s="224"/>
      <c r="X67" s="224"/>
      <c r="Y67" s="224"/>
      <c r="Z67" s="224"/>
    </row>
    <row r="68" spans="1:26" x14ac:dyDescent="0.25">
      <c r="A68" s="224"/>
      <c r="B68" s="224"/>
      <c r="C68" s="224"/>
      <c r="D68" s="224"/>
      <c r="E68" s="224"/>
      <c r="F68" s="224"/>
      <c r="G68" s="224"/>
      <c r="H68" s="224"/>
      <c r="I68" s="224"/>
      <c r="J68" s="224"/>
      <c r="K68" s="224"/>
      <c r="L68" s="224"/>
      <c r="M68" s="224"/>
      <c r="N68" s="224"/>
      <c r="O68" s="224"/>
      <c r="P68" s="224"/>
      <c r="Q68" s="224"/>
      <c r="R68" s="224"/>
      <c r="S68" s="224"/>
      <c r="T68" s="224"/>
      <c r="U68" s="224"/>
      <c r="V68" s="224"/>
      <c r="W68" s="224"/>
      <c r="X68" s="224"/>
      <c r="Y68" s="224"/>
      <c r="Z68" s="224"/>
    </row>
    <row r="69" spans="1:26" x14ac:dyDescent="0.25">
      <c r="A69" s="224"/>
      <c r="B69" s="224"/>
      <c r="C69" s="224"/>
      <c r="D69" s="224"/>
      <c r="E69" s="224"/>
      <c r="F69" s="224"/>
      <c r="G69" s="224"/>
      <c r="H69" s="224"/>
      <c r="I69" s="224"/>
      <c r="J69" s="224"/>
      <c r="K69" s="224"/>
      <c r="L69" s="224"/>
      <c r="M69" s="224"/>
      <c r="N69" s="224"/>
      <c r="O69" s="224"/>
      <c r="P69" s="224"/>
      <c r="Q69" s="224"/>
      <c r="R69" s="224"/>
      <c r="S69" s="224"/>
      <c r="T69" s="224"/>
      <c r="U69" s="224"/>
      <c r="V69" s="224"/>
      <c r="W69" s="224"/>
      <c r="X69" s="224"/>
      <c r="Y69" s="224"/>
      <c r="Z69" s="224"/>
    </row>
    <row r="70" spans="1:26" x14ac:dyDescent="0.25">
      <c r="A70" s="224"/>
      <c r="B70" s="224"/>
      <c r="C70" s="224"/>
      <c r="D70" s="224"/>
      <c r="E70" s="224"/>
      <c r="F70" s="224"/>
      <c r="G70" s="224"/>
      <c r="H70" s="224"/>
      <c r="I70" s="224"/>
      <c r="J70" s="224"/>
      <c r="K70" s="224"/>
      <c r="L70" s="224"/>
      <c r="M70" s="224"/>
      <c r="N70" s="224"/>
      <c r="O70" s="224"/>
      <c r="P70" s="224"/>
      <c r="Q70" s="224"/>
      <c r="R70" s="224"/>
      <c r="S70" s="224"/>
      <c r="T70" s="224"/>
      <c r="U70" s="224"/>
      <c r="V70" s="224"/>
      <c r="W70" s="224"/>
      <c r="X70" s="224"/>
      <c r="Y70" s="224"/>
      <c r="Z70" s="224"/>
    </row>
    <row r="71" spans="1:26" x14ac:dyDescent="0.25">
      <c r="A71" s="224"/>
      <c r="B71" s="224"/>
      <c r="C71" s="224"/>
      <c r="D71" s="224"/>
      <c r="E71" s="224"/>
      <c r="F71" s="224"/>
      <c r="G71" s="224"/>
      <c r="H71" s="224"/>
      <c r="I71" s="224"/>
      <c r="J71" s="224"/>
      <c r="K71" s="224"/>
      <c r="L71" s="224"/>
      <c r="M71" s="224"/>
      <c r="N71" s="224"/>
      <c r="O71" s="224"/>
      <c r="P71" s="224"/>
      <c r="Q71" s="224"/>
      <c r="R71" s="224"/>
      <c r="S71" s="224"/>
      <c r="T71" s="224"/>
      <c r="U71" s="224"/>
      <c r="V71" s="224"/>
      <c r="W71" s="224"/>
      <c r="X71" s="224"/>
      <c r="Y71" s="224"/>
      <c r="Z71" s="224"/>
    </row>
    <row r="72" spans="1:26" x14ac:dyDescent="0.25">
      <c r="A72" s="224"/>
      <c r="B72" s="224"/>
      <c r="C72" s="224"/>
      <c r="D72" s="224"/>
      <c r="E72" s="224"/>
      <c r="F72" s="224"/>
      <c r="G72" s="224"/>
      <c r="H72" s="224"/>
      <c r="I72" s="224"/>
      <c r="J72" s="224"/>
      <c r="K72" s="224"/>
      <c r="L72" s="224"/>
      <c r="M72" s="224"/>
      <c r="N72" s="224"/>
      <c r="O72" s="224"/>
      <c r="P72" s="224"/>
      <c r="Q72" s="224"/>
      <c r="R72" s="224"/>
      <c r="S72" s="224"/>
      <c r="T72" s="224"/>
      <c r="U72" s="224"/>
      <c r="V72" s="224"/>
      <c r="W72" s="224"/>
      <c r="X72" s="224"/>
      <c r="Y72" s="224"/>
      <c r="Z72" s="224"/>
    </row>
    <row r="73" spans="1:26" x14ac:dyDescent="0.25">
      <c r="A73" s="224"/>
      <c r="B73" s="224"/>
      <c r="C73" s="224"/>
      <c r="D73" s="224"/>
      <c r="E73" s="224"/>
      <c r="F73" s="224"/>
      <c r="G73" s="224"/>
      <c r="H73" s="224"/>
      <c r="I73" s="224"/>
      <c r="J73" s="224"/>
      <c r="K73" s="224"/>
      <c r="L73" s="224"/>
      <c r="M73" s="224"/>
      <c r="N73" s="224"/>
      <c r="O73" s="224"/>
      <c r="P73" s="224"/>
      <c r="Q73" s="224"/>
      <c r="R73" s="224"/>
      <c r="S73" s="224"/>
      <c r="T73" s="224"/>
      <c r="U73" s="224"/>
      <c r="V73" s="224"/>
      <c r="W73" s="224"/>
      <c r="X73" s="224"/>
      <c r="Y73" s="224"/>
      <c r="Z73" s="224"/>
    </row>
    <row r="74" spans="1:26" x14ac:dyDescent="0.25">
      <c r="A74" s="224"/>
      <c r="B74" s="224"/>
      <c r="C74" s="224"/>
      <c r="D74" s="224"/>
      <c r="E74" s="224"/>
      <c r="F74" s="224"/>
      <c r="G74" s="224"/>
      <c r="H74" s="224"/>
      <c r="I74" s="224"/>
      <c r="J74" s="224"/>
      <c r="K74" s="224"/>
      <c r="L74" s="224"/>
      <c r="M74" s="224"/>
      <c r="N74" s="224"/>
      <c r="O74" s="224"/>
      <c r="P74" s="224"/>
      <c r="Q74" s="224"/>
      <c r="R74" s="224"/>
      <c r="S74" s="224"/>
      <c r="T74" s="224"/>
      <c r="U74" s="224"/>
      <c r="V74" s="224"/>
      <c r="W74" s="224"/>
      <c r="X74" s="224"/>
      <c r="Y74" s="224"/>
      <c r="Z74" s="224"/>
    </row>
    <row r="75" spans="1:26" x14ac:dyDescent="0.25">
      <c r="A75" s="224"/>
      <c r="B75" s="224"/>
      <c r="C75" s="224"/>
      <c r="D75" s="224"/>
      <c r="E75" s="224"/>
      <c r="F75" s="224"/>
      <c r="G75" s="224"/>
      <c r="H75" s="224"/>
      <c r="I75" s="224"/>
      <c r="J75" s="224"/>
      <c r="K75" s="224"/>
      <c r="L75" s="224"/>
      <c r="M75" s="224"/>
      <c r="N75" s="224"/>
      <c r="O75" s="224"/>
      <c r="P75" s="224"/>
      <c r="Q75" s="224"/>
      <c r="R75" s="224"/>
      <c r="S75" s="224"/>
      <c r="T75" s="224"/>
      <c r="U75" s="224"/>
      <c r="V75" s="224"/>
      <c r="W75" s="224"/>
      <c r="X75" s="224"/>
      <c r="Y75" s="224"/>
      <c r="Z75" s="224"/>
    </row>
    <row r="76" spans="1:26" x14ac:dyDescent="0.25">
      <c r="A76" s="224"/>
      <c r="B76" s="224"/>
      <c r="C76" s="224"/>
      <c r="D76" s="224"/>
      <c r="E76" s="224"/>
      <c r="F76" s="224"/>
      <c r="G76" s="224"/>
      <c r="H76" s="224"/>
      <c r="I76" s="224"/>
      <c r="J76" s="224"/>
      <c r="K76" s="224"/>
      <c r="L76" s="224"/>
      <c r="M76" s="224"/>
      <c r="N76" s="224"/>
      <c r="O76" s="224"/>
      <c r="P76" s="224"/>
      <c r="Q76" s="224"/>
      <c r="R76" s="224"/>
      <c r="S76" s="224"/>
      <c r="T76" s="224"/>
      <c r="U76" s="224"/>
      <c r="V76" s="224"/>
      <c r="W76" s="224"/>
      <c r="X76" s="224"/>
      <c r="Y76" s="224"/>
      <c r="Z76" s="224"/>
    </row>
    <row r="77" spans="1:26" x14ac:dyDescent="0.25">
      <c r="A77" s="224"/>
      <c r="B77" s="224"/>
      <c r="C77" s="224"/>
      <c r="D77" s="224"/>
      <c r="E77" s="224"/>
      <c r="F77" s="224"/>
      <c r="G77" s="224"/>
      <c r="H77" s="224"/>
      <c r="I77" s="224"/>
      <c r="J77" s="224"/>
      <c r="K77" s="224"/>
      <c r="L77" s="224"/>
      <c r="M77" s="224"/>
      <c r="N77" s="224"/>
      <c r="O77" s="224"/>
      <c r="P77" s="224"/>
      <c r="Q77" s="224"/>
      <c r="R77" s="224"/>
      <c r="S77" s="224"/>
      <c r="T77" s="224"/>
      <c r="U77" s="224"/>
      <c r="V77" s="224"/>
      <c r="W77" s="224"/>
      <c r="X77" s="224"/>
      <c r="Y77" s="224"/>
      <c r="Z77" s="224"/>
    </row>
    <row r="78" spans="1:26" x14ac:dyDescent="0.25">
      <c r="A78" s="224"/>
      <c r="B78" s="224"/>
      <c r="C78" s="224"/>
      <c r="D78" s="224"/>
      <c r="E78" s="224"/>
      <c r="F78" s="224"/>
      <c r="G78" s="224"/>
      <c r="H78" s="224"/>
      <c r="I78" s="224"/>
      <c r="J78" s="224"/>
      <c r="K78" s="224"/>
      <c r="L78" s="224"/>
      <c r="M78" s="224"/>
      <c r="N78" s="224"/>
      <c r="O78" s="224"/>
      <c r="P78" s="224"/>
      <c r="Q78" s="224"/>
      <c r="R78" s="224"/>
      <c r="S78" s="224"/>
      <c r="T78" s="224"/>
      <c r="U78" s="224"/>
      <c r="V78" s="224"/>
      <c r="W78" s="224"/>
      <c r="X78" s="224"/>
      <c r="Y78" s="224"/>
      <c r="Z78" s="224"/>
    </row>
    <row r="79" spans="1:26" x14ac:dyDescent="0.25">
      <c r="A79" s="224"/>
      <c r="B79" s="224"/>
      <c r="C79" s="224"/>
      <c r="D79" s="224"/>
      <c r="E79" s="224"/>
      <c r="F79" s="224"/>
      <c r="G79" s="224"/>
      <c r="H79" s="224"/>
      <c r="I79" s="224"/>
      <c r="J79" s="224"/>
      <c r="K79" s="224"/>
      <c r="L79" s="224"/>
      <c r="M79" s="224"/>
      <c r="N79" s="224"/>
      <c r="O79" s="224"/>
      <c r="P79" s="224"/>
      <c r="Q79" s="224"/>
      <c r="R79" s="224"/>
      <c r="S79" s="224"/>
      <c r="T79" s="224"/>
      <c r="U79" s="224"/>
      <c r="V79" s="224"/>
      <c r="W79" s="224"/>
      <c r="X79" s="224"/>
      <c r="Y79" s="224"/>
      <c r="Z79" s="224"/>
    </row>
    <row r="80" spans="1:26" x14ac:dyDescent="0.25">
      <c r="A80" s="224"/>
      <c r="B80" s="224"/>
      <c r="C80" s="224"/>
      <c r="D80" s="224"/>
      <c r="E80" s="224"/>
      <c r="F80" s="224"/>
      <c r="G80" s="224"/>
      <c r="H80" s="224"/>
      <c r="I80" s="224"/>
      <c r="J80" s="224"/>
      <c r="K80" s="224"/>
      <c r="L80" s="224"/>
      <c r="M80" s="224"/>
      <c r="N80" s="224"/>
      <c r="O80" s="224"/>
      <c r="P80" s="224"/>
      <c r="Q80" s="224"/>
      <c r="R80" s="224"/>
      <c r="S80" s="224"/>
      <c r="T80" s="224"/>
      <c r="U80" s="224"/>
      <c r="V80" s="224"/>
      <c r="W80" s="224"/>
      <c r="X80" s="224"/>
      <c r="Y80" s="224"/>
      <c r="Z80" s="224"/>
    </row>
    <row r="81" spans="1:26" x14ac:dyDescent="0.25">
      <c r="A81" s="224"/>
      <c r="B81" s="224"/>
      <c r="C81" s="224"/>
      <c r="D81" s="224"/>
      <c r="E81" s="224"/>
      <c r="F81" s="224"/>
      <c r="G81" s="224"/>
      <c r="H81" s="224"/>
      <c r="I81" s="224"/>
      <c r="J81" s="224"/>
      <c r="K81" s="224"/>
      <c r="L81" s="224"/>
      <c r="M81" s="224"/>
      <c r="N81" s="224"/>
      <c r="O81" s="224"/>
      <c r="P81" s="224"/>
      <c r="Q81" s="224"/>
      <c r="R81" s="224"/>
      <c r="S81" s="224"/>
      <c r="T81" s="224"/>
      <c r="U81" s="224"/>
      <c r="V81" s="224"/>
      <c r="W81" s="224"/>
      <c r="X81" s="224"/>
      <c r="Y81" s="224"/>
      <c r="Z81" s="224"/>
    </row>
    <row r="82" spans="1:26" x14ac:dyDescent="0.25">
      <c r="A82" s="224"/>
      <c r="B82" s="224"/>
      <c r="C82" s="224"/>
      <c r="D82" s="224"/>
      <c r="E82" s="224"/>
      <c r="F82" s="224"/>
      <c r="G82" s="224"/>
      <c r="H82" s="224"/>
      <c r="I82" s="224"/>
      <c r="J82" s="224"/>
      <c r="K82" s="224"/>
      <c r="L82" s="224"/>
      <c r="M82" s="224"/>
      <c r="N82" s="224"/>
      <c r="O82" s="224"/>
      <c r="P82" s="224"/>
      <c r="Q82" s="224"/>
      <c r="R82" s="224"/>
      <c r="S82" s="224"/>
      <c r="T82" s="224"/>
      <c r="U82" s="224"/>
      <c r="V82" s="224"/>
      <c r="W82" s="224"/>
      <c r="X82" s="224"/>
      <c r="Y82" s="224"/>
      <c r="Z82" s="224"/>
    </row>
    <row r="83" spans="1:26" x14ac:dyDescent="0.25">
      <c r="A83" s="224"/>
      <c r="B83" s="224"/>
      <c r="C83" s="224"/>
      <c r="D83" s="224"/>
      <c r="E83" s="224"/>
      <c r="F83" s="224"/>
      <c r="G83" s="224"/>
      <c r="H83" s="224"/>
      <c r="I83" s="224"/>
      <c r="J83" s="224"/>
      <c r="K83" s="224"/>
      <c r="L83" s="224"/>
      <c r="M83" s="224"/>
      <c r="N83" s="224"/>
      <c r="O83" s="224"/>
      <c r="P83" s="224"/>
      <c r="Q83" s="224"/>
      <c r="R83" s="224"/>
      <c r="S83" s="224"/>
      <c r="T83" s="224"/>
      <c r="U83" s="224"/>
      <c r="V83" s="224"/>
      <c r="W83" s="224"/>
      <c r="X83" s="224"/>
      <c r="Y83" s="224"/>
      <c r="Z83" s="224"/>
    </row>
    <row r="84" spans="1:26" x14ac:dyDescent="0.25">
      <c r="A84" s="224"/>
      <c r="B84" s="224"/>
      <c r="C84" s="224"/>
      <c r="D84" s="224"/>
      <c r="E84" s="224"/>
      <c r="F84" s="224"/>
      <c r="G84" s="224"/>
      <c r="H84" s="224"/>
      <c r="I84" s="224"/>
      <c r="J84" s="224"/>
      <c r="K84" s="224"/>
      <c r="L84" s="224"/>
      <c r="M84" s="224"/>
      <c r="N84" s="224"/>
      <c r="O84" s="224"/>
      <c r="P84" s="224"/>
      <c r="Q84" s="224"/>
      <c r="R84" s="224"/>
      <c r="S84" s="224"/>
      <c r="T84" s="224"/>
      <c r="U84" s="224"/>
      <c r="V84" s="224"/>
      <c r="W84" s="224"/>
      <c r="X84" s="224"/>
      <c r="Y84" s="224"/>
      <c r="Z84" s="224"/>
    </row>
    <row r="85" spans="1:26" x14ac:dyDescent="0.25">
      <c r="A85" s="224"/>
      <c r="B85" s="224"/>
      <c r="C85" s="224"/>
      <c r="D85" s="224"/>
      <c r="E85" s="224"/>
      <c r="F85" s="224"/>
      <c r="G85" s="224"/>
      <c r="H85" s="224"/>
      <c r="I85" s="224"/>
      <c r="J85" s="224"/>
      <c r="K85" s="224"/>
      <c r="L85" s="224"/>
      <c r="M85" s="224"/>
      <c r="N85" s="224"/>
      <c r="O85" s="224"/>
      <c r="P85" s="224"/>
      <c r="Q85" s="224"/>
      <c r="R85" s="224"/>
      <c r="S85" s="224"/>
      <c r="T85" s="224"/>
      <c r="U85" s="224"/>
      <c r="V85" s="224"/>
      <c r="W85" s="224"/>
      <c r="X85" s="224"/>
      <c r="Y85" s="224"/>
      <c r="Z85" s="224"/>
    </row>
    <row r="86" spans="1:26" x14ac:dyDescent="0.25">
      <c r="A86" s="224"/>
      <c r="B86" s="224"/>
      <c r="C86" s="224"/>
      <c r="D86" s="224"/>
      <c r="E86" s="224"/>
      <c r="F86" s="224"/>
      <c r="G86" s="224"/>
      <c r="H86" s="224"/>
      <c r="I86" s="224"/>
      <c r="J86" s="224"/>
      <c r="K86" s="224"/>
      <c r="L86" s="224"/>
      <c r="M86" s="224"/>
      <c r="N86" s="224"/>
      <c r="O86" s="224"/>
      <c r="P86" s="224"/>
      <c r="Q86" s="224"/>
      <c r="R86" s="224"/>
      <c r="S86" s="224"/>
      <c r="T86" s="224"/>
      <c r="U86" s="224"/>
      <c r="V86" s="224"/>
      <c r="W86" s="224"/>
      <c r="X86" s="224"/>
      <c r="Y86" s="224"/>
      <c r="Z86" s="224"/>
    </row>
    <row r="87" spans="1:26" x14ac:dyDescent="0.25">
      <c r="A87" s="224"/>
      <c r="B87" s="224"/>
      <c r="C87" s="224"/>
      <c r="D87" s="224"/>
      <c r="E87" s="224"/>
      <c r="F87" s="224"/>
      <c r="G87" s="224"/>
      <c r="H87" s="224"/>
      <c r="I87" s="224"/>
      <c r="J87" s="224"/>
      <c r="K87" s="224"/>
      <c r="L87" s="224"/>
      <c r="M87" s="224"/>
      <c r="N87" s="224"/>
      <c r="O87" s="224"/>
      <c r="P87" s="224"/>
      <c r="Q87" s="224"/>
      <c r="R87" s="224"/>
      <c r="S87" s="224"/>
      <c r="T87" s="224"/>
      <c r="U87" s="224"/>
      <c r="V87" s="224"/>
      <c r="W87" s="224"/>
      <c r="X87" s="224"/>
      <c r="Y87" s="224"/>
      <c r="Z87" s="224"/>
    </row>
    <row r="88" spans="1:26" x14ac:dyDescent="0.25">
      <c r="A88" s="224"/>
      <c r="B88" s="224"/>
      <c r="C88" s="224"/>
      <c r="D88" s="224"/>
      <c r="E88" s="224"/>
      <c r="F88" s="224"/>
      <c r="G88" s="224"/>
      <c r="H88" s="224"/>
      <c r="I88" s="224"/>
      <c r="J88" s="224"/>
      <c r="K88" s="224"/>
      <c r="L88" s="224"/>
      <c r="M88" s="224"/>
      <c r="N88" s="224"/>
      <c r="O88" s="224"/>
      <c r="P88" s="224"/>
      <c r="Q88" s="224"/>
      <c r="R88" s="224"/>
      <c r="S88" s="224"/>
      <c r="T88" s="224"/>
      <c r="U88" s="224"/>
      <c r="V88" s="224"/>
      <c r="W88" s="224"/>
      <c r="X88" s="224"/>
      <c r="Y88" s="224"/>
      <c r="Z88" s="224"/>
    </row>
    <row r="89" spans="1:26" x14ac:dyDescent="0.25">
      <c r="A89" s="224"/>
      <c r="B89" s="224"/>
      <c r="C89" s="224"/>
      <c r="D89" s="224"/>
      <c r="E89" s="224"/>
      <c r="F89" s="224"/>
      <c r="G89" s="224"/>
      <c r="H89" s="224"/>
      <c r="I89" s="224"/>
      <c r="J89" s="224"/>
      <c r="K89" s="224"/>
      <c r="L89" s="224"/>
      <c r="M89" s="224"/>
      <c r="N89" s="224"/>
      <c r="O89" s="224"/>
      <c r="P89" s="224"/>
      <c r="Q89" s="224"/>
      <c r="R89" s="224"/>
      <c r="S89" s="224"/>
      <c r="T89" s="224"/>
      <c r="U89" s="224"/>
      <c r="V89" s="224"/>
      <c r="W89" s="224"/>
      <c r="X89" s="224"/>
      <c r="Y89" s="224"/>
      <c r="Z89" s="224"/>
    </row>
    <row r="90" spans="1:26" x14ac:dyDescent="0.25">
      <c r="A90" s="224"/>
      <c r="B90" s="224"/>
      <c r="C90" s="224"/>
      <c r="D90" s="224"/>
      <c r="E90" s="224"/>
      <c r="F90" s="224"/>
      <c r="G90" s="224"/>
      <c r="H90" s="224"/>
      <c r="I90" s="224"/>
      <c r="J90" s="224"/>
      <c r="K90" s="224"/>
      <c r="L90" s="224"/>
      <c r="M90" s="224"/>
      <c r="N90" s="224"/>
      <c r="O90" s="224"/>
      <c r="P90" s="224"/>
      <c r="Q90" s="224"/>
      <c r="R90" s="224"/>
      <c r="S90" s="224"/>
      <c r="T90" s="224"/>
      <c r="U90" s="224"/>
      <c r="V90" s="224"/>
      <c r="W90" s="224"/>
      <c r="X90" s="224"/>
      <c r="Y90" s="224"/>
      <c r="Z90" s="224"/>
    </row>
    <row r="91" spans="1:26" x14ac:dyDescent="0.25">
      <c r="A91" s="224"/>
      <c r="B91" s="224"/>
      <c r="C91" s="224"/>
      <c r="D91" s="224"/>
      <c r="E91" s="224"/>
      <c r="F91" s="224"/>
      <c r="G91" s="224"/>
      <c r="H91" s="224"/>
      <c r="I91" s="224"/>
      <c r="J91" s="224"/>
      <c r="K91" s="224"/>
      <c r="L91" s="224"/>
      <c r="M91" s="224"/>
      <c r="N91" s="224"/>
      <c r="O91" s="224"/>
      <c r="P91" s="224"/>
      <c r="Q91" s="224"/>
      <c r="R91" s="224"/>
      <c r="S91" s="224"/>
      <c r="T91" s="224"/>
      <c r="U91" s="224"/>
      <c r="V91" s="224"/>
      <c r="W91" s="224"/>
      <c r="X91" s="224"/>
      <c r="Y91" s="224"/>
      <c r="Z91" s="224"/>
    </row>
    <row r="92" spans="1:26" x14ac:dyDescent="0.25">
      <c r="A92" s="224"/>
      <c r="B92" s="224"/>
      <c r="C92" s="224"/>
      <c r="D92" s="224"/>
      <c r="E92" s="224"/>
      <c r="F92" s="224"/>
      <c r="G92" s="224"/>
      <c r="H92" s="224"/>
      <c r="I92" s="224"/>
      <c r="J92" s="224"/>
      <c r="K92" s="224"/>
      <c r="L92" s="224"/>
      <c r="M92" s="224"/>
      <c r="N92" s="224"/>
      <c r="O92" s="224"/>
      <c r="P92" s="224"/>
      <c r="Q92" s="224"/>
      <c r="R92" s="224"/>
      <c r="S92" s="224"/>
      <c r="T92" s="224"/>
      <c r="U92" s="224"/>
      <c r="V92" s="224"/>
      <c r="W92" s="224"/>
      <c r="X92" s="224"/>
      <c r="Y92" s="224"/>
      <c r="Z92" s="224"/>
    </row>
    <row r="93" spans="1:26" x14ac:dyDescent="0.25">
      <c r="A93" s="224"/>
      <c r="B93" s="224"/>
      <c r="C93" s="224"/>
      <c r="D93" s="224"/>
      <c r="E93" s="224"/>
      <c r="F93" s="224"/>
      <c r="G93" s="224"/>
      <c r="H93" s="224"/>
      <c r="I93" s="224"/>
      <c r="J93" s="224"/>
      <c r="K93" s="224"/>
      <c r="L93" s="224"/>
      <c r="M93" s="224"/>
      <c r="N93" s="224"/>
      <c r="O93" s="224"/>
      <c r="P93" s="224"/>
      <c r="Q93" s="224"/>
      <c r="R93" s="224"/>
      <c r="S93" s="224"/>
      <c r="T93" s="224"/>
      <c r="U93" s="224"/>
      <c r="V93" s="224"/>
      <c r="W93" s="224"/>
      <c r="X93" s="224"/>
      <c r="Y93" s="224"/>
      <c r="Z93" s="224"/>
    </row>
    <row r="94" spans="1:26" x14ac:dyDescent="0.25">
      <c r="A94" s="224"/>
      <c r="B94" s="224"/>
      <c r="C94" s="224"/>
      <c r="D94" s="224"/>
      <c r="E94" s="224"/>
      <c r="F94" s="224"/>
      <c r="G94" s="224"/>
      <c r="H94" s="224"/>
      <c r="I94" s="224"/>
      <c r="J94" s="224"/>
      <c r="K94" s="224"/>
      <c r="L94" s="224"/>
      <c r="M94" s="224"/>
      <c r="N94" s="224"/>
      <c r="O94" s="224"/>
      <c r="P94" s="224"/>
      <c r="Q94" s="224"/>
      <c r="R94" s="224"/>
      <c r="S94" s="224"/>
      <c r="T94" s="224"/>
      <c r="U94" s="224"/>
      <c r="V94" s="224"/>
      <c r="W94" s="224"/>
      <c r="X94" s="224"/>
      <c r="Y94" s="224"/>
      <c r="Z94" s="224"/>
    </row>
    <row r="95" spans="1:26" x14ac:dyDescent="0.25">
      <c r="A95" s="224"/>
      <c r="B95" s="224"/>
      <c r="C95" s="224"/>
      <c r="D95" s="224"/>
      <c r="E95" s="224"/>
      <c r="F95" s="224"/>
      <c r="G95" s="224"/>
      <c r="H95" s="224"/>
      <c r="I95" s="224"/>
      <c r="J95" s="224"/>
      <c r="K95" s="224"/>
      <c r="L95" s="224"/>
      <c r="M95" s="224"/>
      <c r="N95" s="224"/>
      <c r="O95" s="224"/>
      <c r="P95" s="224"/>
      <c r="Q95" s="224"/>
      <c r="R95" s="224"/>
      <c r="S95" s="224"/>
      <c r="T95" s="224"/>
      <c r="U95" s="224"/>
      <c r="V95" s="224"/>
      <c r="W95" s="224"/>
      <c r="X95" s="224"/>
      <c r="Y95" s="224"/>
      <c r="Z95" s="224"/>
    </row>
    <row r="96" spans="1:26" x14ac:dyDescent="0.25">
      <c r="A96" s="224"/>
      <c r="B96" s="224"/>
      <c r="C96" s="224"/>
      <c r="D96" s="224"/>
      <c r="E96" s="224"/>
      <c r="F96" s="224"/>
      <c r="G96" s="224"/>
      <c r="H96" s="224"/>
      <c r="I96" s="224"/>
      <c r="J96" s="224"/>
      <c r="K96" s="224"/>
      <c r="L96" s="224"/>
      <c r="M96" s="224"/>
      <c r="N96" s="224"/>
      <c r="O96" s="224"/>
      <c r="P96" s="224"/>
      <c r="Q96" s="224"/>
      <c r="R96" s="224"/>
      <c r="S96" s="224"/>
      <c r="T96" s="224"/>
      <c r="U96" s="224"/>
      <c r="V96" s="224"/>
      <c r="W96" s="224"/>
      <c r="X96" s="224"/>
      <c r="Y96" s="224"/>
      <c r="Z96" s="224"/>
    </row>
    <row r="97" spans="1:26" x14ac:dyDescent="0.25">
      <c r="A97" s="224"/>
      <c r="B97" s="224"/>
      <c r="C97" s="224"/>
      <c r="D97" s="224"/>
      <c r="E97" s="224"/>
      <c r="F97" s="224"/>
      <c r="G97" s="224"/>
      <c r="H97" s="224"/>
      <c r="I97" s="224"/>
      <c r="J97" s="224"/>
      <c r="K97" s="224"/>
      <c r="L97" s="224"/>
      <c r="M97" s="224"/>
      <c r="N97" s="224"/>
      <c r="O97" s="224"/>
      <c r="P97" s="224"/>
      <c r="Q97" s="224"/>
      <c r="R97" s="224"/>
      <c r="S97" s="224"/>
      <c r="T97" s="224"/>
      <c r="U97" s="224"/>
      <c r="V97" s="224"/>
      <c r="W97" s="224"/>
      <c r="X97" s="224"/>
      <c r="Y97" s="224"/>
      <c r="Z97" s="224"/>
    </row>
    <row r="98" spans="1:26" x14ac:dyDescent="0.25">
      <c r="A98" s="224"/>
      <c r="B98" s="224"/>
      <c r="C98" s="224"/>
      <c r="D98" s="224"/>
      <c r="E98" s="224"/>
      <c r="F98" s="224"/>
      <c r="G98" s="224"/>
      <c r="H98" s="224"/>
      <c r="I98" s="224"/>
      <c r="J98" s="224"/>
      <c r="K98" s="224"/>
      <c r="L98" s="224"/>
      <c r="M98" s="224"/>
      <c r="N98" s="224"/>
      <c r="O98" s="224"/>
      <c r="P98" s="224"/>
      <c r="Q98" s="224"/>
      <c r="R98" s="224"/>
      <c r="S98" s="224"/>
      <c r="T98" s="224"/>
      <c r="U98" s="224"/>
      <c r="V98" s="224"/>
      <c r="W98" s="224"/>
      <c r="X98" s="224"/>
      <c r="Y98" s="224"/>
      <c r="Z98" s="224"/>
    </row>
    <row r="99" spans="1:26" x14ac:dyDescent="0.25">
      <c r="A99" s="224"/>
      <c r="B99" s="224"/>
      <c r="C99" s="224"/>
      <c r="D99" s="224"/>
      <c r="E99" s="224"/>
      <c r="F99" s="224"/>
      <c r="G99" s="224"/>
      <c r="H99" s="224"/>
      <c r="I99" s="224"/>
      <c r="J99" s="224"/>
      <c r="K99" s="224"/>
      <c r="L99" s="224"/>
      <c r="M99" s="224"/>
      <c r="N99" s="224"/>
      <c r="O99" s="224"/>
      <c r="P99" s="224"/>
      <c r="Q99" s="224"/>
      <c r="R99" s="224"/>
      <c r="S99" s="224"/>
      <c r="T99" s="224"/>
      <c r="U99" s="224"/>
      <c r="V99" s="224"/>
      <c r="W99" s="224"/>
      <c r="X99" s="224"/>
      <c r="Y99" s="224"/>
      <c r="Z99" s="224"/>
    </row>
    <row r="100" spans="1:26" x14ac:dyDescent="0.25">
      <c r="A100" s="224"/>
      <c r="B100" s="224"/>
      <c r="C100" s="224"/>
      <c r="D100" s="224"/>
      <c r="E100" s="224"/>
      <c r="F100" s="224"/>
      <c r="G100" s="224"/>
      <c r="H100" s="224"/>
      <c r="I100" s="224"/>
      <c r="J100" s="224"/>
      <c r="K100" s="224"/>
      <c r="L100" s="224"/>
      <c r="M100" s="224"/>
      <c r="N100" s="224"/>
      <c r="O100" s="224"/>
      <c r="P100" s="224"/>
      <c r="Q100" s="224"/>
      <c r="R100" s="224"/>
      <c r="S100" s="224"/>
      <c r="T100" s="224"/>
      <c r="U100" s="224"/>
      <c r="V100" s="224"/>
      <c r="W100" s="224"/>
      <c r="X100" s="224"/>
      <c r="Y100" s="224"/>
      <c r="Z100" s="224"/>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2"/>
  <sheetViews>
    <sheetView workbookViewId="0">
      <pane xSplit="1" ySplit="15" topLeftCell="B16" activePane="bottomRight" state="frozen"/>
      <selection pane="topRight" activeCell="B1" sqref="B1"/>
      <selection pane="bottomLeft" activeCell="A16" sqref="A16"/>
      <selection pane="bottomRight"/>
    </sheetView>
  </sheetViews>
  <sheetFormatPr defaultRowHeight="13.2" x14ac:dyDescent="0.25"/>
  <cols>
    <col min="1" max="1" width="72.5546875" customWidth="1"/>
    <col min="2" max="2" width="27.88671875" customWidth="1"/>
    <col min="3" max="9" width="25.6640625" customWidth="1"/>
    <col min="10" max="10" width="12.6640625" customWidth="1"/>
    <col min="11" max="11" width="13.44140625" customWidth="1"/>
    <col min="12" max="12" width="12" customWidth="1"/>
    <col min="16" max="16" width="14.6640625" customWidth="1"/>
    <col min="17" max="17" width="19.44140625" customWidth="1"/>
    <col min="18" max="18" width="13" customWidth="1"/>
    <col min="19" max="19" width="10.5546875" bestFit="1" customWidth="1"/>
    <col min="20" max="20" width="12.6640625" customWidth="1"/>
    <col min="21" max="21" width="10" customWidth="1"/>
    <col min="22" max="22" width="14.109375" customWidth="1"/>
    <col min="23" max="23" width="15" customWidth="1"/>
    <col min="24" max="24" width="11.88671875" customWidth="1"/>
    <col min="25" max="25" width="12.5546875" customWidth="1"/>
    <col min="26" max="26" width="13.5546875" customWidth="1"/>
    <col min="27" max="27" width="10" customWidth="1"/>
    <col min="28" max="28" width="14.6640625" customWidth="1"/>
    <col min="29" max="29" width="18.6640625" customWidth="1"/>
  </cols>
  <sheetData>
    <row r="1" spans="1:29" x14ac:dyDescent="0.25">
      <c r="A1" s="2" t="s">
        <v>238</v>
      </c>
      <c r="B1" s="923" t="s">
        <v>1738</v>
      </c>
    </row>
    <row r="2" spans="1:29" x14ac:dyDescent="0.25">
      <c r="A2" s="2" t="s">
        <v>241</v>
      </c>
      <c r="B2" s="3" t="s">
        <v>450</v>
      </c>
    </row>
    <row r="3" spans="1:29" x14ac:dyDescent="0.25">
      <c r="A3" s="2" t="s">
        <v>239</v>
      </c>
      <c r="B3" s="923" t="s">
        <v>1422</v>
      </c>
    </row>
    <row r="4" spans="1:29" x14ac:dyDescent="0.25">
      <c r="A4" s="2" t="s">
        <v>240</v>
      </c>
      <c r="B4" s="1">
        <v>2004</v>
      </c>
    </row>
    <row r="5" spans="1:29" x14ac:dyDescent="0.25">
      <c r="B5" s="1"/>
    </row>
    <row r="6" spans="1:29" x14ac:dyDescent="0.25">
      <c r="A6" s="447" t="s">
        <v>415</v>
      </c>
      <c r="B6" s="179" t="s">
        <v>22</v>
      </c>
      <c r="C6" s="179"/>
      <c r="D6" s="178" t="s">
        <v>23</v>
      </c>
      <c r="E6" s="179"/>
      <c r="F6" s="178" t="s">
        <v>24</v>
      </c>
      <c r="G6" s="179"/>
      <c r="H6" s="178" t="s">
        <v>25</v>
      </c>
      <c r="I6" s="180"/>
    </row>
    <row r="7" spans="1:29" x14ac:dyDescent="0.25">
      <c r="A7" s="181"/>
      <c r="B7" s="182" t="s">
        <v>198</v>
      </c>
      <c r="C7" s="182" t="s">
        <v>210</v>
      </c>
      <c r="D7" s="182" t="s">
        <v>199</v>
      </c>
      <c r="E7" s="183" t="s">
        <v>211</v>
      </c>
      <c r="F7" s="182" t="s">
        <v>201</v>
      </c>
      <c r="G7" s="182" t="s">
        <v>247</v>
      </c>
      <c r="H7" s="182" t="s">
        <v>203</v>
      </c>
      <c r="I7" s="182" t="s">
        <v>247</v>
      </c>
      <c r="J7" s="159"/>
      <c r="K7" s="159"/>
      <c r="L7" s="43"/>
      <c r="M7" s="43"/>
      <c r="N7" s="43"/>
      <c r="O7" s="43"/>
      <c r="P7" s="43"/>
      <c r="Q7" s="43"/>
      <c r="R7" s="43"/>
      <c r="S7" s="43"/>
      <c r="T7" s="43"/>
      <c r="U7" s="43"/>
      <c r="V7" s="43"/>
      <c r="W7" s="43"/>
      <c r="X7" s="43"/>
      <c r="Y7" s="43"/>
      <c r="Z7" s="43"/>
      <c r="AA7" s="43"/>
      <c r="AB7" s="43"/>
      <c r="AC7" s="43"/>
    </row>
    <row r="8" spans="1:29" x14ac:dyDescent="0.25">
      <c r="A8" s="147" t="s">
        <v>120</v>
      </c>
      <c r="B8" s="184">
        <f>EnergySupply!B26*Unitflowchart!$S$139</f>
        <v>0</v>
      </c>
      <c r="C8" s="184">
        <f>EnergySupply!C26*Unitflowchart!$S$139</f>
        <v>0</v>
      </c>
      <c r="D8" s="184">
        <f>EnergySupply!D26*Unitflowchart!$S$139</f>
        <v>0</v>
      </c>
      <c r="E8" s="184">
        <f>EnergySupply!E26*Unitflowchart!$S$139</f>
        <v>0</v>
      </c>
      <c r="F8" s="199">
        <f>EnergySupply!F26*Unitflowchart!$S$139</f>
        <v>0</v>
      </c>
      <c r="G8" s="199">
        <f>EnergySupply!G26*Unitflowchart!$S$139</f>
        <v>0</v>
      </c>
      <c r="H8" s="200">
        <f>EnergySupply!H26*Unitflowchart!$S$139</f>
        <v>0</v>
      </c>
      <c r="I8" s="200">
        <f>EnergySupply!I26*Unitflowchart!$S$139</f>
        <v>0</v>
      </c>
    </row>
    <row r="9" spans="1:29" x14ac:dyDescent="0.25">
      <c r="A9" s="147" t="s">
        <v>121</v>
      </c>
      <c r="B9" s="184">
        <f>EnergySupply!B27*Unitflowchart!$S$139</f>
        <v>0</v>
      </c>
      <c r="C9" s="184">
        <f>EnergySupply!C27*Unitflowchart!$S$139</f>
        <v>0</v>
      </c>
      <c r="D9" s="184">
        <f>EnergySupply!D27*Unitflowchart!$S$139</f>
        <v>0</v>
      </c>
      <c r="E9" s="184">
        <f>EnergySupply!E27*Unitflowchart!$S$139</f>
        <v>0</v>
      </c>
      <c r="F9" s="199">
        <f>EnergySupply!F27*Unitflowchart!$S$139</f>
        <v>0</v>
      </c>
      <c r="G9" s="199">
        <f>EnergySupply!G27*Unitflowchart!$S$139</f>
        <v>0</v>
      </c>
      <c r="H9" s="200">
        <f>EnergySupply!H27*Unitflowchart!$S$139</f>
        <v>0</v>
      </c>
      <c r="I9" s="200">
        <f>EnergySupply!I27*Unitflowchart!$S$139</f>
        <v>0</v>
      </c>
    </row>
    <row r="10" spans="1:29" x14ac:dyDescent="0.25">
      <c r="A10" s="147" t="s">
        <v>122</v>
      </c>
      <c r="B10" s="184">
        <f>EnergySupply!B31*Unitflowchart!$S$141</f>
        <v>0</v>
      </c>
      <c r="C10" s="184">
        <f>EnergySupply!C31*Unitflowchart!$S$141</f>
        <v>0</v>
      </c>
      <c r="D10" s="184">
        <f>EnergySupply!D31*Unitflowchart!$S$141</f>
        <v>0</v>
      </c>
      <c r="E10" s="184">
        <f>EnergySupply!E31*Unitflowchart!$S$141</f>
        <v>0</v>
      </c>
      <c r="F10" s="199">
        <f>EnergySupply!F31*Unitflowchart!$S$141</f>
        <v>1.4117647058823532E-5</v>
      </c>
      <c r="G10" s="199">
        <f>EnergySupply!G31*Unitflowchart!$S$141</f>
        <v>0</v>
      </c>
      <c r="H10" s="200">
        <f>EnergySupply!H31*Unitflowchart!$S$141</f>
        <v>4.2352941176470591E-6</v>
      </c>
      <c r="I10" s="200">
        <f>EnergySupply!I31*Unitflowchart!$S$141</f>
        <v>0</v>
      </c>
    </row>
    <row r="11" spans="1:29" x14ac:dyDescent="0.25">
      <c r="A11" s="149" t="s">
        <v>826</v>
      </c>
      <c r="B11" s="201">
        <f>EnergySupply!B34*Unitflowchart!$S$141</f>
        <v>0</v>
      </c>
      <c r="C11" s="201">
        <f>EnergySupply!C34*Unitflowchart!$S$141</f>
        <v>0</v>
      </c>
      <c r="D11" s="201">
        <f>EnergySupply!D34*Unitflowchart!$S$141</f>
        <v>0</v>
      </c>
      <c r="E11" s="201">
        <f>EnergySupply!E34*Unitflowchart!$S$141</f>
        <v>0</v>
      </c>
      <c r="F11" s="202">
        <f>EnergySupply!F34*Unitflowchart!$S$141</f>
        <v>2.8235294117647067E-5</v>
      </c>
      <c r="G11" s="202">
        <f>EnergySupply!G34*Unitflowchart!$S$141</f>
        <v>0</v>
      </c>
      <c r="H11" s="203">
        <f>EnergySupply!H34*Unitflowchart!$S$141</f>
        <v>8.4705882352941183E-6</v>
      </c>
      <c r="I11" s="203">
        <f>EnergySupply!I34*Unitflowchart!$S$141</f>
        <v>0</v>
      </c>
    </row>
    <row r="12" spans="1:29" x14ac:dyDescent="0.25">
      <c r="A12" s="1094" t="s">
        <v>1833</v>
      </c>
      <c r="B12" s="189">
        <f>Unitflowchart!S164*Unitflowchart!S174/Unitflowchart!S320</f>
        <v>80.958606054311034</v>
      </c>
      <c r="C12" s="190"/>
      <c r="D12" s="190"/>
      <c r="E12" s="190"/>
      <c r="F12" s="191"/>
      <c r="G12" s="191"/>
      <c r="H12" s="192"/>
      <c r="I12" s="192"/>
    </row>
    <row r="13" spans="1:29" s="43" customFormat="1" x14ac:dyDescent="0.25">
      <c r="A13" s="212"/>
      <c r="B13" s="213"/>
      <c r="C13" s="190"/>
      <c r="D13" s="190"/>
      <c r="E13" s="190"/>
      <c r="F13" s="191"/>
      <c r="G13" s="191"/>
      <c r="H13" s="192"/>
      <c r="I13" s="192"/>
    </row>
    <row r="14" spans="1:29" s="361" customFormat="1" x14ac:dyDescent="0.25">
      <c r="A14" s="361" t="s">
        <v>243</v>
      </c>
      <c r="B14" s="361" t="s">
        <v>242</v>
      </c>
      <c r="E14" s="361" t="s">
        <v>28</v>
      </c>
      <c r="F14" s="361" t="s">
        <v>245</v>
      </c>
      <c r="I14" s="361" t="s">
        <v>28</v>
      </c>
      <c r="J14" s="361" t="s">
        <v>837</v>
      </c>
      <c r="L14" s="361" t="s">
        <v>249</v>
      </c>
      <c r="O14" s="361" t="s">
        <v>28</v>
      </c>
      <c r="P14" s="361" t="s">
        <v>838</v>
      </c>
      <c r="R14" s="361" t="s">
        <v>251</v>
      </c>
      <c r="U14" s="361" t="s">
        <v>28</v>
      </c>
      <c r="V14" s="361" t="s">
        <v>840</v>
      </c>
      <c r="X14" s="361" t="s">
        <v>253</v>
      </c>
      <c r="AA14" s="361" t="s">
        <v>28</v>
      </c>
      <c r="AB14" s="361" t="s">
        <v>841</v>
      </c>
    </row>
    <row r="15" spans="1:29" s="3" customFormat="1" x14ac:dyDescent="0.25">
      <c r="A15" s="44"/>
      <c r="B15" s="361" t="s">
        <v>244</v>
      </c>
      <c r="C15" s="361" t="s">
        <v>246</v>
      </c>
      <c r="D15" s="361" t="s">
        <v>247</v>
      </c>
      <c r="E15" s="361"/>
      <c r="F15" s="361"/>
      <c r="G15" s="361" t="s">
        <v>246</v>
      </c>
      <c r="H15" s="361" t="s">
        <v>247</v>
      </c>
      <c r="I15" s="361"/>
      <c r="J15" s="361" t="s">
        <v>246</v>
      </c>
      <c r="K15" s="361" t="s">
        <v>247</v>
      </c>
      <c r="L15" s="361" t="s">
        <v>244</v>
      </c>
      <c r="M15" s="361" t="s">
        <v>246</v>
      </c>
      <c r="N15" s="361" t="s">
        <v>247</v>
      </c>
      <c r="O15" s="361"/>
      <c r="P15" s="361" t="s">
        <v>246</v>
      </c>
      <c r="Q15" s="361" t="s">
        <v>247</v>
      </c>
      <c r="R15" s="361" t="s">
        <v>244</v>
      </c>
      <c r="S15" s="361" t="s">
        <v>246</v>
      </c>
      <c r="T15" s="361" t="s">
        <v>247</v>
      </c>
      <c r="U15" s="361"/>
      <c r="V15" s="361" t="s">
        <v>246</v>
      </c>
      <c r="W15" s="361" t="s">
        <v>247</v>
      </c>
      <c r="X15" s="361" t="s">
        <v>244</v>
      </c>
      <c r="Y15" s="361" t="s">
        <v>246</v>
      </c>
      <c r="Z15" s="361" t="s">
        <v>247</v>
      </c>
      <c r="AA15" s="361"/>
      <c r="AB15" s="361" t="s">
        <v>246</v>
      </c>
      <c r="AC15" s="361" t="s">
        <v>247</v>
      </c>
    </row>
    <row r="16" spans="1:29" s="3" customFormat="1" x14ac:dyDescent="0.25">
      <c r="A16" s="18" t="s">
        <v>1739</v>
      </c>
      <c r="C16" s="329"/>
      <c r="D16" s="329"/>
      <c r="E16" s="329"/>
      <c r="G16" s="329"/>
      <c r="H16" s="329"/>
      <c r="I16" s="329"/>
      <c r="J16" s="329"/>
      <c r="K16" s="329"/>
    </row>
    <row r="17" spans="1:29" s="362" customFormat="1" x14ac:dyDescent="0.25">
      <c r="A17" s="360"/>
    </row>
    <row r="18" spans="1:29" x14ac:dyDescent="0.25">
      <c r="A18" s="16" t="s">
        <v>123</v>
      </c>
      <c r="B18" t="s">
        <v>765</v>
      </c>
      <c r="C18" s="359">
        <f>$B$12</f>
        <v>80.958606054311034</v>
      </c>
      <c r="D18" s="418">
        <v>0</v>
      </c>
      <c r="E18" s="11" t="s">
        <v>1740</v>
      </c>
      <c r="F18" t="s">
        <v>185</v>
      </c>
      <c r="G18" s="991">
        <f>3.6*(B9+B11)</f>
        <v>0</v>
      </c>
      <c r="H18" s="991">
        <f>3.6*(C9+C11)</f>
        <v>0</v>
      </c>
      <c r="I18" s="11" t="s">
        <v>834</v>
      </c>
      <c r="J18" s="500">
        <f>C18*G18</f>
        <v>0</v>
      </c>
      <c r="K18" s="500">
        <f>SQRT(((D18*G18)^2)+((C18*H18)^2))</f>
        <v>0</v>
      </c>
      <c r="L18" t="s">
        <v>186</v>
      </c>
      <c r="M18" s="991">
        <f>(D9+D11)</f>
        <v>0</v>
      </c>
      <c r="N18" s="991">
        <f>(E9+E11)</f>
        <v>0</v>
      </c>
      <c r="O18" s="11" t="s">
        <v>829</v>
      </c>
      <c r="P18" s="500">
        <f>C18*M18</f>
        <v>0</v>
      </c>
      <c r="Q18" s="500">
        <f>SQRT(((D18*M18)^2)+((C18*N18)^2))</f>
        <v>0</v>
      </c>
      <c r="R18" t="s">
        <v>187</v>
      </c>
      <c r="S18" s="990">
        <f>(F9+F11)</f>
        <v>2.8235294117647067E-5</v>
      </c>
      <c r="T18" s="990">
        <f>(G9+G11)</f>
        <v>0</v>
      </c>
      <c r="U18" s="11" t="s">
        <v>831</v>
      </c>
      <c r="V18" s="586">
        <f>C18*S18</f>
        <v>2.2858900532981945E-3</v>
      </c>
      <c r="W18" s="586">
        <f>SQRT(((D18*S18)^2)+((C18*T18)^2))</f>
        <v>0</v>
      </c>
      <c r="X18" t="s">
        <v>188</v>
      </c>
      <c r="Y18" s="990">
        <f>(H9+H11)</f>
        <v>8.4705882352941183E-6</v>
      </c>
      <c r="Z18" s="990">
        <f>(I9+I11)</f>
        <v>0</v>
      </c>
      <c r="AA18" s="11" t="s">
        <v>833</v>
      </c>
      <c r="AB18" s="497">
        <f>C18*Y18</f>
        <v>6.8576701598945823E-4</v>
      </c>
      <c r="AC18" s="497">
        <f>SQRT(((D18*Y18)^2)+((C18*Z18)^2))</f>
        <v>0</v>
      </c>
    </row>
    <row r="19" spans="1:29" s="3" customFormat="1" x14ac:dyDescent="0.25">
      <c r="A19" s="44"/>
      <c r="J19" s="699"/>
      <c r="K19" s="699"/>
      <c r="P19" s="699"/>
      <c r="Q19" s="699"/>
      <c r="V19" s="700"/>
      <c r="W19" s="700"/>
      <c r="AB19" s="702"/>
      <c r="AC19" s="702"/>
    </row>
    <row r="20" spans="1:29" s="2" customFormat="1" x14ac:dyDescent="0.25">
      <c r="A20" s="18" t="s">
        <v>375</v>
      </c>
      <c r="J20" s="503">
        <f>SUM(J18:J19)</f>
        <v>0</v>
      </c>
      <c r="K20" s="503">
        <f>SQRT(SUMSQ(K18:K18))</f>
        <v>0</v>
      </c>
      <c r="P20" s="503">
        <f>SUM(P18:P19)</f>
        <v>0</v>
      </c>
      <c r="Q20" s="503">
        <f>SQRT(SUMSQ(Q18:Q18))</f>
        <v>0</v>
      </c>
      <c r="V20" s="499">
        <f>SUM(V18:V19)</f>
        <v>2.2858900532981945E-3</v>
      </c>
      <c r="W20" s="499">
        <f>SQRT(SUMSQ(W18:W18))</f>
        <v>0</v>
      </c>
      <c r="AB20" s="690">
        <f>SUM(AB18:AB19)</f>
        <v>6.8576701598945823E-4</v>
      </c>
      <c r="AC20" s="690">
        <f>SQRT(SUMSQ(AC18:AC18))</f>
        <v>0</v>
      </c>
    </row>
    <row r="21" spans="1:29" x14ac:dyDescent="0.25">
      <c r="A21" s="16"/>
    </row>
    <row r="22" spans="1:29" s="43" customFormat="1" x14ac:dyDescent="0.25">
      <c r="B22" s="356"/>
      <c r="C22" s="11"/>
      <c r="D22" s="11"/>
      <c r="E22" s="12"/>
      <c r="G22" s="11"/>
      <c r="H22" s="11"/>
      <c r="I22" s="11"/>
      <c r="J22" s="11"/>
      <c r="K22" s="11"/>
      <c r="M22" s="11"/>
      <c r="N22" s="11"/>
      <c r="O22" s="11"/>
      <c r="P22" s="11"/>
      <c r="Q22" s="11"/>
      <c r="S22" s="11"/>
      <c r="T22" s="11"/>
      <c r="U22" s="11"/>
      <c r="V22" s="11"/>
      <c r="W22" s="11"/>
      <c r="Y22" s="11"/>
      <c r="Z22" s="11"/>
      <c r="AA22" s="11"/>
      <c r="AB22" s="11"/>
      <c r="AC22" s="11"/>
    </row>
    <row r="23" spans="1:29" s="43" customFormat="1" x14ac:dyDescent="0.25">
      <c r="B23" s="356"/>
      <c r="C23" s="11"/>
      <c r="D23" s="11"/>
      <c r="E23" s="12"/>
      <c r="G23" s="11"/>
      <c r="H23" s="11"/>
      <c r="I23" s="11"/>
      <c r="J23" s="11"/>
      <c r="K23" s="11"/>
      <c r="M23" s="11"/>
      <c r="N23" s="11"/>
      <c r="O23" s="11"/>
      <c r="P23" s="11"/>
      <c r="Q23" s="11"/>
      <c r="S23" s="11"/>
      <c r="T23" s="11"/>
      <c r="U23" s="11"/>
      <c r="V23" s="11"/>
      <c r="W23" s="11"/>
      <c r="Y23" s="11"/>
      <c r="Z23" s="11"/>
      <c r="AA23" s="11"/>
      <c r="AB23" s="11"/>
      <c r="AC23" s="11"/>
    </row>
    <row r="24" spans="1:29" s="43" customFormat="1" x14ac:dyDescent="0.25">
      <c r="B24" s="356"/>
      <c r="C24" s="11"/>
      <c r="D24" s="11"/>
      <c r="E24" s="12"/>
      <c r="G24" s="11"/>
      <c r="H24" s="11"/>
      <c r="I24" s="11"/>
      <c r="J24" s="11"/>
      <c r="K24" s="11"/>
      <c r="M24" s="11"/>
      <c r="N24" s="11"/>
      <c r="O24" s="11"/>
      <c r="P24" s="11"/>
      <c r="Q24" s="11"/>
      <c r="S24" s="11"/>
      <c r="T24" s="11"/>
      <c r="U24" s="11"/>
      <c r="V24" s="11"/>
      <c r="W24" s="11"/>
      <c r="Y24" s="11"/>
      <c r="Z24" s="11"/>
      <c r="AA24" s="11"/>
      <c r="AB24" s="11"/>
      <c r="AC24" s="11"/>
    </row>
    <row r="25" spans="1:29" s="43" customFormat="1" x14ac:dyDescent="0.25">
      <c r="B25" s="356"/>
      <c r="C25" s="208"/>
      <c r="D25" s="11"/>
      <c r="E25" s="11"/>
      <c r="G25" s="209"/>
      <c r="H25" s="209"/>
      <c r="I25" s="11"/>
      <c r="J25" s="11"/>
      <c r="K25" s="11"/>
      <c r="M25" s="209"/>
      <c r="N25" s="209"/>
      <c r="O25" s="11"/>
      <c r="P25" s="11"/>
      <c r="Q25" s="11"/>
      <c r="S25" s="210"/>
      <c r="T25" s="210"/>
      <c r="U25" s="11"/>
      <c r="V25" s="11"/>
      <c r="W25" s="11"/>
      <c r="Y25" s="211"/>
      <c r="Z25" s="211"/>
      <c r="AA25" s="11"/>
      <c r="AB25" s="11"/>
      <c r="AC25" s="11"/>
    </row>
    <row r="26" spans="1:29" s="43" customFormat="1" x14ac:dyDescent="0.25">
      <c r="C26" s="208"/>
      <c r="D26" s="11"/>
      <c r="E26" s="11"/>
      <c r="G26" s="209"/>
      <c r="H26" s="209"/>
      <c r="I26" s="11"/>
      <c r="J26" s="11"/>
      <c r="K26" s="11"/>
      <c r="M26" s="209"/>
      <c r="N26" s="209"/>
      <c r="O26" s="11"/>
      <c r="P26" s="11"/>
      <c r="Q26" s="11"/>
      <c r="S26" s="210"/>
      <c r="T26" s="210"/>
      <c r="U26" s="11"/>
      <c r="V26" s="11"/>
      <c r="W26" s="11"/>
      <c r="Y26" s="211"/>
      <c r="Z26" s="211"/>
      <c r="AA26" s="11"/>
      <c r="AB26" s="11"/>
      <c r="AC26" s="11"/>
    </row>
    <row r="27" spans="1:29" s="43" customFormat="1" x14ac:dyDescent="0.25">
      <c r="B27" s="356"/>
      <c r="C27" s="11"/>
      <c r="D27" s="11"/>
      <c r="E27" s="12"/>
      <c r="G27" s="11"/>
      <c r="H27" s="11"/>
      <c r="I27" s="11"/>
      <c r="J27" s="11"/>
      <c r="K27" s="11"/>
      <c r="M27" s="11"/>
      <c r="N27" s="11"/>
      <c r="O27" s="11"/>
      <c r="P27" s="11"/>
      <c r="Q27" s="11"/>
      <c r="S27" s="11"/>
      <c r="T27" s="11"/>
      <c r="U27" s="11"/>
      <c r="V27" s="11"/>
      <c r="W27" s="11"/>
      <c r="Y27" s="11"/>
      <c r="Z27" s="11"/>
      <c r="AA27" s="11"/>
      <c r="AB27" s="11"/>
      <c r="AC27" s="11"/>
    </row>
    <row r="28" spans="1:29" s="43" customFormat="1" x14ac:dyDescent="0.25">
      <c r="C28" s="11"/>
      <c r="D28" s="11"/>
      <c r="E28" s="11"/>
      <c r="G28" s="11"/>
      <c r="H28" s="11"/>
      <c r="I28" s="11"/>
      <c r="J28" s="11"/>
      <c r="K28" s="11"/>
      <c r="M28" s="11"/>
      <c r="N28" s="11"/>
      <c r="O28" s="11"/>
      <c r="P28" s="11"/>
      <c r="Q28" s="11"/>
      <c r="S28" s="11"/>
      <c r="T28" s="11"/>
      <c r="U28" s="11"/>
      <c r="V28" s="11"/>
      <c r="W28" s="11"/>
      <c r="Y28" s="11"/>
      <c r="Z28" s="11"/>
      <c r="AA28" s="11"/>
      <c r="AB28" s="11"/>
      <c r="AC28" s="11"/>
    </row>
    <row r="29" spans="1:29" s="43" customFormat="1" x14ac:dyDescent="0.25">
      <c r="A29" s="146"/>
      <c r="B29" s="146"/>
      <c r="C29" s="357"/>
      <c r="D29" s="357"/>
      <c r="E29" s="357"/>
      <c r="F29" s="146"/>
      <c r="G29" s="357"/>
      <c r="H29" s="357"/>
      <c r="I29" s="357"/>
      <c r="J29" s="357"/>
      <c r="K29" s="357"/>
      <c r="L29" s="146"/>
      <c r="M29" s="357"/>
      <c r="N29" s="357"/>
      <c r="O29" s="357"/>
      <c r="P29" s="357"/>
      <c r="Q29" s="357"/>
      <c r="R29" s="146"/>
      <c r="S29" s="357"/>
      <c r="T29" s="357"/>
      <c r="U29" s="357"/>
      <c r="V29" s="357"/>
      <c r="W29" s="357"/>
      <c r="X29" s="146"/>
      <c r="Y29" s="357"/>
      <c r="Z29" s="357"/>
      <c r="AA29" s="357"/>
      <c r="AB29" s="357"/>
      <c r="AC29" s="357"/>
    </row>
    <row r="30" spans="1:29" s="43" customFormat="1" x14ac:dyDescent="0.25"/>
    <row r="31" spans="1:29" s="43" customFormat="1" x14ac:dyDescent="0.25"/>
    <row r="32" spans="1:29" s="43" customFormat="1"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4"/>
  <sheetViews>
    <sheetView workbookViewId="0">
      <pane xSplit="1" ySplit="26" topLeftCell="B27" activePane="bottomRight" state="frozen"/>
      <selection pane="topRight" activeCell="B1" sqref="B1"/>
      <selection pane="bottomLeft" activeCell="A17" sqref="A17"/>
      <selection pane="bottomRight"/>
    </sheetView>
  </sheetViews>
  <sheetFormatPr defaultRowHeight="13.2" x14ac:dyDescent="0.25"/>
  <cols>
    <col min="1" max="1" width="85.33203125" customWidth="1"/>
    <col min="2" max="2" width="27.88671875" customWidth="1"/>
    <col min="3" max="9" width="25.6640625" customWidth="1"/>
    <col min="10" max="10" width="12.6640625" customWidth="1"/>
    <col min="11" max="11" width="13.44140625" customWidth="1"/>
    <col min="12" max="12" width="12" customWidth="1"/>
    <col min="16" max="16" width="14.6640625" customWidth="1"/>
    <col min="17" max="17" width="19.44140625" customWidth="1"/>
    <col min="18" max="18" width="13" customWidth="1"/>
    <col min="19" max="19" width="13.88671875" customWidth="1"/>
    <col min="20" max="20" width="15.44140625" customWidth="1"/>
    <col min="21" max="21" width="10" customWidth="1"/>
    <col min="22" max="22" width="14.109375" customWidth="1"/>
    <col min="23" max="23" width="15" customWidth="1"/>
    <col min="24" max="24" width="11.88671875" customWidth="1"/>
    <col min="25" max="25" width="15.6640625" customWidth="1"/>
    <col min="26" max="26" width="13.5546875" customWidth="1"/>
    <col min="27" max="27" width="12.44140625" customWidth="1"/>
    <col min="28" max="28" width="14.6640625" customWidth="1"/>
    <col min="29" max="29" width="18.6640625" customWidth="1"/>
  </cols>
  <sheetData>
    <row r="1" spans="1:29" x14ac:dyDescent="0.25">
      <c r="A1" s="2" t="s">
        <v>238</v>
      </c>
      <c r="B1" s="923" t="s">
        <v>1852</v>
      </c>
    </row>
    <row r="2" spans="1:29" x14ac:dyDescent="0.25">
      <c r="A2" s="2" t="s">
        <v>241</v>
      </c>
      <c r="B2" s="3" t="s">
        <v>450</v>
      </c>
    </row>
    <row r="3" spans="1:29" x14ac:dyDescent="0.25">
      <c r="A3" s="2" t="s">
        <v>239</v>
      </c>
      <c r="B3" s="923" t="s">
        <v>1422</v>
      </c>
    </row>
    <row r="4" spans="1:29" x14ac:dyDescent="0.25">
      <c r="A4" s="2" t="s">
        <v>240</v>
      </c>
      <c r="B4" s="1">
        <v>2004</v>
      </c>
    </row>
    <row r="5" spans="1:29" x14ac:dyDescent="0.25">
      <c r="B5" s="1"/>
    </row>
    <row r="6" spans="1:29" x14ac:dyDescent="0.25">
      <c r="A6" s="447" t="s">
        <v>415</v>
      </c>
      <c r="B6" s="179" t="s">
        <v>22</v>
      </c>
      <c r="C6" s="179"/>
      <c r="D6" s="178" t="s">
        <v>23</v>
      </c>
      <c r="E6" s="179"/>
      <c r="F6" s="178" t="s">
        <v>24</v>
      </c>
      <c r="G6" s="179"/>
      <c r="H6" s="178" t="s">
        <v>25</v>
      </c>
      <c r="I6" s="180"/>
    </row>
    <row r="7" spans="1:29" x14ac:dyDescent="0.25">
      <c r="A7" s="181"/>
      <c r="B7" s="182" t="s">
        <v>198</v>
      </c>
      <c r="C7" s="182" t="s">
        <v>210</v>
      </c>
      <c r="D7" s="182" t="s">
        <v>199</v>
      </c>
      <c r="E7" s="183" t="s">
        <v>211</v>
      </c>
      <c r="F7" s="182" t="s">
        <v>201</v>
      </c>
      <c r="G7" s="182" t="s">
        <v>247</v>
      </c>
      <c r="H7" s="182" t="s">
        <v>203</v>
      </c>
      <c r="I7" s="182" t="s">
        <v>247</v>
      </c>
      <c r="J7" s="159"/>
      <c r="K7" s="159"/>
      <c r="L7" s="43"/>
      <c r="M7" s="43"/>
      <c r="N7" s="43"/>
      <c r="O7" s="43"/>
      <c r="P7" s="43"/>
      <c r="Q7" s="43"/>
      <c r="R7" s="43"/>
      <c r="S7" s="43"/>
      <c r="T7" s="43"/>
      <c r="U7" s="43"/>
      <c r="V7" s="43"/>
      <c r="W7" s="43"/>
      <c r="X7" s="43"/>
      <c r="Y7" s="43"/>
      <c r="Z7" s="43"/>
      <c r="AA7" s="43"/>
      <c r="AB7" s="43"/>
      <c r="AC7" s="43"/>
    </row>
    <row r="8" spans="1:29" x14ac:dyDescent="0.25">
      <c r="A8" s="147" t="s">
        <v>120</v>
      </c>
      <c r="B8" s="184">
        <f>EnergySupply!B26*Unitflowchart!$S$139</f>
        <v>0</v>
      </c>
      <c r="C8" s="184">
        <f>EnergySupply!C26*Unitflowchart!$S$139</f>
        <v>0</v>
      </c>
      <c r="D8" s="184">
        <f>EnergySupply!D26*Unitflowchart!$S$139</f>
        <v>0</v>
      </c>
      <c r="E8" s="184">
        <f>EnergySupply!E26*Unitflowchart!$S$139</f>
        <v>0</v>
      </c>
      <c r="F8" s="199">
        <f>EnergySupply!F26*Unitflowchart!$S$139</f>
        <v>0</v>
      </c>
      <c r="G8" s="199">
        <f>EnergySupply!G26*Unitflowchart!$S$139</f>
        <v>0</v>
      </c>
      <c r="H8" s="200">
        <f>EnergySupply!H26*Unitflowchart!$S$139</f>
        <v>0</v>
      </c>
      <c r="I8" s="200">
        <f>EnergySupply!I26*Unitflowchart!$S$139</f>
        <v>0</v>
      </c>
    </row>
    <row r="9" spans="1:29" x14ac:dyDescent="0.25">
      <c r="A9" s="147" t="s">
        <v>121</v>
      </c>
      <c r="B9" s="184">
        <f>EnergySupply!B27*Unitflowchart!$S$139</f>
        <v>0</v>
      </c>
      <c r="C9" s="184">
        <f>EnergySupply!C27*Unitflowchart!$S$139</f>
        <v>0</v>
      </c>
      <c r="D9" s="184">
        <f>EnergySupply!D27*Unitflowchart!$S$139</f>
        <v>0</v>
      </c>
      <c r="E9" s="184">
        <f>EnergySupply!E27*Unitflowchart!$S$139</f>
        <v>0</v>
      </c>
      <c r="F9" s="199">
        <f>EnergySupply!F27*Unitflowchart!$S$139</f>
        <v>0</v>
      </c>
      <c r="G9" s="199">
        <f>EnergySupply!G27*Unitflowchart!$S$139</f>
        <v>0</v>
      </c>
      <c r="H9" s="200">
        <f>EnergySupply!H27*Unitflowchart!$S$139</f>
        <v>0</v>
      </c>
      <c r="I9" s="200">
        <f>EnergySupply!I27*Unitflowchart!$S$139</f>
        <v>0</v>
      </c>
    </row>
    <row r="10" spans="1:29" x14ac:dyDescent="0.25">
      <c r="A10" s="147" t="s">
        <v>122</v>
      </c>
      <c r="B10" s="184">
        <f>EnergySupply!B31*Unitflowchart!$S$141</f>
        <v>0</v>
      </c>
      <c r="C10" s="184">
        <f>EnergySupply!C31*Unitflowchart!$S$141</f>
        <v>0</v>
      </c>
      <c r="D10" s="184">
        <f>EnergySupply!D31*Unitflowchart!$S$141</f>
        <v>0</v>
      </c>
      <c r="E10" s="184">
        <f>EnergySupply!E31*Unitflowchart!$S$141</f>
        <v>0</v>
      </c>
      <c r="F10" s="199">
        <f>EnergySupply!F31*Unitflowchart!$S$141</f>
        <v>1.4117647058823532E-5</v>
      </c>
      <c r="G10" s="199">
        <f>EnergySupply!G31*Unitflowchart!$S$141</f>
        <v>0</v>
      </c>
      <c r="H10" s="200">
        <f>EnergySupply!H31*Unitflowchart!$S$141</f>
        <v>4.2352941176470591E-6</v>
      </c>
      <c r="I10" s="200">
        <f>EnergySupply!I31*Unitflowchart!$S$141</f>
        <v>0</v>
      </c>
    </row>
    <row r="11" spans="1:29" x14ac:dyDescent="0.25">
      <c r="A11" s="149" t="s">
        <v>826</v>
      </c>
      <c r="B11" s="201">
        <f>EnergySupply!B34*Unitflowchart!$S$141</f>
        <v>0</v>
      </c>
      <c r="C11" s="201">
        <f>EnergySupply!C34*Unitflowchart!$S$141</f>
        <v>0</v>
      </c>
      <c r="D11" s="201">
        <f>EnergySupply!D34*Unitflowchart!$S$141</f>
        <v>0</v>
      </c>
      <c r="E11" s="201">
        <f>EnergySupply!E34*Unitflowchart!$S$141</f>
        <v>0</v>
      </c>
      <c r="F11" s="202">
        <f>EnergySupply!F34*Unitflowchart!$S$141</f>
        <v>2.8235294117647067E-5</v>
      </c>
      <c r="G11" s="202">
        <f>EnergySupply!G34*Unitflowchart!$S$141</f>
        <v>0</v>
      </c>
      <c r="H11" s="203">
        <f>EnergySupply!H34*Unitflowchart!$S$141</f>
        <v>8.4705882352941183E-6</v>
      </c>
      <c r="I11" s="203">
        <f>EnergySupply!I34*Unitflowchart!$S$141</f>
        <v>0</v>
      </c>
    </row>
    <row r="12" spans="1:29" x14ac:dyDescent="0.25">
      <c r="A12" s="1430" t="s">
        <v>1741</v>
      </c>
      <c r="B12" s="205">
        <f>Unitflowchart!S190*Unitflowchart!S181/Unitflowchart!S320</f>
        <v>1158.2409586671317</v>
      </c>
      <c r="C12" s="190"/>
      <c r="D12" s="190"/>
      <c r="E12" s="190"/>
      <c r="F12" s="191"/>
      <c r="G12" s="191"/>
      <c r="H12" s="192"/>
      <c r="I12" s="192"/>
    </row>
    <row r="13" spans="1:29" x14ac:dyDescent="0.25">
      <c r="A13" s="925" t="s">
        <v>1742</v>
      </c>
      <c r="B13" s="148">
        <f>Unitflowchart!S192*Unitflowchart!S181/Unitflowchart!S320</f>
        <v>1222.8336287886916</v>
      </c>
      <c r="C13" s="190"/>
      <c r="D13" s="190"/>
      <c r="E13" s="190"/>
      <c r="F13" s="191"/>
      <c r="G13" s="191"/>
      <c r="H13" s="192"/>
      <c r="I13" s="192"/>
    </row>
    <row r="14" spans="1:29" x14ac:dyDescent="0.25">
      <c r="A14" s="925" t="s">
        <v>1743</v>
      </c>
      <c r="B14" s="148">
        <f>(process_H2SO4*Unitflowchart!$S$181*(100-Unitflowchart!$S$166)/100)/Unitflowchart!$S$320</f>
        <v>182.92545798347493</v>
      </c>
      <c r="C14" s="190"/>
      <c r="D14" s="190"/>
      <c r="E14" s="190"/>
      <c r="F14" s="191"/>
      <c r="G14" s="191"/>
      <c r="H14" s="192"/>
      <c r="I14" s="192"/>
    </row>
    <row r="15" spans="1:29" x14ac:dyDescent="0.25">
      <c r="A15" s="925" t="s">
        <v>1744</v>
      </c>
      <c r="B15" s="148">
        <f>(process_NaOH*Unitflowchart!$S$181*(100-Unitflowchart!$S$166)/100)/Unitflowchart!$S$320</f>
        <v>0</v>
      </c>
      <c r="C15" s="190"/>
      <c r="D15" s="190"/>
      <c r="E15" s="190"/>
      <c r="F15" s="191"/>
      <c r="G15" s="191"/>
      <c r="H15" s="192"/>
      <c r="I15" s="192"/>
    </row>
    <row r="16" spans="1:29" x14ac:dyDescent="0.25">
      <c r="A16" s="925" t="s">
        <v>1745</v>
      </c>
      <c r="B16" s="148">
        <f>(process_H2O*Unitflowchart!$S$181*(100-Unitflowchart!$S$166)/100)/Unitflowchart!$S$320</f>
        <v>0</v>
      </c>
      <c r="C16" s="190"/>
      <c r="D16" s="190"/>
      <c r="E16" s="190"/>
      <c r="F16" s="191"/>
      <c r="G16" s="191"/>
      <c r="H16" s="192"/>
      <c r="I16" s="192"/>
    </row>
    <row r="17" spans="1:29" x14ac:dyDescent="0.25">
      <c r="A17" s="925" t="s">
        <v>1746</v>
      </c>
      <c r="B17" s="148">
        <f>(process_NH3*Unitflowchart!$S$181*(100-Unitflowchart!$S$166)/100)/Unitflowchart!$S$320</f>
        <v>107.60321057851465</v>
      </c>
      <c r="C17" s="190"/>
      <c r="D17" s="190"/>
      <c r="E17" s="190"/>
      <c r="F17" s="191"/>
      <c r="G17" s="191"/>
      <c r="H17" s="192"/>
      <c r="I17" s="192"/>
    </row>
    <row r="18" spans="1:29" x14ac:dyDescent="0.25">
      <c r="A18" s="925" t="s">
        <v>1747</v>
      </c>
      <c r="B18" s="148">
        <f>(process_CSL*Unitflowchart!$S$181*(100-Unitflowchart!$S$166)/100)/Unitflowchart!$S$320</f>
        <v>122.20650344274165</v>
      </c>
      <c r="C18" s="190"/>
      <c r="D18" s="190"/>
      <c r="E18" s="190"/>
      <c r="F18" s="191"/>
      <c r="G18" s="191"/>
      <c r="H18" s="192"/>
      <c r="I18" s="192"/>
    </row>
    <row r="19" spans="1:29" x14ac:dyDescent="0.25">
      <c r="A19" s="925" t="s">
        <v>1748</v>
      </c>
      <c r="B19" s="148">
        <f>(process_DIAPHOS*Unitflowchart!$S$181*(100-Unitflowchart!$S$166)/100)/Unitflowchart!$S$320</f>
        <v>13.066104141676778</v>
      </c>
      <c r="C19" s="190"/>
      <c r="D19" s="190"/>
      <c r="E19" s="190"/>
      <c r="F19" s="191"/>
      <c r="G19" s="191"/>
      <c r="H19" s="192"/>
      <c r="I19" s="192"/>
    </row>
    <row r="20" spans="1:29" x14ac:dyDescent="0.25">
      <c r="A20" s="925" t="s">
        <v>1749</v>
      </c>
      <c r="B20" s="148">
        <f>(process_SORBITOL*Unitflowchart!$S$181*(100-Unitflowchart!$S$166)/100)/Unitflowchart!$S$320</f>
        <v>3.8429718063755232</v>
      </c>
      <c r="C20" s="190"/>
      <c r="D20" s="190"/>
      <c r="E20" s="190"/>
      <c r="F20" s="191"/>
      <c r="G20" s="191"/>
      <c r="H20" s="192"/>
      <c r="I20" s="192"/>
    </row>
    <row r="21" spans="1:29" x14ac:dyDescent="0.25">
      <c r="A21" s="925" t="s">
        <v>1750</v>
      </c>
      <c r="B21" s="148">
        <f>(process_GLUCOSE*Unitflowchart!$S$181*(100-Unitflowchart!$S$166)/100)/Unitflowchart!$S$320</f>
        <v>222.89236476978036</v>
      </c>
      <c r="C21" s="190"/>
      <c r="D21" s="190"/>
      <c r="E21" s="190"/>
      <c r="F21" s="191"/>
      <c r="G21" s="191"/>
      <c r="H21" s="192"/>
      <c r="I21" s="192"/>
    </row>
    <row r="22" spans="1:29" x14ac:dyDescent="0.25">
      <c r="A22" s="925" t="s">
        <v>1751</v>
      </c>
      <c r="B22" s="148">
        <f>(process_NUTRIENT*Unitflowchart!$S$181*(100-Unitflowchart!$S$166)/100)/Unitflowchart!$S$320</f>
        <v>6.1487548902008369</v>
      </c>
      <c r="C22" s="190"/>
      <c r="D22" s="190"/>
      <c r="E22" s="190"/>
      <c r="F22" s="191"/>
      <c r="G22" s="191"/>
      <c r="H22" s="192"/>
      <c r="I22" s="192"/>
    </row>
    <row r="23" spans="1:29" x14ac:dyDescent="0.25">
      <c r="A23" s="976" t="s">
        <v>1752</v>
      </c>
      <c r="B23" s="207">
        <f>(process_SO2*Unitflowchart!$S$181*(100-Unitflowchart!$S$166)/100)/Unitflowchart!$S$320</f>
        <v>1.5371887225502092</v>
      </c>
      <c r="C23" s="190"/>
      <c r="D23" s="190"/>
      <c r="E23" s="190"/>
      <c r="F23" s="191"/>
      <c r="G23" s="191"/>
      <c r="H23" s="192"/>
      <c r="I23" s="192"/>
    </row>
    <row r="24" spans="1:29" s="43" customFormat="1" x14ac:dyDescent="0.25">
      <c r="A24" s="212"/>
      <c r="B24" s="213"/>
      <c r="C24" s="190"/>
      <c r="D24" s="190"/>
      <c r="E24" s="190"/>
      <c r="F24" s="191"/>
      <c r="G24" s="191"/>
      <c r="H24" s="192"/>
      <c r="I24" s="192"/>
    </row>
    <row r="25" spans="1:29" s="361" customFormat="1" x14ac:dyDescent="0.25">
      <c r="A25" s="361" t="s">
        <v>243</v>
      </c>
      <c r="B25" s="361" t="s">
        <v>242</v>
      </c>
      <c r="E25" s="361" t="s">
        <v>28</v>
      </c>
      <c r="F25" s="361" t="s">
        <v>245</v>
      </c>
      <c r="I25" s="361" t="s">
        <v>28</v>
      </c>
      <c r="J25" s="361" t="s">
        <v>837</v>
      </c>
      <c r="L25" s="361" t="s">
        <v>249</v>
      </c>
      <c r="O25" s="361" t="s">
        <v>28</v>
      </c>
      <c r="P25" s="361" t="s">
        <v>838</v>
      </c>
      <c r="R25" s="361" t="s">
        <v>251</v>
      </c>
      <c r="U25" s="361" t="s">
        <v>28</v>
      </c>
      <c r="V25" s="361" t="s">
        <v>840</v>
      </c>
      <c r="X25" s="361" t="s">
        <v>253</v>
      </c>
      <c r="AA25" s="361" t="s">
        <v>28</v>
      </c>
      <c r="AB25" s="361" t="s">
        <v>841</v>
      </c>
    </row>
    <row r="26" spans="1:29" s="3" customFormat="1" x14ac:dyDescent="0.25">
      <c r="A26" s="44"/>
      <c r="B26" s="361" t="s">
        <v>244</v>
      </c>
      <c r="C26" s="361" t="s">
        <v>246</v>
      </c>
      <c r="D26" s="361" t="s">
        <v>247</v>
      </c>
      <c r="E26" s="361"/>
      <c r="F26" s="361"/>
      <c r="G26" s="361" t="s">
        <v>246</v>
      </c>
      <c r="H26" s="361" t="s">
        <v>247</v>
      </c>
      <c r="I26" s="361"/>
      <c r="J26" s="361" t="s">
        <v>246</v>
      </c>
      <c r="K26" s="361" t="s">
        <v>247</v>
      </c>
      <c r="L26" s="361" t="s">
        <v>244</v>
      </c>
      <c r="M26" s="361" t="s">
        <v>246</v>
      </c>
      <c r="N26" s="361" t="s">
        <v>247</v>
      </c>
      <c r="O26" s="361"/>
      <c r="P26" s="361" t="s">
        <v>246</v>
      </c>
      <c r="Q26" s="361" t="s">
        <v>247</v>
      </c>
      <c r="R26" s="361" t="s">
        <v>244</v>
      </c>
      <c r="S26" s="361" t="s">
        <v>246</v>
      </c>
      <c r="T26" s="361" t="s">
        <v>247</v>
      </c>
      <c r="U26" s="361"/>
      <c r="V26" s="361" t="s">
        <v>246</v>
      </c>
      <c r="W26" s="361" t="s">
        <v>247</v>
      </c>
      <c r="X26" s="361" t="s">
        <v>244</v>
      </c>
      <c r="Y26" s="361" t="s">
        <v>246</v>
      </c>
      <c r="Z26" s="361" t="s">
        <v>247</v>
      </c>
      <c r="AA26" s="361"/>
      <c r="AB26" s="361" t="s">
        <v>246</v>
      </c>
      <c r="AC26" s="361" t="s">
        <v>247</v>
      </c>
    </row>
    <row r="27" spans="1:29" s="3" customFormat="1" x14ac:dyDescent="0.25">
      <c r="A27" s="18" t="s">
        <v>1805</v>
      </c>
      <c r="C27" s="329"/>
      <c r="D27" s="329"/>
      <c r="E27" s="329"/>
      <c r="G27" s="329"/>
      <c r="H27" s="329"/>
      <c r="I27" s="329"/>
      <c r="J27" s="329"/>
      <c r="K27" s="329"/>
    </row>
    <row r="28" spans="1:29" s="362" customFormat="1" x14ac:dyDescent="0.25">
      <c r="A28" s="360"/>
    </row>
    <row r="29" spans="1:29" s="3" customFormat="1" x14ac:dyDescent="0.25">
      <c r="A29" s="44" t="s">
        <v>124</v>
      </c>
      <c r="B29" s="3" t="s">
        <v>451</v>
      </c>
      <c r="C29" s="693">
        <f>B12</f>
        <v>1158.2409586671317</v>
      </c>
      <c r="D29" s="693">
        <v>0</v>
      </c>
      <c r="E29" s="963" t="s">
        <v>1753</v>
      </c>
      <c r="F29" s="3" t="s">
        <v>7</v>
      </c>
      <c r="G29" s="1495">
        <f>B8+B10</f>
        <v>0</v>
      </c>
      <c r="H29" s="1495">
        <f>C8+C10</f>
        <v>0</v>
      </c>
      <c r="I29" s="12" t="s">
        <v>827</v>
      </c>
      <c r="J29" s="698">
        <f>C29*G29</f>
        <v>0</v>
      </c>
      <c r="K29" s="698">
        <f>SQRT(((D29*G29)^2)+((C29*H29)^2))</f>
        <v>0</v>
      </c>
      <c r="L29" s="3" t="s">
        <v>8</v>
      </c>
      <c r="M29" s="1495">
        <f>(D8+D10)/3.6</f>
        <v>0</v>
      </c>
      <c r="N29" s="1495">
        <f>(E8+E10)/3.6</f>
        <v>0</v>
      </c>
      <c r="O29" s="12" t="s">
        <v>828</v>
      </c>
      <c r="P29" s="698">
        <f>C29*M29</f>
        <v>0</v>
      </c>
      <c r="Q29" s="698">
        <f>SQRT(((D29*M29)^2)+((C29*N29)^2))</f>
        <v>0</v>
      </c>
      <c r="R29" s="3" t="s">
        <v>9</v>
      </c>
      <c r="S29" s="1497">
        <f>(F8+F10)/3.6</f>
        <v>3.9215686274509812E-6</v>
      </c>
      <c r="T29" s="1497">
        <f>(G8+G10)/3.6</f>
        <v>0</v>
      </c>
      <c r="U29" s="12" t="s">
        <v>830</v>
      </c>
      <c r="V29" s="1491">
        <f>C29*S29</f>
        <v>4.5421214065377727E-3</v>
      </c>
      <c r="W29" s="1491">
        <f>SQRT(((D29*S29)^2)+((C29*T29)^2))</f>
        <v>0</v>
      </c>
      <c r="X29" s="3" t="s">
        <v>10</v>
      </c>
      <c r="Y29" s="1497">
        <f>(H8+H10)/3.6</f>
        <v>1.1764705882352942E-6</v>
      </c>
      <c r="Z29" s="1497">
        <f>(I8+I10)/3.6</f>
        <v>0</v>
      </c>
      <c r="AA29" s="12" t="s">
        <v>832</v>
      </c>
      <c r="AB29" s="1434">
        <f>C29*Y29</f>
        <v>1.3626364219613315E-3</v>
      </c>
      <c r="AC29" s="1434">
        <f>SQRT(((D29*Y29)^2)+((C29*Z29)^2))</f>
        <v>0</v>
      </c>
    </row>
    <row r="30" spans="1:29" s="3" customFormat="1" x14ac:dyDescent="0.25">
      <c r="A30" s="1431" t="s">
        <v>123</v>
      </c>
      <c r="B30" s="979" t="s">
        <v>765</v>
      </c>
      <c r="C30" s="693">
        <f>B13</f>
        <v>1222.8336287886916</v>
      </c>
      <c r="D30" s="693">
        <v>0</v>
      </c>
      <c r="E30" s="963" t="s">
        <v>1754</v>
      </c>
      <c r="F30" s="923" t="s">
        <v>185</v>
      </c>
      <c r="G30" s="1495">
        <f>3.6*(B9+B11)</f>
        <v>0</v>
      </c>
      <c r="H30" s="1495">
        <f>3.6*(C9+C11)</f>
        <v>0</v>
      </c>
      <c r="I30" s="963" t="s">
        <v>834</v>
      </c>
      <c r="J30" s="698">
        <f>C30*G30</f>
        <v>0</v>
      </c>
      <c r="K30" s="698">
        <f>SQRT(((D30*G30)^2)+((C30*H30)^2))</f>
        <v>0</v>
      </c>
      <c r="L30" s="923" t="s">
        <v>186</v>
      </c>
      <c r="M30" s="1495">
        <f>D9+D11</f>
        <v>0</v>
      </c>
      <c r="N30" s="1495">
        <f>E9+E11</f>
        <v>0</v>
      </c>
      <c r="O30" s="963" t="s">
        <v>829</v>
      </c>
      <c r="P30" s="698">
        <f>C30*M30</f>
        <v>0</v>
      </c>
      <c r="Q30" s="698">
        <f>SQRT(((D30*M30)^2)+((C30*N30)^2))</f>
        <v>0</v>
      </c>
      <c r="R30" s="923" t="s">
        <v>187</v>
      </c>
      <c r="S30" s="1496">
        <f>F9+F11</f>
        <v>2.8235294117647067E-5</v>
      </c>
      <c r="T30" s="1496">
        <f>G9+G11</f>
        <v>0</v>
      </c>
      <c r="U30" s="963" t="s">
        <v>831</v>
      </c>
      <c r="V30" s="1491">
        <f>C30*S30</f>
        <v>3.4527067165798363E-2</v>
      </c>
      <c r="W30" s="1491">
        <f>SQRT(((D30*S30)^2)+((C30*T30)^2))</f>
        <v>0</v>
      </c>
      <c r="X30" s="923" t="s">
        <v>188</v>
      </c>
      <c r="Y30" s="1497">
        <f>H9+H11</f>
        <v>8.4705882352941183E-6</v>
      </c>
      <c r="Z30" s="1497">
        <f>I9+I11</f>
        <v>0</v>
      </c>
      <c r="AA30" s="963" t="s">
        <v>833</v>
      </c>
      <c r="AB30" s="1434">
        <f>C30*Y30</f>
        <v>1.0358120149739506E-2</v>
      </c>
      <c r="AC30" s="1434">
        <f>SQRT(((D30*Y30)^2)+((C30*Z30)^2))</f>
        <v>0</v>
      </c>
    </row>
    <row r="31" spans="1:29" s="3" customFormat="1" x14ac:dyDescent="0.25">
      <c r="A31" s="1431" t="s">
        <v>1755</v>
      </c>
      <c r="B31" s="979" t="s">
        <v>571</v>
      </c>
      <c r="C31" s="693">
        <f t="shared" ref="C31:C40" si="0">B14</f>
        <v>182.92545798347493</v>
      </c>
      <c r="D31" s="693">
        <v>0</v>
      </c>
      <c r="E31" s="963" t="s">
        <v>1756</v>
      </c>
      <c r="F31" s="923" t="s">
        <v>16</v>
      </c>
      <c r="G31" s="989">
        <v>2.4</v>
      </c>
      <c r="H31" s="989">
        <v>2.7</v>
      </c>
      <c r="I31" s="963" t="s">
        <v>1775</v>
      </c>
      <c r="J31" s="698">
        <f t="shared" ref="J31:J40" si="1">C31*G31</f>
        <v>439.02109916033982</v>
      </c>
      <c r="K31" s="698">
        <f t="shared" ref="K31:K40" si="2">SQRT(((D31*G31)^2)+((C31*H31)^2))</f>
        <v>493.89873655538236</v>
      </c>
      <c r="L31" s="923" t="s">
        <v>17</v>
      </c>
      <c r="M31" s="991">
        <v>0.13</v>
      </c>
      <c r="N31" s="991">
        <v>0.16</v>
      </c>
      <c r="O31" s="963" t="s">
        <v>1781</v>
      </c>
      <c r="P31" s="698">
        <f t="shared" ref="P31:P40" si="3">C31*M31</f>
        <v>23.780309537851743</v>
      </c>
      <c r="Q31" s="698">
        <f t="shared" ref="Q31:Q40" si="4">SQRT(((D31*M31)^2)+((C31*N31)^2))</f>
        <v>29.268073277355988</v>
      </c>
      <c r="R31" s="923" t="s">
        <v>1787</v>
      </c>
      <c r="S31" s="1432">
        <v>2.7E-4</v>
      </c>
      <c r="T31" s="1432">
        <v>2.9999999999999997E-4</v>
      </c>
      <c r="U31" s="963" t="s">
        <v>1788</v>
      </c>
      <c r="V31" s="1491">
        <f t="shared" ref="V31:V40" si="5">C31*S31</f>
        <v>4.9389873655538229E-2</v>
      </c>
      <c r="W31" s="1491">
        <f t="shared" ref="W31:W40" si="6">SQRT(((D31*S31)^2)+((C31*T31)^2))</f>
        <v>5.4877637395042471E-2</v>
      </c>
      <c r="X31" s="923" t="s">
        <v>1796</v>
      </c>
      <c r="Y31" s="1437">
        <v>1.9999999999999999E-7</v>
      </c>
      <c r="Z31" s="1437">
        <v>2.9999999999999999E-7</v>
      </c>
      <c r="AA31" s="963" t="s">
        <v>1797</v>
      </c>
      <c r="AB31" s="1434">
        <f t="shared" ref="AB31:AB40" si="7">C31*Y31</f>
        <v>3.6585091596694981E-5</v>
      </c>
      <c r="AC31" s="1434">
        <f t="shared" ref="AC31:AC40" si="8">SQRT(((D31*Y31)^2)+((C31*Z31)^2))</f>
        <v>5.4877637395042478E-5</v>
      </c>
    </row>
    <row r="32" spans="1:29" s="3" customFormat="1" x14ac:dyDescent="0.25">
      <c r="A32" s="1431" t="s">
        <v>1757</v>
      </c>
      <c r="B32" s="979" t="s">
        <v>571</v>
      </c>
      <c r="C32" s="693">
        <f t="shared" si="0"/>
        <v>0</v>
      </c>
      <c r="D32" s="693">
        <v>0</v>
      </c>
      <c r="E32" s="963" t="s">
        <v>1758</v>
      </c>
      <c r="F32" s="923" t="s">
        <v>16</v>
      </c>
      <c r="G32" s="1488">
        <v>20</v>
      </c>
      <c r="H32" s="1488">
        <v>3</v>
      </c>
      <c r="I32" s="963" t="s">
        <v>1776</v>
      </c>
      <c r="J32" s="698">
        <f t="shared" si="1"/>
        <v>0</v>
      </c>
      <c r="K32" s="698">
        <f t="shared" si="2"/>
        <v>0</v>
      </c>
      <c r="L32" s="923" t="s">
        <v>17</v>
      </c>
      <c r="M32" s="989">
        <v>1.1200000000000001</v>
      </c>
      <c r="N32" s="989">
        <v>0.17</v>
      </c>
      <c r="O32" s="963" t="s">
        <v>1782</v>
      </c>
      <c r="P32" s="698">
        <f t="shared" si="3"/>
        <v>0</v>
      </c>
      <c r="Q32" s="698">
        <f t="shared" si="4"/>
        <v>0</v>
      </c>
      <c r="R32" s="923" t="s">
        <v>1787</v>
      </c>
      <c r="S32" s="1489">
        <v>3.2499999999999999E-3</v>
      </c>
      <c r="T32" s="1489">
        <v>4.8999999999999998E-4</v>
      </c>
      <c r="U32" s="963" t="s">
        <v>1789</v>
      </c>
      <c r="V32" s="1491">
        <f t="shared" si="5"/>
        <v>0</v>
      </c>
      <c r="W32" s="1491">
        <f t="shared" si="6"/>
        <v>0</v>
      </c>
      <c r="X32" s="923" t="s">
        <v>1796</v>
      </c>
      <c r="Y32" s="1436">
        <v>0</v>
      </c>
      <c r="Z32" s="1436">
        <v>0</v>
      </c>
      <c r="AA32" s="963" t="s">
        <v>1798</v>
      </c>
      <c r="AB32" s="1434">
        <f t="shared" si="7"/>
        <v>0</v>
      </c>
      <c r="AC32" s="1434">
        <f t="shared" si="8"/>
        <v>0</v>
      </c>
    </row>
    <row r="33" spans="1:29" s="3" customFormat="1" x14ac:dyDescent="0.25">
      <c r="A33" s="1431" t="s">
        <v>1759</v>
      </c>
      <c r="B33" s="979" t="s">
        <v>571</v>
      </c>
      <c r="C33" s="693">
        <f t="shared" si="0"/>
        <v>0</v>
      </c>
      <c r="D33" s="693">
        <v>0</v>
      </c>
      <c r="E33" s="963" t="s">
        <v>1760</v>
      </c>
      <c r="F33" s="923" t="s">
        <v>16</v>
      </c>
      <c r="G33" s="1489">
        <v>3.8800000000000002E-3</v>
      </c>
      <c r="H33" s="1489">
        <v>5.8E-4</v>
      </c>
      <c r="I33" s="963" t="s">
        <v>1777</v>
      </c>
      <c r="J33" s="698">
        <f t="shared" si="1"/>
        <v>0</v>
      </c>
      <c r="K33" s="698">
        <f t="shared" si="2"/>
        <v>0</v>
      </c>
      <c r="L33" s="923" t="s">
        <v>17</v>
      </c>
      <c r="M33" s="1432">
        <v>2.6771999999999999E-4</v>
      </c>
      <c r="N33" s="1432">
        <v>0</v>
      </c>
      <c r="O33" s="963" t="s">
        <v>1783</v>
      </c>
      <c r="P33" s="698">
        <f t="shared" si="3"/>
        <v>0</v>
      </c>
      <c r="Q33" s="698">
        <f t="shared" si="4"/>
        <v>0</v>
      </c>
      <c r="R33" s="923" t="s">
        <v>1787</v>
      </c>
      <c r="S33" s="1490">
        <v>7.5271999999999994E-9</v>
      </c>
      <c r="T33" s="1490">
        <v>0</v>
      </c>
      <c r="U33" s="963" t="s">
        <v>1790</v>
      </c>
      <c r="V33" s="1491">
        <f t="shared" si="5"/>
        <v>0</v>
      </c>
      <c r="W33" s="1491">
        <f t="shared" si="6"/>
        <v>0</v>
      </c>
      <c r="X33" s="923" t="s">
        <v>1796</v>
      </c>
      <c r="Y33" s="1490">
        <v>5.0052E-9</v>
      </c>
      <c r="Z33" s="1490">
        <v>0</v>
      </c>
      <c r="AA33" s="963" t="s">
        <v>1799</v>
      </c>
      <c r="AB33" s="1434">
        <f t="shared" si="7"/>
        <v>0</v>
      </c>
      <c r="AC33" s="1434">
        <f t="shared" si="8"/>
        <v>0</v>
      </c>
    </row>
    <row r="34" spans="1:29" s="3" customFormat="1" x14ac:dyDescent="0.25">
      <c r="A34" s="1431" t="s">
        <v>1761</v>
      </c>
      <c r="B34" s="979" t="s">
        <v>571</v>
      </c>
      <c r="C34" s="693">
        <f t="shared" si="0"/>
        <v>107.60321057851465</v>
      </c>
      <c r="D34" s="693">
        <v>0</v>
      </c>
      <c r="E34" s="963" t="s">
        <v>1762</v>
      </c>
      <c r="F34" s="923" t="s">
        <v>16</v>
      </c>
      <c r="G34" s="1488">
        <v>31.9</v>
      </c>
      <c r="H34" s="1488">
        <v>5.0999999999999996</v>
      </c>
      <c r="I34" s="963" t="s">
        <v>1778</v>
      </c>
      <c r="J34" s="698">
        <f t="shared" si="1"/>
        <v>3432.542417454617</v>
      </c>
      <c r="K34" s="698">
        <f t="shared" si="2"/>
        <v>548.77637395042461</v>
      </c>
      <c r="L34" s="923" t="s">
        <v>17</v>
      </c>
      <c r="M34" s="989">
        <v>1.44</v>
      </c>
      <c r="N34" s="989">
        <v>0.21</v>
      </c>
      <c r="O34" s="963" t="s">
        <v>1784</v>
      </c>
      <c r="P34" s="698">
        <f t="shared" si="3"/>
        <v>154.94862323306108</v>
      </c>
      <c r="Q34" s="698">
        <f t="shared" si="4"/>
        <v>22.596674221488076</v>
      </c>
      <c r="R34" s="923" t="s">
        <v>1787</v>
      </c>
      <c r="S34" s="1489">
        <v>3.1099999999999999E-3</v>
      </c>
      <c r="T34" s="1489">
        <v>4.8999999999999998E-4</v>
      </c>
      <c r="U34" s="963" t="s">
        <v>1791</v>
      </c>
      <c r="V34" s="1491">
        <f t="shared" si="5"/>
        <v>0.33464598489918057</v>
      </c>
      <c r="W34" s="1491">
        <f t="shared" si="6"/>
        <v>5.2725573183472173E-2</v>
      </c>
      <c r="X34" s="923" t="s">
        <v>1796</v>
      </c>
      <c r="Y34" s="1436">
        <v>3.8399999999999997E-6</v>
      </c>
      <c r="Z34" s="1436">
        <v>1.57E-6</v>
      </c>
      <c r="AA34" s="963" t="s">
        <v>1800</v>
      </c>
      <c r="AB34" s="1434">
        <f t="shared" si="7"/>
        <v>4.1319632862149623E-4</v>
      </c>
      <c r="AC34" s="1434">
        <f t="shared" si="8"/>
        <v>1.6893704060826799E-4</v>
      </c>
    </row>
    <row r="35" spans="1:29" s="3" customFormat="1" x14ac:dyDescent="0.25">
      <c r="A35" s="1431" t="s">
        <v>1763</v>
      </c>
      <c r="B35" s="979" t="s">
        <v>571</v>
      </c>
      <c r="C35" s="693">
        <f t="shared" si="0"/>
        <v>122.20650344274165</v>
      </c>
      <c r="D35" s="693">
        <v>0</v>
      </c>
      <c r="E35" s="963" t="s">
        <v>1764</v>
      </c>
      <c r="F35" s="923" t="s">
        <v>16</v>
      </c>
      <c r="G35" s="1488">
        <v>18.96</v>
      </c>
      <c r="H35" s="1488">
        <v>0.17649999999999999</v>
      </c>
      <c r="I35" s="963" t="s">
        <v>1840</v>
      </c>
      <c r="J35" s="698">
        <f t="shared" si="1"/>
        <v>2317.0353052743817</v>
      </c>
      <c r="K35" s="698">
        <f t="shared" si="2"/>
        <v>21.569447857643901</v>
      </c>
      <c r="L35" s="923" t="s">
        <v>17</v>
      </c>
      <c r="M35" s="989">
        <v>1.0137499999999999</v>
      </c>
      <c r="N35" s="989">
        <v>0.10630000000000001</v>
      </c>
      <c r="O35" s="963" t="s">
        <v>1844</v>
      </c>
      <c r="P35" s="698">
        <f t="shared" si="3"/>
        <v>123.88684286507934</v>
      </c>
      <c r="Q35" s="698">
        <f t="shared" si="4"/>
        <v>12.990551315963438</v>
      </c>
      <c r="R35" s="923" t="s">
        <v>1787</v>
      </c>
      <c r="S35" s="1489">
        <v>2.5230000000000001E-3</v>
      </c>
      <c r="T35" s="1489">
        <v>1.9000000000000001E-5</v>
      </c>
      <c r="U35" s="963" t="s">
        <v>1848</v>
      </c>
      <c r="V35" s="1491">
        <f t="shared" si="5"/>
        <v>0.3083270081860372</v>
      </c>
      <c r="W35" s="1491">
        <f t="shared" si="6"/>
        <v>2.3219235654120913E-3</v>
      </c>
      <c r="X35" s="923" t="s">
        <v>1796</v>
      </c>
      <c r="Y35" s="1432">
        <v>9.9599999999999992E-4</v>
      </c>
      <c r="Z35" s="1432">
        <v>1.9999999999999999E-6</v>
      </c>
      <c r="AA35" s="963" t="s">
        <v>1850</v>
      </c>
      <c r="AB35" s="1434">
        <f t="shared" si="7"/>
        <v>0.12171767742897067</v>
      </c>
      <c r="AC35" s="1434">
        <f t="shared" si="8"/>
        <v>2.4441300688548331E-4</v>
      </c>
    </row>
    <row r="36" spans="1:29" s="3" customFormat="1" x14ac:dyDescent="0.25">
      <c r="A36" s="1431" t="s">
        <v>1765</v>
      </c>
      <c r="B36" s="979" t="s">
        <v>571</v>
      </c>
      <c r="C36" s="693">
        <f t="shared" si="0"/>
        <v>13.066104141676778</v>
      </c>
      <c r="D36" s="693">
        <v>0</v>
      </c>
      <c r="E36" s="963" t="s">
        <v>1766</v>
      </c>
      <c r="F36" s="923" t="s">
        <v>16</v>
      </c>
      <c r="G36" s="1488">
        <v>12.023999999999999</v>
      </c>
      <c r="H36" s="1488">
        <v>1.8</v>
      </c>
      <c r="I36" s="963" t="s">
        <v>1779</v>
      </c>
      <c r="J36" s="698">
        <f t="shared" si="1"/>
        <v>157.10683619952158</v>
      </c>
      <c r="K36" s="698">
        <f t="shared" si="2"/>
        <v>23.518987455018202</v>
      </c>
      <c r="L36" s="923" t="s">
        <v>17</v>
      </c>
      <c r="M36" s="991">
        <v>0.66996</v>
      </c>
      <c r="N36" s="991">
        <v>0.100494</v>
      </c>
      <c r="O36" s="963" t="s">
        <v>1785</v>
      </c>
      <c r="P36" s="698">
        <f t="shared" si="3"/>
        <v>8.7537671307577742</v>
      </c>
      <c r="Q36" s="698">
        <f t="shared" si="4"/>
        <v>1.3130650696136661</v>
      </c>
      <c r="R36" s="923" t="s">
        <v>1787</v>
      </c>
      <c r="S36" s="1489">
        <v>1.2960000000000001E-3</v>
      </c>
      <c r="T36" s="1489">
        <v>1.9440000000000001E-4</v>
      </c>
      <c r="U36" s="963" t="s">
        <v>1792</v>
      </c>
      <c r="V36" s="1491">
        <f t="shared" si="5"/>
        <v>1.6933670967613106E-2</v>
      </c>
      <c r="W36" s="1491">
        <f t="shared" si="6"/>
        <v>2.5400506451419658E-3</v>
      </c>
      <c r="X36" s="923" t="s">
        <v>1796</v>
      </c>
      <c r="Y36" s="991">
        <v>0</v>
      </c>
      <c r="Z36" s="991">
        <v>0</v>
      </c>
      <c r="AA36" s="963" t="s">
        <v>1801</v>
      </c>
      <c r="AB36" s="1434">
        <f t="shared" si="7"/>
        <v>0</v>
      </c>
      <c r="AC36" s="1434">
        <f t="shared" si="8"/>
        <v>0</v>
      </c>
    </row>
    <row r="37" spans="1:29" s="3" customFormat="1" x14ac:dyDescent="0.25">
      <c r="A37" s="1431" t="s">
        <v>1767</v>
      </c>
      <c r="B37" s="979" t="s">
        <v>571</v>
      </c>
      <c r="C37" s="693">
        <f t="shared" si="0"/>
        <v>3.8429718063755232</v>
      </c>
      <c r="D37" s="693">
        <v>0</v>
      </c>
      <c r="E37" s="963" t="s">
        <v>1768</v>
      </c>
      <c r="F37" s="923" t="s">
        <v>16</v>
      </c>
      <c r="G37" s="1488">
        <v>10.7</v>
      </c>
      <c r="H37" s="1488">
        <v>1.61</v>
      </c>
      <c r="I37" s="963" t="s">
        <v>1841</v>
      </c>
      <c r="J37" s="698">
        <f t="shared" si="1"/>
        <v>41.119798328218096</v>
      </c>
      <c r="K37" s="698">
        <f t="shared" si="2"/>
        <v>6.1871846082645927</v>
      </c>
      <c r="L37" s="923" t="s">
        <v>17</v>
      </c>
      <c r="M37" s="991">
        <v>0.71899999999999997</v>
      </c>
      <c r="N37" s="991">
        <v>0.108</v>
      </c>
      <c r="O37" s="963" t="s">
        <v>1845</v>
      </c>
      <c r="P37" s="698">
        <f t="shared" si="3"/>
        <v>2.7630967287840011</v>
      </c>
      <c r="Q37" s="698">
        <f t="shared" si="4"/>
        <v>0.41504095508855648</v>
      </c>
      <c r="R37" s="923" t="s">
        <v>1787</v>
      </c>
      <c r="S37" s="1489">
        <v>1.0300000000000001E-3</v>
      </c>
      <c r="T37" s="1489">
        <v>1.4999999999999999E-4</v>
      </c>
      <c r="U37" s="963" t="s">
        <v>1849</v>
      </c>
      <c r="V37" s="1491">
        <f t="shared" si="5"/>
        <v>3.9582609605667892E-3</v>
      </c>
      <c r="W37" s="1491">
        <f t="shared" si="6"/>
        <v>5.7644577095632837E-4</v>
      </c>
      <c r="X37" s="923" t="s">
        <v>1796</v>
      </c>
      <c r="Y37" s="1489">
        <v>1.0399999999999999E-3</v>
      </c>
      <c r="Z37" s="1489">
        <v>1.6000000000000001E-4</v>
      </c>
      <c r="AA37" s="963" t="s">
        <v>1851</v>
      </c>
      <c r="AB37" s="1434">
        <f t="shared" si="7"/>
        <v>3.9966906786305439E-3</v>
      </c>
      <c r="AC37" s="1434">
        <f t="shared" si="8"/>
        <v>6.1487548902008373E-4</v>
      </c>
    </row>
    <row r="38" spans="1:29" s="3" customFormat="1" x14ac:dyDescent="0.25">
      <c r="A38" s="1431" t="s">
        <v>1769</v>
      </c>
      <c r="B38" s="979" t="s">
        <v>571</v>
      </c>
      <c r="C38" s="693">
        <f t="shared" si="0"/>
        <v>222.89236476978036</v>
      </c>
      <c r="D38" s="693">
        <v>0</v>
      </c>
      <c r="E38" s="963" t="s">
        <v>1770</v>
      </c>
      <c r="F38" s="923" t="s">
        <v>16</v>
      </c>
      <c r="G38" s="989">
        <v>8.0500000000000007</v>
      </c>
      <c r="H38" s="989">
        <v>1.21</v>
      </c>
      <c r="I38" s="963" t="s">
        <v>1842</v>
      </c>
      <c r="J38" s="698">
        <f t="shared" si="1"/>
        <v>1794.283536396732</v>
      </c>
      <c r="K38" s="698">
        <f t="shared" si="2"/>
        <v>269.69976137143425</v>
      </c>
      <c r="L38" s="923" t="s">
        <v>17</v>
      </c>
      <c r="M38" s="991">
        <v>0.9</v>
      </c>
      <c r="N38" s="991">
        <v>0.13500000000000001</v>
      </c>
      <c r="O38" s="963" t="s">
        <v>1846</v>
      </c>
      <c r="P38" s="698">
        <f t="shared" si="3"/>
        <v>200.60312829280232</v>
      </c>
      <c r="Q38" s="698">
        <f t="shared" si="4"/>
        <v>30.090469243920349</v>
      </c>
      <c r="R38" s="923" t="s">
        <v>1787</v>
      </c>
      <c r="S38" s="991">
        <v>0</v>
      </c>
      <c r="T38" s="991">
        <v>0</v>
      </c>
      <c r="U38" s="963" t="s">
        <v>1793</v>
      </c>
      <c r="V38" s="1491">
        <f t="shared" si="5"/>
        <v>0</v>
      </c>
      <c r="W38" s="1491">
        <f t="shared" si="6"/>
        <v>0</v>
      </c>
      <c r="X38" s="923" t="s">
        <v>1796</v>
      </c>
      <c r="Y38" s="991">
        <v>0</v>
      </c>
      <c r="Z38" s="991">
        <v>0</v>
      </c>
      <c r="AA38" s="963" t="s">
        <v>1802</v>
      </c>
      <c r="AB38" s="1434">
        <f t="shared" si="7"/>
        <v>0</v>
      </c>
      <c r="AC38" s="1434">
        <f t="shared" si="8"/>
        <v>0</v>
      </c>
    </row>
    <row r="39" spans="1:29" s="3" customFormat="1" x14ac:dyDescent="0.25">
      <c r="A39" s="1431" t="s">
        <v>1771</v>
      </c>
      <c r="B39" s="979" t="s">
        <v>571</v>
      </c>
      <c r="C39" s="693">
        <f t="shared" si="0"/>
        <v>6.1487548902008369</v>
      </c>
      <c r="D39" s="693">
        <v>0</v>
      </c>
      <c r="E39" s="963" t="s">
        <v>1772</v>
      </c>
      <c r="F39" s="923" t="s">
        <v>16</v>
      </c>
      <c r="G39" s="989">
        <v>8.0500000000000007</v>
      </c>
      <c r="H39" s="989">
        <v>1.21</v>
      </c>
      <c r="I39" s="963" t="s">
        <v>1843</v>
      </c>
      <c r="J39" s="698">
        <f t="shared" si="1"/>
        <v>49.497476866116742</v>
      </c>
      <c r="K39" s="698">
        <f t="shared" si="2"/>
        <v>7.439993417143012</v>
      </c>
      <c r="L39" s="923" t="s">
        <v>17</v>
      </c>
      <c r="M39" s="991">
        <v>0.9</v>
      </c>
      <c r="N39" s="991">
        <v>0.13500000000000001</v>
      </c>
      <c r="O39" s="963" t="s">
        <v>1847</v>
      </c>
      <c r="P39" s="698">
        <f t="shared" si="3"/>
        <v>5.5338794011807533</v>
      </c>
      <c r="Q39" s="698">
        <f t="shared" si="4"/>
        <v>0.83008191017711308</v>
      </c>
      <c r="R39" s="923" t="s">
        <v>1787</v>
      </c>
      <c r="S39" s="991">
        <v>0</v>
      </c>
      <c r="T39" s="991">
        <v>0</v>
      </c>
      <c r="U39" s="963" t="s">
        <v>1794</v>
      </c>
      <c r="V39" s="1491">
        <f t="shared" si="5"/>
        <v>0</v>
      </c>
      <c r="W39" s="1491">
        <f t="shared" si="6"/>
        <v>0</v>
      </c>
      <c r="X39" s="923" t="s">
        <v>1796</v>
      </c>
      <c r="Y39" s="991">
        <v>0</v>
      </c>
      <c r="Z39" s="991">
        <v>0</v>
      </c>
      <c r="AA39" s="963" t="s">
        <v>1803</v>
      </c>
      <c r="AB39" s="1434">
        <f t="shared" si="7"/>
        <v>0</v>
      </c>
      <c r="AC39" s="1434">
        <f t="shared" si="8"/>
        <v>0</v>
      </c>
    </row>
    <row r="40" spans="1:29" s="3" customFormat="1" x14ac:dyDescent="0.25">
      <c r="A40" s="1431" t="s">
        <v>1773</v>
      </c>
      <c r="B40" s="979" t="s">
        <v>571</v>
      </c>
      <c r="C40" s="693">
        <f t="shared" si="0"/>
        <v>1.5371887225502092</v>
      </c>
      <c r="D40" s="693">
        <v>0</v>
      </c>
      <c r="E40" s="963" t="s">
        <v>1774</v>
      </c>
      <c r="F40" s="923" t="s">
        <v>16</v>
      </c>
      <c r="G40" s="989">
        <v>5.5</v>
      </c>
      <c r="H40" s="989">
        <v>1.5</v>
      </c>
      <c r="I40" s="963" t="s">
        <v>1780</v>
      </c>
      <c r="J40" s="698">
        <f t="shared" si="1"/>
        <v>8.4545379740261506</v>
      </c>
      <c r="K40" s="698">
        <f t="shared" si="2"/>
        <v>2.3057830838253137</v>
      </c>
      <c r="L40" s="923" t="s">
        <v>17</v>
      </c>
      <c r="M40" s="991">
        <v>0.44500000000000001</v>
      </c>
      <c r="N40" s="991">
        <v>0.12</v>
      </c>
      <c r="O40" s="963" t="s">
        <v>1786</v>
      </c>
      <c r="P40" s="698">
        <f t="shared" si="3"/>
        <v>0.68404898153484306</v>
      </c>
      <c r="Q40" s="698">
        <f t="shared" si="4"/>
        <v>0.18446264670602511</v>
      </c>
      <c r="R40" s="923" t="s">
        <v>1787</v>
      </c>
      <c r="S40" s="1433">
        <v>1.2500000000000001E-5</v>
      </c>
      <c r="T40" s="1433">
        <v>3.4999999999999999E-6</v>
      </c>
      <c r="U40" s="963" t="s">
        <v>1795</v>
      </c>
      <c r="V40" s="1491">
        <f t="shared" si="5"/>
        <v>1.9214859031877617E-5</v>
      </c>
      <c r="W40" s="1491">
        <f t="shared" si="6"/>
        <v>5.3801605289257322E-6</v>
      </c>
      <c r="X40" s="923" t="s">
        <v>1796</v>
      </c>
      <c r="Y40" s="1436">
        <v>3.3000000000000002E-6</v>
      </c>
      <c r="Z40" s="1436">
        <v>8.9999999999999996E-7</v>
      </c>
      <c r="AA40" s="963" t="s">
        <v>1804</v>
      </c>
      <c r="AB40" s="1434">
        <f t="shared" si="7"/>
        <v>5.072722784415691E-6</v>
      </c>
      <c r="AC40" s="1434">
        <f t="shared" si="8"/>
        <v>1.3834698502951883E-6</v>
      </c>
    </row>
    <row r="41" spans="1:29" s="3" customFormat="1" x14ac:dyDescent="0.25">
      <c r="A41" s="44"/>
      <c r="J41" s="699"/>
      <c r="K41" s="699"/>
      <c r="P41" s="699"/>
      <c r="Q41" s="699"/>
      <c r="V41" s="1492"/>
      <c r="W41" s="1492"/>
      <c r="AB41" s="1435"/>
      <c r="AC41" s="1435"/>
    </row>
    <row r="42" spans="1:29" s="2" customFormat="1" x14ac:dyDescent="0.25">
      <c r="A42" s="18" t="s">
        <v>375</v>
      </c>
      <c r="J42" s="503">
        <f>SUM(J29:J41)</f>
        <v>8239.0610076539524</v>
      </c>
      <c r="K42" s="503">
        <f>SQRT(SUMSQ(K29:K41))</f>
        <v>786.7316995671614</v>
      </c>
      <c r="P42" s="503">
        <f>SUM(P29:P41)</f>
        <v>520.95369617105189</v>
      </c>
      <c r="Q42" s="503">
        <f>SQRT(SUMSQ(Q29:Q41))</f>
        <v>49.43723316863327</v>
      </c>
      <c r="V42" s="626">
        <f>SUM(V29:V41)</f>
        <v>0.75234320210030403</v>
      </c>
      <c r="W42" s="626">
        <f>SQRT(SUMSQ(W29:W41))</f>
        <v>7.618212820986249E-2</v>
      </c>
      <c r="AB42" s="617">
        <f>SUM(AB29:AB41)</f>
        <v>0.13788997882230464</v>
      </c>
      <c r="AC42" s="617">
        <f>SQRT(SUMSQ(AC29:AC41))</f>
        <v>6.8510056028064849E-4</v>
      </c>
    </row>
    <row r="43" spans="1:29" x14ac:dyDescent="0.25">
      <c r="A43" s="16"/>
    </row>
    <row r="44" spans="1:29" s="43" customFormat="1" x14ac:dyDescent="0.25">
      <c r="B44" s="356"/>
      <c r="C44" s="11"/>
      <c r="D44" s="11"/>
      <c r="E44" s="12"/>
      <c r="G44" s="11"/>
      <c r="H44" s="11"/>
      <c r="I44" s="11"/>
      <c r="J44" s="11"/>
      <c r="K44" s="11"/>
      <c r="M44" s="11"/>
      <c r="N44" s="11"/>
      <c r="O44" s="11"/>
      <c r="P44" s="11"/>
      <c r="Q44" s="11"/>
      <c r="S44" s="11"/>
      <c r="T44" s="11"/>
      <c r="U44" s="11"/>
      <c r="V44" s="11"/>
      <c r="W44" s="11"/>
      <c r="Y44" s="11"/>
      <c r="Z44" s="11"/>
      <c r="AA44" s="11"/>
      <c r="AB44" s="11"/>
      <c r="AC44" s="11"/>
    </row>
    <row r="45" spans="1:29" s="43" customFormat="1" x14ac:dyDescent="0.25">
      <c r="B45" s="356"/>
      <c r="C45" s="11"/>
      <c r="D45" s="11"/>
      <c r="E45" s="12"/>
      <c r="G45" s="11"/>
      <c r="H45" s="11"/>
      <c r="I45" s="11"/>
      <c r="J45" s="11"/>
      <c r="K45" s="11"/>
      <c r="M45" s="11"/>
      <c r="N45" s="11"/>
      <c r="O45" s="11"/>
      <c r="P45" s="11"/>
      <c r="Q45" s="11"/>
      <c r="S45" s="11"/>
      <c r="T45" s="11"/>
      <c r="U45" s="11"/>
      <c r="V45" s="11"/>
      <c r="W45" s="11"/>
      <c r="Y45" s="11"/>
      <c r="Z45" s="11"/>
      <c r="AA45" s="11"/>
      <c r="AB45" s="11"/>
      <c r="AC45" s="11"/>
    </row>
    <row r="46" spans="1:29" s="43" customFormat="1" x14ac:dyDescent="0.25">
      <c r="B46" s="356"/>
      <c r="C46" s="11"/>
      <c r="D46" s="11"/>
      <c r="E46" s="12"/>
      <c r="G46" s="11"/>
      <c r="H46" s="11"/>
      <c r="I46" s="11"/>
      <c r="J46" s="11"/>
      <c r="K46" s="11"/>
      <c r="M46" s="11"/>
      <c r="N46" s="11"/>
      <c r="O46" s="11"/>
      <c r="P46" s="11"/>
      <c r="Q46" s="11"/>
      <c r="S46" s="11"/>
      <c r="T46" s="11"/>
      <c r="U46" s="11"/>
      <c r="V46" s="11"/>
      <c r="W46" s="11"/>
      <c r="Y46" s="11"/>
      <c r="Z46" s="11"/>
      <c r="AA46" s="11"/>
      <c r="AB46" s="11"/>
      <c r="AC46" s="11"/>
    </row>
    <row r="47" spans="1:29" s="43" customFormat="1" x14ac:dyDescent="0.25">
      <c r="B47" s="356"/>
      <c r="C47" s="208"/>
      <c r="D47" s="11"/>
      <c r="E47" s="11"/>
      <c r="G47" s="209"/>
      <c r="H47" s="209"/>
      <c r="I47" s="11"/>
      <c r="J47" s="11"/>
      <c r="K47" s="11"/>
      <c r="M47" s="209"/>
      <c r="N47" s="209"/>
      <c r="O47" s="11"/>
      <c r="P47" s="11"/>
      <c r="Q47" s="11"/>
      <c r="S47" s="210"/>
      <c r="T47" s="210"/>
      <c r="U47" s="11"/>
      <c r="V47" s="11"/>
      <c r="W47" s="11"/>
      <c r="Y47" s="211"/>
      <c r="Z47" s="211"/>
      <c r="AA47" s="11"/>
      <c r="AB47" s="11"/>
      <c r="AC47" s="11"/>
    </row>
    <row r="48" spans="1:29" s="43" customFormat="1" x14ac:dyDescent="0.25">
      <c r="C48" s="208"/>
      <c r="D48" s="11"/>
      <c r="E48" s="11"/>
      <c r="G48" s="209"/>
      <c r="H48" s="209"/>
      <c r="I48" s="11"/>
      <c r="J48" s="11"/>
      <c r="K48" s="11"/>
      <c r="M48" s="209"/>
      <c r="N48" s="209"/>
      <c r="O48" s="11"/>
      <c r="P48" s="11"/>
      <c r="Q48" s="11"/>
      <c r="S48" s="210"/>
      <c r="T48" s="210"/>
      <c r="U48" s="11"/>
      <c r="V48" s="11"/>
      <c r="W48" s="11"/>
      <c r="Y48" s="211"/>
      <c r="Z48" s="211"/>
      <c r="AA48" s="11"/>
      <c r="AB48" s="11"/>
      <c r="AC48" s="11"/>
    </row>
    <row r="49" spans="1:29" s="43" customFormat="1" x14ac:dyDescent="0.25">
      <c r="B49" s="356"/>
      <c r="C49" s="11"/>
      <c r="D49" s="11"/>
      <c r="E49" s="12"/>
      <c r="G49" s="11"/>
      <c r="H49" s="11"/>
      <c r="I49" s="11"/>
      <c r="J49" s="11"/>
      <c r="K49" s="11"/>
      <c r="M49" s="11"/>
      <c r="N49" s="11"/>
      <c r="O49" s="11"/>
      <c r="P49" s="11"/>
      <c r="Q49" s="11"/>
      <c r="S49" s="11"/>
      <c r="T49" s="11"/>
      <c r="U49" s="11"/>
      <c r="V49" s="11"/>
      <c r="W49" s="11"/>
      <c r="Y49" s="11"/>
      <c r="Z49" s="11"/>
      <c r="AA49" s="11"/>
      <c r="AB49" s="11"/>
      <c r="AC49" s="11"/>
    </row>
    <row r="50" spans="1:29" s="43" customFormat="1" x14ac:dyDescent="0.25">
      <c r="C50" s="11"/>
      <c r="D50" s="11"/>
      <c r="E50" s="11"/>
      <c r="G50" s="11"/>
      <c r="H50" s="11"/>
      <c r="I50" s="11"/>
      <c r="J50" s="11"/>
      <c r="K50" s="11"/>
      <c r="M50" s="11"/>
      <c r="N50" s="11"/>
      <c r="O50" s="11"/>
      <c r="P50" s="11"/>
      <c r="Q50" s="11"/>
      <c r="S50" s="11"/>
      <c r="T50" s="11"/>
      <c r="U50" s="11"/>
      <c r="V50" s="11"/>
      <c r="W50" s="11"/>
      <c r="Y50" s="11"/>
      <c r="Z50" s="11"/>
      <c r="AA50" s="11"/>
      <c r="AB50" s="11"/>
      <c r="AC50" s="11"/>
    </row>
    <row r="51" spans="1:29" s="43" customFormat="1" x14ac:dyDescent="0.25">
      <c r="A51" s="146"/>
      <c r="B51" s="146"/>
      <c r="C51" s="357"/>
      <c r="D51" s="357"/>
      <c r="E51" s="357"/>
      <c r="F51" s="146"/>
      <c r="G51" s="357"/>
      <c r="H51" s="357"/>
      <c r="I51" s="357"/>
      <c r="J51" s="357"/>
      <c r="K51" s="357"/>
      <c r="L51" s="146"/>
      <c r="M51" s="357"/>
      <c r="N51" s="357"/>
      <c r="O51" s="357"/>
      <c r="P51" s="357"/>
      <c r="Q51" s="357"/>
      <c r="R51" s="146"/>
      <c r="S51" s="357"/>
      <c r="T51" s="357"/>
      <c r="U51" s="357"/>
      <c r="V51" s="357"/>
      <c r="W51" s="357"/>
      <c r="X51" s="146"/>
      <c r="Y51" s="357"/>
      <c r="Z51" s="357"/>
      <c r="AA51" s="357"/>
      <c r="AB51" s="357"/>
      <c r="AC51" s="357"/>
    </row>
    <row r="52" spans="1:29" s="43" customFormat="1" x14ac:dyDescent="0.25"/>
    <row r="53" spans="1:29" s="43" customFormat="1" x14ac:dyDescent="0.25"/>
    <row r="54" spans="1:29" s="43" customFormat="1" x14ac:dyDescent="0.25"/>
  </sheetData>
  <pageMargins left="0.75" right="0.75" top="1" bottom="1" header="0.5" footer="0.5"/>
  <pageSetup paperSize="9" orientation="portrait" verticalDpi="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workbookViewId="0">
      <pane xSplit="1" ySplit="16" topLeftCell="B17" activePane="bottomRight" state="frozen"/>
      <selection pane="topRight" activeCell="B1" sqref="B1"/>
      <selection pane="bottomLeft" activeCell="A17" sqref="A17"/>
      <selection pane="bottomRight"/>
    </sheetView>
  </sheetViews>
  <sheetFormatPr defaultRowHeight="13.2" x14ac:dyDescent="0.25"/>
  <cols>
    <col min="1" max="1" width="63.33203125" customWidth="1"/>
    <col min="2" max="9" width="25.6640625" customWidth="1"/>
    <col min="10" max="10" width="14.44140625" customWidth="1"/>
    <col min="11" max="11" width="15.109375" customWidth="1"/>
    <col min="12" max="12" width="12" customWidth="1"/>
    <col min="16" max="16" width="15.5546875" customWidth="1"/>
    <col min="17" max="17" width="19.33203125" customWidth="1"/>
    <col min="18" max="18" width="13" customWidth="1"/>
    <col min="19" max="19" width="10.5546875" bestFit="1" customWidth="1"/>
    <col min="20" max="20" width="12.6640625" customWidth="1"/>
    <col min="21" max="21" width="10" customWidth="1"/>
    <col min="22" max="22" width="15.44140625" customWidth="1"/>
    <col min="23" max="23" width="16.109375" customWidth="1"/>
    <col min="24" max="24" width="11.88671875" customWidth="1"/>
    <col min="25" max="25" width="12.5546875" customWidth="1"/>
    <col min="26" max="26" width="13.5546875" customWidth="1"/>
    <col min="27" max="27" width="10" customWidth="1"/>
    <col min="28" max="28" width="15.6640625" customWidth="1"/>
    <col min="29" max="29" width="18.33203125" customWidth="1"/>
  </cols>
  <sheetData>
    <row r="1" spans="1:29" x14ac:dyDescent="0.25">
      <c r="A1" s="2" t="s">
        <v>238</v>
      </c>
      <c r="B1" s="3" t="s">
        <v>670</v>
      </c>
    </row>
    <row r="2" spans="1:29" x14ac:dyDescent="0.25">
      <c r="A2" s="2" t="s">
        <v>241</v>
      </c>
      <c r="B2" s="3" t="s">
        <v>450</v>
      </c>
    </row>
    <row r="3" spans="1:29" x14ac:dyDescent="0.25">
      <c r="A3" s="2" t="s">
        <v>239</v>
      </c>
      <c r="B3" s="923" t="s">
        <v>1422</v>
      </c>
    </row>
    <row r="4" spans="1:29" x14ac:dyDescent="0.25">
      <c r="A4" s="2" t="s">
        <v>240</v>
      </c>
      <c r="B4" s="1">
        <v>2004</v>
      </c>
    </row>
    <row r="5" spans="1:29" x14ac:dyDescent="0.25">
      <c r="B5" s="1"/>
    </row>
    <row r="6" spans="1:29" x14ac:dyDescent="0.25">
      <c r="A6" s="447" t="s">
        <v>415</v>
      </c>
      <c r="B6" s="179" t="s">
        <v>22</v>
      </c>
      <c r="C6" s="179"/>
      <c r="D6" s="178" t="s">
        <v>23</v>
      </c>
      <c r="E6" s="179"/>
      <c r="F6" s="178" t="s">
        <v>24</v>
      </c>
      <c r="G6" s="179"/>
      <c r="H6" s="178" t="s">
        <v>25</v>
      </c>
      <c r="I6" s="180"/>
    </row>
    <row r="7" spans="1:29" x14ac:dyDescent="0.25">
      <c r="A7" s="181"/>
      <c r="B7" s="182" t="s">
        <v>198</v>
      </c>
      <c r="C7" s="182" t="s">
        <v>210</v>
      </c>
      <c r="D7" s="182" t="s">
        <v>199</v>
      </c>
      <c r="E7" s="183" t="s">
        <v>211</v>
      </c>
      <c r="F7" s="182" t="s">
        <v>201</v>
      </c>
      <c r="G7" s="182" t="s">
        <v>247</v>
      </c>
      <c r="H7" s="182" t="s">
        <v>203</v>
      </c>
      <c r="I7" s="182" t="s">
        <v>247</v>
      </c>
      <c r="J7" s="159"/>
      <c r="K7" s="159"/>
      <c r="L7" s="43"/>
      <c r="M7" s="43"/>
      <c r="N7" s="43"/>
      <c r="O7" s="43"/>
      <c r="P7" s="43"/>
      <c r="Q7" s="43"/>
      <c r="R7" s="43"/>
      <c r="S7" s="43"/>
      <c r="T7" s="43"/>
      <c r="U7" s="43"/>
      <c r="V7" s="43"/>
      <c r="W7" s="43"/>
      <c r="X7" s="43"/>
      <c r="Y7" s="43"/>
      <c r="Z7" s="43"/>
      <c r="AA7" s="43"/>
      <c r="AB7" s="43"/>
      <c r="AC7" s="43"/>
    </row>
    <row r="8" spans="1:29" x14ac:dyDescent="0.25">
      <c r="A8" s="147" t="s">
        <v>120</v>
      </c>
      <c r="B8" s="184">
        <f>EnergySupply!B26*Unitflowchart!$S$139</f>
        <v>0</v>
      </c>
      <c r="C8" s="184">
        <f>EnergySupply!C26*Unitflowchart!$S$139</f>
        <v>0</v>
      </c>
      <c r="D8" s="184">
        <f>EnergySupply!D26*Unitflowchart!$S$139</f>
        <v>0</v>
      </c>
      <c r="E8" s="184">
        <f>EnergySupply!E26*Unitflowchart!$S$139</f>
        <v>0</v>
      </c>
      <c r="F8" s="199">
        <f>EnergySupply!F26*Unitflowchart!$S$139</f>
        <v>0</v>
      </c>
      <c r="G8" s="199">
        <f>EnergySupply!G26*Unitflowchart!$S$139</f>
        <v>0</v>
      </c>
      <c r="H8" s="200">
        <f>EnergySupply!H26*Unitflowchart!$S$139</f>
        <v>0</v>
      </c>
      <c r="I8" s="200">
        <f>EnergySupply!I26*Unitflowchart!S139</f>
        <v>0</v>
      </c>
    </row>
    <row r="9" spans="1:29" x14ac:dyDescent="0.25">
      <c r="A9" s="147" t="s">
        <v>121</v>
      </c>
      <c r="B9" s="184">
        <f>EnergySupply!B27*Unitflowchart!$S$139</f>
        <v>0</v>
      </c>
      <c r="C9" s="184">
        <f>EnergySupply!C27*Unitflowchart!$S$139</f>
        <v>0</v>
      </c>
      <c r="D9" s="184">
        <f>EnergySupply!D27*Unitflowchart!$S$139</f>
        <v>0</v>
      </c>
      <c r="E9" s="184">
        <f>EnergySupply!E27*Unitflowchart!$S$139</f>
        <v>0</v>
      </c>
      <c r="F9" s="199">
        <f>EnergySupply!F27*Unitflowchart!$S$139</f>
        <v>0</v>
      </c>
      <c r="G9" s="199">
        <f>EnergySupply!G27*Unitflowchart!$S$139</f>
        <v>0</v>
      </c>
      <c r="H9" s="200">
        <f>EnergySupply!H27*Unitflowchart!$S$139</f>
        <v>0</v>
      </c>
      <c r="I9" s="200">
        <f>EnergySupply!I27*Unitflowchart!S139</f>
        <v>0</v>
      </c>
    </row>
    <row r="10" spans="1:29" x14ac:dyDescent="0.25">
      <c r="A10" s="147" t="s">
        <v>122</v>
      </c>
      <c r="B10" s="184">
        <f>EnergySupply!B31*Unitflowchart!$S$141</f>
        <v>0</v>
      </c>
      <c r="C10" s="184">
        <f>EnergySupply!C31*Unitflowchart!$S$141</f>
        <v>0</v>
      </c>
      <c r="D10" s="184">
        <f>EnergySupply!D31*Unitflowchart!$S$141</f>
        <v>0</v>
      </c>
      <c r="E10" s="184">
        <f>EnergySupply!E31*Unitflowchart!$S$141</f>
        <v>0</v>
      </c>
      <c r="F10" s="199">
        <f>EnergySupply!F31*Unitflowchart!$S$141</f>
        <v>1.4117647058823532E-5</v>
      </c>
      <c r="G10" s="199">
        <f>EnergySupply!G31*Unitflowchart!$S$141</f>
        <v>0</v>
      </c>
      <c r="H10" s="200">
        <f>EnergySupply!H31*Unitflowchart!$S$141</f>
        <v>4.2352941176470591E-6</v>
      </c>
      <c r="I10" s="200">
        <f>EnergySupply!I31*Unitflowchart!S141</f>
        <v>0</v>
      </c>
    </row>
    <row r="11" spans="1:29" x14ac:dyDescent="0.25">
      <c r="A11" s="149" t="s">
        <v>826</v>
      </c>
      <c r="B11" s="201">
        <f>EnergySupply!B34*Unitflowchart!$S$141</f>
        <v>0</v>
      </c>
      <c r="C11" s="201">
        <f>EnergySupply!C34*Unitflowchart!$S$141</f>
        <v>0</v>
      </c>
      <c r="D11" s="201">
        <f>EnergySupply!D34*Unitflowchart!$S$141</f>
        <v>0</v>
      </c>
      <c r="E11" s="201">
        <f>EnergySupply!E34*Unitflowchart!$S$141</f>
        <v>0</v>
      </c>
      <c r="F11" s="202">
        <f>EnergySupply!F34*Unitflowchart!$S$141</f>
        <v>2.8235294117647067E-5</v>
      </c>
      <c r="G11" s="202">
        <f>EnergySupply!G34*Unitflowchart!$S$141</f>
        <v>0</v>
      </c>
      <c r="H11" s="203">
        <f>EnergySupply!H34*Unitflowchart!$S$141</f>
        <v>8.4705882352941183E-6</v>
      </c>
      <c r="I11" s="203">
        <f>EnergySupply!I34*Unitflowchart!S141</f>
        <v>0</v>
      </c>
    </row>
    <row r="12" spans="1:29" x14ac:dyDescent="0.25">
      <c r="A12" s="204" t="s">
        <v>842</v>
      </c>
      <c r="B12" s="205">
        <f>Unitflowchart!S245</f>
        <v>0</v>
      </c>
      <c r="C12" s="190"/>
      <c r="D12" s="190"/>
      <c r="E12" s="190"/>
      <c r="F12" s="191"/>
      <c r="G12" s="191"/>
      <c r="H12" s="192"/>
      <c r="I12" s="192"/>
    </row>
    <row r="13" spans="1:29" x14ac:dyDescent="0.25">
      <c r="A13" s="206" t="s">
        <v>843</v>
      </c>
      <c r="B13" s="207">
        <f>Unitflowchart!S247</f>
        <v>12</v>
      </c>
      <c r="C13" s="190"/>
      <c r="D13" s="190"/>
      <c r="E13" s="190"/>
      <c r="F13" s="191"/>
      <c r="G13" s="191"/>
      <c r="H13" s="192"/>
      <c r="I13" s="192"/>
    </row>
    <row r="14" spans="1:29" s="43" customFormat="1" x14ac:dyDescent="0.25">
      <c r="A14" s="212"/>
      <c r="B14" s="213"/>
      <c r="C14" s="190"/>
      <c r="D14" s="190"/>
      <c r="E14" s="190"/>
      <c r="F14" s="191"/>
      <c r="G14" s="191"/>
      <c r="H14" s="192"/>
      <c r="I14" s="192"/>
    </row>
    <row r="15" spans="1:29" s="24" customFormat="1" x14ac:dyDescent="0.25">
      <c r="A15" s="24" t="s">
        <v>243</v>
      </c>
      <c r="B15" s="24" t="s">
        <v>242</v>
      </c>
      <c r="E15" s="24" t="s">
        <v>28</v>
      </c>
      <c r="F15" s="24" t="s">
        <v>245</v>
      </c>
      <c r="I15" s="24" t="s">
        <v>28</v>
      </c>
      <c r="J15" s="361" t="s">
        <v>837</v>
      </c>
      <c r="L15" s="24" t="s">
        <v>249</v>
      </c>
      <c r="O15" s="24" t="s">
        <v>28</v>
      </c>
      <c r="P15" s="361" t="s">
        <v>838</v>
      </c>
      <c r="R15" s="24" t="s">
        <v>251</v>
      </c>
      <c r="U15" s="24" t="s">
        <v>28</v>
      </c>
      <c r="V15" s="361" t="s">
        <v>840</v>
      </c>
      <c r="X15" s="24" t="s">
        <v>253</v>
      </c>
      <c r="AA15" s="24" t="s">
        <v>28</v>
      </c>
      <c r="AB15" s="361" t="s">
        <v>841</v>
      </c>
    </row>
    <row r="16" spans="1:29" x14ac:dyDescent="0.25">
      <c r="A16" s="16"/>
      <c r="B16" s="24" t="s">
        <v>244</v>
      </c>
      <c r="C16" s="24" t="s">
        <v>246</v>
      </c>
      <c r="D16" s="24" t="s">
        <v>247</v>
      </c>
      <c r="E16" s="24"/>
      <c r="F16" s="24"/>
      <c r="G16" s="24" t="s">
        <v>246</v>
      </c>
      <c r="H16" s="24" t="s">
        <v>247</v>
      </c>
      <c r="I16" s="24"/>
      <c r="J16" s="24" t="s">
        <v>246</v>
      </c>
      <c r="K16" s="24" t="s">
        <v>247</v>
      </c>
      <c r="L16" s="24" t="s">
        <v>244</v>
      </c>
      <c r="M16" s="24" t="s">
        <v>246</v>
      </c>
      <c r="N16" s="24" t="s">
        <v>247</v>
      </c>
      <c r="O16" s="24"/>
      <c r="P16" s="24" t="s">
        <v>246</v>
      </c>
      <c r="Q16" s="24" t="s">
        <v>247</v>
      </c>
      <c r="R16" s="24" t="s">
        <v>244</v>
      </c>
      <c r="S16" s="24" t="s">
        <v>246</v>
      </c>
      <c r="T16" s="24" t="s">
        <v>247</v>
      </c>
      <c r="U16" s="24"/>
      <c r="V16" s="24" t="s">
        <v>246</v>
      </c>
      <c r="W16" s="24" t="s">
        <v>247</v>
      </c>
      <c r="X16" s="24" t="s">
        <v>244</v>
      </c>
      <c r="Y16" s="24" t="s">
        <v>246</v>
      </c>
      <c r="Z16" s="24" t="s">
        <v>247</v>
      </c>
      <c r="AA16" s="24"/>
      <c r="AB16" s="24" t="s">
        <v>246</v>
      </c>
      <c r="AC16" s="24" t="s">
        <v>247</v>
      </c>
    </row>
    <row r="17" spans="1:29" x14ac:dyDescent="0.25">
      <c r="A17" s="2" t="s">
        <v>402</v>
      </c>
      <c r="C17" s="1"/>
      <c r="D17" s="1"/>
      <c r="E17" s="1"/>
      <c r="G17" s="1"/>
      <c r="H17" s="1"/>
      <c r="I17" s="1"/>
      <c r="J17" s="1"/>
      <c r="K17" s="1"/>
    </row>
    <row r="18" spans="1:29" s="43" customFormat="1" x14ac:dyDescent="0.25">
      <c r="B18" s="356"/>
      <c r="C18" s="208"/>
      <c r="D18" s="11"/>
      <c r="E18" s="11"/>
      <c r="G18" s="209"/>
      <c r="H18" s="209"/>
      <c r="I18" s="11"/>
      <c r="J18" s="11"/>
      <c r="K18" s="208"/>
      <c r="M18" s="11"/>
      <c r="N18" s="11"/>
      <c r="O18" s="11"/>
      <c r="P18" s="11"/>
      <c r="Q18" s="11"/>
      <c r="S18" s="11"/>
      <c r="T18" s="11"/>
      <c r="U18" s="11"/>
      <c r="V18" s="11"/>
      <c r="W18" s="11"/>
      <c r="Y18" s="11"/>
      <c r="Z18" s="11"/>
      <c r="AA18" s="11"/>
      <c r="AB18" s="11"/>
      <c r="AC18" s="11"/>
    </row>
    <row r="19" spans="1:29" x14ac:dyDescent="0.25">
      <c r="A19" s="16" t="s">
        <v>124</v>
      </c>
      <c r="B19" t="s">
        <v>451</v>
      </c>
      <c r="C19" s="693">
        <f>B12</f>
        <v>0</v>
      </c>
      <c r="D19" s="512">
        <v>0</v>
      </c>
      <c r="E19" s="11" t="s">
        <v>835</v>
      </c>
      <c r="F19" t="s">
        <v>7</v>
      </c>
      <c r="G19" s="991">
        <f>B8+B10</f>
        <v>0</v>
      </c>
      <c r="H19" s="991">
        <f>C8+C10</f>
        <v>0</v>
      </c>
      <c r="I19" s="11" t="s">
        <v>827</v>
      </c>
      <c r="J19" s="500">
        <f>C19*G19</f>
        <v>0</v>
      </c>
      <c r="K19" s="500">
        <f>SQRT(((D19*G19)^2)+((C19*H19)^2))</f>
        <v>0</v>
      </c>
      <c r="L19" t="s">
        <v>8</v>
      </c>
      <c r="M19" s="991">
        <f>(D8+D10)/3.6</f>
        <v>0</v>
      </c>
      <c r="N19" s="991">
        <f>(E8+E10)/3.6</f>
        <v>0</v>
      </c>
      <c r="O19" s="11" t="s">
        <v>828</v>
      </c>
      <c r="P19" s="500">
        <f>C19*M19</f>
        <v>0</v>
      </c>
      <c r="Q19" s="500">
        <f>SQRT(((D19*M19)^2)+((C19*N19)^2))</f>
        <v>0</v>
      </c>
      <c r="R19" t="s">
        <v>9</v>
      </c>
      <c r="S19" s="990">
        <f>(F8+F10)/3.6</f>
        <v>3.9215686274509812E-6</v>
      </c>
      <c r="T19" s="990">
        <f>(G8+G10)/3.6</f>
        <v>0</v>
      </c>
      <c r="U19" s="11" t="s">
        <v>839</v>
      </c>
      <c r="V19" s="586">
        <f>C19*S19</f>
        <v>0</v>
      </c>
      <c r="W19" s="586">
        <f>SQRT(((D19*S19)^2)+((C19*T19)^2))</f>
        <v>0</v>
      </c>
      <c r="X19" t="s">
        <v>10</v>
      </c>
      <c r="Y19" s="990">
        <f>(H8+H10)/3.6</f>
        <v>1.1764705882352942E-6</v>
      </c>
      <c r="Z19" s="990">
        <f>(I8+I10)/3.6</f>
        <v>0</v>
      </c>
      <c r="AA19" s="11" t="s">
        <v>832</v>
      </c>
      <c r="AB19" s="497">
        <f>C19*Y19</f>
        <v>0</v>
      </c>
      <c r="AC19" s="497">
        <f>SQRT(((D19*Y19)^2)+((C19*Z19)^2))</f>
        <v>0</v>
      </c>
    </row>
    <row r="20" spans="1:29" x14ac:dyDescent="0.25">
      <c r="A20" s="16" t="s">
        <v>123</v>
      </c>
      <c r="B20" t="s">
        <v>765</v>
      </c>
      <c r="C20" s="359">
        <f>$B$13</f>
        <v>12</v>
      </c>
      <c r="D20" s="418">
        <v>0</v>
      </c>
      <c r="E20" s="11" t="s">
        <v>836</v>
      </c>
      <c r="F20" t="s">
        <v>185</v>
      </c>
      <c r="G20" s="991">
        <f>3.6*(B9+B11)</f>
        <v>0</v>
      </c>
      <c r="H20" s="991">
        <f>3.6*(C9+C11)</f>
        <v>0</v>
      </c>
      <c r="I20" s="11" t="s">
        <v>834</v>
      </c>
      <c r="J20" s="500">
        <f>C20*G20</f>
        <v>0</v>
      </c>
      <c r="K20" s="500">
        <f>SQRT(((D20*G20)^2)+((C20*H20)^2))</f>
        <v>0</v>
      </c>
      <c r="L20" t="s">
        <v>186</v>
      </c>
      <c r="M20" s="991">
        <f>(D9+D11)</f>
        <v>0</v>
      </c>
      <c r="N20" s="991">
        <f>(E9+E11)</f>
        <v>0</v>
      </c>
      <c r="O20" s="11" t="s">
        <v>829</v>
      </c>
      <c r="P20" s="500">
        <f>C20*M20</f>
        <v>0</v>
      </c>
      <c r="Q20" s="500">
        <f>SQRT(((D20*M20)^2)+((C20*N20)^2))</f>
        <v>0</v>
      </c>
      <c r="R20" t="s">
        <v>187</v>
      </c>
      <c r="S20" s="990">
        <f>(F9+F11)</f>
        <v>2.8235294117647067E-5</v>
      </c>
      <c r="T20" s="990">
        <f>(G9+G11)</f>
        <v>0</v>
      </c>
      <c r="U20" s="11" t="s">
        <v>831</v>
      </c>
      <c r="V20" s="586">
        <f>C20*S20</f>
        <v>3.3882352941176478E-4</v>
      </c>
      <c r="W20" s="586">
        <f>SQRT(((D20*S20)^2)+((C20*T20)^2))</f>
        <v>0</v>
      </c>
      <c r="X20" t="s">
        <v>188</v>
      </c>
      <c r="Y20" s="990">
        <f>(H9+H11)</f>
        <v>8.4705882352941183E-6</v>
      </c>
      <c r="Z20" s="990">
        <f>(I9+I11)</f>
        <v>0</v>
      </c>
      <c r="AA20" s="11" t="s">
        <v>833</v>
      </c>
      <c r="AB20" s="497">
        <f>C20*Y20</f>
        <v>1.0164705882352942E-4</v>
      </c>
      <c r="AC20" s="497">
        <f>SQRT(((D20*Y20)^2)+((C20*Z20)^2))</f>
        <v>0</v>
      </c>
    </row>
    <row r="21" spans="1:29" x14ac:dyDescent="0.25">
      <c r="A21" s="360"/>
      <c r="J21" s="501"/>
      <c r="K21" s="501"/>
      <c r="P21" s="501"/>
      <c r="Q21" s="501"/>
      <c r="V21" s="587"/>
      <c r="W21" s="587"/>
      <c r="AB21" s="498"/>
      <c r="AC21" s="498"/>
    </row>
    <row r="22" spans="1:29" s="2" customFormat="1" x14ac:dyDescent="0.25">
      <c r="A22" s="18" t="s">
        <v>375</v>
      </c>
      <c r="J22" s="503">
        <f>SUM(J19:J21)</f>
        <v>0</v>
      </c>
      <c r="K22" s="503">
        <f>SQRT(SUMSQ(K19:K20))</f>
        <v>0</v>
      </c>
      <c r="P22" s="503">
        <f>SUM(P19:P21)</f>
        <v>0</v>
      </c>
      <c r="Q22" s="503">
        <f>SQRT(SUMSQ(Q19:Q20))</f>
        <v>0</v>
      </c>
      <c r="V22" s="617">
        <f>SUM(V19:V21)</f>
        <v>3.3882352941176478E-4</v>
      </c>
      <c r="W22" s="617">
        <f>SQRT(SUMSQ(W19:W20))</f>
        <v>0</v>
      </c>
      <c r="AB22" s="499">
        <f>SUM(AB19:AB21)</f>
        <v>1.0164705882352942E-4</v>
      </c>
      <c r="AC22" s="499">
        <f>SQRT(SUMSQ(AC19:AC20))</f>
        <v>0</v>
      </c>
    </row>
    <row r="23" spans="1:29" x14ac:dyDescent="0.25">
      <c r="A23" s="16"/>
    </row>
    <row r="24" spans="1:29" s="43" customFormat="1" x14ac:dyDescent="0.25">
      <c r="B24" s="356"/>
      <c r="C24" s="11"/>
      <c r="D24" s="11"/>
      <c r="E24" s="12"/>
      <c r="G24" s="11"/>
      <c r="H24" s="11"/>
      <c r="I24" s="11"/>
      <c r="J24" s="11"/>
      <c r="K24" s="11"/>
      <c r="M24" s="11"/>
      <c r="N24" s="11"/>
      <c r="O24" s="11"/>
      <c r="P24" s="11"/>
      <c r="Q24" s="11"/>
      <c r="S24" s="11"/>
      <c r="T24" s="11"/>
      <c r="U24" s="11"/>
      <c r="V24" s="11"/>
      <c r="W24" s="11"/>
      <c r="Y24" s="11"/>
      <c r="Z24" s="11"/>
      <c r="AA24" s="11"/>
      <c r="AB24" s="11"/>
      <c r="AC24" s="11"/>
    </row>
    <row r="25" spans="1:29" s="43" customFormat="1" x14ac:dyDescent="0.25">
      <c r="B25" s="356"/>
      <c r="C25" s="11"/>
      <c r="D25" s="11"/>
      <c r="E25" s="12"/>
      <c r="G25" s="11"/>
      <c r="H25" s="11"/>
      <c r="I25" s="11"/>
      <c r="J25" s="11"/>
      <c r="K25" s="11"/>
      <c r="M25" s="11"/>
      <c r="N25" s="11"/>
      <c r="O25" s="11"/>
      <c r="P25" s="11"/>
      <c r="Q25" s="11"/>
      <c r="S25" s="11"/>
      <c r="T25" s="11"/>
      <c r="U25" s="11"/>
      <c r="V25" s="11"/>
      <c r="W25" s="11"/>
      <c r="Y25" s="11"/>
      <c r="Z25" s="11"/>
      <c r="AA25" s="11"/>
      <c r="AB25" s="11"/>
      <c r="AC25" s="11"/>
    </row>
    <row r="26" spans="1:29" s="43" customFormat="1" x14ac:dyDescent="0.25">
      <c r="B26" s="356"/>
      <c r="C26" s="11"/>
      <c r="D26" s="11"/>
      <c r="E26" s="12"/>
      <c r="G26" s="11"/>
      <c r="H26" s="11"/>
      <c r="I26" s="11"/>
      <c r="J26" s="11"/>
      <c r="K26" s="11"/>
      <c r="M26" s="11"/>
      <c r="N26" s="11"/>
      <c r="O26" s="11"/>
      <c r="P26" s="11"/>
      <c r="Q26" s="11"/>
      <c r="S26" s="11"/>
      <c r="T26" s="11"/>
      <c r="U26" s="11"/>
      <c r="V26" s="11"/>
      <c r="W26" s="11"/>
      <c r="Y26" s="11"/>
      <c r="Z26" s="11"/>
      <c r="AA26" s="11"/>
      <c r="AB26" s="11"/>
      <c r="AC26" s="11"/>
    </row>
    <row r="27" spans="1:29" s="43" customFormat="1" x14ac:dyDescent="0.25">
      <c r="B27" s="356"/>
      <c r="C27" s="208"/>
      <c r="D27" s="11"/>
      <c r="E27" s="11"/>
      <c r="G27" s="209"/>
      <c r="H27" s="209"/>
      <c r="I27" s="11"/>
      <c r="J27" s="11"/>
      <c r="K27" s="11"/>
      <c r="M27" s="209"/>
      <c r="N27" s="209"/>
      <c r="O27" s="11"/>
      <c r="P27" s="11"/>
      <c r="Q27" s="11"/>
      <c r="S27" s="210"/>
      <c r="T27" s="210"/>
      <c r="U27" s="11"/>
      <c r="V27" s="11"/>
      <c r="W27" s="11"/>
      <c r="Y27" s="211"/>
      <c r="Z27" s="211"/>
      <c r="AA27" s="11"/>
      <c r="AB27" s="11"/>
      <c r="AC27" s="11"/>
    </row>
    <row r="28" spans="1:29" s="43" customFormat="1" x14ac:dyDescent="0.25">
      <c r="C28" s="208"/>
      <c r="D28" s="11"/>
      <c r="E28" s="11"/>
      <c r="G28" s="209"/>
      <c r="H28" s="209"/>
      <c r="I28" s="11"/>
      <c r="J28" s="11"/>
      <c r="K28" s="11"/>
      <c r="M28" s="209"/>
      <c r="N28" s="209"/>
      <c r="O28" s="11"/>
      <c r="P28" s="11"/>
      <c r="Q28" s="11"/>
      <c r="S28" s="210"/>
      <c r="T28" s="210"/>
      <c r="U28" s="11"/>
      <c r="V28" s="11"/>
      <c r="W28" s="11"/>
      <c r="Y28" s="211"/>
      <c r="Z28" s="211"/>
      <c r="AA28" s="11"/>
      <c r="AB28" s="11"/>
      <c r="AC28" s="11"/>
    </row>
    <row r="29" spans="1:29" s="43" customFormat="1" x14ac:dyDescent="0.25">
      <c r="B29" s="356"/>
      <c r="C29" s="11"/>
      <c r="D29" s="11"/>
      <c r="E29" s="12"/>
      <c r="G29" s="11"/>
      <c r="H29" s="11"/>
      <c r="I29" s="11"/>
      <c r="J29" s="11"/>
      <c r="K29" s="11"/>
      <c r="M29" s="11"/>
      <c r="N29" s="11"/>
      <c r="O29" s="11"/>
      <c r="P29" s="11"/>
      <c r="Q29" s="11"/>
      <c r="S29" s="11"/>
      <c r="T29" s="11"/>
      <c r="U29" s="11"/>
      <c r="V29" s="11"/>
      <c r="W29" s="11"/>
      <c r="Y29" s="11"/>
      <c r="Z29" s="11"/>
      <c r="AA29" s="11"/>
      <c r="AB29" s="11"/>
      <c r="AC29" s="11"/>
    </row>
    <row r="30" spans="1:29" s="43" customFormat="1" x14ac:dyDescent="0.25">
      <c r="C30" s="11"/>
      <c r="D30" s="11"/>
      <c r="E30" s="11"/>
      <c r="G30" s="11"/>
      <c r="H30" s="11"/>
      <c r="I30" s="11"/>
      <c r="J30" s="11"/>
      <c r="K30" s="11"/>
      <c r="M30" s="11"/>
      <c r="N30" s="11"/>
      <c r="O30" s="11"/>
      <c r="P30" s="11"/>
      <c r="Q30" s="11"/>
      <c r="S30" s="11"/>
      <c r="T30" s="11"/>
      <c r="U30" s="11"/>
      <c r="V30" s="11"/>
      <c r="W30" s="11"/>
      <c r="Y30" s="11"/>
      <c r="Z30" s="11"/>
      <c r="AA30" s="11"/>
      <c r="AB30" s="11"/>
      <c r="AC30" s="11"/>
    </row>
    <row r="31" spans="1:29" s="43" customFormat="1" x14ac:dyDescent="0.25">
      <c r="A31" s="146"/>
      <c r="B31" s="146"/>
      <c r="C31" s="357"/>
      <c r="D31" s="357"/>
      <c r="E31" s="357"/>
      <c r="F31" s="146"/>
      <c r="G31" s="357"/>
      <c r="H31" s="357"/>
      <c r="I31" s="357"/>
      <c r="J31" s="357"/>
      <c r="K31" s="357"/>
      <c r="L31" s="146"/>
      <c r="M31" s="357"/>
      <c r="N31" s="357"/>
      <c r="O31" s="357"/>
      <c r="P31" s="357"/>
      <c r="Q31" s="357"/>
      <c r="R31" s="146"/>
      <c r="S31" s="357"/>
      <c r="T31" s="357"/>
      <c r="U31" s="357"/>
      <c r="V31" s="357"/>
      <c r="W31" s="357"/>
      <c r="X31" s="146"/>
      <c r="Y31" s="357"/>
      <c r="Z31" s="357"/>
      <c r="AA31" s="357"/>
      <c r="AB31" s="357"/>
      <c r="AC31" s="357"/>
    </row>
    <row r="32" spans="1:29" s="43" customFormat="1" x14ac:dyDescent="0.25"/>
    <row r="33" s="43" customFormat="1" x14ac:dyDescent="0.25"/>
    <row r="34" s="43" customFormat="1" x14ac:dyDescent="0.25"/>
  </sheetData>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workbookViewId="0">
      <pane xSplit="1" ySplit="16" topLeftCell="B17" activePane="bottomRight" state="frozen"/>
      <selection pane="topRight" activeCell="B1" sqref="B1"/>
      <selection pane="bottomLeft" activeCell="A17" sqref="A17"/>
      <selection pane="bottomRight"/>
    </sheetView>
  </sheetViews>
  <sheetFormatPr defaultRowHeight="13.2" x14ac:dyDescent="0.25"/>
  <cols>
    <col min="1" max="1" width="63.33203125" customWidth="1"/>
    <col min="2" max="9" width="25.6640625" customWidth="1"/>
    <col min="10" max="10" width="13.88671875" customWidth="1"/>
    <col min="11" max="11" width="13" customWidth="1"/>
    <col min="12" max="12" width="12" customWidth="1"/>
    <col min="16" max="16" width="16" customWidth="1"/>
    <col min="17" max="17" width="18.109375" customWidth="1"/>
    <col min="18" max="18" width="13" customWidth="1"/>
    <col min="19" max="19" width="12.44140625" bestFit="1" customWidth="1"/>
    <col min="20" max="20" width="12.6640625" customWidth="1"/>
    <col min="21" max="21" width="10" customWidth="1"/>
    <col min="22" max="22" width="15.109375" customWidth="1"/>
    <col min="23" max="23" width="14.6640625" customWidth="1"/>
    <col min="24" max="24" width="11.88671875" customWidth="1"/>
    <col min="25" max="25" width="12.5546875" customWidth="1"/>
    <col min="26" max="26" width="13.5546875" customWidth="1"/>
    <col min="27" max="27" width="10" customWidth="1"/>
    <col min="28" max="28" width="15.109375" customWidth="1"/>
    <col min="29" max="29" width="19.44140625" customWidth="1"/>
  </cols>
  <sheetData>
    <row r="1" spans="1:29" x14ac:dyDescent="0.25">
      <c r="A1" s="2" t="s">
        <v>238</v>
      </c>
      <c r="B1" s="923" t="s">
        <v>1806</v>
      </c>
    </row>
    <row r="2" spans="1:29" x14ac:dyDescent="0.25">
      <c r="A2" s="2" t="s">
        <v>241</v>
      </c>
      <c r="B2" s="3" t="s">
        <v>450</v>
      </c>
    </row>
    <row r="3" spans="1:29" x14ac:dyDescent="0.25">
      <c r="A3" s="2" t="s">
        <v>239</v>
      </c>
      <c r="B3" s="923" t="s">
        <v>1422</v>
      </c>
    </row>
    <row r="4" spans="1:29" x14ac:dyDescent="0.25">
      <c r="A4" s="2" t="s">
        <v>240</v>
      </c>
      <c r="B4" s="1">
        <v>2004</v>
      </c>
    </row>
    <row r="5" spans="1:29" x14ac:dyDescent="0.25">
      <c r="B5" s="1"/>
    </row>
    <row r="6" spans="1:29" x14ac:dyDescent="0.25">
      <c r="A6" s="447" t="s">
        <v>415</v>
      </c>
      <c r="B6" s="179" t="s">
        <v>22</v>
      </c>
      <c r="C6" s="179"/>
      <c r="D6" s="178" t="s">
        <v>23</v>
      </c>
      <c r="E6" s="179"/>
      <c r="F6" s="178" t="s">
        <v>24</v>
      </c>
      <c r="G6" s="179"/>
      <c r="H6" s="178" t="s">
        <v>25</v>
      </c>
      <c r="I6" s="180"/>
    </row>
    <row r="7" spans="1:29" x14ac:dyDescent="0.25">
      <c r="A7" s="181"/>
      <c r="B7" s="182" t="s">
        <v>198</v>
      </c>
      <c r="C7" s="182" t="s">
        <v>210</v>
      </c>
      <c r="D7" s="182" t="s">
        <v>199</v>
      </c>
      <c r="E7" s="183" t="s">
        <v>211</v>
      </c>
      <c r="F7" s="182" t="s">
        <v>201</v>
      </c>
      <c r="G7" s="182" t="s">
        <v>247</v>
      </c>
      <c r="H7" s="182" t="s">
        <v>203</v>
      </c>
      <c r="I7" s="182" t="s">
        <v>247</v>
      </c>
      <c r="J7" s="159"/>
      <c r="K7" s="159"/>
      <c r="L7" s="43"/>
      <c r="M7" s="43"/>
      <c r="N7" s="43"/>
      <c r="O7" s="43"/>
      <c r="P7" s="43"/>
      <c r="Q7" s="43"/>
      <c r="R7" s="43"/>
      <c r="S7" s="43"/>
      <c r="T7" s="43"/>
      <c r="U7" s="43"/>
      <c r="V7" s="43"/>
      <c r="W7" s="43"/>
      <c r="X7" s="43"/>
      <c r="Y7" s="43"/>
      <c r="Z7" s="43"/>
      <c r="AA7" s="43"/>
      <c r="AB7" s="43"/>
      <c r="AC7" s="43"/>
    </row>
    <row r="8" spans="1:29" x14ac:dyDescent="0.25">
      <c r="A8" s="147" t="s">
        <v>120</v>
      </c>
      <c r="B8" s="184">
        <f>EnergySupply!B26*Unitflowchart!$S$139</f>
        <v>0</v>
      </c>
      <c r="C8" s="184">
        <f>EnergySupply!C26*Unitflowchart!$S$139</f>
        <v>0</v>
      </c>
      <c r="D8" s="184">
        <f>EnergySupply!D26*Unitflowchart!$S$139</f>
        <v>0</v>
      </c>
      <c r="E8" s="184">
        <f>EnergySupply!E26*Unitflowchart!$S$139</f>
        <v>0</v>
      </c>
      <c r="F8" s="199">
        <f>EnergySupply!F26*Unitflowchart!$S$139</f>
        <v>0</v>
      </c>
      <c r="G8" s="199">
        <f>EnergySupply!G26*Unitflowchart!$S$139</f>
        <v>0</v>
      </c>
      <c r="H8" s="200">
        <f>EnergySupply!H26*Unitflowchart!$S$139</f>
        <v>0</v>
      </c>
      <c r="I8" s="200">
        <f>EnergySupply!I26*Unitflowchart!S139</f>
        <v>0</v>
      </c>
    </row>
    <row r="9" spans="1:29" x14ac:dyDescent="0.25">
      <c r="A9" s="147" t="s">
        <v>121</v>
      </c>
      <c r="B9" s="184">
        <f>EnergySupply!B27*Unitflowchart!$S$139</f>
        <v>0</v>
      </c>
      <c r="C9" s="184">
        <f>EnergySupply!C27*Unitflowchart!$S$139</f>
        <v>0</v>
      </c>
      <c r="D9" s="184">
        <f>EnergySupply!D27*Unitflowchart!$S$139</f>
        <v>0</v>
      </c>
      <c r="E9" s="184">
        <f>EnergySupply!E27*Unitflowchart!$S$139</f>
        <v>0</v>
      </c>
      <c r="F9" s="199">
        <f>EnergySupply!F27*Unitflowchart!$S$139</f>
        <v>0</v>
      </c>
      <c r="G9" s="199">
        <f>EnergySupply!G27*Unitflowchart!$S$139</f>
        <v>0</v>
      </c>
      <c r="H9" s="200">
        <f>EnergySupply!H27*Unitflowchart!$S$139</f>
        <v>0</v>
      </c>
      <c r="I9" s="200">
        <f>EnergySupply!I27*Unitflowchart!S139</f>
        <v>0</v>
      </c>
    </row>
    <row r="10" spans="1:29" x14ac:dyDescent="0.25">
      <c r="A10" s="147" t="s">
        <v>122</v>
      </c>
      <c r="B10" s="184">
        <f>EnergySupply!B31*Unitflowchart!$S$141</f>
        <v>0</v>
      </c>
      <c r="C10" s="184">
        <f>EnergySupply!C31*Unitflowchart!$S$141</f>
        <v>0</v>
      </c>
      <c r="D10" s="184">
        <f>EnergySupply!D31*Unitflowchart!$S$141</f>
        <v>0</v>
      </c>
      <c r="E10" s="184">
        <f>EnergySupply!E31*Unitflowchart!$S$141</f>
        <v>0</v>
      </c>
      <c r="F10" s="199">
        <f>EnergySupply!F31*Unitflowchart!$S$141</f>
        <v>1.4117647058823532E-5</v>
      </c>
      <c r="G10" s="199">
        <f>EnergySupply!G31*Unitflowchart!$S$141</f>
        <v>0</v>
      </c>
      <c r="H10" s="200">
        <f>EnergySupply!H31*Unitflowchart!$S$141</f>
        <v>4.2352941176470591E-6</v>
      </c>
      <c r="I10" s="200">
        <f>EnergySupply!I31*Unitflowchart!S138</f>
        <v>0</v>
      </c>
    </row>
    <row r="11" spans="1:29" x14ac:dyDescent="0.25">
      <c r="A11" s="149" t="s">
        <v>826</v>
      </c>
      <c r="B11" s="201">
        <f>EnergySupply!B34*Unitflowchart!$S$141</f>
        <v>0</v>
      </c>
      <c r="C11" s="201">
        <f>EnergySupply!C34*Unitflowchart!$S$141</f>
        <v>0</v>
      </c>
      <c r="D11" s="201">
        <f>EnergySupply!D34*Unitflowchart!$S$141</f>
        <v>0</v>
      </c>
      <c r="E11" s="201">
        <f>EnergySupply!E34*Unitflowchart!$S$141</f>
        <v>0</v>
      </c>
      <c r="F11" s="202">
        <f>EnergySupply!F34*Unitflowchart!$S$141</f>
        <v>2.8235294117647067E-5</v>
      </c>
      <c r="G11" s="202">
        <f>EnergySupply!G34*Unitflowchart!$S$141</f>
        <v>0</v>
      </c>
      <c r="H11" s="203">
        <f>EnergySupply!H34*Unitflowchart!$S$141</f>
        <v>8.4705882352941183E-6</v>
      </c>
      <c r="I11" s="203">
        <f>EnergySupply!I34*Unitflowchart!S138</f>
        <v>0</v>
      </c>
    </row>
    <row r="12" spans="1:29" x14ac:dyDescent="0.25">
      <c r="A12" s="1493" t="s">
        <v>1814</v>
      </c>
      <c r="B12" s="205">
        <f>Unitflowchart!S269</f>
        <v>7436.5199999999995</v>
      </c>
      <c r="C12" s="190"/>
      <c r="D12" s="190"/>
      <c r="E12" s="190"/>
      <c r="F12" s="191"/>
      <c r="G12" s="191"/>
      <c r="H12" s="192"/>
      <c r="I12" s="192"/>
    </row>
    <row r="13" spans="1:29" x14ac:dyDescent="0.25">
      <c r="A13" s="1045" t="s">
        <v>1815</v>
      </c>
      <c r="B13" s="207">
        <f>Unitflowchart!S271</f>
        <v>93.4</v>
      </c>
      <c r="C13" s="190"/>
      <c r="D13" s="190"/>
      <c r="E13" s="190"/>
      <c r="F13" s="191"/>
      <c r="G13" s="191"/>
      <c r="H13" s="192"/>
      <c r="I13" s="192"/>
    </row>
    <row r="14" spans="1:29" s="43" customFormat="1" x14ac:dyDescent="0.25">
      <c r="A14" s="212"/>
      <c r="B14" s="213"/>
      <c r="C14" s="190"/>
      <c r="D14" s="190"/>
      <c r="E14" s="190"/>
      <c r="F14" s="191"/>
      <c r="G14" s="191"/>
      <c r="H14" s="192"/>
      <c r="I14" s="192"/>
    </row>
    <row r="15" spans="1:29" s="24" customFormat="1" x14ac:dyDescent="0.25">
      <c r="A15" s="24" t="s">
        <v>243</v>
      </c>
      <c r="B15" s="24" t="s">
        <v>242</v>
      </c>
      <c r="E15" s="24" t="s">
        <v>28</v>
      </c>
      <c r="F15" s="24" t="s">
        <v>245</v>
      </c>
      <c r="I15" s="24" t="s">
        <v>28</v>
      </c>
      <c r="J15" s="361" t="s">
        <v>837</v>
      </c>
      <c r="L15" s="24" t="s">
        <v>249</v>
      </c>
      <c r="O15" s="24" t="s">
        <v>28</v>
      </c>
      <c r="P15" s="361" t="s">
        <v>838</v>
      </c>
      <c r="R15" s="24" t="s">
        <v>251</v>
      </c>
      <c r="U15" s="24" t="s">
        <v>28</v>
      </c>
      <c r="V15" s="361" t="s">
        <v>840</v>
      </c>
      <c r="X15" s="24" t="s">
        <v>253</v>
      </c>
      <c r="AA15" s="24" t="s">
        <v>28</v>
      </c>
      <c r="AB15" s="361" t="s">
        <v>841</v>
      </c>
    </row>
    <row r="16" spans="1:29" x14ac:dyDescent="0.25">
      <c r="A16" s="16"/>
      <c r="B16" s="24" t="s">
        <v>244</v>
      </c>
      <c r="C16" s="24" t="s">
        <v>246</v>
      </c>
      <c r="D16" s="24" t="s">
        <v>247</v>
      </c>
      <c r="E16" s="24"/>
      <c r="F16" s="24"/>
      <c r="G16" s="24" t="s">
        <v>246</v>
      </c>
      <c r="H16" s="24" t="s">
        <v>247</v>
      </c>
      <c r="I16" s="24"/>
      <c r="J16" s="24" t="s">
        <v>246</v>
      </c>
      <c r="K16" s="24" t="s">
        <v>247</v>
      </c>
      <c r="L16" s="24" t="s">
        <v>244</v>
      </c>
      <c r="M16" s="24" t="s">
        <v>246</v>
      </c>
      <c r="N16" s="24" t="s">
        <v>247</v>
      </c>
      <c r="O16" s="24"/>
      <c r="P16" s="24" t="s">
        <v>246</v>
      </c>
      <c r="Q16" s="24" t="s">
        <v>247</v>
      </c>
      <c r="R16" s="24" t="s">
        <v>244</v>
      </c>
      <c r="S16" s="24" t="s">
        <v>246</v>
      </c>
      <c r="T16" s="24" t="s">
        <v>247</v>
      </c>
      <c r="U16" s="24"/>
      <c r="V16" s="24" t="s">
        <v>246</v>
      </c>
      <c r="W16" s="24" t="s">
        <v>247</v>
      </c>
      <c r="X16" s="24" t="s">
        <v>244</v>
      </c>
      <c r="Y16" s="24" t="s">
        <v>246</v>
      </c>
      <c r="Z16" s="24" t="s">
        <v>247</v>
      </c>
      <c r="AA16" s="24"/>
      <c r="AB16" s="24" t="s">
        <v>246</v>
      </c>
      <c r="AC16" s="24" t="s">
        <v>247</v>
      </c>
    </row>
    <row r="17" spans="1:29" x14ac:dyDescent="0.25">
      <c r="A17" s="2" t="s">
        <v>1806</v>
      </c>
      <c r="C17" s="1"/>
      <c r="D17" s="1"/>
      <c r="E17" s="1"/>
      <c r="G17" s="1"/>
      <c r="H17" s="1"/>
      <c r="I17" s="1"/>
      <c r="J17" s="1"/>
      <c r="K17" s="1"/>
    </row>
    <row r="18" spans="1:29" s="43" customFormat="1" x14ac:dyDescent="0.25">
      <c r="B18" s="356"/>
      <c r="C18" s="208"/>
      <c r="D18" s="11"/>
      <c r="E18" s="11"/>
      <c r="G18" s="209"/>
      <c r="H18" s="209"/>
      <c r="I18" s="11"/>
      <c r="J18" s="11"/>
      <c r="K18" s="208"/>
      <c r="M18" s="11"/>
      <c r="N18" s="11"/>
      <c r="O18" s="11"/>
      <c r="P18" s="11"/>
      <c r="Q18" s="11"/>
      <c r="S18" s="11"/>
      <c r="T18" s="11"/>
      <c r="U18" s="11"/>
      <c r="V18" s="11"/>
      <c r="W18" s="11"/>
      <c r="Y18" s="11"/>
      <c r="Z18" s="11"/>
      <c r="AA18" s="11"/>
      <c r="AB18" s="11"/>
      <c r="AC18" s="11"/>
    </row>
    <row r="19" spans="1:29" x14ac:dyDescent="0.25">
      <c r="A19" s="16" t="s">
        <v>124</v>
      </c>
      <c r="B19" t="s">
        <v>451</v>
      </c>
      <c r="C19" s="693">
        <f>B12</f>
        <v>7436.5199999999995</v>
      </c>
      <c r="D19" s="512">
        <v>0</v>
      </c>
      <c r="E19" s="11" t="s">
        <v>1816</v>
      </c>
      <c r="F19" t="s">
        <v>7</v>
      </c>
      <c r="G19" s="991">
        <f>B8+B10</f>
        <v>0</v>
      </c>
      <c r="H19" s="991">
        <f>C8+C10</f>
        <v>0</v>
      </c>
      <c r="I19" s="11" t="s">
        <v>827</v>
      </c>
      <c r="J19" s="500">
        <f>C19*G19</f>
        <v>0</v>
      </c>
      <c r="K19" s="500">
        <f>SQRT(((D19*G19)^2)+((C19*H19)^2))</f>
        <v>0</v>
      </c>
      <c r="L19" t="s">
        <v>8</v>
      </c>
      <c r="M19" s="991">
        <f>(D8+D10)/3.6</f>
        <v>0</v>
      </c>
      <c r="N19" s="991">
        <f>(E8+E10)/3.6</f>
        <v>0</v>
      </c>
      <c r="O19" s="11" t="s">
        <v>828</v>
      </c>
      <c r="P19" s="500">
        <f>C19*M19</f>
        <v>0</v>
      </c>
      <c r="Q19" s="500">
        <f>SQRT(((D19*M19)^2)+((C19*N19)^2))</f>
        <v>0</v>
      </c>
      <c r="R19" t="s">
        <v>9</v>
      </c>
      <c r="S19" s="990">
        <f>(F8+F10)/3.6</f>
        <v>3.9215686274509812E-6</v>
      </c>
      <c r="T19" s="990">
        <f>(G8+G10)/3.6</f>
        <v>0</v>
      </c>
      <c r="U19" s="11" t="s">
        <v>830</v>
      </c>
      <c r="V19" s="586">
        <f>C19*S19</f>
        <v>2.9162823529411769E-2</v>
      </c>
      <c r="W19" s="586">
        <f>SQRT(((D19*S19)^2)+((C19*T19)^2))</f>
        <v>0</v>
      </c>
      <c r="X19" t="s">
        <v>10</v>
      </c>
      <c r="Y19" s="990">
        <f>(H8+H10)/3.6</f>
        <v>1.1764705882352942E-6</v>
      </c>
      <c r="Z19" s="990">
        <f>(I8+I10)/3.6</f>
        <v>0</v>
      </c>
      <c r="AA19" s="11" t="s">
        <v>832</v>
      </c>
      <c r="AB19" s="497">
        <f>C19*Y19</f>
        <v>8.7488470588235299E-3</v>
      </c>
      <c r="AC19" s="497">
        <f>SQRT(((D19*Y19)^2)+((C19*Z19)^2))</f>
        <v>0</v>
      </c>
    </row>
    <row r="20" spans="1:29" x14ac:dyDescent="0.25">
      <c r="A20" s="16" t="s">
        <v>123</v>
      </c>
      <c r="B20" t="s">
        <v>765</v>
      </c>
      <c r="C20" s="359">
        <f>$B$13</f>
        <v>93.4</v>
      </c>
      <c r="D20" s="418">
        <v>0</v>
      </c>
      <c r="E20" s="11" t="s">
        <v>1817</v>
      </c>
      <c r="F20" t="s">
        <v>185</v>
      </c>
      <c r="G20" s="991">
        <f>3.6*(B9+B11)</f>
        <v>0</v>
      </c>
      <c r="H20" s="991">
        <f>3.6*(C9+C11)</f>
        <v>0</v>
      </c>
      <c r="I20" s="11" t="s">
        <v>834</v>
      </c>
      <c r="J20" s="500">
        <f>C20*G20</f>
        <v>0</v>
      </c>
      <c r="K20" s="500">
        <f>SQRT(((D20*G20)^2)+((C20*H20)^2))</f>
        <v>0</v>
      </c>
      <c r="L20" t="s">
        <v>186</v>
      </c>
      <c r="M20" s="991">
        <f>(D9+D11)</f>
        <v>0</v>
      </c>
      <c r="N20" s="991">
        <f>(E9+E11)</f>
        <v>0</v>
      </c>
      <c r="O20" s="11" t="s">
        <v>829</v>
      </c>
      <c r="P20" s="500">
        <f>C20*M20</f>
        <v>0</v>
      </c>
      <c r="Q20" s="500">
        <f>SQRT(((D20*M20)^2)+((C20*N20)^2))</f>
        <v>0</v>
      </c>
      <c r="R20" t="s">
        <v>187</v>
      </c>
      <c r="S20" s="990">
        <f>(F9+F11)</f>
        <v>2.8235294117647067E-5</v>
      </c>
      <c r="T20" s="990">
        <f>(G9+G11)</f>
        <v>0</v>
      </c>
      <c r="U20" s="11" t="s">
        <v>831</v>
      </c>
      <c r="V20" s="586">
        <f>C20*S20</f>
        <v>2.6371764705882361E-3</v>
      </c>
      <c r="W20" s="586">
        <f>SQRT(((D20*S20)^2)+((C20*T20)^2))</f>
        <v>0</v>
      </c>
      <c r="X20" t="s">
        <v>188</v>
      </c>
      <c r="Y20" s="990">
        <f>(H9+H11)</f>
        <v>8.4705882352941183E-6</v>
      </c>
      <c r="Z20" s="990">
        <f>(I9+I11)</f>
        <v>0</v>
      </c>
      <c r="AA20" s="11" t="s">
        <v>833</v>
      </c>
      <c r="AB20" s="497">
        <f>C20*Y20</f>
        <v>7.9115294117647068E-4</v>
      </c>
      <c r="AC20" s="497">
        <f>SQRT(((D20*Y20)^2)+((C20*Z20)^2))</f>
        <v>0</v>
      </c>
    </row>
    <row r="21" spans="1:29" x14ac:dyDescent="0.25">
      <c r="A21" s="360"/>
      <c r="J21" s="501"/>
      <c r="K21" s="501"/>
      <c r="P21" s="501"/>
      <c r="Q21" s="501"/>
      <c r="V21" s="587"/>
      <c r="W21" s="587"/>
      <c r="AB21" s="498"/>
      <c r="AC21" s="498"/>
    </row>
    <row r="22" spans="1:29" s="2" customFormat="1" x14ac:dyDescent="0.25">
      <c r="A22" s="18" t="s">
        <v>375</v>
      </c>
      <c r="J22" s="503">
        <f>SUM(J19:J21)</f>
        <v>0</v>
      </c>
      <c r="K22" s="503">
        <f>SQRT(SUMSQ(K19:K20))</f>
        <v>0</v>
      </c>
      <c r="P22" s="503">
        <f>SUM(P19:P21)</f>
        <v>0</v>
      </c>
      <c r="Q22" s="503">
        <f>SQRT(SUMSQ(Q19:Q20))</f>
        <v>0</v>
      </c>
      <c r="V22" s="617">
        <f>SUM(V19:V21)</f>
        <v>3.1800000000000002E-2</v>
      </c>
      <c r="W22" s="617">
        <f>SQRT(SUMSQ(W19:W20))</f>
        <v>0</v>
      </c>
      <c r="AB22" s="499">
        <f>SUM(AB19:AB21)</f>
        <v>9.5399999999999999E-3</v>
      </c>
      <c r="AC22" s="499">
        <f>SQRT(SUMSQ(AC19:AC20))</f>
        <v>0</v>
      </c>
    </row>
    <row r="23" spans="1:29" x14ac:dyDescent="0.25">
      <c r="A23" s="16"/>
    </row>
    <row r="24" spans="1:29" s="43" customFormat="1" x14ac:dyDescent="0.25">
      <c r="B24" s="356"/>
      <c r="C24" s="11"/>
      <c r="D24" s="11"/>
      <c r="E24" s="12"/>
      <c r="G24" s="11"/>
      <c r="H24" s="11"/>
      <c r="I24" s="11"/>
      <c r="J24" s="11"/>
      <c r="K24" s="11"/>
      <c r="M24" s="11"/>
      <c r="N24" s="11"/>
      <c r="O24" s="11"/>
      <c r="P24" s="11"/>
      <c r="Q24" s="11"/>
      <c r="S24" s="11"/>
      <c r="T24" s="11"/>
      <c r="U24" s="11"/>
      <c r="V24" s="11"/>
      <c r="W24" s="11"/>
      <c r="Y24" s="11"/>
      <c r="Z24" s="11"/>
      <c r="AA24" s="11"/>
      <c r="AB24" s="11"/>
      <c r="AC24" s="11"/>
    </row>
    <row r="25" spans="1:29" s="43" customFormat="1" x14ac:dyDescent="0.25">
      <c r="B25" s="356"/>
      <c r="C25" s="11"/>
      <c r="D25" s="11"/>
      <c r="E25" s="12"/>
      <c r="G25" s="11"/>
      <c r="H25" s="11"/>
      <c r="I25" s="11"/>
      <c r="J25" s="11"/>
      <c r="K25" s="11"/>
      <c r="M25" s="11"/>
      <c r="N25" s="11"/>
      <c r="O25" s="11"/>
      <c r="P25" s="11"/>
      <c r="Q25" s="11"/>
      <c r="S25" s="11"/>
      <c r="T25" s="11"/>
      <c r="U25" s="11"/>
      <c r="V25" s="11"/>
      <c r="W25" s="11"/>
      <c r="Y25" s="11"/>
      <c r="Z25" s="11"/>
      <c r="AA25" s="11"/>
      <c r="AB25" s="11"/>
      <c r="AC25" s="11"/>
    </row>
    <row r="26" spans="1:29" s="43" customFormat="1" x14ac:dyDescent="0.25">
      <c r="B26" s="356"/>
      <c r="C26" s="11"/>
      <c r="D26" s="11"/>
      <c r="E26" s="12"/>
      <c r="G26" s="11"/>
      <c r="H26" s="11"/>
      <c r="I26" s="11"/>
      <c r="J26" s="11"/>
      <c r="K26" s="11"/>
      <c r="M26" s="11"/>
      <c r="N26" s="11"/>
      <c r="O26" s="11"/>
      <c r="P26" s="11"/>
      <c r="Q26" s="11"/>
      <c r="S26" s="11"/>
      <c r="T26" s="11"/>
      <c r="U26" s="11"/>
      <c r="V26" s="11"/>
      <c r="W26" s="11"/>
      <c r="Y26" s="11"/>
      <c r="Z26" s="11"/>
      <c r="AA26" s="11"/>
      <c r="AB26" s="11"/>
      <c r="AC26" s="11"/>
    </row>
    <row r="27" spans="1:29" s="43" customFormat="1" x14ac:dyDescent="0.25">
      <c r="B27" s="356"/>
      <c r="C27" s="208"/>
      <c r="D27" s="11"/>
      <c r="E27" s="11"/>
      <c r="G27" s="209"/>
      <c r="H27" s="209"/>
      <c r="I27" s="11"/>
      <c r="J27" s="11"/>
      <c r="K27" s="11"/>
      <c r="M27" s="209"/>
      <c r="N27" s="209"/>
      <c r="O27" s="11"/>
      <c r="P27" s="11"/>
      <c r="Q27" s="11"/>
      <c r="S27" s="210"/>
      <c r="T27" s="210"/>
      <c r="U27" s="11"/>
      <c r="V27" s="11"/>
      <c r="W27" s="11"/>
      <c r="Y27" s="211"/>
      <c r="Z27" s="211"/>
      <c r="AA27" s="11"/>
      <c r="AB27" s="11"/>
      <c r="AC27" s="11"/>
    </row>
    <row r="28" spans="1:29" s="43" customFormat="1" x14ac:dyDescent="0.25">
      <c r="C28" s="208"/>
      <c r="D28" s="11"/>
      <c r="E28" s="11"/>
      <c r="G28" s="209"/>
      <c r="H28" s="209"/>
      <c r="I28" s="11"/>
      <c r="J28" s="11"/>
      <c r="K28" s="11"/>
      <c r="M28" s="209"/>
      <c r="N28" s="209"/>
      <c r="O28" s="11"/>
      <c r="P28" s="11"/>
      <c r="Q28" s="11"/>
      <c r="S28" s="210"/>
      <c r="T28" s="210"/>
      <c r="U28" s="11"/>
      <c r="V28" s="11"/>
      <c r="W28" s="11"/>
      <c r="Y28" s="211"/>
      <c r="Z28" s="211"/>
      <c r="AA28" s="11"/>
      <c r="AB28" s="11"/>
      <c r="AC28" s="11"/>
    </row>
    <row r="29" spans="1:29" s="43" customFormat="1" x14ac:dyDescent="0.25">
      <c r="B29" s="356"/>
      <c r="C29" s="11"/>
      <c r="D29" s="11"/>
      <c r="E29" s="12"/>
      <c r="G29" s="11"/>
      <c r="H29" s="11"/>
      <c r="I29" s="11"/>
      <c r="J29" s="11"/>
      <c r="K29" s="11"/>
      <c r="M29" s="11"/>
      <c r="N29" s="11"/>
      <c r="O29" s="11"/>
      <c r="P29" s="11"/>
      <c r="Q29" s="11"/>
      <c r="S29" s="11"/>
      <c r="T29" s="11"/>
      <c r="U29" s="11"/>
      <c r="V29" s="11"/>
      <c r="W29" s="11"/>
      <c r="Y29" s="11"/>
      <c r="Z29" s="11"/>
      <c r="AA29" s="11"/>
      <c r="AB29" s="11"/>
      <c r="AC29" s="11"/>
    </row>
    <row r="30" spans="1:29" s="43" customFormat="1" x14ac:dyDescent="0.25">
      <c r="C30" s="11"/>
      <c r="D30" s="11"/>
      <c r="E30" s="11"/>
      <c r="G30" s="11"/>
      <c r="H30" s="11"/>
      <c r="I30" s="11"/>
      <c r="J30" s="11"/>
      <c r="K30" s="11"/>
      <c r="M30" s="11"/>
      <c r="N30" s="11"/>
      <c r="O30" s="11"/>
      <c r="P30" s="11"/>
      <c r="Q30" s="11"/>
      <c r="S30" s="11"/>
      <c r="T30" s="11"/>
      <c r="U30" s="11"/>
      <c r="V30" s="11"/>
      <c r="W30" s="11"/>
      <c r="Y30" s="11"/>
      <c r="Z30" s="11"/>
      <c r="AA30" s="11"/>
      <c r="AB30" s="11"/>
      <c r="AC30" s="11"/>
    </row>
    <row r="31" spans="1:29" s="43" customFormat="1" x14ac:dyDescent="0.25">
      <c r="A31" s="146"/>
      <c r="B31" s="146"/>
      <c r="C31" s="357"/>
      <c r="D31" s="357"/>
      <c r="E31" s="357"/>
      <c r="F31" s="146"/>
      <c r="G31" s="357"/>
      <c r="H31" s="357"/>
      <c r="I31" s="357"/>
      <c r="J31" s="357"/>
      <c r="K31" s="357"/>
      <c r="L31" s="146"/>
      <c r="M31" s="357"/>
      <c r="N31" s="357"/>
      <c r="O31" s="357"/>
      <c r="P31" s="357"/>
      <c r="Q31" s="357"/>
      <c r="R31" s="146"/>
      <c r="S31" s="357"/>
      <c r="T31" s="357"/>
      <c r="U31" s="357"/>
      <c r="V31" s="357"/>
      <c r="W31" s="357"/>
      <c r="X31" s="146"/>
      <c r="Y31" s="357"/>
      <c r="Z31" s="357"/>
      <c r="AA31" s="357"/>
      <c r="AB31" s="357"/>
      <c r="AC31" s="357"/>
    </row>
    <row r="32" spans="1:29" s="43" customFormat="1" x14ac:dyDescent="0.25"/>
    <row r="33" s="43" customFormat="1" x14ac:dyDescent="0.25"/>
    <row r="34" s="43" customFormat="1" x14ac:dyDescent="0.25"/>
  </sheetData>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2"/>
  <sheetViews>
    <sheetView workbookViewId="0">
      <pane xSplit="1" ySplit="15" topLeftCell="B16" activePane="bottomRight" state="frozen"/>
      <selection pane="topRight" activeCell="B1" sqref="B1"/>
      <selection pane="bottomLeft" activeCell="A16" sqref="A16"/>
      <selection pane="bottomRight"/>
    </sheetView>
  </sheetViews>
  <sheetFormatPr defaultRowHeight="13.2" x14ac:dyDescent="0.25"/>
  <cols>
    <col min="1" max="1" width="72.5546875" customWidth="1"/>
    <col min="2" max="2" width="27.88671875" customWidth="1"/>
    <col min="3" max="9" width="25.6640625" customWidth="1"/>
    <col min="10" max="10" width="12.6640625" customWidth="1"/>
    <col min="11" max="11" width="13.44140625" customWidth="1"/>
    <col min="12" max="12" width="12" customWidth="1"/>
    <col min="16" max="16" width="14.6640625" customWidth="1"/>
    <col min="17" max="17" width="19.44140625" customWidth="1"/>
    <col min="18" max="18" width="13" customWidth="1"/>
    <col min="19" max="19" width="10.5546875" bestFit="1" customWidth="1"/>
    <col min="20" max="20" width="12.6640625" customWidth="1"/>
    <col min="21" max="21" width="10" customWidth="1"/>
    <col min="22" max="22" width="14.109375" customWidth="1"/>
    <col min="23" max="23" width="15" customWidth="1"/>
    <col min="24" max="24" width="11.88671875" customWidth="1"/>
    <col min="25" max="25" width="12.5546875" customWidth="1"/>
    <col min="26" max="26" width="13.5546875" customWidth="1"/>
    <col min="27" max="27" width="10" customWidth="1"/>
    <col min="28" max="28" width="14.6640625" customWidth="1"/>
    <col min="29" max="29" width="18.6640625" customWidth="1"/>
  </cols>
  <sheetData>
    <row r="1" spans="1:29" x14ac:dyDescent="0.25">
      <c r="A1" s="2" t="s">
        <v>238</v>
      </c>
      <c r="B1" s="923" t="s">
        <v>1830</v>
      </c>
    </row>
    <row r="2" spans="1:29" x14ac:dyDescent="0.25">
      <c r="A2" s="2" t="s">
        <v>241</v>
      </c>
      <c r="B2" s="3" t="s">
        <v>450</v>
      </c>
    </row>
    <row r="3" spans="1:29" x14ac:dyDescent="0.25">
      <c r="A3" s="2" t="s">
        <v>239</v>
      </c>
      <c r="B3" s="923" t="s">
        <v>1422</v>
      </c>
    </row>
    <row r="4" spans="1:29" x14ac:dyDescent="0.25">
      <c r="A4" s="2" t="s">
        <v>240</v>
      </c>
      <c r="B4" s="1">
        <v>2004</v>
      </c>
    </row>
    <row r="5" spans="1:29" x14ac:dyDescent="0.25">
      <c r="B5" s="1"/>
    </row>
    <row r="6" spans="1:29" x14ac:dyDescent="0.25">
      <c r="A6" s="447" t="s">
        <v>415</v>
      </c>
      <c r="B6" s="179" t="s">
        <v>22</v>
      </c>
      <c r="C6" s="179"/>
      <c r="D6" s="178" t="s">
        <v>23</v>
      </c>
      <c r="E6" s="179"/>
      <c r="F6" s="178" t="s">
        <v>24</v>
      </c>
      <c r="G6" s="179"/>
      <c r="H6" s="178" t="s">
        <v>25</v>
      </c>
      <c r="I6" s="180"/>
    </row>
    <row r="7" spans="1:29" x14ac:dyDescent="0.25">
      <c r="A7" s="181"/>
      <c r="B7" s="182" t="s">
        <v>198</v>
      </c>
      <c r="C7" s="182" t="s">
        <v>210</v>
      </c>
      <c r="D7" s="182" t="s">
        <v>199</v>
      </c>
      <c r="E7" s="183" t="s">
        <v>211</v>
      </c>
      <c r="F7" s="182" t="s">
        <v>201</v>
      </c>
      <c r="G7" s="182" t="s">
        <v>247</v>
      </c>
      <c r="H7" s="182" t="s">
        <v>203</v>
      </c>
      <c r="I7" s="182" t="s">
        <v>247</v>
      </c>
      <c r="J7" s="159"/>
      <c r="K7" s="159"/>
      <c r="L7" s="43"/>
      <c r="M7" s="43"/>
      <c r="N7" s="43"/>
      <c r="O7" s="43"/>
      <c r="P7" s="43"/>
      <c r="Q7" s="43"/>
      <c r="R7" s="43"/>
      <c r="S7" s="43"/>
      <c r="T7" s="43"/>
      <c r="U7" s="43"/>
      <c r="V7" s="43"/>
      <c r="W7" s="43"/>
      <c r="X7" s="43"/>
      <c r="Y7" s="43"/>
      <c r="Z7" s="43"/>
      <c r="AA7" s="43"/>
      <c r="AB7" s="43"/>
      <c r="AC7" s="43"/>
    </row>
    <row r="8" spans="1:29" x14ac:dyDescent="0.25">
      <c r="A8" s="147" t="s">
        <v>120</v>
      </c>
      <c r="B8" s="184">
        <f>EnergySupply!B26*Unitflowchart!$S$139</f>
        <v>0</v>
      </c>
      <c r="C8" s="184">
        <f>EnergySupply!C26*Unitflowchart!$S$139</f>
        <v>0</v>
      </c>
      <c r="D8" s="184">
        <f>EnergySupply!D26*Unitflowchart!$S$139</f>
        <v>0</v>
      </c>
      <c r="E8" s="184">
        <f>EnergySupply!E26*Unitflowchart!$S$139</f>
        <v>0</v>
      </c>
      <c r="F8" s="199">
        <f>EnergySupply!F26*Unitflowchart!$S$139</f>
        <v>0</v>
      </c>
      <c r="G8" s="199">
        <f>EnergySupply!G26*Unitflowchart!$S$139</f>
        <v>0</v>
      </c>
      <c r="H8" s="200">
        <f>EnergySupply!H26*Unitflowchart!$S$139</f>
        <v>0</v>
      </c>
      <c r="I8" s="200">
        <f>EnergySupply!I26*Unitflowchart!$S$139</f>
        <v>0</v>
      </c>
    </row>
    <row r="9" spans="1:29" x14ac:dyDescent="0.25">
      <c r="A9" s="147" t="s">
        <v>121</v>
      </c>
      <c r="B9" s="184">
        <f>EnergySupply!B27*Unitflowchart!$S$139</f>
        <v>0</v>
      </c>
      <c r="C9" s="184">
        <f>EnergySupply!C27*Unitflowchart!$S$139</f>
        <v>0</v>
      </c>
      <c r="D9" s="184">
        <f>EnergySupply!D27*Unitflowchart!$S$139</f>
        <v>0</v>
      </c>
      <c r="E9" s="184">
        <f>EnergySupply!E27*Unitflowchart!$S$139</f>
        <v>0</v>
      </c>
      <c r="F9" s="199">
        <f>EnergySupply!F27*Unitflowchart!$S$139</f>
        <v>0</v>
      </c>
      <c r="G9" s="199">
        <f>EnergySupply!G27*Unitflowchart!$S$139</f>
        <v>0</v>
      </c>
      <c r="H9" s="200">
        <f>EnergySupply!H27*Unitflowchart!$S$139</f>
        <v>0</v>
      </c>
      <c r="I9" s="200">
        <f>EnergySupply!I27*Unitflowchart!$S$139</f>
        <v>0</v>
      </c>
    </row>
    <row r="10" spans="1:29" x14ac:dyDescent="0.25">
      <c r="A10" s="147" t="s">
        <v>122</v>
      </c>
      <c r="B10" s="184">
        <f>EnergySupply!B31*Unitflowchart!$S$141</f>
        <v>0</v>
      </c>
      <c r="C10" s="184">
        <f>EnergySupply!C31*Unitflowchart!$S$141</f>
        <v>0</v>
      </c>
      <c r="D10" s="184">
        <f>EnergySupply!D31*Unitflowchart!$S$141</f>
        <v>0</v>
      </c>
      <c r="E10" s="184">
        <f>EnergySupply!E31*Unitflowchart!$S$141</f>
        <v>0</v>
      </c>
      <c r="F10" s="199">
        <f>EnergySupply!F31*Unitflowchart!$S$141</f>
        <v>1.4117647058823532E-5</v>
      </c>
      <c r="G10" s="199">
        <f>EnergySupply!G31*Unitflowchart!$S$141</f>
        <v>0</v>
      </c>
      <c r="H10" s="200">
        <f>EnergySupply!H31*Unitflowchart!$S$141</f>
        <v>4.2352941176470591E-6</v>
      </c>
      <c r="I10" s="200">
        <f>EnergySupply!I31*Unitflowchart!$S$141</f>
        <v>0</v>
      </c>
    </row>
    <row r="11" spans="1:29" x14ac:dyDescent="0.25">
      <c r="A11" s="149" t="s">
        <v>826</v>
      </c>
      <c r="B11" s="201">
        <f>EnergySupply!B34*Unitflowchart!$S$141</f>
        <v>0</v>
      </c>
      <c r="C11" s="201">
        <f>EnergySupply!C34*Unitflowchart!$S$141</f>
        <v>0</v>
      </c>
      <c r="D11" s="201">
        <f>EnergySupply!D34*Unitflowchart!$S$141</f>
        <v>0</v>
      </c>
      <c r="E11" s="201">
        <f>EnergySupply!E34*Unitflowchart!$S$141</f>
        <v>0</v>
      </c>
      <c r="F11" s="202">
        <f>EnergySupply!F34*Unitflowchart!$S$141</f>
        <v>2.8235294117647067E-5</v>
      </c>
      <c r="G11" s="202">
        <f>EnergySupply!G34*Unitflowchart!$S$141</f>
        <v>0</v>
      </c>
      <c r="H11" s="203">
        <f>EnergySupply!H34*Unitflowchart!$S$141</f>
        <v>8.4705882352941183E-6</v>
      </c>
      <c r="I11" s="203">
        <f>EnergySupply!I34*Unitflowchart!$S$141</f>
        <v>0</v>
      </c>
    </row>
    <row r="12" spans="1:29" x14ac:dyDescent="0.25">
      <c r="A12" s="1094" t="s">
        <v>1831</v>
      </c>
      <c r="B12" s="189">
        <f>Unitflowchart!S287*Unitflowchart!S320/Unitflowchart!S383</f>
        <v>150.4</v>
      </c>
      <c r="C12" s="190"/>
      <c r="D12" s="190"/>
      <c r="E12" s="190"/>
      <c r="F12" s="191"/>
      <c r="G12" s="191"/>
      <c r="H12" s="192"/>
      <c r="I12" s="192"/>
    </row>
    <row r="13" spans="1:29" s="43" customFormat="1" x14ac:dyDescent="0.25">
      <c r="A13" s="212"/>
      <c r="B13" s="213"/>
      <c r="C13" s="190"/>
      <c r="D13" s="190"/>
      <c r="E13" s="190"/>
      <c r="F13" s="191"/>
      <c r="G13" s="191"/>
      <c r="H13" s="192"/>
      <c r="I13" s="192"/>
    </row>
    <row r="14" spans="1:29" s="361" customFormat="1" x14ac:dyDescent="0.25">
      <c r="A14" s="361" t="s">
        <v>243</v>
      </c>
      <c r="B14" s="361" t="s">
        <v>242</v>
      </c>
      <c r="E14" s="361" t="s">
        <v>28</v>
      </c>
      <c r="F14" s="361" t="s">
        <v>245</v>
      </c>
      <c r="I14" s="361" t="s">
        <v>28</v>
      </c>
      <c r="J14" s="361" t="s">
        <v>837</v>
      </c>
      <c r="L14" s="361" t="s">
        <v>249</v>
      </c>
      <c r="O14" s="361" t="s">
        <v>28</v>
      </c>
      <c r="P14" s="361" t="s">
        <v>838</v>
      </c>
      <c r="R14" s="361" t="s">
        <v>251</v>
      </c>
      <c r="U14" s="361" t="s">
        <v>28</v>
      </c>
      <c r="V14" s="361" t="s">
        <v>840</v>
      </c>
      <c r="X14" s="361" t="s">
        <v>253</v>
      </c>
      <c r="AA14" s="361" t="s">
        <v>28</v>
      </c>
      <c r="AB14" s="361" t="s">
        <v>841</v>
      </c>
    </row>
    <row r="15" spans="1:29" s="3" customFormat="1" x14ac:dyDescent="0.25">
      <c r="A15" s="44"/>
      <c r="B15" s="361" t="s">
        <v>244</v>
      </c>
      <c r="C15" s="361" t="s">
        <v>246</v>
      </c>
      <c r="D15" s="361" t="s">
        <v>247</v>
      </c>
      <c r="E15" s="361"/>
      <c r="F15" s="361"/>
      <c r="G15" s="361" t="s">
        <v>246</v>
      </c>
      <c r="H15" s="361" t="s">
        <v>247</v>
      </c>
      <c r="I15" s="361"/>
      <c r="J15" s="361" t="s">
        <v>246</v>
      </c>
      <c r="K15" s="361" t="s">
        <v>247</v>
      </c>
      <c r="L15" s="361" t="s">
        <v>244</v>
      </c>
      <c r="M15" s="361" t="s">
        <v>246</v>
      </c>
      <c r="N15" s="361" t="s">
        <v>247</v>
      </c>
      <c r="O15" s="361"/>
      <c r="P15" s="361" t="s">
        <v>246</v>
      </c>
      <c r="Q15" s="361" t="s">
        <v>247</v>
      </c>
      <c r="R15" s="361" t="s">
        <v>244</v>
      </c>
      <c r="S15" s="361" t="s">
        <v>246</v>
      </c>
      <c r="T15" s="361" t="s">
        <v>247</v>
      </c>
      <c r="U15" s="361"/>
      <c r="V15" s="361" t="s">
        <v>246</v>
      </c>
      <c r="W15" s="361" t="s">
        <v>247</v>
      </c>
      <c r="X15" s="361" t="s">
        <v>244</v>
      </c>
      <c r="Y15" s="361" t="s">
        <v>246</v>
      </c>
      <c r="Z15" s="361" t="s">
        <v>247</v>
      </c>
      <c r="AA15" s="361"/>
      <c r="AB15" s="361" t="s">
        <v>246</v>
      </c>
      <c r="AC15" s="361" t="s">
        <v>247</v>
      </c>
    </row>
    <row r="16" spans="1:29" s="3" customFormat="1" x14ac:dyDescent="0.25">
      <c r="A16" s="18" t="s">
        <v>1830</v>
      </c>
      <c r="C16" s="329"/>
      <c r="D16" s="329"/>
      <c r="E16" s="329"/>
      <c r="G16" s="329"/>
      <c r="H16" s="329"/>
      <c r="I16" s="329"/>
      <c r="J16" s="329"/>
      <c r="K16" s="329"/>
    </row>
    <row r="17" spans="1:29" s="362" customFormat="1" x14ac:dyDescent="0.25">
      <c r="A17" s="360"/>
    </row>
    <row r="18" spans="1:29" x14ac:dyDescent="0.25">
      <c r="A18" s="16" t="s">
        <v>123</v>
      </c>
      <c r="B18" t="s">
        <v>765</v>
      </c>
      <c r="C18" s="359">
        <f>$B$12</f>
        <v>150.4</v>
      </c>
      <c r="D18" s="418">
        <v>0</v>
      </c>
      <c r="E18" s="11" t="s">
        <v>1832</v>
      </c>
      <c r="F18" t="s">
        <v>185</v>
      </c>
      <c r="G18" s="991">
        <f>3.6*(B9+B11)</f>
        <v>0</v>
      </c>
      <c r="H18" s="991">
        <f>3.6*(C9+C11)</f>
        <v>0</v>
      </c>
      <c r="I18" s="11" t="s">
        <v>834</v>
      </c>
      <c r="J18" s="500">
        <f>C18*G18</f>
        <v>0</v>
      </c>
      <c r="K18" s="500">
        <f>SQRT(((D18*G18)^2)+((C18*H18)^2))</f>
        <v>0</v>
      </c>
      <c r="L18" t="s">
        <v>186</v>
      </c>
      <c r="M18" s="991">
        <f>(D9+D11)</f>
        <v>0</v>
      </c>
      <c r="N18" s="991">
        <f>(E9+E11)</f>
        <v>0</v>
      </c>
      <c r="O18" s="11" t="s">
        <v>829</v>
      </c>
      <c r="P18" s="500">
        <f>C18*M18</f>
        <v>0</v>
      </c>
      <c r="Q18" s="500">
        <f>SQRT(((D18*M18)^2)+((C18*N18)^2))</f>
        <v>0</v>
      </c>
      <c r="R18" t="s">
        <v>187</v>
      </c>
      <c r="S18" s="1433">
        <f>(F9+F11)</f>
        <v>2.8235294117647067E-5</v>
      </c>
      <c r="T18" s="1433">
        <f>(G9+G11)</f>
        <v>0</v>
      </c>
      <c r="U18" s="11" t="s">
        <v>831</v>
      </c>
      <c r="V18" s="586">
        <f>C18*S18</f>
        <v>4.2465882352941192E-3</v>
      </c>
      <c r="W18" s="586">
        <f>SQRT(((D18*S18)^2)+((C18*T18)^2))</f>
        <v>0</v>
      </c>
      <c r="X18" t="s">
        <v>188</v>
      </c>
      <c r="Y18" s="1436">
        <f>(H9+H11)</f>
        <v>8.4705882352941183E-6</v>
      </c>
      <c r="Z18" s="1436">
        <f>(I9+I11)</f>
        <v>0</v>
      </c>
      <c r="AA18" s="11" t="s">
        <v>833</v>
      </c>
      <c r="AB18" s="497">
        <f>C18*Y18</f>
        <v>1.2739764705882355E-3</v>
      </c>
      <c r="AC18" s="497">
        <f>SQRT(((D18*Y18)^2)+((C18*Z18)^2))</f>
        <v>0</v>
      </c>
    </row>
    <row r="19" spans="1:29" s="3" customFormat="1" x14ac:dyDescent="0.25">
      <c r="A19" s="44"/>
      <c r="J19" s="699"/>
      <c r="K19" s="699"/>
      <c r="P19" s="699"/>
      <c r="Q19" s="699"/>
      <c r="V19" s="700"/>
      <c r="W19" s="700"/>
      <c r="AB19" s="702"/>
      <c r="AC19" s="702"/>
    </row>
    <row r="20" spans="1:29" s="2" customFormat="1" x14ac:dyDescent="0.25">
      <c r="A20" s="18" t="s">
        <v>375</v>
      </c>
      <c r="J20" s="503">
        <f>SUM(J18:J19)</f>
        <v>0</v>
      </c>
      <c r="K20" s="503">
        <f>SQRT(SUMSQ(K18:K18))</f>
        <v>0</v>
      </c>
      <c r="P20" s="503">
        <f>SUM(P18:P19)</f>
        <v>0</v>
      </c>
      <c r="Q20" s="503">
        <f>SQRT(SUMSQ(Q18:Q18))</f>
        <v>0</v>
      </c>
      <c r="V20" s="499">
        <f>SUM(V18:V19)</f>
        <v>4.2465882352941192E-3</v>
      </c>
      <c r="W20" s="499">
        <f>SQRT(SUMSQ(W18:W18))</f>
        <v>0</v>
      </c>
      <c r="AB20" s="690">
        <f>SUM(AB18:AB19)</f>
        <v>1.2739764705882355E-3</v>
      </c>
      <c r="AC20" s="690">
        <f>SQRT(SUMSQ(AC18:AC18))</f>
        <v>0</v>
      </c>
    </row>
    <row r="21" spans="1:29" x14ac:dyDescent="0.25">
      <c r="A21" s="16"/>
    </row>
    <row r="22" spans="1:29" s="43" customFormat="1" x14ac:dyDescent="0.25">
      <c r="B22" s="356"/>
      <c r="C22" s="11"/>
      <c r="D22" s="11"/>
      <c r="E22" s="12"/>
      <c r="G22" s="11"/>
      <c r="H22" s="11"/>
      <c r="I22" s="11"/>
      <c r="J22" s="11"/>
      <c r="K22" s="11"/>
      <c r="M22" s="11"/>
      <c r="N22" s="11"/>
      <c r="O22" s="11"/>
      <c r="P22" s="11"/>
      <c r="Q22" s="11"/>
      <c r="S22" s="11"/>
      <c r="T22" s="11"/>
      <c r="U22" s="11"/>
      <c r="V22" s="11"/>
      <c r="W22" s="11"/>
      <c r="Y22" s="11"/>
      <c r="Z22" s="11"/>
      <c r="AA22" s="11"/>
      <c r="AB22" s="11"/>
      <c r="AC22" s="11"/>
    </row>
    <row r="23" spans="1:29" s="43" customFormat="1" x14ac:dyDescent="0.25">
      <c r="B23" s="356"/>
      <c r="C23" s="11"/>
      <c r="D23" s="11"/>
      <c r="E23" s="12"/>
      <c r="G23" s="11"/>
      <c r="H23" s="11"/>
      <c r="I23" s="11"/>
      <c r="J23" s="11"/>
      <c r="K23" s="11"/>
      <c r="M23" s="11"/>
      <c r="N23" s="11"/>
      <c r="O23" s="11"/>
      <c r="P23" s="11"/>
      <c r="Q23" s="11"/>
      <c r="S23" s="11"/>
      <c r="T23" s="11"/>
      <c r="U23" s="11"/>
      <c r="V23" s="11"/>
      <c r="W23" s="11"/>
      <c r="Y23" s="11"/>
      <c r="Z23" s="11"/>
      <c r="AA23" s="11"/>
      <c r="AB23" s="11"/>
      <c r="AC23" s="11"/>
    </row>
    <row r="24" spans="1:29" s="43" customFormat="1" x14ac:dyDescent="0.25">
      <c r="B24" s="356"/>
      <c r="C24" s="11"/>
      <c r="D24" s="11"/>
      <c r="E24" s="12"/>
      <c r="G24" s="11"/>
      <c r="H24" s="11"/>
      <c r="I24" s="11"/>
      <c r="J24" s="11"/>
      <c r="K24" s="11"/>
      <c r="M24" s="11"/>
      <c r="N24" s="11"/>
      <c r="O24" s="11"/>
      <c r="P24" s="11"/>
      <c r="Q24" s="11"/>
      <c r="S24" s="11"/>
      <c r="T24" s="11"/>
      <c r="U24" s="11"/>
      <c r="V24" s="11"/>
      <c r="W24" s="11"/>
      <c r="Y24" s="11"/>
      <c r="Z24" s="11"/>
      <c r="AA24" s="11"/>
      <c r="AB24" s="11"/>
      <c r="AC24" s="11"/>
    </row>
    <row r="25" spans="1:29" s="43" customFormat="1" x14ac:dyDescent="0.25">
      <c r="B25" s="356"/>
      <c r="C25" s="208"/>
      <c r="D25" s="11"/>
      <c r="E25" s="11"/>
      <c r="G25" s="209"/>
      <c r="H25" s="209"/>
      <c r="I25" s="11"/>
      <c r="J25" s="11"/>
      <c r="K25" s="11"/>
      <c r="M25" s="209"/>
      <c r="N25" s="209"/>
      <c r="O25" s="11"/>
      <c r="P25" s="11"/>
      <c r="Q25" s="11"/>
      <c r="S25" s="210"/>
      <c r="T25" s="210"/>
      <c r="U25" s="11"/>
      <c r="V25" s="11"/>
      <c r="W25" s="11"/>
      <c r="Y25" s="211"/>
      <c r="Z25" s="211"/>
      <c r="AA25" s="11"/>
      <c r="AB25" s="11"/>
      <c r="AC25" s="11"/>
    </row>
    <row r="26" spans="1:29" s="43" customFormat="1" x14ac:dyDescent="0.25">
      <c r="C26" s="208"/>
      <c r="D26" s="11"/>
      <c r="E26" s="11"/>
      <c r="G26" s="209"/>
      <c r="H26" s="209"/>
      <c r="I26" s="11"/>
      <c r="J26" s="11"/>
      <c r="K26" s="11"/>
      <c r="M26" s="209"/>
      <c r="N26" s="209"/>
      <c r="O26" s="11"/>
      <c r="P26" s="11"/>
      <c r="Q26" s="11"/>
      <c r="S26" s="210"/>
      <c r="T26" s="210"/>
      <c r="U26" s="11"/>
      <c r="V26" s="11"/>
      <c r="W26" s="11"/>
      <c r="Y26" s="211"/>
      <c r="Z26" s="211"/>
      <c r="AA26" s="11"/>
      <c r="AB26" s="11"/>
      <c r="AC26" s="11"/>
    </row>
    <row r="27" spans="1:29" s="43" customFormat="1" x14ac:dyDescent="0.25">
      <c r="B27" s="356"/>
      <c r="C27" s="11"/>
      <c r="D27" s="11"/>
      <c r="E27" s="12"/>
      <c r="G27" s="11"/>
      <c r="H27" s="11"/>
      <c r="I27" s="11"/>
      <c r="J27" s="11"/>
      <c r="K27" s="11"/>
      <c r="M27" s="11"/>
      <c r="N27" s="11"/>
      <c r="O27" s="11"/>
      <c r="P27" s="11"/>
      <c r="Q27" s="11"/>
      <c r="S27" s="11"/>
      <c r="T27" s="11"/>
      <c r="U27" s="11"/>
      <c r="V27" s="11"/>
      <c r="W27" s="11"/>
      <c r="Y27" s="11"/>
      <c r="Z27" s="11"/>
      <c r="AA27" s="11"/>
      <c r="AB27" s="11"/>
      <c r="AC27" s="11"/>
    </row>
    <row r="28" spans="1:29" s="43" customFormat="1" x14ac:dyDescent="0.25">
      <c r="C28" s="11"/>
      <c r="D28" s="11"/>
      <c r="E28" s="11"/>
      <c r="G28" s="11"/>
      <c r="H28" s="11"/>
      <c r="I28" s="11"/>
      <c r="J28" s="11"/>
      <c r="K28" s="11"/>
      <c r="M28" s="11"/>
      <c r="N28" s="11"/>
      <c r="O28" s="11"/>
      <c r="P28" s="11"/>
      <c r="Q28" s="11"/>
      <c r="S28" s="11"/>
      <c r="T28" s="11"/>
      <c r="U28" s="11"/>
      <c r="V28" s="11"/>
      <c r="W28" s="11"/>
      <c r="Y28" s="11"/>
      <c r="Z28" s="11"/>
      <c r="AA28" s="11"/>
      <c r="AB28" s="11"/>
      <c r="AC28" s="11"/>
    </row>
    <row r="29" spans="1:29" s="43" customFormat="1" x14ac:dyDescent="0.25">
      <c r="A29" s="146"/>
      <c r="B29" s="146"/>
      <c r="C29" s="357"/>
      <c r="D29" s="357"/>
      <c r="E29" s="357"/>
      <c r="F29" s="146"/>
      <c r="G29" s="357"/>
      <c r="H29" s="357"/>
      <c r="I29" s="357"/>
      <c r="J29" s="357"/>
      <c r="K29" s="357"/>
      <c r="L29" s="146"/>
      <c r="M29" s="357"/>
      <c r="N29" s="357"/>
      <c r="O29" s="357"/>
      <c r="P29" s="357"/>
      <c r="Q29" s="357"/>
      <c r="R29" s="146"/>
      <c r="S29" s="357"/>
      <c r="T29" s="357"/>
      <c r="U29" s="357"/>
      <c r="V29" s="357"/>
      <c r="W29" s="357"/>
      <c r="X29" s="146"/>
      <c r="Y29" s="357"/>
      <c r="Z29" s="357"/>
      <c r="AA29" s="357"/>
      <c r="AB29" s="357"/>
      <c r="AC29" s="357"/>
    </row>
    <row r="30" spans="1:29" s="43" customFormat="1" x14ac:dyDescent="0.25"/>
    <row r="31" spans="1:29" s="43" customFormat="1" x14ac:dyDescent="0.25"/>
    <row r="32" spans="1:29" s="43" customFormat="1" x14ac:dyDescent="0.25"/>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workbookViewId="0">
      <pane xSplit="1" ySplit="16" topLeftCell="B17" activePane="bottomRight" state="frozen"/>
      <selection pane="topRight" activeCell="B1" sqref="B1"/>
      <selection pane="bottomLeft" activeCell="A17" sqref="A17"/>
      <selection pane="bottomRight"/>
    </sheetView>
  </sheetViews>
  <sheetFormatPr defaultRowHeight="13.2" x14ac:dyDescent="0.25"/>
  <cols>
    <col min="1" max="1" width="63.33203125" customWidth="1"/>
    <col min="2" max="9" width="25.6640625" customWidth="1"/>
    <col min="10" max="10" width="14.109375" customWidth="1"/>
    <col min="11" max="11" width="12.6640625" customWidth="1"/>
    <col min="12" max="12" width="12" customWidth="1"/>
    <col min="16" max="16" width="16.5546875" customWidth="1"/>
    <col min="17" max="17" width="17.6640625" customWidth="1"/>
    <col min="18" max="18" width="13" customWidth="1"/>
    <col min="19" max="19" width="10.5546875" bestFit="1" customWidth="1"/>
    <col min="20" max="20" width="12.6640625" customWidth="1"/>
    <col min="21" max="21" width="10" customWidth="1"/>
    <col min="22" max="22" width="14.6640625" customWidth="1"/>
    <col min="23" max="23" width="15.109375" customWidth="1"/>
    <col min="24" max="24" width="11.88671875" customWidth="1"/>
    <col min="25" max="25" width="12.5546875" customWidth="1"/>
    <col min="26" max="26" width="13.5546875" customWidth="1"/>
    <col min="27" max="27" width="10" customWidth="1"/>
    <col min="28" max="28" width="14.109375" customWidth="1"/>
    <col min="29" max="29" width="18.88671875" customWidth="1"/>
  </cols>
  <sheetData>
    <row r="1" spans="1:29" x14ac:dyDescent="0.25">
      <c r="A1" s="2" t="s">
        <v>238</v>
      </c>
      <c r="B1" s="923" t="s">
        <v>1818</v>
      </c>
    </row>
    <row r="2" spans="1:29" x14ac:dyDescent="0.25">
      <c r="A2" s="2" t="s">
        <v>241</v>
      </c>
      <c r="B2" s="3" t="s">
        <v>450</v>
      </c>
    </row>
    <row r="3" spans="1:29" x14ac:dyDescent="0.25">
      <c r="A3" s="2" t="s">
        <v>239</v>
      </c>
      <c r="B3" s="923" t="s">
        <v>1422</v>
      </c>
    </row>
    <row r="4" spans="1:29" x14ac:dyDescent="0.25">
      <c r="A4" s="2" t="s">
        <v>240</v>
      </c>
      <c r="B4" s="1">
        <v>2004</v>
      </c>
    </row>
    <row r="5" spans="1:29" x14ac:dyDescent="0.25">
      <c r="B5" s="1"/>
    </row>
    <row r="6" spans="1:29" x14ac:dyDescent="0.25">
      <c r="A6" s="447" t="s">
        <v>415</v>
      </c>
      <c r="B6" s="179" t="s">
        <v>22</v>
      </c>
      <c r="C6" s="179"/>
      <c r="D6" s="178" t="s">
        <v>23</v>
      </c>
      <c r="E6" s="179"/>
      <c r="F6" s="178" t="s">
        <v>24</v>
      </c>
      <c r="G6" s="179"/>
      <c r="H6" s="178" t="s">
        <v>25</v>
      </c>
      <c r="I6" s="180"/>
    </row>
    <row r="7" spans="1:29" x14ac:dyDescent="0.25">
      <c r="A7" s="181"/>
      <c r="B7" s="182" t="s">
        <v>198</v>
      </c>
      <c r="C7" s="182" t="s">
        <v>210</v>
      </c>
      <c r="D7" s="182" t="s">
        <v>199</v>
      </c>
      <c r="E7" s="183" t="s">
        <v>211</v>
      </c>
      <c r="F7" s="182" t="s">
        <v>201</v>
      </c>
      <c r="G7" s="182" t="s">
        <v>247</v>
      </c>
      <c r="H7" s="182" t="s">
        <v>203</v>
      </c>
      <c r="I7" s="182" t="s">
        <v>247</v>
      </c>
      <c r="J7" s="159"/>
      <c r="K7" s="159"/>
      <c r="L7" s="43"/>
      <c r="M7" s="43"/>
      <c r="N7" s="43"/>
      <c r="O7" s="43"/>
      <c r="P7" s="43"/>
      <c r="Q7" s="43"/>
      <c r="R7" s="43"/>
      <c r="S7" s="43"/>
      <c r="T7" s="43"/>
      <c r="U7" s="43"/>
      <c r="V7" s="43"/>
      <c r="W7" s="43"/>
      <c r="X7" s="43"/>
      <c r="Y7" s="43"/>
      <c r="Z7" s="43"/>
      <c r="AA7" s="43"/>
      <c r="AB7" s="43"/>
      <c r="AC7" s="43"/>
    </row>
    <row r="8" spans="1:29" x14ac:dyDescent="0.25">
      <c r="A8" s="147" t="s">
        <v>120</v>
      </c>
      <c r="B8" s="184">
        <f>EnergySupply!B26*Unitflowchart!$S$139</f>
        <v>0</v>
      </c>
      <c r="C8" s="184">
        <f>EnergySupply!C26*Unitflowchart!$S$139</f>
        <v>0</v>
      </c>
      <c r="D8" s="184">
        <f>EnergySupply!D26*Unitflowchart!$S$139</f>
        <v>0</v>
      </c>
      <c r="E8" s="184">
        <f>EnergySupply!E26*Unitflowchart!$S$139</f>
        <v>0</v>
      </c>
      <c r="F8" s="199">
        <f>EnergySupply!F26*Unitflowchart!$S$139</f>
        <v>0</v>
      </c>
      <c r="G8" s="199">
        <f>EnergySupply!G26*Unitflowchart!$S$139</f>
        <v>0</v>
      </c>
      <c r="H8" s="200">
        <f>EnergySupply!H26*Unitflowchart!$S$139</f>
        <v>0</v>
      </c>
      <c r="I8" s="200">
        <f>EnergySupply!I26*Unitflowchart!$S$139</f>
        <v>0</v>
      </c>
    </row>
    <row r="9" spans="1:29" x14ac:dyDescent="0.25">
      <c r="A9" s="147" t="s">
        <v>121</v>
      </c>
      <c r="B9" s="184">
        <f>EnergySupply!B27*Unitflowchart!$S$139</f>
        <v>0</v>
      </c>
      <c r="C9" s="184">
        <f>EnergySupply!C27*Unitflowchart!$S$139</f>
        <v>0</v>
      </c>
      <c r="D9" s="184">
        <f>EnergySupply!D27*Unitflowchart!$S$139</f>
        <v>0</v>
      </c>
      <c r="E9" s="184">
        <f>EnergySupply!E27*Unitflowchart!$S$139</f>
        <v>0</v>
      </c>
      <c r="F9" s="199">
        <f>EnergySupply!F27*Unitflowchart!$S$139</f>
        <v>0</v>
      </c>
      <c r="G9" s="199">
        <f>EnergySupply!G27*Unitflowchart!$S$139</f>
        <v>0</v>
      </c>
      <c r="H9" s="200">
        <f>EnergySupply!H27*Unitflowchart!$S$139</f>
        <v>0</v>
      </c>
      <c r="I9" s="200">
        <f>EnergySupply!I27*Unitflowchart!$S$139</f>
        <v>0</v>
      </c>
    </row>
    <row r="10" spans="1:29" x14ac:dyDescent="0.25">
      <c r="A10" s="147" t="s">
        <v>122</v>
      </c>
      <c r="B10" s="184">
        <f>EnergySupply!B31*Unitflowchart!$S$141</f>
        <v>0</v>
      </c>
      <c r="C10" s="184">
        <f>EnergySupply!C31*Unitflowchart!$S$141</f>
        <v>0</v>
      </c>
      <c r="D10" s="184">
        <f>EnergySupply!D31*Unitflowchart!$S$141</f>
        <v>0</v>
      </c>
      <c r="E10" s="184">
        <f>EnergySupply!E31*Unitflowchart!$S$141</f>
        <v>0</v>
      </c>
      <c r="F10" s="199">
        <f>EnergySupply!F31*Unitflowchart!$S$141</f>
        <v>1.4117647058823532E-5</v>
      </c>
      <c r="G10" s="199">
        <f>EnergySupply!G31*Unitflowchart!$S$141</f>
        <v>0</v>
      </c>
      <c r="H10" s="200">
        <f>EnergySupply!H31*Unitflowchart!$S$141</f>
        <v>4.2352941176470591E-6</v>
      </c>
      <c r="I10" s="200">
        <f>EnergySupply!I31*Unitflowchart!$S$141</f>
        <v>0</v>
      </c>
    </row>
    <row r="11" spans="1:29" x14ac:dyDescent="0.25">
      <c r="A11" s="149" t="s">
        <v>826</v>
      </c>
      <c r="B11" s="201">
        <f>EnergySupply!B34*Unitflowchart!$S$141</f>
        <v>0</v>
      </c>
      <c r="C11" s="201">
        <f>EnergySupply!C34*Unitflowchart!$S$141</f>
        <v>0</v>
      </c>
      <c r="D11" s="201">
        <f>EnergySupply!D34*Unitflowchart!$S$141</f>
        <v>0</v>
      </c>
      <c r="E11" s="201">
        <f>EnergySupply!E34*Unitflowchart!$S$141</f>
        <v>0</v>
      </c>
      <c r="F11" s="202">
        <f>EnergySupply!F34*Unitflowchart!$S$141</f>
        <v>2.8235294117647067E-5</v>
      </c>
      <c r="G11" s="202">
        <f>EnergySupply!G34*Unitflowchart!$S$141</f>
        <v>0</v>
      </c>
      <c r="H11" s="203">
        <f>EnergySupply!H34*Unitflowchart!$S$141</f>
        <v>8.4705882352941183E-6</v>
      </c>
      <c r="I11" s="203">
        <f>EnergySupply!I34*Unitflowchart!$S$141</f>
        <v>0</v>
      </c>
    </row>
    <row r="12" spans="1:29" x14ac:dyDescent="0.25">
      <c r="A12" s="1493" t="s">
        <v>1819</v>
      </c>
      <c r="B12" s="205">
        <f>Unitflowchart!AG294</f>
        <v>0</v>
      </c>
      <c r="C12" s="190"/>
      <c r="D12" s="190"/>
      <c r="E12" s="190"/>
      <c r="F12" s="191"/>
      <c r="G12" s="191"/>
      <c r="H12" s="192"/>
      <c r="I12" s="192"/>
    </row>
    <row r="13" spans="1:29" x14ac:dyDescent="0.25">
      <c r="A13" s="1045" t="s">
        <v>1820</v>
      </c>
      <c r="B13" s="207">
        <f>Unitflowchart!AG296</f>
        <v>89.187685487566696</v>
      </c>
      <c r="C13" s="190"/>
      <c r="D13" s="190"/>
      <c r="E13" s="190"/>
      <c r="F13" s="191"/>
      <c r="G13" s="191"/>
      <c r="H13" s="192"/>
      <c r="I13" s="192"/>
    </row>
    <row r="14" spans="1:29" s="43" customFormat="1" x14ac:dyDescent="0.25">
      <c r="A14" s="212"/>
      <c r="B14" s="213"/>
      <c r="C14" s="190"/>
      <c r="D14" s="190"/>
      <c r="E14" s="190"/>
      <c r="F14" s="191"/>
      <c r="G14" s="191"/>
      <c r="H14" s="192"/>
      <c r="I14" s="192"/>
    </row>
    <row r="15" spans="1:29" s="24" customFormat="1" x14ac:dyDescent="0.25">
      <c r="A15" s="24" t="s">
        <v>243</v>
      </c>
      <c r="B15" s="24" t="s">
        <v>242</v>
      </c>
      <c r="E15" s="24" t="s">
        <v>28</v>
      </c>
      <c r="F15" s="24" t="s">
        <v>245</v>
      </c>
      <c r="I15" s="24" t="s">
        <v>28</v>
      </c>
      <c r="J15" s="361" t="s">
        <v>837</v>
      </c>
      <c r="L15" s="24" t="s">
        <v>249</v>
      </c>
      <c r="O15" s="24" t="s">
        <v>28</v>
      </c>
      <c r="P15" s="361" t="s">
        <v>838</v>
      </c>
      <c r="R15" s="24" t="s">
        <v>251</v>
      </c>
      <c r="U15" s="24" t="s">
        <v>28</v>
      </c>
      <c r="V15" s="361" t="s">
        <v>840</v>
      </c>
      <c r="X15" s="24" t="s">
        <v>253</v>
      </c>
      <c r="AA15" s="24" t="s">
        <v>28</v>
      </c>
      <c r="AB15" s="361" t="s">
        <v>841</v>
      </c>
    </row>
    <row r="16" spans="1:29" x14ac:dyDescent="0.25">
      <c r="A16" s="16"/>
      <c r="B16" s="24" t="s">
        <v>244</v>
      </c>
      <c r="C16" s="24" t="s">
        <v>246</v>
      </c>
      <c r="D16" s="24" t="s">
        <v>247</v>
      </c>
      <c r="E16" s="24"/>
      <c r="F16" s="24"/>
      <c r="G16" s="24" t="s">
        <v>246</v>
      </c>
      <c r="H16" s="24" t="s">
        <v>247</v>
      </c>
      <c r="I16" s="24"/>
      <c r="J16" s="24" t="s">
        <v>246</v>
      </c>
      <c r="K16" s="24" t="s">
        <v>247</v>
      </c>
      <c r="L16" s="24" t="s">
        <v>244</v>
      </c>
      <c r="M16" s="24" t="s">
        <v>246</v>
      </c>
      <c r="N16" s="24" t="s">
        <v>247</v>
      </c>
      <c r="O16" s="24"/>
      <c r="P16" s="24" t="s">
        <v>246</v>
      </c>
      <c r="Q16" s="24" t="s">
        <v>247</v>
      </c>
      <c r="R16" s="24" t="s">
        <v>244</v>
      </c>
      <c r="S16" s="24" t="s">
        <v>246</v>
      </c>
      <c r="T16" s="24" t="s">
        <v>247</v>
      </c>
      <c r="U16" s="24"/>
      <c r="V16" s="24" t="s">
        <v>246</v>
      </c>
      <c r="W16" s="24" t="s">
        <v>247</v>
      </c>
      <c r="X16" s="24" t="s">
        <v>244</v>
      </c>
      <c r="Y16" s="24" t="s">
        <v>246</v>
      </c>
      <c r="Z16" s="24" t="s">
        <v>247</v>
      </c>
      <c r="AA16" s="24"/>
      <c r="AB16" s="24" t="s">
        <v>246</v>
      </c>
      <c r="AC16" s="24" t="s">
        <v>247</v>
      </c>
    </row>
    <row r="17" spans="1:29" x14ac:dyDescent="0.25">
      <c r="A17" s="2" t="s">
        <v>1807</v>
      </c>
      <c r="C17" s="1"/>
      <c r="D17" s="1"/>
      <c r="E17" s="1"/>
      <c r="G17" s="1"/>
      <c r="H17" s="1"/>
      <c r="I17" s="1"/>
      <c r="J17" s="1"/>
      <c r="K17" s="1"/>
    </row>
    <row r="18" spans="1:29" s="43" customFormat="1" x14ac:dyDescent="0.25">
      <c r="B18" s="356"/>
      <c r="C18" s="208"/>
      <c r="D18" s="11"/>
      <c r="E18" s="11"/>
      <c r="G18" s="209"/>
      <c r="H18" s="209"/>
      <c r="I18" s="11"/>
      <c r="J18" s="11"/>
      <c r="K18" s="208"/>
      <c r="M18" s="11"/>
      <c r="N18" s="11"/>
      <c r="O18" s="11"/>
      <c r="P18" s="11"/>
      <c r="Q18" s="11"/>
      <c r="S18" s="11"/>
      <c r="T18" s="11"/>
      <c r="U18" s="11"/>
      <c r="V18" s="11"/>
      <c r="W18" s="11"/>
      <c r="Y18" s="11"/>
      <c r="Z18" s="11"/>
      <c r="AA18" s="11"/>
      <c r="AB18" s="11"/>
      <c r="AC18" s="11"/>
    </row>
    <row r="19" spans="1:29" x14ac:dyDescent="0.25">
      <c r="A19" s="16" t="s">
        <v>124</v>
      </c>
      <c r="B19" t="s">
        <v>451</v>
      </c>
      <c r="C19" s="693">
        <f>B12</f>
        <v>0</v>
      </c>
      <c r="D19" s="512">
        <v>0</v>
      </c>
      <c r="E19" s="11" t="s">
        <v>1821</v>
      </c>
      <c r="F19" t="s">
        <v>7</v>
      </c>
      <c r="G19" s="991">
        <f>B8+B10</f>
        <v>0</v>
      </c>
      <c r="H19" s="991">
        <f>C8+C10</f>
        <v>0</v>
      </c>
      <c r="I19" s="11" t="s">
        <v>827</v>
      </c>
      <c r="J19" s="500">
        <f>C19*G19</f>
        <v>0</v>
      </c>
      <c r="K19" s="500">
        <f>SQRT(((D19*G19)^2)+((C19*H19)^2))</f>
        <v>0</v>
      </c>
      <c r="L19" t="s">
        <v>8</v>
      </c>
      <c r="M19" s="991">
        <f>(D8+D10)/3.6</f>
        <v>0</v>
      </c>
      <c r="N19" s="991">
        <f>(E8+E10)/3.6</f>
        <v>0</v>
      </c>
      <c r="O19" s="11" t="s">
        <v>828</v>
      </c>
      <c r="P19" s="642">
        <f>C19*M19</f>
        <v>0</v>
      </c>
      <c r="Q19" s="642">
        <f>SQRT(((D19*M19)^2)+((C19*N19)^2))</f>
        <v>0</v>
      </c>
      <c r="R19" t="s">
        <v>9</v>
      </c>
      <c r="S19" s="990">
        <f>(F8+F10)/3.6</f>
        <v>3.9215686274509812E-6</v>
      </c>
      <c r="T19" s="990">
        <f>(G8+G10)/3.6</f>
        <v>0</v>
      </c>
      <c r="U19" s="11" t="s">
        <v>830</v>
      </c>
      <c r="V19" s="689">
        <f>C19*S19</f>
        <v>0</v>
      </c>
      <c r="W19" s="689">
        <f>SQRT(((D19*S19)^2)+((C19*T19)^2))</f>
        <v>0</v>
      </c>
      <c r="X19" t="s">
        <v>10</v>
      </c>
      <c r="Y19" s="990">
        <f>(H8+H10)/3.6</f>
        <v>1.1764705882352942E-6</v>
      </c>
      <c r="Z19" s="990">
        <f>(I8+I10)/3.6</f>
        <v>0</v>
      </c>
      <c r="AA19" s="11" t="s">
        <v>832</v>
      </c>
      <c r="AB19" s="691">
        <f>C19*Y19</f>
        <v>0</v>
      </c>
      <c r="AC19" s="691">
        <f>SQRT(((D19*Y19)^2)+((C19*Z19)^2))</f>
        <v>0</v>
      </c>
    </row>
    <row r="20" spans="1:29" x14ac:dyDescent="0.25">
      <c r="A20" s="16" t="s">
        <v>123</v>
      </c>
      <c r="B20" t="s">
        <v>765</v>
      </c>
      <c r="C20" s="359">
        <f>$B$13</f>
        <v>89.187685487566696</v>
      </c>
      <c r="D20" s="418">
        <v>0</v>
      </c>
      <c r="E20" s="11" t="s">
        <v>1822</v>
      </c>
      <c r="F20" t="s">
        <v>185</v>
      </c>
      <c r="G20" s="991">
        <f>3.6*(B9+B11)</f>
        <v>0</v>
      </c>
      <c r="H20" s="991">
        <f>3.6*(C9+C11)</f>
        <v>0</v>
      </c>
      <c r="I20" s="11" t="s">
        <v>834</v>
      </c>
      <c r="J20" s="500">
        <f>C20*G20</f>
        <v>0</v>
      </c>
      <c r="K20" s="500">
        <f>SQRT(((D20*G20)^2)+((C20*H20)^2))</f>
        <v>0</v>
      </c>
      <c r="L20" t="s">
        <v>186</v>
      </c>
      <c r="M20" s="991">
        <f>(D9+D11)</f>
        <v>0</v>
      </c>
      <c r="N20" s="991">
        <f>(E9+E11)</f>
        <v>0</v>
      </c>
      <c r="O20" s="11" t="s">
        <v>829</v>
      </c>
      <c r="P20" s="642">
        <f>C20*M20</f>
        <v>0</v>
      </c>
      <c r="Q20" s="642">
        <f>SQRT(((D20*M20)^2)+((C20*N20)^2))</f>
        <v>0</v>
      </c>
      <c r="R20" t="s">
        <v>187</v>
      </c>
      <c r="S20" s="990">
        <f>(F9+F11)</f>
        <v>2.8235294117647067E-5</v>
      </c>
      <c r="T20" s="990">
        <f>(G9+G11)</f>
        <v>0</v>
      </c>
      <c r="U20" s="11" t="s">
        <v>831</v>
      </c>
      <c r="V20" s="689">
        <f>C20*S20</f>
        <v>2.5182405314136485E-3</v>
      </c>
      <c r="W20" s="689">
        <f>SQRT(((D20*S20)^2)+((C20*T20)^2))</f>
        <v>0</v>
      </c>
      <c r="X20" t="s">
        <v>188</v>
      </c>
      <c r="Y20" s="990">
        <f>(H9+H11)</f>
        <v>8.4705882352941183E-6</v>
      </c>
      <c r="Z20" s="990">
        <f>(I9+I11)</f>
        <v>0</v>
      </c>
      <c r="AA20" s="11" t="s">
        <v>833</v>
      </c>
      <c r="AB20" s="691">
        <f>C20*Y20</f>
        <v>7.5547215942409446E-4</v>
      </c>
      <c r="AC20" s="691">
        <f>SQRT(((D20*Y20)^2)+((C20*Z20)^2))</f>
        <v>0</v>
      </c>
    </row>
    <row r="21" spans="1:29" x14ac:dyDescent="0.25">
      <c r="A21" s="360"/>
      <c r="J21" s="501"/>
      <c r="K21" s="501"/>
      <c r="P21" s="643"/>
      <c r="Q21" s="643"/>
      <c r="V21" s="695"/>
      <c r="W21" s="695"/>
      <c r="AB21" s="696"/>
      <c r="AC21" s="696"/>
    </row>
    <row r="22" spans="1:29" s="2" customFormat="1" x14ac:dyDescent="0.25">
      <c r="A22" s="18" t="s">
        <v>375</v>
      </c>
      <c r="J22" s="503">
        <f>SUM(J19:J21)</f>
        <v>0</v>
      </c>
      <c r="K22" s="503">
        <f>SQRT(SUMSQ(K19:K20))</f>
        <v>0</v>
      </c>
      <c r="P22" s="644">
        <f>SUM(P19:P21)</f>
        <v>0</v>
      </c>
      <c r="Q22" s="644">
        <f>SQRT(SUMSQ(Q19:Q20))</f>
        <v>0</v>
      </c>
      <c r="V22" s="690">
        <f>SUM(V19:V21)</f>
        <v>2.5182405314136485E-3</v>
      </c>
      <c r="W22" s="690">
        <f>SQRT(SUMSQ(W19:W20))</f>
        <v>0</v>
      </c>
      <c r="AB22" s="692">
        <f>SUM(AB19:AB21)</f>
        <v>7.5547215942409446E-4</v>
      </c>
      <c r="AC22" s="692">
        <f>SQRT(SUMSQ(AC19:AC20))</f>
        <v>0</v>
      </c>
    </row>
    <row r="23" spans="1:29" x14ac:dyDescent="0.25">
      <c r="A23" s="16"/>
    </row>
    <row r="24" spans="1:29" s="43" customFormat="1" x14ac:dyDescent="0.25">
      <c r="B24" s="356"/>
      <c r="C24" s="11"/>
      <c r="D24" s="11"/>
      <c r="E24" s="12"/>
      <c r="G24" s="11"/>
      <c r="H24" s="11"/>
      <c r="I24" s="11"/>
      <c r="J24" s="11"/>
      <c r="K24" s="11"/>
      <c r="M24" s="11"/>
      <c r="N24" s="11"/>
      <c r="O24" s="11"/>
      <c r="P24" s="11"/>
      <c r="Q24" s="11"/>
      <c r="S24" s="11"/>
      <c r="T24" s="11"/>
      <c r="U24" s="11"/>
      <c r="V24" s="11"/>
      <c r="W24" s="11"/>
      <c r="Y24" s="11"/>
      <c r="Z24" s="11"/>
      <c r="AA24" s="11"/>
      <c r="AB24" s="11"/>
      <c r="AC24" s="11"/>
    </row>
    <row r="25" spans="1:29" s="43" customFormat="1" x14ac:dyDescent="0.25">
      <c r="B25" s="356"/>
      <c r="C25" s="11"/>
      <c r="D25" s="11"/>
      <c r="E25" s="12"/>
      <c r="G25" s="11"/>
      <c r="H25" s="11"/>
      <c r="I25" s="11"/>
      <c r="J25" s="11"/>
      <c r="K25" s="11"/>
      <c r="M25" s="11"/>
      <c r="N25" s="11"/>
      <c r="O25" s="11"/>
      <c r="P25" s="11"/>
      <c r="Q25" s="11"/>
      <c r="S25" s="11"/>
      <c r="T25" s="11"/>
      <c r="U25" s="11"/>
      <c r="V25" s="11"/>
      <c r="W25" s="11"/>
      <c r="Y25" s="11"/>
      <c r="Z25" s="11"/>
      <c r="AA25" s="11"/>
      <c r="AB25" s="11"/>
      <c r="AC25" s="11"/>
    </row>
    <row r="26" spans="1:29" s="43" customFormat="1" x14ac:dyDescent="0.25">
      <c r="B26" s="356"/>
      <c r="C26" s="11"/>
      <c r="D26" s="11"/>
      <c r="E26" s="12"/>
      <c r="G26" s="11"/>
      <c r="H26" s="11"/>
      <c r="I26" s="11"/>
      <c r="J26" s="11"/>
      <c r="K26" s="11"/>
      <c r="M26" s="11"/>
      <c r="N26" s="11"/>
      <c r="O26" s="11"/>
      <c r="P26" s="11"/>
      <c r="Q26" s="11"/>
      <c r="S26" s="11"/>
      <c r="T26" s="11"/>
      <c r="U26" s="11"/>
      <c r="V26" s="11"/>
      <c r="W26" s="11"/>
      <c r="Y26" s="11"/>
      <c r="Z26" s="11"/>
      <c r="AA26" s="11"/>
      <c r="AB26" s="11"/>
      <c r="AC26" s="11"/>
    </row>
    <row r="27" spans="1:29" s="43" customFormat="1" x14ac:dyDescent="0.25">
      <c r="B27" s="356"/>
      <c r="C27" s="208"/>
      <c r="D27" s="11"/>
      <c r="E27" s="11"/>
      <c r="G27" s="209"/>
      <c r="H27" s="209"/>
      <c r="I27" s="11"/>
      <c r="J27" s="11"/>
      <c r="K27" s="11"/>
      <c r="M27" s="209"/>
      <c r="N27" s="209"/>
      <c r="O27" s="11"/>
      <c r="P27" s="11"/>
      <c r="Q27" s="11"/>
      <c r="S27" s="210"/>
      <c r="T27" s="210"/>
      <c r="U27" s="11"/>
      <c r="V27" s="11"/>
      <c r="W27" s="11"/>
      <c r="Y27" s="211"/>
      <c r="Z27" s="211"/>
      <c r="AA27" s="11"/>
      <c r="AB27" s="11"/>
      <c r="AC27" s="11"/>
    </row>
    <row r="28" spans="1:29" s="43" customFormat="1" x14ac:dyDescent="0.25">
      <c r="C28" s="208"/>
      <c r="D28" s="11"/>
      <c r="E28" s="11"/>
      <c r="G28" s="209"/>
      <c r="H28" s="209"/>
      <c r="I28" s="11"/>
      <c r="J28" s="11"/>
      <c r="K28" s="11"/>
      <c r="M28" s="209"/>
      <c r="N28" s="209"/>
      <c r="O28" s="11"/>
      <c r="P28" s="11"/>
      <c r="Q28" s="11"/>
      <c r="S28" s="210"/>
      <c r="T28" s="210"/>
      <c r="U28" s="11"/>
      <c r="V28" s="11"/>
      <c r="W28" s="11"/>
      <c r="Y28" s="211"/>
      <c r="Z28" s="211"/>
      <c r="AA28" s="11"/>
      <c r="AB28" s="11"/>
      <c r="AC28" s="11"/>
    </row>
    <row r="29" spans="1:29" s="43" customFormat="1" x14ac:dyDescent="0.25">
      <c r="B29" s="356"/>
      <c r="C29" s="11"/>
      <c r="D29" s="11"/>
      <c r="E29" s="12"/>
      <c r="G29" s="11"/>
      <c r="H29" s="11"/>
      <c r="I29" s="11"/>
      <c r="J29" s="11"/>
      <c r="K29" s="11"/>
      <c r="M29" s="11"/>
      <c r="N29" s="11"/>
      <c r="O29" s="11"/>
      <c r="P29" s="11"/>
      <c r="Q29" s="11"/>
      <c r="S29" s="11"/>
      <c r="T29" s="11"/>
      <c r="U29" s="11"/>
      <c r="V29" s="11"/>
      <c r="W29" s="11"/>
      <c r="Y29" s="11"/>
      <c r="Z29" s="11"/>
      <c r="AA29" s="11"/>
      <c r="AB29" s="11"/>
      <c r="AC29" s="11"/>
    </row>
    <row r="30" spans="1:29" s="43" customFormat="1" x14ac:dyDescent="0.25">
      <c r="C30" s="11"/>
      <c r="D30" s="11"/>
      <c r="E30" s="11"/>
      <c r="G30" s="11"/>
      <c r="H30" s="11"/>
      <c r="I30" s="11"/>
      <c r="J30" s="11"/>
      <c r="K30" s="11"/>
      <c r="M30" s="11"/>
      <c r="N30" s="11"/>
      <c r="O30" s="11"/>
      <c r="P30" s="11"/>
      <c r="Q30" s="11"/>
      <c r="S30" s="11"/>
      <c r="T30" s="11"/>
      <c r="U30" s="11"/>
      <c r="V30" s="11"/>
      <c r="W30" s="11"/>
      <c r="Y30" s="11"/>
      <c r="Z30" s="11"/>
      <c r="AA30" s="11"/>
      <c r="AB30" s="11"/>
      <c r="AC30" s="11"/>
    </row>
    <row r="31" spans="1:29" s="43" customFormat="1" x14ac:dyDescent="0.25">
      <c r="A31" s="146"/>
      <c r="B31" s="146"/>
      <c r="C31" s="357"/>
      <c r="D31" s="357"/>
      <c r="E31" s="357"/>
      <c r="F31" s="146"/>
      <c r="G31" s="357"/>
      <c r="H31" s="357"/>
      <c r="I31" s="357"/>
      <c r="J31" s="357"/>
      <c r="K31" s="357"/>
      <c r="L31" s="146"/>
      <c r="M31" s="357"/>
      <c r="N31" s="357"/>
      <c r="O31" s="357"/>
      <c r="P31" s="357"/>
      <c r="Q31" s="357"/>
      <c r="R31" s="146"/>
      <c r="S31" s="357"/>
      <c r="T31" s="357"/>
      <c r="U31" s="357"/>
      <c r="V31" s="357"/>
      <c r="W31" s="357"/>
      <c r="X31" s="146"/>
      <c r="Y31" s="357"/>
      <c r="Z31" s="357"/>
      <c r="AA31" s="357"/>
      <c r="AB31" s="357"/>
      <c r="AC31" s="357"/>
    </row>
    <row r="32" spans="1:29" s="43" customFormat="1" x14ac:dyDescent="0.25"/>
    <row r="33" s="43" customFormat="1" x14ac:dyDescent="0.25"/>
    <row r="34" s="43" customFormat="1" x14ac:dyDescent="0.25"/>
  </sheetData>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workbookViewId="0">
      <pane xSplit="1" ySplit="16" topLeftCell="B17" activePane="bottomRight" state="frozen"/>
      <selection pane="topRight" activeCell="B1" sqref="B1"/>
      <selection pane="bottomLeft" activeCell="A17" sqref="A17"/>
      <selection pane="bottomRight"/>
    </sheetView>
  </sheetViews>
  <sheetFormatPr defaultRowHeight="13.2" x14ac:dyDescent="0.25"/>
  <cols>
    <col min="1" max="1" width="63.33203125" customWidth="1"/>
    <col min="2" max="2" width="27.88671875" customWidth="1"/>
    <col min="3" max="9" width="25.6640625" customWidth="1"/>
    <col min="10" max="10" width="13" customWidth="1"/>
    <col min="11" max="11" width="13.88671875" customWidth="1"/>
    <col min="12" max="12" width="12" customWidth="1"/>
    <col min="16" max="16" width="12.33203125" customWidth="1"/>
    <col min="17" max="18" width="11.33203125" customWidth="1"/>
    <col min="19" max="19" width="10" bestFit="1" customWidth="1"/>
    <col min="20" max="20" width="12.6640625" customWidth="1"/>
    <col min="21" max="21" width="10" customWidth="1"/>
    <col min="22" max="22" width="14.44140625" customWidth="1"/>
    <col min="23" max="23" width="15.44140625" customWidth="1"/>
    <col min="24" max="24" width="11.88671875" customWidth="1"/>
    <col min="25" max="25" width="12.5546875" customWidth="1"/>
    <col min="26" max="26" width="13.5546875" customWidth="1"/>
    <col min="27" max="27" width="10" customWidth="1"/>
    <col min="28" max="28" width="15.6640625" customWidth="1"/>
    <col min="29" max="29" width="17.6640625" customWidth="1"/>
  </cols>
  <sheetData>
    <row r="1" spans="1:29" x14ac:dyDescent="0.25">
      <c r="A1" s="2" t="s">
        <v>238</v>
      </c>
      <c r="B1" s="3" t="s">
        <v>844</v>
      </c>
    </row>
    <row r="2" spans="1:29" x14ac:dyDescent="0.25">
      <c r="A2" s="2" t="s">
        <v>241</v>
      </c>
      <c r="B2" s="3" t="s">
        <v>450</v>
      </c>
    </row>
    <row r="3" spans="1:29" x14ac:dyDescent="0.25">
      <c r="A3" s="2" t="s">
        <v>239</v>
      </c>
      <c r="B3" s="923" t="s">
        <v>1422</v>
      </c>
    </row>
    <row r="4" spans="1:29" x14ac:dyDescent="0.25">
      <c r="A4" s="2" t="s">
        <v>240</v>
      </c>
      <c r="B4" s="1">
        <v>2004</v>
      </c>
    </row>
    <row r="5" spans="1:29" x14ac:dyDescent="0.25">
      <c r="B5" s="1"/>
    </row>
    <row r="6" spans="1:29" x14ac:dyDescent="0.25">
      <c r="A6" s="447" t="s">
        <v>415</v>
      </c>
      <c r="B6" s="179" t="s">
        <v>22</v>
      </c>
      <c r="C6" s="179"/>
      <c r="D6" s="178" t="s">
        <v>23</v>
      </c>
      <c r="E6" s="179"/>
      <c r="F6" s="178" t="s">
        <v>24</v>
      </c>
      <c r="G6" s="179"/>
      <c r="H6" s="178" t="s">
        <v>25</v>
      </c>
      <c r="I6" s="180"/>
    </row>
    <row r="7" spans="1:29" x14ac:dyDescent="0.25">
      <c r="A7" s="181"/>
      <c r="B7" s="182" t="s">
        <v>198</v>
      </c>
      <c r="C7" s="182" t="s">
        <v>210</v>
      </c>
      <c r="D7" s="182" t="s">
        <v>199</v>
      </c>
      <c r="E7" s="183" t="s">
        <v>211</v>
      </c>
      <c r="F7" s="182" t="s">
        <v>201</v>
      </c>
      <c r="G7" s="182" t="s">
        <v>247</v>
      </c>
      <c r="H7" s="182" t="s">
        <v>203</v>
      </c>
      <c r="I7" s="182" t="s">
        <v>247</v>
      </c>
      <c r="J7" s="159"/>
      <c r="K7" s="159"/>
      <c r="L7" s="43"/>
      <c r="M7" s="43"/>
      <c r="N7" s="43"/>
      <c r="O7" s="43"/>
      <c r="P7" s="43"/>
      <c r="Q7" s="43"/>
      <c r="R7" s="43"/>
      <c r="S7" s="43"/>
      <c r="T7" s="43"/>
      <c r="U7" s="43"/>
      <c r="V7" s="43"/>
      <c r="W7" s="43"/>
      <c r="X7" s="43"/>
      <c r="Y7" s="43"/>
      <c r="Z7" s="43"/>
      <c r="AA7" s="43"/>
      <c r="AB7" s="43"/>
      <c r="AC7" s="43"/>
    </row>
    <row r="8" spans="1:29" x14ac:dyDescent="0.25">
      <c r="A8" s="147" t="s">
        <v>120</v>
      </c>
      <c r="B8" s="184">
        <f>EnergySupply!B26*Unitflowchart!$S$139</f>
        <v>0</v>
      </c>
      <c r="C8" s="184">
        <f>EnergySupply!C26*Unitflowchart!$S$139</f>
        <v>0</v>
      </c>
      <c r="D8" s="184">
        <f>EnergySupply!D26*Unitflowchart!$S$139</f>
        <v>0</v>
      </c>
      <c r="E8" s="184">
        <f>EnergySupply!E26*Unitflowchart!$S$139</f>
        <v>0</v>
      </c>
      <c r="F8" s="199">
        <f>EnergySupply!F26*Unitflowchart!$S$139</f>
        <v>0</v>
      </c>
      <c r="G8" s="199">
        <f>EnergySupply!G26*Unitflowchart!$S$139</f>
        <v>0</v>
      </c>
      <c r="H8" s="200">
        <f>EnergySupply!H26*Unitflowchart!$S$139</f>
        <v>0</v>
      </c>
      <c r="I8" s="200">
        <f>EnergySupply!I26*Unitflowchart!$S$139</f>
        <v>0</v>
      </c>
    </row>
    <row r="9" spans="1:29" x14ac:dyDescent="0.25">
      <c r="A9" s="147" t="s">
        <v>121</v>
      </c>
      <c r="B9" s="184">
        <f>EnergySupply!B27*Unitflowchart!$S$139</f>
        <v>0</v>
      </c>
      <c r="C9" s="184">
        <f>EnergySupply!C27*Unitflowchart!$S$139</f>
        <v>0</v>
      </c>
      <c r="D9" s="184">
        <f>EnergySupply!D27*Unitflowchart!$S$139</f>
        <v>0</v>
      </c>
      <c r="E9" s="184">
        <f>EnergySupply!E27*Unitflowchart!$S$139</f>
        <v>0</v>
      </c>
      <c r="F9" s="199">
        <f>EnergySupply!F27*Unitflowchart!$S$139</f>
        <v>0</v>
      </c>
      <c r="G9" s="199">
        <f>EnergySupply!G27*Unitflowchart!$S$139</f>
        <v>0</v>
      </c>
      <c r="H9" s="200">
        <f>EnergySupply!H27*Unitflowchart!$S$139</f>
        <v>0</v>
      </c>
      <c r="I9" s="200">
        <f>EnergySupply!I27*Unitflowchart!$S$139</f>
        <v>0</v>
      </c>
    </row>
    <row r="10" spans="1:29" x14ac:dyDescent="0.25">
      <c r="A10" s="147" t="s">
        <v>122</v>
      </c>
      <c r="B10" s="184">
        <f>EnergySupply!B31*Unitflowchart!$S$141</f>
        <v>0</v>
      </c>
      <c r="C10" s="184">
        <f>EnergySupply!C31*Unitflowchart!$S$141</f>
        <v>0</v>
      </c>
      <c r="D10" s="184">
        <f>EnergySupply!D31*Unitflowchart!$S$141</f>
        <v>0</v>
      </c>
      <c r="E10" s="184">
        <f>EnergySupply!E31*Unitflowchart!$S$141</f>
        <v>0</v>
      </c>
      <c r="F10" s="199">
        <f>EnergySupply!F31*Unitflowchart!$S$141</f>
        <v>1.4117647058823532E-5</v>
      </c>
      <c r="G10" s="199">
        <f>EnergySupply!G31*Unitflowchart!$S$141</f>
        <v>0</v>
      </c>
      <c r="H10" s="200">
        <f>EnergySupply!H31*Unitflowchart!$S$141</f>
        <v>4.2352941176470591E-6</v>
      </c>
      <c r="I10" s="200">
        <f>EnergySupply!I31*Unitflowchart!$S$141</f>
        <v>0</v>
      </c>
    </row>
    <row r="11" spans="1:29" x14ac:dyDescent="0.25">
      <c r="A11" s="149" t="s">
        <v>826</v>
      </c>
      <c r="B11" s="201">
        <f>EnergySupply!B34*Unitflowchart!$S$141</f>
        <v>0</v>
      </c>
      <c r="C11" s="201">
        <f>EnergySupply!C34*Unitflowchart!$S$141</f>
        <v>0</v>
      </c>
      <c r="D11" s="201">
        <f>EnergySupply!D34*Unitflowchart!$S$141</f>
        <v>0</v>
      </c>
      <c r="E11" s="201">
        <f>EnergySupply!E34*Unitflowchart!$S$141</f>
        <v>0</v>
      </c>
      <c r="F11" s="202">
        <f>EnergySupply!F34*Unitflowchart!$S$141</f>
        <v>2.8235294117647067E-5</v>
      </c>
      <c r="G11" s="202">
        <f>EnergySupply!G34*Unitflowchart!$S$141</f>
        <v>0</v>
      </c>
      <c r="H11" s="203">
        <f>EnergySupply!H34*Unitflowchart!$S$141</f>
        <v>8.4705882352941183E-6</v>
      </c>
      <c r="I11" s="203">
        <f>EnergySupply!I34*Unitflowchart!$S$141</f>
        <v>0</v>
      </c>
    </row>
    <row r="12" spans="1:29" x14ac:dyDescent="0.25">
      <c r="A12" s="1494" t="s">
        <v>845</v>
      </c>
      <c r="B12" s="205">
        <f>Unitflowchart!AG332</f>
        <v>223.74999999999994</v>
      </c>
      <c r="C12" s="190"/>
      <c r="D12" s="190"/>
      <c r="E12" s="190"/>
      <c r="F12" s="191"/>
      <c r="G12" s="191"/>
      <c r="H12" s="192"/>
      <c r="I12" s="192"/>
    </row>
    <row r="13" spans="1:29" x14ac:dyDescent="0.25">
      <c r="A13" s="149" t="s">
        <v>1823</v>
      </c>
      <c r="B13" s="207">
        <f>wwt_NaOH*Unitflowchart!AG326/Unitflowchart!S320</f>
        <v>63.749999999999993</v>
      </c>
      <c r="C13" s="190"/>
      <c r="D13" s="190"/>
      <c r="E13" s="190"/>
      <c r="F13" s="191"/>
      <c r="G13" s="191"/>
      <c r="H13" s="192"/>
      <c r="I13" s="192"/>
    </row>
    <row r="14" spans="1:29" s="43" customFormat="1" x14ac:dyDescent="0.25">
      <c r="A14" s="212"/>
      <c r="B14" s="213"/>
      <c r="C14" s="190"/>
      <c r="D14" s="190"/>
      <c r="E14" s="190"/>
      <c r="F14" s="191"/>
      <c r="G14" s="191"/>
      <c r="H14" s="192"/>
      <c r="I14" s="192"/>
    </row>
    <row r="15" spans="1:29" s="361" customFormat="1" x14ac:dyDescent="0.25">
      <c r="A15" s="361" t="s">
        <v>243</v>
      </c>
      <c r="B15" s="361" t="s">
        <v>242</v>
      </c>
      <c r="E15" s="361" t="s">
        <v>28</v>
      </c>
      <c r="F15" s="361" t="s">
        <v>245</v>
      </c>
      <c r="I15" s="361" t="s">
        <v>28</v>
      </c>
      <c r="J15" s="361" t="s">
        <v>837</v>
      </c>
      <c r="L15" s="361" t="s">
        <v>249</v>
      </c>
      <c r="O15" s="361" t="s">
        <v>28</v>
      </c>
      <c r="P15" s="361" t="s">
        <v>838</v>
      </c>
      <c r="R15" s="361" t="s">
        <v>251</v>
      </c>
      <c r="U15" s="361" t="s">
        <v>28</v>
      </c>
      <c r="V15" s="361" t="s">
        <v>840</v>
      </c>
      <c r="X15" s="361" t="s">
        <v>253</v>
      </c>
      <c r="AA15" s="361" t="s">
        <v>28</v>
      </c>
      <c r="AB15" s="361" t="s">
        <v>841</v>
      </c>
    </row>
    <row r="16" spans="1:29" s="3" customFormat="1" x14ac:dyDescent="0.25">
      <c r="A16" s="44"/>
      <c r="B16" s="361" t="s">
        <v>244</v>
      </c>
      <c r="C16" s="361" t="s">
        <v>246</v>
      </c>
      <c r="D16" s="361" t="s">
        <v>247</v>
      </c>
      <c r="E16" s="361"/>
      <c r="F16" s="361"/>
      <c r="G16" s="361" t="s">
        <v>246</v>
      </c>
      <c r="H16" s="361" t="s">
        <v>247</v>
      </c>
      <c r="I16" s="361"/>
      <c r="J16" s="361" t="s">
        <v>246</v>
      </c>
      <c r="K16" s="361" t="s">
        <v>247</v>
      </c>
      <c r="L16" s="361" t="s">
        <v>244</v>
      </c>
      <c r="M16" s="361" t="s">
        <v>246</v>
      </c>
      <c r="N16" s="361" t="s">
        <v>247</v>
      </c>
      <c r="O16" s="361"/>
      <c r="P16" s="361" t="s">
        <v>246</v>
      </c>
      <c r="Q16" s="361" t="s">
        <v>247</v>
      </c>
      <c r="R16" s="361" t="s">
        <v>244</v>
      </c>
      <c r="S16" s="361" t="s">
        <v>246</v>
      </c>
      <c r="T16" s="361" t="s">
        <v>247</v>
      </c>
      <c r="U16" s="361"/>
      <c r="V16" s="361" t="s">
        <v>246</v>
      </c>
      <c r="W16" s="361" t="s">
        <v>247</v>
      </c>
      <c r="X16" s="361" t="s">
        <v>244</v>
      </c>
      <c r="Y16" s="361" t="s">
        <v>246</v>
      </c>
      <c r="Z16" s="361" t="s">
        <v>247</v>
      </c>
      <c r="AA16" s="361"/>
      <c r="AB16" s="361" t="s">
        <v>246</v>
      </c>
      <c r="AC16" s="361" t="s">
        <v>247</v>
      </c>
    </row>
    <row r="17" spans="1:29" s="3" customFormat="1" x14ac:dyDescent="0.25">
      <c r="A17" s="18" t="s">
        <v>846</v>
      </c>
      <c r="C17" s="329"/>
      <c r="D17" s="329"/>
      <c r="E17" s="329"/>
      <c r="G17" s="329"/>
      <c r="H17" s="329"/>
      <c r="I17" s="329"/>
      <c r="J17" s="329"/>
      <c r="K17" s="329"/>
    </row>
    <row r="18" spans="1:29" s="362" customFormat="1" x14ac:dyDescent="0.25">
      <c r="A18" s="360"/>
    </row>
    <row r="19" spans="1:29" s="3" customFormat="1" x14ac:dyDescent="0.25">
      <c r="A19" s="44" t="s">
        <v>123</v>
      </c>
      <c r="B19" s="3" t="s">
        <v>765</v>
      </c>
      <c r="C19" s="703">
        <f>$B$12</f>
        <v>223.74999999999994</v>
      </c>
      <c r="D19" s="703">
        <v>0</v>
      </c>
      <c r="E19" s="12" t="s">
        <v>847</v>
      </c>
      <c r="F19" s="3" t="s">
        <v>185</v>
      </c>
      <c r="G19" s="989">
        <f>3.6*(B9+B11)</f>
        <v>0</v>
      </c>
      <c r="H19" s="989">
        <f>3.6*(C9+C11)</f>
        <v>0</v>
      </c>
      <c r="I19" s="12" t="s">
        <v>834</v>
      </c>
      <c r="J19" s="698">
        <f>C19*G19</f>
        <v>0</v>
      </c>
      <c r="K19" s="698">
        <f>SQRT(((D19*G19)^2)+((C19*H19)^2))</f>
        <v>0</v>
      </c>
      <c r="L19" s="3" t="s">
        <v>186</v>
      </c>
      <c r="M19" s="989">
        <f>(D9+D11)</f>
        <v>0</v>
      </c>
      <c r="N19" s="989">
        <f>(E9+E11)</f>
        <v>0</v>
      </c>
      <c r="O19" s="12" t="s">
        <v>829</v>
      </c>
      <c r="P19" s="698">
        <f>C19*M19</f>
        <v>0</v>
      </c>
      <c r="Q19" s="698">
        <f>SQRT(((D19*M19)^2)+((C19*N19)^2))</f>
        <v>0</v>
      </c>
      <c r="R19" s="3" t="s">
        <v>187</v>
      </c>
      <c r="S19" s="1432">
        <f>(F9+F11)</f>
        <v>2.8235294117647067E-5</v>
      </c>
      <c r="T19" s="1432">
        <f>(G9+G11)</f>
        <v>0</v>
      </c>
      <c r="U19" s="12" t="s">
        <v>831</v>
      </c>
      <c r="V19" s="1434">
        <f>C19*S19</f>
        <v>6.3176470588235294E-3</v>
      </c>
      <c r="W19" s="1434">
        <f>SQRT(((D19*S19)^2)+((C19*T19)^2))</f>
        <v>0</v>
      </c>
      <c r="X19" s="3" t="s">
        <v>188</v>
      </c>
      <c r="Y19" s="1433">
        <f>(H9+H11)</f>
        <v>8.4705882352941183E-6</v>
      </c>
      <c r="Z19" s="1433">
        <f>(I9+I11)</f>
        <v>0</v>
      </c>
      <c r="AA19" s="12" t="s">
        <v>833</v>
      </c>
      <c r="AB19" s="701">
        <f>C19*Y19</f>
        <v>1.8952941176470584E-3</v>
      </c>
      <c r="AC19" s="701">
        <f>SQRT(((D19*Y19)^2)+((C19*Z19)^2))</f>
        <v>0</v>
      </c>
    </row>
    <row r="20" spans="1:29" s="3" customFormat="1" x14ac:dyDescent="0.25">
      <c r="A20" s="1431" t="s">
        <v>1757</v>
      </c>
      <c r="B20" s="979" t="s">
        <v>571</v>
      </c>
      <c r="C20" s="703">
        <f>B13</f>
        <v>63.749999999999993</v>
      </c>
      <c r="D20" s="703">
        <v>0</v>
      </c>
      <c r="E20" s="12" t="s">
        <v>1824</v>
      </c>
      <c r="F20" s="3" t="s">
        <v>16</v>
      </c>
      <c r="G20" s="989">
        <v>20</v>
      </c>
      <c r="H20" s="989">
        <v>3</v>
      </c>
      <c r="I20" s="12" t="s">
        <v>1776</v>
      </c>
      <c r="J20" s="698">
        <f>C20*G20</f>
        <v>1274.9999999999998</v>
      </c>
      <c r="K20" s="698">
        <f>SQRT(((D20*G20)^2)+((C20*H20)^2))</f>
        <v>191.24999999999997</v>
      </c>
      <c r="L20" s="3" t="s">
        <v>17</v>
      </c>
      <c r="M20" s="989">
        <v>1.1200000000000001</v>
      </c>
      <c r="N20" s="989">
        <v>0.17</v>
      </c>
      <c r="O20" s="12" t="s">
        <v>1782</v>
      </c>
      <c r="P20" s="698">
        <f>C20*M20</f>
        <v>71.400000000000006</v>
      </c>
      <c r="Q20" s="698">
        <f>SQRT(((D20*M20)^2)+((C20*N20)^2))</f>
        <v>10.8375</v>
      </c>
      <c r="R20" s="3" t="s">
        <v>1787</v>
      </c>
      <c r="S20" s="1489">
        <v>3.2499999999999999E-3</v>
      </c>
      <c r="T20" s="1489">
        <v>4.8999999999999998E-4</v>
      </c>
      <c r="U20" s="12" t="s">
        <v>1789</v>
      </c>
      <c r="V20" s="1434">
        <f>C20*S20</f>
        <v>0.20718749999999997</v>
      </c>
      <c r="W20" s="1434">
        <f>SQRT(((D20*S20)^2)+((C20*T20)^2))</f>
        <v>3.1237499999999994E-2</v>
      </c>
      <c r="X20" s="3" t="s">
        <v>1796</v>
      </c>
      <c r="Y20" s="991">
        <v>0</v>
      </c>
      <c r="Z20" s="991">
        <v>0</v>
      </c>
      <c r="AA20" s="12" t="s">
        <v>1798</v>
      </c>
      <c r="AB20" s="701">
        <f>C20*Y20</f>
        <v>0</v>
      </c>
      <c r="AC20" s="701">
        <f>SQRT(((D20*Y20)^2)+((C20*Z20)^2))</f>
        <v>0</v>
      </c>
    </row>
    <row r="21" spans="1:29" s="3" customFormat="1" x14ac:dyDescent="0.25">
      <c r="A21" s="44"/>
      <c r="J21" s="699"/>
      <c r="K21" s="699"/>
      <c r="P21" s="699"/>
      <c r="Q21" s="699"/>
      <c r="V21" s="1435"/>
      <c r="W21" s="1435"/>
      <c r="AB21" s="702"/>
      <c r="AC21" s="702"/>
    </row>
    <row r="22" spans="1:29" s="2" customFormat="1" x14ac:dyDescent="0.25">
      <c r="A22" s="18" t="s">
        <v>375</v>
      </c>
      <c r="J22" s="503">
        <f>SUM(J19:J20)</f>
        <v>1274.9999999999998</v>
      </c>
      <c r="K22" s="503">
        <f>SQRT(SUMSQ(K19:K20))</f>
        <v>191.24999999999997</v>
      </c>
      <c r="P22" s="503">
        <f>SUM(P19:P20)</f>
        <v>71.400000000000006</v>
      </c>
      <c r="Q22" s="503">
        <f>SQRT(SUMSQ(Q19:Q20))</f>
        <v>10.8375</v>
      </c>
      <c r="V22" s="617">
        <f>SUM(V19:V20)</f>
        <v>0.21350514705882351</v>
      </c>
      <c r="W22" s="617">
        <f>SQRT(SUMSQ(W19:W20))</f>
        <v>3.1237499999999994E-2</v>
      </c>
      <c r="AB22" s="690">
        <f>SUM(AB19:AB20)</f>
        <v>1.8952941176470584E-3</v>
      </c>
      <c r="AC22" s="690">
        <f>SQRT(SUMSQ(AC19:AC20))</f>
        <v>0</v>
      </c>
    </row>
    <row r="23" spans="1:29" x14ac:dyDescent="0.25">
      <c r="A23" s="16"/>
    </row>
    <row r="24" spans="1:29" s="43" customFormat="1" x14ac:dyDescent="0.25">
      <c r="B24" s="356"/>
      <c r="C24" s="11"/>
      <c r="D24" s="11"/>
      <c r="E24" s="12"/>
      <c r="G24" s="11"/>
      <c r="H24" s="11"/>
      <c r="I24" s="11"/>
      <c r="J24" s="11"/>
      <c r="K24" s="11"/>
      <c r="M24" s="11"/>
      <c r="N24" s="11"/>
      <c r="O24" s="11"/>
      <c r="P24" s="11"/>
      <c r="Q24" s="11"/>
      <c r="S24" s="11"/>
      <c r="T24" s="11"/>
      <c r="U24" s="11"/>
      <c r="V24" s="11"/>
      <c r="W24" s="11"/>
      <c r="Y24" s="11"/>
      <c r="Z24" s="11"/>
      <c r="AA24" s="11"/>
      <c r="AB24" s="11"/>
      <c r="AC24" s="11"/>
    </row>
    <row r="25" spans="1:29" s="43" customFormat="1" x14ac:dyDescent="0.25">
      <c r="B25" s="356"/>
      <c r="C25" s="11"/>
      <c r="D25" s="11"/>
      <c r="E25" s="12"/>
      <c r="G25" s="11"/>
      <c r="H25" s="11"/>
      <c r="I25" s="11"/>
      <c r="J25" s="11"/>
      <c r="K25" s="11"/>
      <c r="M25" s="11"/>
      <c r="N25" s="11"/>
      <c r="O25" s="11"/>
      <c r="P25" s="11"/>
      <c r="Q25" s="11"/>
      <c r="S25" s="11"/>
      <c r="T25" s="11"/>
      <c r="U25" s="11"/>
      <c r="V25" s="11"/>
      <c r="W25" s="11"/>
      <c r="Y25" s="11"/>
      <c r="Z25" s="11"/>
      <c r="AA25" s="11"/>
      <c r="AB25" s="11"/>
      <c r="AC25" s="11"/>
    </row>
    <row r="26" spans="1:29" s="43" customFormat="1" x14ac:dyDescent="0.25">
      <c r="B26" s="356"/>
      <c r="C26" s="11"/>
      <c r="D26" s="11"/>
      <c r="E26" s="12"/>
      <c r="G26" s="11"/>
      <c r="H26" s="11"/>
      <c r="I26" s="11"/>
      <c r="J26" s="11"/>
      <c r="K26" s="11"/>
      <c r="M26" s="11"/>
      <c r="N26" s="11"/>
      <c r="O26" s="11"/>
      <c r="P26" s="11"/>
      <c r="Q26" s="11"/>
      <c r="S26" s="11"/>
      <c r="T26" s="11"/>
      <c r="U26" s="11"/>
      <c r="V26" s="11"/>
      <c r="W26" s="11"/>
      <c r="Y26" s="11"/>
      <c r="Z26" s="11"/>
      <c r="AA26" s="11"/>
      <c r="AB26" s="11"/>
      <c r="AC26" s="11"/>
    </row>
    <row r="27" spans="1:29" s="43" customFormat="1" x14ac:dyDescent="0.25">
      <c r="B27" s="356"/>
      <c r="C27" s="208"/>
      <c r="D27" s="11"/>
      <c r="E27" s="11"/>
      <c r="G27" s="209"/>
      <c r="H27" s="209"/>
      <c r="I27" s="11"/>
      <c r="J27" s="11"/>
      <c r="K27" s="11"/>
      <c r="M27" s="209"/>
      <c r="N27" s="209"/>
      <c r="O27" s="11"/>
      <c r="P27" s="11"/>
      <c r="Q27" s="11"/>
      <c r="S27" s="210"/>
      <c r="T27" s="210"/>
      <c r="U27" s="11"/>
      <c r="V27" s="11"/>
      <c r="W27" s="11"/>
      <c r="Y27" s="211"/>
      <c r="Z27" s="211"/>
      <c r="AA27" s="11"/>
      <c r="AB27" s="11"/>
      <c r="AC27" s="11"/>
    </row>
    <row r="28" spans="1:29" s="43" customFormat="1" x14ac:dyDescent="0.25">
      <c r="C28" s="208"/>
      <c r="D28" s="11"/>
      <c r="E28" s="11"/>
      <c r="G28" s="209"/>
      <c r="H28" s="209"/>
      <c r="I28" s="11"/>
      <c r="J28" s="11"/>
      <c r="K28" s="11"/>
      <c r="M28" s="209"/>
      <c r="N28" s="209"/>
      <c r="O28" s="11"/>
      <c r="P28" s="11"/>
      <c r="Q28" s="11"/>
      <c r="S28" s="210"/>
      <c r="T28" s="210"/>
      <c r="U28" s="11"/>
      <c r="V28" s="11"/>
      <c r="W28" s="11"/>
      <c r="Y28" s="211"/>
      <c r="Z28" s="211"/>
      <c r="AA28" s="11"/>
      <c r="AB28" s="11"/>
      <c r="AC28" s="11"/>
    </row>
    <row r="29" spans="1:29" s="43" customFormat="1" x14ac:dyDescent="0.25">
      <c r="B29" s="356"/>
      <c r="C29" s="11"/>
      <c r="D29" s="11"/>
      <c r="E29" s="12"/>
      <c r="G29" s="11"/>
      <c r="H29" s="11"/>
      <c r="I29" s="11"/>
      <c r="J29" s="11"/>
      <c r="K29" s="11"/>
      <c r="M29" s="11"/>
      <c r="N29" s="11"/>
      <c r="O29" s="11"/>
      <c r="P29" s="11"/>
      <c r="Q29" s="11"/>
      <c r="S29" s="11"/>
      <c r="T29" s="11"/>
      <c r="U29" s="11"/>
      <c r="V29" s="11"/>
      <c r="W29" s="11"/>
      <c r="Y29" s="11"/>
      <c r="Z29" s="11"/>
      <c r="AA29" s="11"/>
      <c r="AB29" s="11"/>
      <c r="AC29" s="11"/>
    </row>
    <row r="30" spans="1:29" s="43" customFormat="1" x14ac:dyDescent="0.25">
      <c r="C30" s="11"/>
      <c r="D30" s="11"/>
      <c r="E30" s="11"/>
      <c r="G30" s="11"/>
      <c r="H30" s="11"/>
      <c r="I30" s="11"/>
      <c r="J30" s="11"/>
      <c r="K30" s="11"/>
      <c r="M30" s="11"/>
      <c r="N30" s="11"/>
      <c r="O30" s="11"/>
      <c r="P30" s="11"/>
      <c r="Q30" s="11"/>
      <c r="S30" s="11"/>
      <c r="T30" s="11"/>
      <c r="U30" s="11"/>
      <c r="V30" s="11"/>
      <c r="W30" s="11"/>
      <c r="Y30" s="11"/>
      <c r="Z30" s="11"/>
      <c r="AA30" s="11"/>
      <c r="AB30" s="11"/>
      <c r="AC30" s="11"/>
    </row>
    <row r="31" spans="1:29" s="43" customFormat="1" x14ac:dyDescent="0.25">
      <c r="A31" s="146"/>
      <c r="B31" s="146"/>
      <c r="C31" s="357"/>
      <c r="D31" s="357"/>
      <c r="E31" s="357"/>
      <c r="F31" s="146"/>
      <c r="G31" s="357"/>
      <c r="H31" s="357"/>
      <c r="I31" s="357"/>
      <c r="J31" s="357"/>
      <c r="K31" s="357"/>
      <c r="L31" s="146"/>
      <c r="M31" s="357"/>
      <c r="N31" s="357"/>
      <c r="O31" s="357"/>
      <c r="P31" s="357"/>
      <c r="Q31" s="357"/>
      <c r="R31" s="146"/>
      <c r="S31" s="357"/>
      <c r="T31" s="357"/>
      <c r="U31" s="357"/>
      <c r="V31" s="357"/>
      <c r="W31" s="357"/>
      <c r="X31" s="146"/>
      <c r="Y31" s="357"/>
      <c r="Z31" s="357"/>
      <c r="AA31" s="357"/>
      <c r="AB31" s="357"/>
      <c r="AC31" s="357"/>
    </row>
    <row r="32" spans="1:29" s="43" customFormat="1" x14ac:dyDescent="0.25"/>
    <row r="33" s="43" customFormat="1" x14ac:dyDescent="0.25"/>
    <row r="34" s="43" customFormat="1" x14ac:dyDescent="0.25"/>
  </sheetData>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4"/>
  <sheetViews>
    <sheetView workbookViewId="0">
      <pane xSplit="1" ySplit="12" topLeftCell="B13" activePane="bottomRight" state="frozen"/>
      <selection pane="topRight" activeCell="B1" sqref="B1"/>
      <selection pane="bottomLeft" activeCell="A13" sqref="A13"/>
      <selection pane="bottomRight"/>
    </sheetView>
  </sheetViews>
  <sheetFormatPr defaultRowHeight="13.2" x14ac:dyDescent="0.25"/>
  <cols>
    <col min="1" max="1" width="34.6640625" customWidth="1"/>
    <col min="2" max="2" width="17.33203125" customWidth="1"/>
    <col min="3" max="3" width="11.44140625" customWidth="1"/>
    <col min="4" max="4" width="19.5546875" customWidth="1"/>
    <col min="5" max="5" width="10.88671875" customWidth="1"/>
    <col min="6" max="6" width="20" customWidth="1"/>
    <col min="8" max="8" width="20.44140625" customWidth="1"/>
    <col min="9" max="9" width="17.6640625" customWidth="1"/>
    <col min="10" max="10" width="13.5546875" customWidth="1"/>
    <col min="11" max="11" width="12.33203125" customWidth="1"/>
    <col min="16" max="16" width="17.33203125" customWidth="1"/>
    <col min="17" max="17" width="19.44140625" customWidth="1"/>
    <col min="22" max="22" width="13.6640625" customWidth="1"/>
    <col min="23" max="23" width="14.5546875" customWidth="1"/>
    <col min="25" max="25" width="11.33203125" customWidth="1"/>
    <col min="26" max="26" width="10.5546875" customWidth="1"/>
    <col min="28" max="28" width="18.6640625" customWidth="1"/>
    <col min="29" max="29" width="15.44140625" customWidth="1"/>
  </cols>
  <sheetData>
    <row r="1" spans="1:29" x14ac:dyDescent="0.25">
      <c r="A1" s="154" t="s">
        <v>238</v>
      </c>
      <c r="B1" s="212" t="s">
        <v>671</v>
      </c>
    </row>
    <row r="2" spans="1:29" x14ac:dyDescent="0.25">
      <c r="A2" s="154" t="s">
        <v>241</v>
      </c>
      <c r="B2" s="212" t="s">
        <v>450</v>
      </c>
    </row>
    <row r="3" spans="1:29" x14ac:dyDescent="0.25">
      <c r="A3" s="154" t="s">
        <v>239</v>
      </c>
      <c r="B3" s="979" t="s">
        <v>1422</v>
      </c>
    </row>
    <row r="4" spans="1:29" x14ac:dyDescent="0.25">
      <c r="A4" s="154" t="s">
        <v>240</v>
      </c>
      <c r="B4" s="42">
        <v>2004</v>
      </c>
    </row>
    <row r="6" spans="1:29" x14ac:dyDescent="0.25">
      <c r="A6" s="447" t="s">
        <v>415</v>
      </c>
      <c r="B6" s="176" t="s">
        <v>22</v>
      </c>
      <c r="C6" s="177"/>
      <c r="D6" s="178" t="s">
        <v>23</v>
      </c>
      <c r="E6" s="179"/>
      <c r="F6" s="178" t="s">
        <v>24</v>
      </c>
      <c r="G6" s="179"/>
      <c r="H6" s="178" t="s">
        <v>25</v>
      </c>
      <c r="I6" s="180"/>
    </row>
    <row r="7" spans="1:29" x14ac:dyDescent="0.25">
      <c r="A7" s="181"/>
      <c r="B7" s="182" t="s">
        <v>198</v>
      </c>
      <c r="C7" s="182" t="s">
        <v>210</v>
      </c>
      <c r="D7" s="182" t="s">
        <v>199</v>
      </c>
      <c r="E7" s="183" t="s">
        <v>211</v>
      </c>
      <c r="F7" s="182" t="s">
        <v>201</v>
      </c>
      <c r="G7" s="182" t="s">
        <v>247</v>
      </c>
      <c r="H7" s="182" t="s">
        <v>203</v>
      </c>
      <c r="I7" s="182" t="s">
        <v>247</v>
      </c>
    </row>
    <row r="8" spans="1:29" x14ac:dyDescent="0.25">
      <c r="A8" s="147" t="s">
        <v>212</v>
      </c>
      <c r="B8" s="184">
        <f>EnergySupply!B35*Unitflowchart!$S$141</f>
        <v>0</v>
      </c>
      <c r="C8" s="185">
        <f>EnergySupply!C35*Unitflowchart!$S$141</f>
        <v>0</v>
      </c>
      <c r="D8" s="185">
        <f>EnergySupply!D35*Unitflowchart!$S$141</f>
        <v>0</v>
      </c>
      <c r="E8" s="185">
        <f>EnergySupply!E35*Unitflowchart!$S$141</f>
        <v>0</v>
      </c>
      <c r="F8" s="186">
        <f>EnergySupply!F35*Unitflowchart!$S$141</f>
        <v>-1.44E-4</v>
      </c>
      <c r="G8" s="186">
        <f>EnergySupply!G35*Unitflowchart!$S$141</f>
        <v>0</v>
      </c>
      <c r="H8" s="187">
        <f>EnergySupply!H35*Unitflowchart!$S$141</f>
        <v>-4.32E-5</v>
      </c>
      <c r="I8" s="187">
        <f>EnergySupply!I35*Unitflowchart!$S$141</f>
        <v>0</v>
      </c>
    </row>
    <row r="9" spans="1:29" x14ac:dyDescent="0.25">
      <c r="A9" s="188" t="s">
        <v>848</v>
      </c>
      <c r="B9" s="189">
        <f>Unitflowchart!S141*Unitflowchart!AE145</f>
        <v>514.90367929918921</v>
      </c>
      <c r="C9" s="190"/>
      <c r="D9" s="190"/>
      <c r="E9" s="190"/>
      <c r="F9" s="191"/>
      <c r="G9" s="191"/>
      <c r="H9" s="192"/>
      <c r="I9" s="192"/>
    </row>
    <row r="11" spans="1:29" x14ac:dyDescent="0.25">
      <c r="A11" t="s">
        <v>243</v>
      </c>
      <c r="B11" t="s">
        <v>242</v>
      </c>
      <c r="E11" t="s">
        <v>28</v>
      </c>
      <c r="F11" t="s">
        <v>245</v>
      </c>
      <c r="I11" t="s">
        <v>28</v>
      </c>
      <c r="J11" t="s">
        <v>837</v>
      </c>
      <c r="L11" t="s">
        <v>249</v>
      </c>
      <c r="O11" t="s">
        <v>28</v>
      </c>
      <c r="P11" t="s">
        <v>838</v>
      </c>
      <c r="R11" t="s">
        <v>251</v>
      </c>
      <c r="U11" t="s">
        <v>28</v>
      </c>
      <c r="V11" t="s">
        <v>840</v>
      </c>
      <c r="X11" t="s">
        <v>253</v>
      </c>
      <c r="AA11" t="s">
        <v>28</v>
      </c>
      <c r="AB11" t="s">
        <v>841</v>
      </c>
    </row>
    <row r="12" spans="1:29" x14ac:dyDescent="0.25">
      <c r="B12" t="s">
        <v>244</v>
      </c>
      <c r="C12" t="s">
        <v>246</v>
      </c>
      <c r="D12" t="s">
        <v>247</v>
      </c>
      <c r="F12" t="s">
        <v>244</v>
      </c>
      <c r="G12" t="s">
        <v>246</v>
      </c>
      <c r="H12" t="s">
        <v>247</v>
      </c>
      <c r="J12" t="s">
        <v>246</v>
      </c>
      <c r="K12" t="s">
        <v>247</v>
      </c>
      <c r="L12" t="s">
        <v>244</v>
      </c>
      <c r="M12" t="s">
        <v>246</v>
      </c>
      <c r="N12" t="s">
        <v>247</v>
      </c>
      <c r="P12" t="s">
        <v>246</v>
      </c>
      <c r="Q12" t="s">
        <v>247</v>
      </c>
      <c r="R12" t="s">
        <v>244</v>
      </c>
      <c r="S12" t="s">
        <v>246</v>
      </c>
      <c r="T12" t="s">
        <v>247</v>
      </c>
      <c r="V12" t="s">
        <v>246</v>
      </c>
      <c r="W12" t="s">
        <v>247</v>
      </c>
      <c r="X12" t="s">
        <v>244</v>
      </c>
      <c r="Y12" t="s">
        <v>246</v>
      </c>
      <c r="Z12" t="s">
        <v>247</v>
      </c>
      <c r="AB12" t="s">
        <v>246</v>
      </c>
      <c r="AC12" t="s">
        <v>247</v>
      </c>
    </row>
    <row r="13" spans="1:29" x14ac:dyDescent="0.25">
      <c r="A13" s="2" t="s">
        <v>213</v>
      </c>
    </row>
    <row r="15" spans="1:29" x14ac:dyDescent="0.25">
      <c r="A15" t="s">
        <v>214</v>
      </c>
      <c r="B15" t="s">
        <v>765</v>
      </c>
      <c r="C15" s="359">
        <f>$B$9</f>
        <v>514.90367929918921</v>
      </c>
      <c r="D15" s="359">
        <v>0</v>
      </c>
      <c r="E15" s="11" t="s">
        <v>215</v>
      </c>
      <c r="F15" t="s">
        <v>185</v>
      </c>
      <c r="G15" s="705">
        <f>3.6*B8</f>
        <v>0</v>
      </c>
      <c r="H15" s="705">
        <f>3.6*C8</f>
        <v>0</v>
      </c>
      <c r="I15" s="11" t="s">
        <v>849</v>
      </c>
      <c r="J15" s="500">
        <f>(C15*G15)</f>
        <v>0</v>
      </c>
      <c r="K15" s="500">
        <f>(SQRT(((D15*G15)^2)+((C15*H15)^2)))</f>
        <v>0</v>
      </c>
      <c r="L15" t="s">
        <v>186</v>
      </c>
      <c r="M15" s="694">
        <f>D8</f>
        <v>0</v>
      </c>
      <c r="N15" s="694">
        <f>E8</f>
        <v>0</v>
      </c>
      <c r="O15" s="11" t="s">
        <v>850</v>
      </c>
      <c r="P15" s="500">
        <f>C15*M15</f>
        <v>0</v>
      </c>
      <c r="Q15" s="500">
        <f>SQRT(((D15*M15)^2)+((C15*N15)^2))</f>
        <v>0</v>
      </c>
      <c r="R15" t="s">
        <v>187</v>
      </c>
      <c r="S15" s="697">
        <f>F8</f>
        <v>-1.44E-4</v>
      </c>
      <c r="T15" s="697">
        <f>G8</f>
        <v>0</v>
      </c>
      <c r="U15" s="11" t="s">
        <v>851</v>
      </c>
      <c r="V15" s="642">
        <f>C15*S15</f>
        <v>-7.4146129819083251E-2</v>
      </c>
      <c r="W15" s="642">
        <f>SQRT(((D15*S15)^2)+((C15*T15)^2))</f>
        <v>0</v>
      </c>
      <c r="X15" t="s">
        <v>188</v>
      </c>
      <c r="Y15" s="704">
        <f>H8</f>
        <v>-4.32E-5</v>
      </c>
      <c r="Z15" s="704">
        <f>I8</f>
        <v>0</v>
      </c>
      <c r="AA15" s="11" t="s">
        <v>852</v>
      </c>
      <c r="AB15" s="624">
        <f>C15*Y15</f>
        <v>-2.2243838945724972E-2</v>
      </c>
      <c r="AC15" s="624">
        <f>SQRT(((D15*Y15)^2)+((C15*Z15)^2))</f>
        <v>0</v>
      </c>
    </row>
    <row r="16" spans="1:29" x14ac:dyDescent="0.25">
      <c r="C16" s="1"/>
      <c r="D16" s="1"/>
      <c r="E16" s="1"/>
      <c r="G16" s="1"/>
      <c r="H16" s="1"/>
      <c r="I16" s="1"/>
      <c r="J16" s="501"/>
      <c r="K16" s="501"/>
      <c r="M16" s="1"/>
      <c r="N16" s="1"/>
      <c r="O16" s="1"/>
      <c r="P16" s="501"/>
      <c r="Q16" s="501"/>
      <c r="S16" s="1"/>
      <c r="T16" s="1"/>
      <c r="U16" s="1"/>
      <c r="V16" s="643"/>
      <c r="W16" s="643"/>
      <c r="Y16" s="1"/>
      <c r="Z16" s="1"/>
      <c r="AA16" s="1"/>
      <c r="AB16" s="625"/>
      <c r="AC16" s="625"/>
    </row>
    <row r="17" spans="1:29" x14ac:dyDescent="0.25">
      <c r="A17" s="2" t="s">
        <v>19</v>
      </c>
      <c r="B17" s="2"/>
      <c r="C17" s="4"/>
      <c r="D17" s="4"/>
      <c r="E17" s="4"/>
      <c r="F17" s="2"/>
      <c r="G17" s="4"/>
      <c r="H17" s="4"/>
      <c r="I17" s="4"/>
      <c r="J17" s="503">
        <f>SUM(J15:J15)</f>
        <v>0</v>
      </c>
      <c r="K17" s="503">
        <f>K15</f>
        <v>0</v>
      </c>
      <c r="L17" s="2"/>
      <c r="M17" s="4"/>
      <c r="N17" s="4"/>
      <c r="O17" s="4"/>
      <c r="P17" s="503">
        <f>SUM(P15:P15)</f>
        <v>0</v>
      </c>
      <c r="Q17" s="503">
        <f>Q15</f>
        <v>0</v>
      </c>
      <c r="R17" s="2"/>
      <c r="S17" s="4"/>
      <c r="T17" s="4"/>
      <c r="U17" s="4"/>
      <c r="V17" s="644">
        <f>SUM(V15:V15)</f>
        <v>-7.4146129819083251E-2</v>
      </c>
      <c r="W17" s="644">
        <f>W15</f>
        <v>0</v>
      </c>
      <c r="X17" s="2"/>
      <c r="Y17" s="4"/>
      <c r="Z17" s="4"/>
      <c r="AA17" s="4"/>
      <c r="AB17" s="626">
        <f>SUM(AB15:AB15)</f>
        <v>-2.2243838945724972E-2</v>
      </c>
      <c r="AC17" s="626">
        <f>AC15</f>
        <v>0</v>
      </c>
    </row>
    <row r="22" spans="1:29" x14ac:dyDescent="0.25">
      <c r="A22" s="3"/>
      <c r="E22" s="118"/>
      <c r="I22" s="118"/>
      <c r="O22" s="118"/>
      <c r="U22" s="118"/>
      <c r="AA22" s="118"/>
    </row>
    <row r="23" spans="1:29" x14ac:dyDescent="0.25">
      <c r="A23" s="3"/>
      <c r="E23" s="118"/>
      <c r="I23" s="118"/>
      <c r="O23" s="118"/>
      <c r="U23" s="118"/>
      <c r="AA23" s="118"/>
    </row>
    <row r="24" spans="1:29" x14ac:dyDescent="0.25">
      <c r="A24" s="3"/>
      <c r="E24" s="118"/>
      <c r="I24" s="118"/>
      <c r="O24" s="118"/>
      <c r="U24" s="118"/>
      <c r="AA24" s="118"/>
    </row>
  </sheetData>
  <phoneticPr fontId="0" type="noConversion"/>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6"/>
  <sheetViews>
    <sheetView workbookViewId="0">
      <pane xSplit="1" ySplit="14" topLeftCell="B15" activePane="bottomRight" state="frozen"/>
      <selection pane="topRight" activeCell="B1" sqref="B1"/>
      <selection pane="bottomLeft" activeCell="A12" sqref="A12"/>
      <selection pane="bottomRight"/>
    </sheetView>
  </sheetViews>
  <sheetFormatPr defaultRowHeight="13.2" x14ac:dyDescent="0.25"/>
  <cols>
    <col min="1" max="1" width="41.109375" customWidth="1"/>
    <col min="2" max="2" width="18" customWidth="1"/>
    <col min="3" max="3" width="9.5546875" customWidth="1"/>
    <col min="6" max="6" width="10.109375" customWidth="1"/>
    <col min="10" max="10" width="14" customWidth="1"/>
    <col min="11" max="11" width="12.6640625" customWidth="1"/>
    <col min="12" max="12" width="14.33203125" customWidth="1"/>
    <col min="16" max="16" width="18.33203125" customWidth="1"/>
    <col min="17" max="17" width="16.88671875" customWidth="1"/>
    <col min="18" max="18" width="14.5546875" customWidth="1"/>
    <col min="19" max="20" width="13.88671875" customWidth="1"/>
    <col min="22" max="22" width="14.44140625" customWidth="1"/>
    <col min="23" max="23" width="14.88671875" customWidth="1"/>
    <col min="24" max="24" width="14.6640625" customWidth="1"/>
    <col min="25" max="25" width="18.109375" customWidth="1"/>
    <col min="26" max="26" width="17.6640625" customWidth="1"/>
    <col min="28" max="28" width="15.88671875" customWidth="1"/>
    <col min="29" max="29" width="18.33203125" customWidth="1"/>
  </cols>
  <sheetData>
    <row r="1" spans="1:29" x14ac:dyDescent="0.25">
      <c r="A1" s="2" t="s">
        <v>238</v>
      </c>
      <c r="B1" s="3" t="s">
        <v>676</v>
      </c>
    </row>
    <row r="2" spans="1:29" x14ac:dyDescent="0.25">
      <c r="A2" s="2" t="s">
        <v>241</v>
      </c>
      <c r="B2" s="3" t="s">
        <v>450</v>
      </c>
    </row>
    <row r="3" spans="1:29" x14ac:dyDescent="0.25">
      <c r="A3" s="2" t="s">
        <v>239</v>
      </c>
      <c r="B3" s="923" t="s">
        <v>1422</v>
      </c>
    </row>
    <row r="4" spans="1:29" x14ac:dyDescent="0.25">
      <c r="A4" s="2" t="s">
        <v>240</v>
      </c>
      <c r="B4" s="1">
        <v>2004</v>
      </c>
    </row>
    <row r="5" spans="1:29" x14ac:dyDescent="0.25">
      <c r="B5" s="1"/>
    </row>
    <row r="6" spans="1:29" x14ac:dyDescent="0.25">
      <c r="A6" s="447" t="s">
        <v>415</v>
      </c>
      <c r="B6" s="103"/>
      <c r="C6" s="104"/>
    </row>
    <row r="7" spans="1:29" x14ac:dyDescent="0.25">
      <c r="A7" s="147" t="s">
        <v>669</v>
      </c>
      <c r="B7" s="328" t="s">
        <v>377</v>
      </c>
      <c r="C7" s="115">
        <f>include_machinery</f>
        <v>0</v>
      </c>
    </row>
    <row r="8" spans="1:29" x14ac:dyDescent="0.25">
      <c r="A8" s="925" t="s">
        <v>1951</v>
      </c>
      <c r="B8" s="328" t="s">
        <v>377</v>
      </c>
      <c r="C8" s="115">
        <f>sce_option</f>
        <v>0</v>
      </c>
    </row>
    <row r="9" spans="1:29" x14ac:dyDescent="0.25">
      <c r="A9" s="925" t="s">
        <v>1953</v>
      </c>
      <c r="B9" s="328" t="s">
        <v>1952</v>
      </c>
      <c r="C9" s="1539">
        <f>Unitflowchart!S114*((100-Unitflowchart!S166)/100)*((100-Unitflowchart!S176)/100)</f>
        <v>375000</v>
      </c>
    </row>
    <row r="10" spans="1:29" x14ac:dyDescent="0.25">
      <c r="A10" s="147" t="s">
        <v>674</v>
      </c>
      <c r="B10" s="295" t="s">
        <v>673</v>
      </c>
      <c r="C10" s="1539">
        <f>Unitflowchart!$S$114*Unitflowchart!$S$383/Unitflowchart!$S$85</f>
        <v>48790.365750000012</v>
      </c>
    </row>
    <row r="11" spans="1:29" x14ac:dyDescent="0.25">
      <c r="A11" s="149" t="s">
        <v>675</v>
      </c>
      <c r="B11" s="206" t="s">
        <v>430</v>
      </c>
      <c r="C11" s="116">
        <f>Unitflowchart!$S$116</f>
        <v>20</v>
      </c>
    </row>
    <row r="13" spans="1:29" x14ac:dyDescent="0.25">
      <c r="A13" t="s">
        <v>243</v>
      </c>
      <c r="B13" t="s">
        <v>242</v>
      </c>
      <c r="E13" t="s">
        <v>28</v>
      </c>
      <c r="F13" t="s">
        <v>245</v>
      </c>
      <c r="I13" t="s">
        <v>28</v>
      </c>
      <c r="J13" t="s">
        <v>837</v>
      </c>
      <c r="L13" t="s">
        <v>249</v>
      </c>
      <c r="O13" t="s">
        <v>28</v>
      </c>
      <c r="P13" t="s">
        <v>838</v>
      </c>
      <c r="R13" t="s">
        <v>251</v>
      </c>
      <c r="U13" t="s">
        <v>28</v>
      </c>
      <c r="V13" t="s">
        <v>840</v>
      </c>
      <c r="X13" t="s">
        <v>253</v>
      </c>
      <c r="AA13" t="s">
        <v>28</v>
      </c>
      <c r="AB13" t="s">
        <v>853</v>
      </c>
    </row>
    <row r="14" spans="1:29" x14ac:dyDescent="0.25">
      <c r="B14" t="s">
        <v>244</v>
      </c>
      <c r="C14" t="s">
        <v>246</v>
      </c>
      <c r="D14" t="s">
        <v>247</v>
      </c>
      <c r="F14" t="s">
        <v>244</v>
      </c>
      <c r="G14" t="s">
        <v>246</v>
      </c>
      <c r="H14" t="s">
        <v>247</v>
      </c>
      <c r="J14" t="s">
        <v>246</v>
      </c>
      <c r="K14" t="s">
        <v>247</v>
      </c>
      <c r="L14" t="s">
        <v>244</v>
      </c>
      <c r="M14" t="s">
        <v>246</v>
      </c>
      <c r="N14" t="s">
        <v>247</v>
      </c>
      <c r="P14" t="s">
        <v>246</v>
      </c>
      <c r="Q14" t="s">
        <v>247</v>
      </c>
      <c r="R14" t="s">
        <v>244</v>
      </c>
      <c r="S14" t="s">
        <v>246</v>
      </c>
      <c r="T14" t="s">
        <v>247</v>
      </c>
      <c r="V14" t="s">
        <v>246</v>
      </c>
      <c r="W14" t="s">
        <v>247</v>
      </c>
      <c r="X14" t="s">
        <v>244</v>
      </c>
      <c r="Y14" t="s">
        <v>246</v>
      </c>
      <c r="Z14" t="s">
        <v>247</v>
      </c>
      <c r="AB14" t="s">
        <v>246</v>
      </c>
      <c r="AC14" t="s">
        <v>247</v>
      </c>
    </row>
    <row r="15" spans="1:29" x14ac:dyDescent="0.25">
      <c r="A15" s="2" t="s">
        <v>672</v>
      </c>
      <c r="C15" s="1"/>
      <c r="D15" s="1"/>
      <c r="E15" s="1"/>
      <c r="G15" s="1"/>
      <c r="H15" s="1"/>
      <c r="I15" s="1"/>
      <c r="J15" s="1"/>
      <c r="K15" s="1"/>
    </row>
    <row r="16" spans="1:29" ht="15.6" x14ac:dyDescent="0.35">
      <c r="A16" t="s">
        <v>48</v>
      </c>
      <c r="B16" s="923" t="s">
        <v>1954</v>
      </c>
      <c r="C16" s="642">
        <f>((C8*12067*(($C$9)^(2/3)))/($C$10*$C$11))+((31450*(($C$10)^(2/3)))/($C$10*$C$11))</f>
        <v>43.034090568519645</v>
      </c>
      <c r="D16" s="642">
        <f>0.15*C16</f>
        <v>6.4551135852779469</v>
      </c>
      <c r="E16" s="963" t="s">
        <v>1957</v>
      </c>
      <c r="F16" s="923" t="s">
        <v>1955</v>
      </c>
      <c r="G16" s="622">
        <v>16.5</v>
      </c>
      <c r="H16" s="492">
        <v>0</v>
      </c>
      <c r="I16" s="933" t="s">
        <v>1956</v>
      </c>
      <c r="J16" s="500">
        <f>$C16*G16*$C7</f>
        <v>0</v>
      </c>
      <c r="K16" s="500">
        <f>SQRT((($D16*G16)^2)+(($C16*H16)^2))*$C7</f>
        <v>0</v>
      </c>
      <c r="L16" s="923" t="s">
        <v>1958</v>
      </c>
      <c r="M16" s="492">
        <v>1.0920000000000001</v>
      </c>
      <c r="N16" s="492">
        <v>0</v>
      </c>
      <c r="O16" s="933" t="s">
        <v>1959</v>
      </c>
      <c r="P16" s="500">
        <f>$C16*M16*$C7</f>
        <v>0</v>
      </c>
      <c r="Q16" s="500">
        <f>SQRT((($D16*M16)^2)+(($C16*N16)^2))*$C7</f>
        <v>0</v>
      </c>
      <c r="R16" s="923" t="s">
        <v>1971</v>
      </c>
      <c r="S16" s="508">
        <v>1.603E-3</v>
      </c>
      <c r="T16" s="508">
        <v>0</v>
      </c>
      <c r="U16" s="933" t="s">
        <v>1960</v>
      </c>
      <c r="V16" s="497">
        <f>$C16*S16*$C7</f>
        <v>0</v>
      </c>
      <c r="W16" s="497">
        <f>SQRT((($D16*S16)^2)+(($C16*T16)^2))*$C7</f>
        <v>0</v>
      </c>
      <c r="X16" s="923" t="s">
        <v>1961</v>
      </c>
      <c r="Y16" s="1544">
        <v>6.4090000000000005E-5</v>
      </c>
      <c r="Z16" s="1544">
        <v>0</v>
      </c>
      <c r="AA16" s="933" t="s">
        <v>1962</v>
      </c>
      <c r="AB16" s="689">
        <f>$C16*Y16*$C7</f>
        <v>0</v>
      </c>
      <c r="AC16" s="689">
        <f>SQRT((($D16*Y16)^2)+(($C16*Z16)^2))*$C7</f>
        <v>0</v>
      </c>
    </row>
    <row r="17" spans="1:29" x14ac:dyDescent="0.25">
      <c r="A17" t="s">
        <v>49</v>
      </c>
      <c r="B17" s="923" t="s">
        <v>38</v>
      </c>
      <c r="C17" s="492">
        <v>1.5</v>
      </c>
      <c r="D17" s="492">
        <v>0</v>
      </c>
      <c r="E17" s="933" t="s">
        <v>1969</v>
      </c>
      <c r="G17" s="492"/>
      <c r="H17" s="492"/>
      <c r="I17" s="1"/>
      <c r="J17" s="511">
        <f>$C7*$C11*($C17/100)*J16</f>
        <v>0</v>
      </c>
      <c r="K17" s="500">
        <f>SQRT((($C11*K16*$C17/100)^2)+(($C11*J16*$D17/100)^2))*$C7</f>
        <v>0</v>
      </c>
      <c r="M17" s="1541"/>
      <c r="N17" s="1541"/>
      <c r="O17" s="12"/>
      <c r="P17" s="511">
        <f>$C7*$C11*($C17/100)*P16</f>
        <v>0</v>
      </c>
      <c r="Q17" s="500">
        <f>SQRT((($C11*Q16*$C17/100)^2)+(($C11*P16*$D17/100)^2))*$C7</f>
        <v>0</v>
      </c>
      <c r="S17" s="1542"/>
      <c r="T17" s="1542"/>
      <c r="U17" s="1"/>
      <c r="V17" s="1540">
        <f>$C7*$C11*($C17/100)*V16</f>
        <v>0</v>
      </c>
      <c r="W17" s="497">
        <f>SQRT((($C11*W16*$C17/100)^2)+(($C11*V16*$D17/100)^2))*$C7</f>
        <v>0</v>
      </c>
      <c r="Y17" s="1543"/>
      <c r="Z17" s="1543"/>
      <c r="AA17" s="1"/>
      <c r="AB17" s="1545">
        <f>$C7*$C11*($C17/100)*AB16</f>
        <v>0</v>
      </c>
      <c r="AC17" s="689">
        <f>SQRT((($C11*AC16*$C17/100)^2)+(($C11*AB16*$D17/100)^2))*$C7</f>
        <v>0</v>
      </c>
    </row>
    <row r="18" spans="1:29" x14ac:dyDescent="0.25">
      <c r="A18" t="s">
        <v>50</v>
      </c>
      <c r="B18" s="923" t="s">
        <v>38</v>
      </c>
      <c r="C18" s="492">
        <v>4</v>
      </c>
      <c r="D18" s="492">
        <v>1</v>
      </c>
      <c r="E18" s="933" t="s">
        <v>1970</v>
      </c>
      <c r="G18" s="492"/>
      <c r="H18" s="492"/>
      <c r="I18" s="1"/>
      <c r="J18" s="500">
        <f>$C7*($C18/100)*J16</f>
        <v>0</v>
      </c>
      <c r="K18" s="500">
        <f>SQRT(((K16*($C18/100))^2)+((J16*($D18/100))^2))*$C7</f>
        <v>0</v>
      </c>
      <c r="M18" s="1541"/>
      <c r="N18" s="1541"/>
      <c r="O18" s="12"/>
      <c r="P18" s="500">
        <f>$C7*($C18/100)*P16</f>
        <v>0</v>
      </c>
      <c r="Q18" s="500">
        <f>SQRT(((Q16*($C18/100))^2)+((P16*($D18/100))^2))*$C7</f>
        <v>0</v>
      </c>
      <c r="S18" s="1542"/>
      <c r="T18" s="1542"/>
      <c r="U18" s="1"/>
      <c r="V18" s="497">
        <f>$C7*($C18/100)*V16</f>
        <v>0</v>
      </c>
      <c r="W18" s="497">
        <f>SQRT(((W16*($C18/100))^2)+((V16*($D18/100))^2))*$C7</f>
        <v>0</v>
      </c>
      <c r="Y18" s="1543"/>
      <c r="Z18" s="1543"/>
      <c r="AA18" s="1"/>
      <c r="AB18" s="689">
        <f>$C7*($C18/100)*AB16</f>
        <v>0</v>
      </c>
      <c r="AC18" s="689">
        <f>SQRT(((AC16*($C18/100))^2)+((AB16*($D18/100))^2))*$C7</f>
        <v>0</v>
      </c>
    </row>
    <row r="19" spans="1:29" x14ac:dyDescent="0.25">
      <c r="C19" s="1"/>
      <c r="D19" s="1"/>
      <c r="E19" s="1"/>
      <c r="G19" s="1"/>
      <c r="H19" s="1"/>
      <c r="I19" s="1"/>
      <c r="J19" s="501"/>
      <c r="K19" s="501"/>
      <c r="M19" s="1"/>
      <c r="N19" s="1"/>
      <c r="O19" s="1"/>
      <c r="P19" s="501"/>
      <c r="Q19" s="501"/>
      <c r="S19" s="1"/>
      <c r="T19" s="1"/>
      <c r="U19" s="1"/>
      <c r="V19" s="628"/>
      <c r="W19" s="628"/>
      <c r="Y19" s="1"/>
      <c r="Z19" s="1"/>
      <c r="AA19" s="1"/>
      <c r="AB19" s="631"/>
      <c r="AC19" s="631"/>
    </row>
    <row r="20" spans="1:29" x14ac:dyDescent="0.25">
      <c r="A20" s="2" t="s">
        <v>19</v>
      </c>
      <c r="B20" s="2"/>
      <c r="C20" s="4"/>
      <c r="D20" s="4"/>
      <c r="E20" s="4"/>
      <c r="F20" s="2"/>
      <c r="G20" s="4"/>
      <c r="H20" s="4"/>
      <c r="I20" s="4"/>
      <c r="J20" s="503">
        <f>SUM(J16:J18)</f>
        <v>0</v>
      </c>
      <c r="K20" s="503">
        <f>SQRT((K16^2)+(K17^2)+(K18^2))</f>
        <v>0</v>
      </c>
      <c r="L20" s="2"/>
      <c r="M20" s="4"/>
      <c r="N20" s="4"/>
      <c r="O20" s="4"/>
      <c r="P20" s="503">
        <f>SUM(P16:P18)</f>
        <v>0</v>
      </c>
      <c r="Q20" s="503">
        <f>SQRT((Q16^2)+(Q17^2)+(Q18^2))</f>
        <v>0</v>
      </c>
      <c r="R20" s="2"/>
      <c r="S20" s="4"/>
      <c r="T20" s="4"/>
      <c r="U20" s="4"/>
      <c r="V20" s="499">
        <f>SUM(V16:V18)</f>
        <v>0</v>
      </c>
      <c r="W20" s="499">
        <f>SQRT((W16^2)+(W17^2)+(W18^2))</f>
        <v>0</v>
      </c>
      <c r="X20" s="2"/>
      <c r="Y20" s="4"/>
      <c r="Z20" s="4"/>
      <c r="AA20" s="4"/>
      <c r="AB20" s="690">
        <f>SUM(AB16:AB18)</f>
        <v>0</v>
      </c>
      <c r="AC20" s="690">
        <f>SQRT((AC16^2)+(AC17^2)+(AC18^2))</f>
        <v>0</v>
      </c>
    </row>
    <row r="25" spans="1:29" x14ac:dyDescent="0.25">
      <c r="E25" s="24"/>
    </row>
    <row r="26" spans="1:29" x14ac:dyDescent="0.25">
      <c r="E26" s="24"/>
    </row>
  </sheetData>
  <phoneticPr fontId="0" type="noConversion"/>
  <pageMargins left="0.75" right="0.75" top="1" bottom="1" header="0.5" footer="0.5"/>
  <pageSetup paperSize="9" orientation="portrait" horizontalDpi="300"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6"/>
  <sheetViews>
    <sheetView workbookViewId="0">
      <pane xSplit="1" ySplit="11" topLeftCell="B12" activePane="bottomRight" state="frozen"/>
      <selection pane="topRight" activeCell="B1" sqref="B1"/>
      <selection pane="bottomLeft" activeCell="A11" sqref="A11"/>
      <selection pane="bottomRight"/>
    </sheetView>
  </sheetViews>
  <sheetFormatPr defaultColWidth="9.109375" defaultRowHeight="13.2" x14ac:dyDescent="0.25"/>
  <cols>
    <col min="1" max="1" width="46.44140625" style="118" customWidth="1"/>
    <col min="2" max="2" width="15.33203125" style="118" customWidth="1"/>
    <col min="3" max="3" width="11.5546875" style="118" customWidth="1"/>
    <col min="4" max="9" width="9.109375" style="118"/>
    <col min="10" max="10" width="13.33203125" style="118" customWidth="1"/>
    <col min="11" max="11" width="14.33203125" style="118" customWidth="1"/>
    <col min="12" max="15" width="9.109375" style="118"/>
    <col min="16" max="16" width="17.5546875" style="118" customWidth="1"/>
    <col min="17" max="17" width="17.6640625" style="118" customWidth="1"/>
    <col min="18" max="21" width="9.109375" style="118"/>
    <col min="22" max="22" width="15.6640625" style="118" customWidth="1"/>
    <col min="23" max="23" width="18" style="118" customWidth="1"/>
    <col min="24" max="27" width="9.109375" style="118"/>
    <col min="28" max="28" width="17.109375" style="118" customWidth="1"/>
    <col min="29" max="29" width="17.6640625" style="118" customWidth="1"/>
    <col min="30" max="16384" width="9.109375" style="118"/>
  </cols>
  <sheetData>
    <row r="1" spans="1:29" x14ac:dyDescent="0.25">
      <c r="A1" s="152" t="s">
        <v>238</v>
      </c>
      <c r="B1" s="291" t="s">
        <v>688</v>
      </c>
    </row>
    <row r="2" spans="1:29" x14ac:dyDescent="0.25">
      <c r="A2" s="152" t="s">
        <v>241</v>
      </c>
      <c r="B2" s="118" t="s">
        <v>168</v>
      </c>
    </row>
    <row r="3" spans="1:29" x14ac:dyDescent="0.25">
      <c r="A3" s="152" t="s">
        <v>239</v>
      </c>
      <c r="B3" s="118" t="s">
        <v>169</v>
      </c>
    </row>
    <row r="4" spans="1:29" x14ac:dyDescent="0.25">
      <c r="A4" s="152" t="s">
        <v>240</v>
      </c>
      <c r="B4" s="1">
        <v>2001</v>
      </c>
    </row>
    <row r="5" spans="1:29" x14ac:dyDescent="0.25">
      <c r="A5" s="152"/>
    </row>
    <row r="6" spans="1:29" x14ac:dyDescent="0.25">
      <c r="A6" s="578" t="s">
        <v>415</v>
      </c>
      <c r="B6" s="411"/>
      <c r="C6" s="412"/>
    </row>
    <row r="7" spans="1:29" x14ac:dyDescent="0.25">
      <c r="A7" s="584" t="s">
        <v>587</v>
      </c>
      <c r="B7" s="585" t="s">
        <v>440</v>
      </c>
      <c r="C7" s="583">
        <f>Unitflowchart!S327</f>
        <v>44</v>
      </c>
    </row>
    <row r="8" spans="1:29" x14ac:dyDescent="0.25">
      <c r="A8" s="413" t="s">
        <v>369</v>
      </c>
      <c r="B8" s="414" t="s">
        <v>370</v>
      </c>
      <c r="C8" s="415">
        <f>include_machinery</f>
        <v>0</v>
      </c>
    </row>
    <row r="10" spans="1:29" x14ac:dyDescent="0.25">
      <c r="A10" s="120" t="s">
        <v>243</v>
      </c>
      <c r="B10" s="120" t="s">
        <v>242</v>
      </c>
      <c r="C10" s="120"/>
      <c r="D10" s="120"/>
      <c r="E10" s="198" t="s">
        <v>28</v>
      </c>
      <c r="F10" s="120" t="s">
        <v>245</v>
      </c>
      <c r="G10" s="120"/>
      <c r="H10" s="120"/>
      <c r="I10" s="198" t="s">
        <v>28</v>
      </c>
      <c r="J10" s="120" t="s">
        <v>92</v>
      </c>
      <c r="K10" s="120"/>
      <c r="L10" s="120" t="s">
        <v>249</v>
      </c>
      <c r="M10" s="120"/>
      <c r="N10" s="120"/>
      <c r="O10" s="198" t="s">
        <v>28</v>
      </c>
      <c r="P10" s="120" t="s">
        <v>371</v>
      </c>
      <c r="Q10" s="120"/>
      <c r="R10" s="120" t="s">
        <v>251</v>
      </c>
      <c r="S10" s="120"/>
      <c r="T10" s="120"/>
      <c r="U10" s="198" t="s">
        <v>28</v>
      </c>
      <c r="V10" s="120" t="s">
        <v>372</v>
      </c>
      <c r="W10" s="120"/>
      <c r="X10" s="120" t="s">
        <v>253</v>
      </c>
      <c r="Y10" s="120"/>
      <c r="Z10" s="120"/>
      <c r="AA10" s="198" t="s">
        <v>28</v>
      </c>
      <c r="AB10" s="120" t="s">
        <v>373</v>
      </c>
      <c r="AC10" s="120"/>
    </row>
    <row r="11" spans="1:29" x14ac:dyDescent="0.25">
      <c r="A11" s="312" t="s">
        <v>93</v>
      </c>
      <c r="B11" s="120" t="s">
        <v>244</v>
      </c>
      <c r="C11" s="120" t="s">
        <v>246</v>
      </c>
      <c r="D11" s="120" t="s">
        <v>247</v>
      </c>
      <c r="E11" s="198"/>
      <c r="F11" s="120" t="s">
        <v>244</v>
      </c>
      <c r="G11" s="120" t="s">
        <v>246</v>
      </c>
      <c r="H11" s="120" t="s">
        <v>247</v>
      </c>
      <c r="I11" s="198"/>
      <c r="J11" s="120" t="s">
        <v>246</v>
      </c>
      <c r="K11" s="120" t="s">
        <v>247</v>
      </c>
      <c r="L11" s="120" t="s">
        <v>244</v>
      </c>
      <c r="M11" s="120" t="s">
        <v>246</v>
      </c>
      <c r="N11" s="120" t="s">
        <v>247</v>
      </c>
      <c r="O11" s="198"/>
      <c r="P11" s="120" t="s">
        <v>246</v>
      </c>
      <c r="Q11" s="120" t="s">
        <v>247</v>
      </c>
      <c r="R11" s="120" t="s">
        <v>244</v>
      </c>
      <c r="S11" s="120" t="s">
        <v>246</v>
      </c>
      <c r="T11" s="120" t="s">
        <v>247</v>
      </c>
      <c r="U11" s="198"/>
      <c r="V11" s="120" t="s">
        <v>246</v>
      </c>
      <c r="W11" s="120" t="s">
        <v>247</v>
      </c>
      <c r="X11" s="120" t="s">
        <v>244</v>
      </c>
      <c r="Y11" s="120" t="s">
        <v>246</v>
      </c>
      <c r="Z11" s="120" t="s">
        <v>247</v>
      </c>
      <c r="AA11" s="198"/>
      <c r="AB11" s="120" t="s">
        <v>246</v>
      </c>
      <c r="AC11" s="120" t="s">
        <v>247</v>
      </c>
    </row>
    <row r="12" spans="1:29" x14ac:dyDescent="0.25">
      <c r="A12" s="120"/>
      <c r="B12" s="120"/>
      <c r="C12" s="120"/>
      <c r="D12" s="120"/>
      <c r="E12" s="198"/>
      <c r="F12" s="120"/>
      <c r="G12" s="120"/>
      <c r="H12" s="120"/>
      <c r="I12" s="198"/>
      <c r="J12" s="120"/>
      <c r="K12" s="120"/>
      <c r="L12" s="120"/>
      <c r="M12" s="120"/>
      <c r="N12" s="120"/>
      <c r="O12" s="198"/>
      <c r="P12" s="120"/>
      <c r="Q12" s="120"/>
      <c r="R12" s="120"/>
      <c r="S12" s="120"/>
      <c r="T12" s="120"/>
      <c r="U12" s="198"/>
      <c r="V12" s="120"/>
      <c r="W12" s="120"/>
      <c r="X12" s="120"/>
      <c r="Y12" s="120"/>
      <c r="Z12" s="120"/>
      <c r="AA12" s="198"/>
      <c r="AB12" s="120"/>
      <c r="AC12" s="120"/>
    </row>
    <row r="13" spans="1:29" x14ac:dyDescent="0.25">
      <c r="A13" s="313" t="s">
        <v>683</v>
      </c>
      <c r="B13" s="314"/>
      <c r="C13" s="314"/>
      <c r="D13" s="314"/>
      <c r="E13" s="315"/>
      <c r="F13" s="314"/>
      <c r="G13" s="314"/>
      <c r="H13" s="314"/>
      <c r="I13" s="315"/>
      <c r="J13" s="314"/>
      <c r="K13" s="314"/>
      <c r="L13" s="314"/>
      <c r="M13" s="314"/>
      <c r="N13" s="314"/>
      <c r="O13" s="315"/>
      <c r="P13" s="314"/>
      <c r="Q13" s="314"/>
      <c r="R13" s="314"/>
      <c r="S13" s="314"/>
      <c r="T13" s="314"/>
      <c r="U13" s="315"/>
      <c r="V13" s="314"/>
      <c r="W13" s="314"/>
      <c r="X13" s="314"/>
      <c r="Y13" s="314"/>
      <c r="Z13" s="314"/>
      <c r="AA13" s="315"/>
      <c r="AB13" s="314"/>
      <c r="AC13" s="314"/>
    </row>
    <row r="14" spans="1:29" ht="12.75" customHeight="1" x14ac:dyDescent="0.25">
      <c r="A14" s="316" t="s">
        <v>863</v>
      </c>
      <c r="B14" s="316" t="s">
        <v>18</v>
      </c>
      <c r="C14" s="581">
        <v>0.40221087474535716</v>
      </c>
      <c r="D14" s="581">
        <v>1.8903911113031788E-2</v>
      </c>
      <c r="E14" s="982" t="s">
        <v>1500</v>
      </c>
      <c r="F14" s="316" t="s">
        <v>7</v>
      </c>
      <c r="G14" s="582">
        <v>1.073</v>
      </c>
      <c r="H14" s="582">
        <v>0</v>
      </c>
      <c r="I14" s="314" t="s">
        <v>1503</v>
      </c>
      <c r="J14" s="586">
        <f>C14*G14</f>
        <v>0.43157226860176823</v>
      </c>
      <c r="K14" s="586">
        <f>SQRT(((D14*G14)^2)+((C14*H14)^2))</f>
        <v>2.0283896624283107E-2</v>
      </c>
      <c r="L14" s="314" t="s">
        <v>8</v>
      </c>
      <c r="M14" s="582">
        <v>7.6999999999999999E-2</v>
      </c>
      <c r="N14" s="582">
        <v>0</v>
      </c>
      <c r="O14" s="314" t="s">
        <v>1507</v>
      </c>
      <c r="P14" s="591">
        <f>C14*M14</f>
        <v>3.0970237355392501E-2</v>
      </c>
      <c r="Q14" s="591">
        <f>SQRT(((D14*M14)^2)+((C14*N14)^2))</f>
        <v>1.4556011557034477E-3</v>
      </c>
      <c r="R14" s="314" t="s">
        <v>9</v>
      </c>
      <c r="S14" s="582">
        <v>1.5999999999999999E-5</v>
      </c>
      <c r="T14" s="582">
        <v>0</v>
      </c>
      <c r="U14" s="314" t="s">
        <v>1508</v>
      </c>
      <c r="V14" s="602">
        <f>C14*S14</f>
        <v>6.4353739959257139E-6</v>
      </c>
      <c r="W14" s="602">
        <f>SQRT(((D14*S14)^2)+((C14*T14)^2))</f>
        <v>3.0246257780850857E-7</v>
      </c>
      <c r="X14" s="314" t="s">
        <v>10</v>
      </c>
      <c r="Y14" s="582">
        <v>2.0800000000000001E-5</v>
      </c>
      <c r="Z14" s="582">
        <v>0</v>
      </c>
      <c r="AA14" s="314" t="s">
        <v>1510</v>
      </c>
      <c r="AB14" s="394">
        <f>C14*Y14</f>
        <v>8.3659861947034292E-6</v>
      </c>
      <c r="AC14" s="394">
        <f>SQRT(((D14*Y14)^2)+((C14*Z14)^2))</f>
        <v>3.9320135115106121E-7</v>
      </c>
    </row>
    <row r="15" spans="1:29" ht="12.75" customHeight="1" x14ac:dyDescent="0.25">
      <c r="A15" s="316" t="s">
        <v>864</v>
      </c>
      <c r="B15" s="316" t="s">
        <v>18</v>
      </c>
      <c r="C15" s="581">
        <v>4.4670266666666673E-2</v>
      </c>
      <c r="D15" s="581">
        <v>5.181750933333334E-3</v>
      </c>
      <c r="E15" s="319" t="s">
        <v>1501</v>
      </c>
      <c r="F15" s="316" t="s">
        <v>7</v>
      </c>
      <c r="G15" s="581">
        <v>1</v>
      </c>
      <c r="H15" s="581">
        <v>0</v>
      </c>
      <c r="I15" s="319"/>
      <c r="J15" s="516">
        <f>$C15*$G15*$C$8</f>
        <v>0</v>
      </c>
      <c r="K15" s="516">
        <f>SQRT((($D15*$G15)^2)+(($C15*$H15)^2))*$C$8</f>
        <v>0</v>
      </c>
      <c r="L15" s="316" t="s">
        <v>218</v>
      </c>
      <c r="M15" s="581">
        <v>3.0166933333333336E-3</v>
      </c>
      <c r="N15" s="581">
        <v>3.4993642666666675E-4</v>
      </c>
      <c r="O15" s="319" t="s">
        <v>1511</v>
      </c>
      <c r="P15" s="591">
        <f>M15*$C$8</f>
        <v>0</v>
      </c>
      <c r="Q15" s="591">
        <f>N15*$C$8</f>
        <v>0</v>
      </c>
      <c r="R15" s="316" t="s">
        <v>219</v>
      </c>
      <c r="S15" s="581">
        <v>4.7773980000000006E-6</v>
      </c>
      <c r="T15" s="581">
        <v>5.5417816800000013E-7</v>
      </c>
      <c r="U15" s="319" t="s">
        <v>1513</v>
      </c>
      <c r="V15" s="602">
        <f>S15*$C$8</f>
        <v>0</v>
      </c>
      <c r="W15" s="602">
        <f>T15*$C$8</f>
        <v>0</v>
      </c>
      <c r="X15" s="316" t="s">
        <v>220</v>
      </c>
      <c r="Y15" s="581">
        <v>2.3785466666666669E-7</v>
      </c>
      <c r="Z15" s="581">
        <v>2.7591141333333336E-8</v>
      </c>
      <c r="AA15" s="319" t="s">
        <v>1516</v>
      </c>
      <c r="AB15" s="394">
        <f>Y15*$C$8</f>
        <v>0</v>
      </c>
      <c r="AC15" s="394">
        <f>Z15*$C$8</f>
        <v>0</v>
      </c>
    </row>
    <row r="16" spans="1:29" ht="15" customHeight="1" x14ac:dyDescent="0.25">
      <c r="A16" s="316" t="s">
        <v>221</v>
      </c>
      <c r="B16" s="316" t="s">
        <v>12</v>
      </c>
      <c r="C16" s="581">
        <v>2</v>
      </c>
      <c r="D16" s="581">
        <v>0.3</v>
      </c>
      <c r="E16" s="319" t="s">
        <v>1502</v>
      </c>
      <c r="F16" s="316"/>
      <c r="G16" s="321"/>
      <c r="H16" s="321"/>
      <c r="I16" s="319"/>
      <c r="J16" s="516">
        <f>($C$16/100)*$J$15</f>
        <v>0</v>
      </c>
      <c r="K16" s="516">
        <f>SQRT(((($D$16/100)*J15)^2)+((($C$16/100)*K15)^2))</f>
        <v>0</v>
      </c>
      <c r="L16" s="316"/>
      <c r="M16" s="321"/>
      <c r="N16" s="321"/>
      <c r="O16" s="319" t="s">
        <v>1512</v>
      </c>
      <c r="P16" s="592">
        <f>($C$16/100)*$P15</f>
        <v>0</v>
      </c>
      <c r="Q16" s="592">
        <f>SQRT(((($D$16/100)*$P15)^2)+((($C$16/100)*$Q15)^2))</f>
        <v>0</v>
      </c>
      <c r="R16" s="316"/>
      <c r="S16" s="321"/>
      <c r="T16" s="321"/>
      <c r="U16" s="319" t="s">
        <v>1514</v>
      </c>
      <c r="V16" s="603">
        <f>($C$16/100)*$V15</f>
        <v>0</v>
      </c>
      <c r="W16" s="603">
        <f>SQRT(((($D$16/100)*$V15)^2)+((($C$16/100)*$W15)^2))</f>
        <v>0</v>
      </c>
      <c r="X16" s="316"/>
      <c r="Y16" s="321"/>
      <c r="Z16" s="321"/>
      <c r="AA16" s="319" t="s">
        <v>1517</v>
      </c>
      <c r="AB16" s="597">
        <f>($C$16/100)*$AB15</f>
        <v>0</v>
      </c>
      <c r="AC16" s="597">
        <f>SQRT(((($D$16/100)*$AB15)^2)+((($C$16/100)*$AC15)^2))</f>
        <v>0</v>
      </c>
    </row>
    <row r="17" spans="1:29" x14ac:dyDescent="0.25">
      <c r="A17" s="316"/>
      <c r="B17" s="316"/>
      <c r="C17" s="316"/>
      <c r="D17" s="316"/>
      <c r="E17" s="319"/>
      <c r="F17" s="316"/>
      <c r="G17" s="316"/>
      <c r="H17" s="316"/>
      <c r="I17" s="319"/>
      <c r="J17" s="514"/>
      <c r="K17" s="514"/>
      <c r="L17" s="316"/>
      <c r="M17" s="316"/>
      <c r="N17" s="316"/>
      <c r="O17" s="319"/>
      <c r="P17" s="593"/>
      <c r="Q17" s="593"/>
      <c r="R17" s="316"/>
      <c r="S17" s="316"/>
      <c r="T17" s="316"/>
      <c r="U17" s="319"/>
      <c r="V17" s="604"/>
      <c r="W17" s="604"/>
      <c r="X17" s="316"/>
      <c r="Y17" s="316"/>
      <c r="Z17" s="316"/>
      <c r="AA17" s="319"/>
      <c r="AB17" s="598"/>
      <c r="AC17" s="598"/>
    </row>
    <row r="18" spans="1:29" x14ac:dyDescent="0.25">
      <c r="A18" s="322" t="s">
        <v>19</v>
      </c>
      <c r="B18" s="322"/>
      <c r="C18" s="322"/>
      <c r="D18" s="322"/>
      <c r="E18" s="323"/>
      <c r="F18" s="322"/>
      <c r="G18" s="322"/>
      <c r="H18" s="322"/>
      <c r="I18" s="323"/>
      <c r="J18" s="515">
        <f>SUM(J14:J16)</f>
        <v>0.43157226860176823</v>
      </c>
      <c r="K18" s="515">
        <f>SQRT((K14^2)+(K15^2)+(K16^2))</f>
        <v>2.0283896624283107E-2</v>
      </c>
      <c r="L18" s="322"/>
      <c r="M18" s="322"/>
      <c r="N18" s="322"/>
      <c r="O18" s="323"/>
      <c r="P18" s="594">
        <f>SUM(P14:P16)</f>
        <v>3.0970237355392501E-2</v>
      </c>
      <c r="Q18" s="594">
        <f>SQRT((Q14^2)+(Q15^2)+(Q16^2))</f>
        <v>1.4556011557034477E-3</v>
      </c>
      <c r="R18" s="322"/>
      <c r="S18" s="322"/>
      <c r="T18" s="322"/>
      <c r="U18" s="323"/>
      <c r="V18" s="605">
        <f>SUM(V14:V16)</f>
        <v>6.4353739959257139E-6</v>
      </c>
      <c r="W18" s="605">
        <f>SQRT((W14^2)+(W15^2)+(W16^2))</f>
        <v>3.0246257780850857E-7</v>
      </c>
      <c r="X18" s="322"/>
      <c r="Y18" s="322"/>
      <c r="Z18" s="322"/>
      <c r="AA18" s="323"/>
      <c r="AB18" s="599">
        <f>SUM(AB14:AB16)</f>
        <v>8.3659861947034292E-6</v>
      </c>
      <c r="AC18" s="599">
        <f>SQRT((AC14^2)+(AC15^2)+(AC16^2))</f>
        <v>3.9320135115106121E-7</v>
      </c>
    </row>
    <row r="19" spans="1:29" x14ac:dyDescent="0.25">
      <c r="J19" s="587"/>
      <c r="K19" s="587"/>
      <c r="P19" s="325"/>
      <c r="Q19" s="325"/>
      <c r="V19" s="326"/>
      <c r="W19" s="326"/>
      <c r="AB19" s="600"/>
      <c r="AC19" s="600"/>
    </row>
    <row r="20" spans="1:29" x14ac:dyDescent="0.25">
      <c r="A20" s="324" t="s">
        <v>685</v>
      </c>
      <c r="J20" s="587"/>
      <c r="K20" s="587"/>
      <c r="P20" s="325"/>
      <c r="Q20" s="325"/>
      <c r="V20" s="326"/>
      <c r="W20" s="326"/>
      <c r="AB20" s="600"/>
      <c r="AC20" s="600"/>
    </row>
    <row r="21" spans="1:29" ht="14.25" customHeight="1" x14ac:dyDescent="0.25">
      <c r="A21" s="316" t="s">
        <v>863</v>
      </c>
      <c r="B21" s="316" t="s">
        <v>18</v>
      </c>
      <c r="C21" s="581">
        <v>0.39664394222292981</v>
      </c>
      <c r="D21" s="581">
        <v>1.86422652844777E-2</v>
      </c>
      <c r="E21" s="319" t="s">
        <v>1500</v>
      </c>
      <c r="F21" s="316" t="s">
        <v>7</v>
      </c>
      <c r="G21" s="582">
        <v>1.073</v>
      </c>
      <c r="H21" s="582">
        <v>0</v>
      </c>
      <c r="I21" s="314" t="s">
        <v>1503</v>
      </c>
      <c r="J21" s="586">
        <f>C21*G21</f>
        <v>0.42559895000520365</v>
      </c>
      <c r="K21" s="586">
        <f>SQRT(((D21*G21)^2)+((C21*H21)^2))</f>
        <v>2.0003150650244571E-2</v>
      </c>
      <c r="L21" s="314" t="s">
        <v>8</v>
      </c>
      <c r="M21" s="582">
        <v>7.6999999999999999E-2</v>
      </c>
      <c r="N21" s="582">
        <v>0</v>
      </c>
      <c r="O21" s="314" t="s">
        <v>1507</v>
      </c>
      <c r="P21" s="591">
        <f>C21*M21</f>
        <v>3.0541583551165596E-2</v>
      </c>
      <c r="Q21" s="591">
        <f>SQRT(((D21*M21)^2)+((C21*N21)^2))</f>
        <v>1.4354544269047829E-3</v>
      </c>
      <c r="R21" s="314" t="s">
        <v>9</v>
      </c>
      <c r="S21" s="582">
        <v>1.5999999999999999E-5</v>
      </c>
      <c r="T21" s="582">
        <v>0</v>
      </c>
      <c r="U21" s="314" t="s">
        <v>1515</v>
      </c>
      <c r="V21" s="602">
        <f>C21*S21</f>
        <v>6.3463030755668767E-6</v>
      </c>
      <c r="W21" s="602">
        <f>SQRT(((D21*S21)^2)+((C21*T21)^2))</f>
        <v>2.9827624455164321E-7</v>
      </c>
      <c r="X21" s="314" t="s">
        <v>10</v>
      </c>
      <c r="Y21" s="582">
        <v>2.0800000000000001E-5</v>
      </c>
      <c r="Z21" s="582">
        <v>0</v>
      </c>
      <c r="AA21" s="314" t="s">
        <v>1510</v>
      </c>
      <c r="AB21" s="394">
        <f>C21*Y21</f>
        <v>8.2501939982369412E-6</v>
      </c>
      <c r="AC21" s="394">
        <f>SQRT(((D21*Y21)^2)+((C21*Z21)^2))</f>
        <v>3.877591179171362E-7</v>
      </c>
    </row>
    <row r="22" spans="1:29" ht="15" customHeight="1" x14ac:dyDescent="0.25">
      <c r="A22" s="316" t="s">
        <v>864</v>
      </c>
      <c r="B22" s="316" t="s">
        <v>18</v>
      </c>
      <c r="C22" s="581">
        <v>3.586992156862745E-2</v>
      </c>
      <c r="D22" s="581">
        <v>4.1609109019607841E-3</v>
      </c>
      <c r="E22" s="319" t="s">
        <v>1501</v>
      </c>
      <c r="F22" s="316" t="s">
        <v>7</v>
      </c>
      <c r="G22" s="581">
        <v>1</v>
      </c>
      <c r="H22" s="581">
        <v>0</v>
      </c>
      <c r="I22" s="319"/>
      <c r="J22" s="516">
        <f>$C22*$G22*$C$8</f>
        <v>0</v>
      </c>
      <c r="K22" s="516">
        <f>SQRT((($D22*$G22)^2)+(($C22*$H22)^2))*$C$8</f>
        <v>0</v>
      </c>
      <c r="L22" s="316" t="s">
        <v>218</v>
      </c>
      <c r="M22" s="581">
        <v>2.4223843137254901E-3</v>
      </c>
      <c r="N22" s="581">
        <v>2.8099658039215685E-4</v>
      </c>
      <c r="O22" s="319" t="s">
        <v>1511</v>
      </c>
      <c r="P22" s="591">
        <f>M22*$C$8</f>
        <v>0</v>
      </c>
      <c r="Q22" s="591">
        <f>N22*$C$8</f>
        <v>0</v>
      </c>
      <c r="R22" s="316" t="s">
        <v>219</v>
      </c>
      <c r="S22" s="581">
        <v>3.8362182352941178E-6</v>
      </c>
      <c r="T22" s="581">
        <v>4.4500131529411761E-7</v>
      </c>
      <c r="U22" s="319" t="s">
        <v>1509</v>
      </c>
      <c r="V22" s="602">
        <f>S22*$C$8</f>
        <v>0</v>
      </c>
      <c r="W22" s="602">
        <f>T22*$C$8</f>
        <v>0</v>
      </c>
      <c r="X22" s="316" t="s">
        <v>220</v>
      </c>
      <c r="Y22" s="581">
        <v>1.909956862745098E-7</v>
      </c>
      <c r="Z22" s="581">
        <v>2.2155499607843137E-8</v>
      </c>
      <c r="AA22" s="319" t="s">
        <v>1516</v>
      </c>
      <c r="AB22" s="394">
        <f>Y22*$C$8</f>
        <v>0</v>
      </c>
      <c r="AC22" s="394">
        <f>Z22*$C$8</f>
        <v>0</v>
      </c>
    </row>
    <row r="23" spans="1:29" ht="14.25" customHeight="1" x14ac:dyDescent="0.25">
      <c r="A23" s="316" t="s">
        <v>221</v>
      </c>
      <c r="B23" s="316" t="s">
        <v>12</v>
      </c>
      <c r="C23" s="581">
        <v>2</v>
      </c>
      <c r="D23" s="581">
        <v>0.3</v>
      </c>
      <c r="E23" s="319" t="s">
        <v>1502</v>
      </c>
      <c r="F23" s="316"/>
      <c r="G23" s="321"/>
      <c r="H23" s="321"/>
      <c r="I23" s="319"/>
      <c r="J23" s="516">
        <f>($C$16/100)*$J$15</f>
        <v>0</v>
      </c>
      <c r="K23" s="516">
        <f>SQRT(((($D$16/100)*J22)^2)+((($C$16/100)*K22)^2))</f>
        <v>0</v>
      </c>
      <c r="L23" s="316"/>
      <c r="M23" s="321"/>
      <c r="N23" s="321"/>
      <c r="O23" s="319" t="s">
        <v>1512</v>
      </c>
      <c r="P23" s="592">
        <f>($C$16/100)*$P22</f>
        <v>0</v>
      </c>
      <c r="Q23" s="592">
        <f>SQRT(((($D$16/100)*$P22)^2)+((($C$16/100)*$Q22)^2))</f>
        <v>0</v>
      </c>
      <c r="R23" s="316"/>
      <c r="S23" s="321"/>
      <c r="T23" s="321"/>
      <c r="U23" s="319" t="s">
        <v>1514</v>
      </c>
      <c r="V23" s="603">
        <f>($C$16/100)*$V22</f>
        <v>0</v>
      </c>
      <c r="W23" s="603">
        <f>SQRT(((($D$16/100)*$V22)^2)+((($C$16/100)*$W22)^2))</f>
        <v>0</v>
      </c>
      <c r="X23" s="316"/>
      <c r="Y23" s="321"/>
      <c r="Z23" s="321"/>
      <c r="AA23" s="319" t="s">
        <v>1517</v>
      </c>
      <c r="AB23" s="597">
        <f>($C$16/100)*$AB22</f>
        <v>0</v>
      </c>
      <c r="AC23" s="597">
        <f>SQRT(((($D$16/100)*$AB22)^2)+((($C$16/100)*$AC22)^2))</f>
        <v>0</v>
      </c>
    </row>
    <row r="24" spans="1:29" x14ac:dyDescent="0.25">
      <c r="A24" s="316"/>
      <c r="B24" s="316"/>
      <c r="C24" s="316"/>
      <c r="D24" s="316"/>
      <c r="E24" s="319"/>
      <c r="F24" s="316"/>
      <c r="G24" s="316"/>
      <c r="H24" s="316"/>
      <c r="I24" s="319"/>
      <c r="J24" s="514"/>
      <c r="K24" s="514"/>
      <c r="L24" s="316"/>
      <c r="M24" s="316"/>
      <c r="N24" s="316"/>
      <c r="O24" s="319"/>
      <c r="P24" s="593"/>
      <c r="Q24" s="593"/>
      <c r="R24" s="316"/>
      <c r="S24" s="316"/>
      <c r="T24" s="316"/>
      <c r="U24" s="319"/>
      <c r="V24" s="604"/>
      <c r="W24" s="604"/>
      <c r="X24" s="316"/>
      <c r="Y24" s="316"/>
      <c r="Z24" s="316"/>
      <c r="AA24" s="319"/>
      <c r="AB24" s="598"/>
      <c r="AC24" s="598"/>
    </row>
    <row r="25" spans="1:29" x14ac:dyDescent="0.25">
      <c r="A25" s="322" t="s">
        <v>19</v>
      </c>
      <c r="B25" s="322"/>
      <c r="C25" s="322"/>
      <c r="D25" s="322"/>
      <c r="E25" s="323"/>
      <c r="F25" s="322"/>
      <c r="G25" s="322"/>
      <c r="H25" s="322"/>
      <c r="I25" s="323"/>
      <c r="J25" s="515">
        <f>SUM(J21:J23)</f>
        <v>0.42559895000520365</v>
      </c>
      <c r="K25" s="515">
        <f>SQRT((K21^2)+(K22^2)+(K23^2))</f>
        <v>2.0003150650244571E-2</v>
      </c>
      <c r="L25" s="322"/>
      <c r="M25" s="322"/>
      <c r="N25" s="322"/>
      <c r="O25" s="323"/>
      <c r="P25" s="594">
        <f>SUM(P21:P23)</f>
        <v>3.0541583551165596E-2</v>
      </c>
      <c r="Q25" s="594">
        <f>SQRT((Q21^2)+(Q22^2)+(Q23^2))</f>
        <v>1.4354544269047829E-3</v>
      </c>
      <c r="R25" s="322"/>
      <c r="S25" s="322"/>
      <c r="T25" s="322"/>
      <c r="U25" s="323"/>
      <c r="V25" s="605">
        <f>SUM(V21:V23)</f>
        <v>6.3463030755668767E-6</v>
      </c>
      <c r="W25" s="605">
        <f>SQRT((W21^2)+(W22^2)+(W23^2))</f>
        <v>2.9827624455164321E-7</v>
      </c>
      <c r="X25" s="322"/>
      <c r="Y25" s="322"/>
      <c r="Z25" s="322"/>
      <c r="AA25" s="323"/>
      <c r="AB25" s="599">
        <f>SUM(AB21:AB23)</f>
        <v>8.2501939982369412E-6</v>
      </c>
      <c r="AC25" s="599">
        <f>SQRT((AC21^2)+(AC22^2)+(AC23^2))</f>
        <v>3.877591179171362E-7</v>
      </c>
    </row>
    <row r="26" spans="1:29" x14ac:dyDescent="0.25">
      <c r="J26" s="587"/>
      <c r="K26" s="587"/>
      <c r="P26" s="325"/>
      <c r="Q26" s="325"/>
      <c r="V26" s="326"/>
      <c r="W26" s="326"/>
      <c r="AB26" s="600"/>
      <c r="AC26" s="600"/>
    </row>
    <row r="27" spans="1:29" x14ac:dyDescent="0.25">
      <c r="A27" s="324" t="s">
        <v>686</v>
      </c>
      <c r="J27" s="587"/>
      <c r="K27" s="587"/>
      <c r="P27" s="325"/>
      <c r="Q27" s="325"/>
      <c r="V27" s="326"/>
      <c r="W27" s="326"/>
      <c r="AB27" s="600"/>
      <c r="AC27" s="600"/>
    </row>
    <row r="28" spans="1:29" ht="14.25" customHeight="1" x14ac:dyDescent="0.25">
      <c r="A28" s="316" t="s">
        <v>863</v>
      </c>
      <c r="B28" s="316" t="s">
        <v>18</v>
      </c>
      <c r="C28" s="581">
        <v>0.50542371826466825</v>
      </c>
      <c r="D28" s="581">
        <v>2.3754914758439407E-2</v>
      </c>
      <c r="E28" s="319" t="s">
        <v>1500</v>
      </c>
      <c r="F28" s="316" t="s">
        <v>7</v>
      </c>
      <c r="G28" s="582">
        <v>1.073</v>
      </c>
      <c r="H28" s="582">
        <v>0</v>
      </c>
      <c r="I28" s="314" t="s">
        <v>1503</v>
      </c>
      <c r="J28" s="586">
        <f>C28*G28</f>
        <v>0.54231964969798896</v>
      </c>
      <c r="K28" s="586">
        <f>SQRT(((D28*G28)^2)+((C28*H28)^2))</f>
        <v>2.5489023535805483E-2</v>
      </c>
      <c r="L28" s="314" t="s">
        <v>8</v>
      </c>
      <c r="M28" s="582">
        <v>7.6999999999999999E-2</v>
      </c>
      <c r="N28" s="582">
        <v>0</v>
      </c>
      <c r="O28" s="314" t="s">
        <v>1507</v>
      </c>
      <c r="P28" s="591">
        <f>C28*M28</f>
        <v>3.8917626306379453E-2</v>
      </c>
      <c r="Q28" s="591">
        <f>SQRT(((D28*M28)^2)+((C28*N28)^2))</f>
        <v>1.8291284363998344E-3</v>
      </c>
      <c r="R28" s="314" t="s">
        <v>9</v>
      </c>
      <c r="S28" s="582">
        <v>1.5999999999999999E-5</v>
      </c>
      <c r="T28" s="582">
        <v>0</v>
      </c>
      <c r="U28" s="314" t="s">
        <v>1508</v>
      </c>
      <c r="V28" s="602">
        <f>C28*S28</f>
        <v>8.0867794922346925E-6</v>
      </c>
      <c r="W28" s="602">
        <f>SQRT(((D28*S28)^2)+((C28*T28)^2))</f>
        <v>3.8007863613503047E-7</v>
      </c>
      <c r="X28" s="314" t="s">
        <v>10</v>
      </c>
      <c r="Y28" s="582">
        <v>2.0800000000000001E-5</v>
      </c>
      <c r="Z28" s="582">
        <v>0</v>
      </c>
      <c r="AA28" s="314" t="s">
        <v>1510</v>
      </c>
      <c r="AB28" s="394">
        <f>C28*Y28</f>
        <v>1.05128133399051E-5</v>
      </c>
      <c r="AC28" s="394">
        <f>SQRT(((D28*Y28)^2)+((C28*Z28)^2))</f>
        <v>4.9410222697553969E-7</v>
      </c>
    </row>
    <row r="29" spans="1:29" ht="13.5" customHeight="1" x14ac:dyDescent="0.25">
      <c r="A29" s="316" t="s">
        <v>864</v>
      </c>
      <c r="B29" s="316" t="s">
        <v>18</v>
      </c>
      <c r="C29" s="581">
        <v>3.9389533333333331E-2</v>
      </c>
      <c r="D29" s="581">
        <v>4.6085754000000003E-3</v>
      </c>
      <c r="E29" s="319" t="s">
        <v>1501</v>
      </c>
      <c r="F29" s="316" t="s">
        <v>7</v>
      </c>
      <c r="G29" s="581">
        <v>1</v>
      </c>
      <c r="H29" s="581">
        <v>0</v>
      </c>
      <c r="I29" s="319"/>
      <c r="J29" s="516">
        <f>$C29*$G29*$C$8</f>
        <v>0</v>
      </c>
      <c r="K29" s="516">
        <f>SQRT((($D29*$G29)^2)+(($C29*$H29)^2))*$C$8</f>
        <v>0</v>
      </c>
      <c r="L29" s="316" t="s">
        <v>218</v>
      </c>
      <c r="M29" s="581">
        <v>2.6600723809523811E-3</v>
      </c>
      <c r="N29" s="581">
        <v>3.112284685714286E-4</v>
      </c>
      <c r="O29" s="319" t="s">
        <v>1511</v>
      </c>
      <c r="P29" s="591">
        <f>M29*$C$8</f>
        <v>0</v>
      </c>
      <c r="Q29" s="591">
        <f>N29*$C$8</f>
        <v>0</v>
      </c>
      <c r="R29" s="316" t="s">
        <v>219</v>
      </c>
      <c r="S29" s="581">
        <v>4.2126338571428568E-6</v>
      </c>
      <c r="T29" s="581">
        <v>4.9287816128571433E-7</v>
      </c>
      <c r="U29" s="319" t="s">
        <v>1513</v>
      </c>
      <c r="V29" s="602">
        <f>S29*$C$8</f>
        <v>0</v>
      </c>
      <c r="W29" s="602">
        <f>T29*$C$8</f>
        <v>0</v>
      </c>
      <c r="X29" s="316" t="s">
        <v>220</v>
      </c>
      <c r="Y29" s="581">
        <v>2.0973647619047619E-7</v>
      </c>
      <c r="Z29" s="581">
        <v>2.4539167714285718E-8</v>
      </c>
      <c r="AA29" s="319" t="s">
        <v>1516</v>
      </c>
      <c r="AB29" s="394">
        <f>Y29*$C$8</f>
        <v>0</v>
      </c>
      <c r="AC29" s="394">
        <f>Z29*$C$8</f>
        <v>0</v>
      </c>
    </row>
    <row r="30" spans="1:29" ht="14.25" customHeight="1" x14ac:dyDescent="0.25">
      <c r="A30" s="316" t="s">
        <v>221</v>
      </c>
      <c r="B30" s="316" t="s">
        <v>12</v>
      </c>
      <c r="C30" s="581">
        <v>2</v>
      </c>
      <c r="D30" s="581">
        <v>0.3</v>
      </c>
      <c r="E30" s="319" t="s">
        <v>1502</v>
      </c>
      <c r="F30" s="316"/>
      <c r="G30" s="321"/>
      <c r="H30" s="321"/>
      <c r="I30" s="319"/>
      <c r="J30" s="516">
        <f>($C$16/100)*$J$15</f>
        <v>0</v>
      </c>
      <c r="K30" s="516">
        <f>SQRT(((($D$16/100)*J29)^2)+((($C$16/100)*K29)^2))</f>
        <v>0</v>
      </c>
      <c r="L30" s="316"/>
      <c r="M30" s="321"/>
      <c r="N30" s="321"/>
      <c r="O30" s="319" t="s">
        <v>1512</v>
      </c>
      <c r="P30" s="592">
        <f>($C$16/100)*$P29</f>
        <v>0</v>
      </c>
      <c r="Q30" s="592">
        <f>SQRT(((($D$16/100)*$P29)^2)+((($C$16/100)*$Q29)^2))</f>
        <v>0</v>
      </c>
      <c r="R30" s="316"/>
      <c r="S30" s="321"/>
      <c r="T30" s="321"/>
      <c r="U30" s="319" t="s">
        <v>1514</v>
      </c>
      <c r="V30" s="603">
        <f>($C$16/100)*$V29</f>
        <v>0</v>
      </c>
      <c r="W30" s="603">
        <f>SQRT(((($D$16/100)*$V29)^2)+((($C$16/100)*$W29)^2))</f>
        <v>0</v>
      </c>
      <c r="X30" s="316"/>
      <c r="Y30" s="321"/>
      <c r="Z30" s="321"/>
      <c r="AA30" s="319" t="s">
        <v>1517</v>
      </c>
      <c r="AB30" s="597">
        <f>($C$16/100)*$AB29</f>
        <v>0</v>
      </c>
      <c r="AC30" s="597">
        <f>SQRT(((($D$16/100)*$AB29)^2)+((($C$16/100)*$AC29)^2))</f>
        <v>0</v>
      </c>
    </row>
    <row r="31" spans="1:29" x14ac:dyDescent="0.25">
      <c r="A31" s="316"/>
      <c r="B31" s="316"/>
      <c r="C31" s="316"/>
      <c r="D31" s="316"/>
      <c r="E31" s="319"/>
      <c r="F31" s="316"/>
      <c r="G31" s="316"/>
      <c r="H31" s="316"/>
      <c r="I31" s="319"/>
      <c r="J31" s="514"/>
      <c r="K31" s="514"/>
      <c r="L31" s="316"/>
      <c r="M31" s="316"/>
      <c r="N31" s="316"/>
      <c r="O31" s="319"/>
      <c r="P31" s="593"/>
      <c r="Q31" s="593"/>
      <c r="R31" s="316"/>
      <c r="S31" s="316"/>
      <c r="T31" s="316"/>
      <c r="U31" s="319"/>
      <c r="V31" s="604"/>
      <c r="W31" s="604"/>
      <c r="X31" s="316"/>
      <c r="Y31" s="316"/>
      <c r="Z31" s="316"/>
      <c r="AA31" s="319"/>
      <c r="AB31" s="598"/>
      <c r="AC31" s="598"/>
    </row>
    <row r="32" spans="1:29" x14ac:dyDescent="0.25">
      <c r="A32" s="322" t="s">
        <v>19</v>
      </c>
      <c r="B32" s="322"/>
      <c r="C32" s="322"/>
      <c r="D32" s="322"/>
      <c r="E32" s="323"/>
      <c r="F32" s="322"/>
      <c r="G32" s="322"/>
      <c r="H32" s="322"/>
      <c r="I32" s="323"/>
      <c r="J32" s="515">
        <f>SUM(J28:J30)</f>
        <v>0.54231964969798896</v>
      </c>
      <c r="K32" s="515">
        <f>SQRT((K28^2)+(K29^2)+(K30^2))</f>
        <v>2.5489023535805483E-2</v>
      </c>
      <c r="L32" s="322"/>
      <c r="M32" s="322"/>
      <c r="N32" s="322"/>
      <c r="O32" s="323"/>
      <c r="P32" s="594">
        <f>SUM(P28:P30)</f>
        <v>3.8917626306379453E-2</v>
      </c>
      <c r="Q32" s="594">
        <f>SQRT((Q28^2)+(Q29^2)+(Q30^2))</f>
        <v>1.8291284363998344E-3</v>
      </c>
      <c r="R32" s="322"/>
      <c r="S32" s="322"/>
      <c r="T32" s="322"/>
      <c r="U32" s="323"/>
      <c r="V32" s="605">
        <f>SUM(V28:V30)</f>
        <v>8.0867794922346925E-6</v>
      </c>
      <c r="W32" s="605">
        <f>SQRT((W28^2)+(W29^2)+(W30^2))</f>
        <v>3.8007863613503047E-7</v>
      </c>
      <c r="X32" s="322"/>
      <c r="Y32" s="322"/>
      <c r="Z32" s="322"/>
      <c r="AA32" s="323"/>
      <c r="AB32" s="599">
        <f>SUM(AB28:AB30)</f>
        <v>1.05128133399051E-5</v>
      </c>
      <c r="AC32" s="599">
        <f>SQRT((AC28^2)+(AC29^2)+(AC30^2))</f>
        <v>4.9410222697553969E-7</v>
      </c>
    </row>
    <row r="33" spans="1:29" x14ac:dyDescent="0.25">
      <c r="J33" s="587"/>
      <c r="K33" s="587"/>
      <c r="P33" s="325"/>
      <c r="Q33" s="325"/>
      <c r="V33" s="326"/>
      <c r="W33" s="326"/>
      <c r="AB33" s="600"/>
      <c r="AC33" s="600"/>
    </row>
    <row r="34" spans="1:29" x14ac:dyDescent="0.25">
      <c r="A34" s="324" t="s">
        <v>687</v>
      </c>
      <c r="J34" s="587"/>
      <c r="K34" s="587"/>
      <c r="P34" s="325"/>
      <c r="Q34" s="325"/>
      <c r="V34" s="326"/>
      <c r="W34" s="326"/>
      <c r="AB34" s="600"/>
      <c r="AC34" s="600"/>
    </row>
    <row r="35" spans="1:29" ht="15.75" customHeight="1" x14ac:dyDescent="0.25">
      <c r="A35" s="316" t="s">
        <v>863</v>
      </c>
      <c r="B35" s="316" t="s">
        <v>18</v>
      </c>
      <c r="C35" s="581">
        <v>0.53174526519557186</v>
      </c>
      <c r="D35" s="581">
        <v>2.4992027464191876E-2</v>
      </c>
      <c r="E35" s="319" t="s">
        <v>1500</v>
      </c>
      <c r="F35" s="316" t="s">
        <v>7</v>
      </c>
      <c r="G35" s="582">
        <v>1.073</v>
      </c>
      <c r="H35" s="582">
        <v>0</v>
      </c>
      <c r="I35" s="314" t="s">
        <v>1503</v>
      </c>
      <c r="J35" s="586">
        <f>C35*G35</f>
        <v>0.57056266955484858</v>
      </c>
      <c r="K35" s="586">
        <f>SQRT(((D35*G35)^2)+((C35*H35)^2))</f>
        <v>2.6816445469077882E-2</v>
      </c>
      <c r="L35" s="314" t="s">
        <v>8</v>
      </c>
      <c r="M35" s="582">
        <v>7.6999999999999999E-2</v>
      </c>
      <c r="N35" s="582">
        <v>0</v>
      </c>
      <c r="O35" s="314" t="s">
        <v>1507</v>
      </c>
      <c r="P35" s="591">
        <f>C35*M35</f>
        <v>4.0944385420059036E-2</v>
      </c>
      <c r="Q35" s="591">
        <f>SQRT(((D35*M35)^2)+((C35*N35)^2))</f>
        <v>1.9243861147427745E-3</v>
      </c>
      <c r="R35" s="314" t="s">
        <v>9</v>
      </c>
      <c r="S35" s="582">
        <v>1.5999999999999999E-5</v>
      </c>
      <c r="T35" s="582">
        <v>0</v>
      </c>
      <c r="U35" s="314" t="s">
        <v>1508</v>
      </c>
      <c r="V35" s="602">
        <f>C35*S35</f>
        <v>8.5079242431291499E-6</v>
      </c>
      <c r="W35" s="602">
        <f>SQRT(((D35*S35)^2)+((C35*T35)^2))</f>
        <v>3.9987243942706999E-7</v>
      </c>
      <c r="X35" s="314" t="s">
        <v>10</v>
      </c>
      <c r="Y35" s="582">
        <v>2.0800000000000001E-5</v>
      </c>
      <c r="Z35" s="582">
        <v>0</v>
      </c>
      <c r="AA35" s="314" t="s">
        <v>1510</v>
      </c>
      <c r="AB35" s="394">
        <f>C35*Y35</f>
        <v>1.1060301516067895E-5</v>
      </c>
      <c r="AC35" s="394">
        <f>SQRT(((D35*Y35)^2)+((C35*Z35)^2))</f>
        <v>5.1983417125519107E-7</v>
      </c>
    </row>
    <row r="36" spans="1:29" ht="16.5" customHeight="1" x14ac:dyDescent="0.25">
      <c r="A36" s="316" t="s">
        <v>864</v>
      </c>
      <c r="B36" s="316" t="s">
        <v>18</v>
      </c>
      <c r="C36" s="581">
        <v>4.0225337209302325E-2</v>
      </c>
      <c r="D36" s="581">
        <v>4.7465897906976747E-3</v>
      </c>
      <c r="E36" s="319" t="s">
        <v>1501</v>
      </c>
      <c r="F36" s="316" t="s">
        <v>7</v>
      </c>
      <c r="G36" s="581">
        <v>1</v>
      </c>
      <c r="H36" s="581">
        <v>0</v>
      </c>
      <c r="I36" s="319"/>
      <c r="J36" s="516">
        <f>$C36*$G36*$C$8</f>
        <v>0</v>
      </c>
      <c r="K36" s="516">
        <f>SQRT((($D36*$G36)^2)+(($C36*$H36)^2))*$C$8</f>
        <v>0</v>
      </c>
      <c r="L36" s="316" t="s">
        <v>218</v>
      </c>
      <c r="M36" s="581">
        <v>2.7165162790697677E-3</v>
      </c>
      <c r="N36" s="581">
        <v>3.2054892093023255E-4</v>
      </c>
      <c r="O36" s="319" t="s">
        <v>1511</v>
      </c>
      <c r="P36" s="591">
        <f>M36*$C$8</f>
        <v>0</v>
      </c>
      <c r="Q36" s="591">
        <f>N36*$C$8</f>
        <v>0</v>
      </c>
      <c r="R36" s="316" t="s">
        <v>219</v>
      </c>
      <c r="S36" s="581">
        <v>4.3020214534883724E-6</v>
      </c>
      <c r="T36" s="581">
        <v>5.0763853151162794E-7</v>
      </c>
      <c r="U36" s="319" t="s">
        <v>1513</v>
      </c>
      <c r="V36" s="602">
        <f>S36*$C$8</f>
        <v>0</v>
      </c>
      <c r="W36" s="602">
        <f>T36*$C$8</f>
        <v>0</v>
      </c>
      <c r="X36" s="316" t="s">
        <v>220</v>
      </c>
      <c r="Y36" s="581">
        <v>2.1418686046511628E-7</v>
      </c>
      <c r="Z36" s="581">
        <v>2.5274049534883721E-8</v>
      </c>
      <c r="AA36" s="319" t="s">
        <v>1516</v>
      </c>
      <c r="AB36" s="394">
        <f>Y36*$C$8</f>
        <v>0</v>
      </c>
      <c r="AC36" s="394">
        <f>Z36*$C$8</f>
        <v>0</v>
      </c>
    </row>
    <row r="37" spans="1:29" ht="15.75" customHeight="1" x14ac:dyDescent="0.25">
      <c r="A37" s="316" t="s">
        <v>221</v>
      </c>
      <c r="B37" s="316" t="s">
        <v>12</v>
      </c>
      <c r="C37" s="581">
        <v>2</v>
      </c>
      <c r="D37" s="581">
        <v>0.3</v>
      </c>
      <c r="E37" s="319" t="s">
        <v>1502</v>
      </c>
      <c r="F37" s="316"/>
      <c r="G37" s="321"/>
      <c r="H37" s="321"/>
      <c r="I37" s="319"/>
      <c r="J37" s="516">
        <f>($C$16/100)*$J$15</f>
        <v>0</v>
      </c>
      <c r="K37" s="516">
        <f>SQRT(((($D$16/100)*J36)^2)+((($C$16/100)*K36)^2))</f>
        <v>0</v>
      </c>
      <c r="L37" s="316"/>
      <c r="M37" s="321"/>
      <c r="N37" s="321"/>
      <c r="O37" s="319" t="s">
        <v>1512</v>
      </c>
      <c r="P37" s="592">
        <f>($C$16/100)*$P36</f>
        <v>0</v>
      </c>
      <c r="Q37" s="592">
        <f>SQRT(((($D$16/100)*$P36)^2)+((($C$16/100)*$Q36)^2))</f>
        <v>0</v>
      </c>
      <c r="R37" s="316"/>
      <c r="S37" s="321"/>
      <c r="T37" s="321"/>
      <c r="U37" s="319" t="s">
        <v>1514</v>
      </c>
      <c r="V37" s="603">
        <f>($C$16/100)*$V36</f>
        <v>0</v>
      </c>
      <c r="W37" s="603">
        <f>SQRT(((($D$16/100)*$V36)^2)+((($C$16/100)*$W36)^2))</f>
        <v>0</v>
      </c>
      <c r="X37" s="316"/>
      <c r="Y37" s="321"/>
      <c r="Z37" s="321"/>
      <c r="AA37" s="319" t="s">
        <v>1517</v>
      </c>
      <c r="AB37" s="597">
        <f>($C$16/100)*$AB36</f>
        <v>0</v>
      </c>
      <c r="AC37" s="597">
        <f>SQRT(((($D$16/100)*$AB36)^2)+((($C$16/100)*$AC36)^2))</f>
        <v>0</v>
      </c>
    </row>
    <row r="38" spans="1:29" x14ac:dyDescent="0.25">
      <c r="A38" s="316"/>
      <c r="B38" s="316"/>
      <c r="C38" s="316"/>
      <c r="D38" s="316"/>
      <c r="E38" s="319"/>
      <c r="F38" s="316"/>
      <c r="G38" s="316"/>
      <c r="H38" s="316"/>
      <c r="I38" s="319"/>
      <c r="J38" s="514"/>
      <c r="K38" s="514"/>
      <c r="L38" s="316"/>
      <c r="M38" s="316"/>
      <c r="N38" s="316"/>
      <c r="O38" s="319"/>
      <c r="P38" s="593"/>
      <c r="Q38" s="593"/>
      <c r="R38" s="316"/>
      <c r="S38" s="316"/>
      <c r="T38" s="316"/>
      <c r="U38" s="319"/>
      <c r="V38" s="604"/>
      <c r="W38" s="604"/>
      <c r="X38" s="316"/>
      <c r="Y38" s="316"/>
      <c r="Z38" s="316"/>
      <c r="AA38" s="319"/>
      <c r="AB38" s="598"/>
      <c r="AC38" s="598"/>
    </row>
    <row r="39" spans="1:29" x14ac:dyDescent="0.25">
      <c r="A39" s="322" t="s">
        <v>19</v>
      </c>
      <c r="B39" s="322"/>
      <c r="C39" s="322"/>
      <c r="D39" s="322"/>
      <c r="E39" s="323"/>
      <c r="F39" s="322"/>
      <c r="G39" s="322"/>
      <c r="H39" s="322"/>
      <c r="I39" s="323"/>
      <c r="J39" s="515">
        <f>SUM(J35:J37)</f>
        <v>0.57056266955484858</v>
      </c>
      <c r="K39" s="515">
        <f>SQRT((K35^2)+(K36^2)+(K37^2))</f>
        <v>2.6816445469077882E-2</v>
      </c>
      <c r="L39" s="322"/>
      <c r="M39" s="322"/>
      <c r="N39" s="322"/>
      <c r="O39" s="323"/>
      <c r="P39" s="594">
        <f>SUM(P35:P37)</f>
        <v>4.0944385420059036E-2</v>
      </c>
      <c r="Q39" s="594">
        <f>SQRT((Q35^2)+(Q36^2)+(Q37^2))</f>
        <v>1.9243861147427745E-3</v>
      </c>
      <c r="R39" s="322"/>
      <c r="S39" s="322"/>
      <c r="T39" s="322"/>
      <c r="U39" s="323"/>
      <c r="V39" s="605">
        <f>SUM(V35:V37)</f>
        <v>8.5079242431291499E-6</v>
      </c>
      <c r="W39" s="605">
        <f>SQRT((W35^2)+(W36^2)+(W37^2))</f>
        <v>3.9987243942706999E-7</v>
      </c>
      <c r="X39" s="322"/>
      <c r="Y39" s="322"/>
      <c r="Z39" s="322"/>
      <c r="AA39" s="323"/>
      <c r="AB39" s="599">
        <f>SUM(AB35:AB37)</f>
        <v>1.1060301516067895E-5</v>
      </c>
      <c r="AC39" s="599">
        <f>SQRT((AC35^2)+(AC36^2)+(AC37^2))</f>
        <v>5.1983417125519107E-7</v>
      </c>
    </row>
    <row r="40" spans="1:29" x14ac:dyDescent="0.25">
      <c r="J40" s="587"/>
      <c r="K40" s="587"/>
      <c r="P40" s="325"/>
      <c r="Q40" s="325"/>
      <c r="V40" s="326"/>
      <c r="W40" s="326"/>
      <c r="AB40" s="600"/>
      <c r="AC40" s="600"/>
    </row>
    <row r="41" spans="1:29" x14ac:dyDescent="0.25">
      <c r="A41" s="152" t="s">
        <v>374</v>
      </c>
      <c r="J41" s="588"/>
      <c r="K41" s="588"/>
      <c r="P41" s="325"/>
      <c r="Q41" s="325"/>
      <c r="V41" s="326"/>
      <c r="W41" s="326"/>
      <c r="AB41" s="600"/>
      <c r="AC41" s="600"/>
    </row>
    <row r="42" spans="1:29" x14ac:dyDescent="0.25">
      <c r="A42" s="152" t="s">
        <v>863</v>
      </c>
      <c r="J42" s="589">
        <f>IF($C$7=44,J14,IF($C$7=40,J21,IF($C$7=32,J28,J35)))</f>
        <v>0.43157226860176823</v>
      </c>
      <c r="K42" s="589">
        <f>IF($C$7=44,K14,IF($C$7=40,K21,IF($C$7=32,K28,K35)))</f>
        <v>2.0283896624283107E-2</v>
      </c>
      <c r="P42" s="595">
        <f>IF($C$7=44,P14,IF($C$7=40,P21,IF($C$7=32,P28,P35)))</f>
        <v>3.0970237355392501E-2</v>
      </c>
      <c r="Q42" s="595">
        <f>IF($C$7=44,Q14,IF($C$7=40,Q21,IF($C$7=32,Q28,Q35)))</f>
        <v>1.4556011557034477E-3</v>
      </c>
      <c r="V42" s="606">
        <f>IF($C$7=44,V14,IF($C$7=40,V21,IF($C$7=32,V28,V35)))</f>
        <v>6.4353739959257139E-6</v>
      </c>
      <c r="W42" s="606">
        <f>IF($C$7=44,W14,IF($C$7=40,W21,IF($C$7=32,W28,W35)))</f>
        <v>3.0246257780850857E-7</v>
      </c>
      <c r="AB42" s="601">
        <f>IF($C$7=44,AB14,IF($C$7=40,AB21,IF($C$7=32,AB28,AB35)))</f>
        <v>8.3659861947034292E-6</v>
      </c>
      <c r="AC42" s="601">
        <f>IF($C$7=44,AC14,IF($C$7=40,AC21,IF($C$7=32,AC28,AC35)))</f>
        <v>3.9320135115106121E-7</v>
      </c>
    </row>
    <row r="43" spans="1:29" x14ac:dyDescent="0.25">
      <c r="A43" s="152" t="s">
        <v>865</v>
      </c>
      <c r="J43" s="589">
        <f t="shared" ref="J43:K43" si="0">IF($C$7=44,J15,IF($C$7=40,J22,IF($C$7=32,J29,J36)))</f>
        <v>0</v>
      </c>
      <c r="K43" s="589">
        <f t="shared" si="0"/>
        <v>0</v>
      </c>
      <c r="P43" s="595">
        <f t="shared" ref="P43:Q43" si="1">IF($C$7=44,P15,IF($C$7=40,P22,IF($C$7=32,P29,P36)))</f>
        <v>0</v>
      </c>
      <c r="Q43" s="595">
        <f t="shared" si="1"/>
        <v>0</v>
      </c>
      <c r="V43" s="606">
        <f t="shared" ref="V43:W43" si="2">IF($C$7=44,V15,IF($C$7=40,V22,IF($C$7=32,V29,V36)))</f>
        <v>0</v>
      </c>
      <c r="W43" s="606">
        <f t="shared" si="2"/>
        <v>0</v>
      </c>
      <c r="AB43" s="601">
        <f t="shared" ref="AB43:AC43" si="3">IF($C$7=44,AB15,IF($C$7=40,AB22,IF($C$7=32,AB29,AB36)))</f>
        <v>0</v>
      </c>
      <c r="AC43" s="601">
        <f t="shared" si="3"/>
        <v>0</v>
      </c>
    </row>
    <row r="44" spans="1:29" x14ac:dyDescent="0.25">
      <c r="A44" s="152" t="s">
        <v>221</v>
      </c>
      <c r="J44" s="589">
        <f t="shared" ref="J44:K44" si="4">IF($C$7=44,J16,IF($C$7=40,J23,IF($C$7=32,J30,J37)))</f>
        <v>0</v>
      </c>
      <c r="K44" s="589">
        <f t="shared" si="4"/>
        <v>0</v>
      </c>
      <c r="P44" s="595">
        <f t="shared" ref="P44:Q44" si="5">IF($C$7=44,P16,IF($C$7=40,P23,IF($C$7=32,P30,P37)))</f>
        <v>0</v>
      </c>
      <c r="Q44" s="595">
        <f t="shared" si="5"/>
        <v>0</v>
      </c>
      <c r="V44" s="606">
        <f t="shared" ref="V44:W44" si="6">IF($C$7=44,V16,IF($C$7=40,V23,IF($C$7=32,V30,V37)))</f>
        <v>0</v>
      </c>
      <c r="W44" s="606">
        <f t="shared" si="6"/>
        <v>0</v>
      </c>
      <c r="AB44" s="601">
        <f t="shared" ref="AB44:AC44" si="7">IF($C$7=44,AB16,IF($C$7=40,AB23,IF($C$7=32,AB30,AB37)))</f>
        <v>0</v>
      </c>
      <c r="AC44" s="601">
        <f t="shared" si="7"/>
        <v>0</v>
      </c>
    </row>
    <row r="45" spans="1:29" x14ac:dyDescent="0.25">
      <c r="A45" s="2"/>
      <c r="J45" s="587"/>
      <c r="K45" s="587"/>
      <c r="P45" s="325"/>
      <c r="Q45" s="325"/>
      <c r="V45" s="326"/>
      <c r="W45" s="326"/>
      <c r="AB45" s="600"/>
      <c r="AC45" s="600"/>
    </row>
    <row r="46" spans="1:29" x14ac:dyDescent="0.25">
      <c r="A46" s="2" t="s">
        <v>375</v>
      </c>
      <c r="J46" s="590">
        <f t="shared" ref="J46:K46" si="8">IF($C$7=44,J18,IF($C$7=40,J25,IF($C$7=32,J32,J39)))</f>
        <v>0.43157226860176823</v>
      </c>
      <c r="K46" s="590">
        <f t="shared" si="8"/>
        <v>2.0283896624283107E-2</v>
      </c>
      <c r="P46" s="596">
        <f t="shared" ref="P46:Q46" si="9">IF($C$7=44,P18,IF($C$7=40,P25,IF($C$7=32,P32,P39)))</f>
        <v>3.0970237355392501E-2</v>
      </c>
      <c r="Q46" s="596">
        <f t="shared" si="9"/>
        <v>1.4556011557034477E-3</v>
      </c>
      <c r="V46" s="607">
        <f t="shared" ref="V46:W46" si="10">IF($C$7=44,V18,IF($C$7=40,V25,IF($C$7=32,V32,V39)))</f>
        <v>6.4353739959257139E-6</v>
      </c>
      <c r="W46" s="607">
        <f t="shared" si="10"/>
        <v>3.0246257780850857E-7</v>
      </c>
      <c r="AB46" s="608">
        <f t="shared" ref="AB46:AC46" si="11">IF($C$7=44,AB18,IF($C$7=40,AB25,IF($C$7=32,AB32,AB39)))</f>
        <v>8.3659861947034292E-6</v>
      </c>
      <c r="AC46" s="608">
        <f t="shared" si="11"/>
        <v>3.9320135115106121E-7</v>
      </c>
    </row>
  </sheetData>
  <pageMargins left="0.75" right="0.75" top="1" bottom="1" header="0.5" footer="0.5"/>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heetViews>
  <sheetFormatPr defaultRowHeight="13.2" x14ac:dyDescent="0.25"/>
  <cols>
    <col min="1" max="1" width="13.88671875" bestFit="1" customWidth="1"/>
    <col min="2" max="2" width="64.33203125" customWidth="1"/>
    <col min="3" max="3" width="19" customWidth="1"/>
    <col min="4" max="4" width="13.6640625" customWidth="1"/>
    <col min="5" max="5" width="12.88671875" customWidth="1"/>
    <col min="6" max="6" width="75.5546875" customWidth="1"/>
  </cols>
  <sheetData>
    <row r="1" spans="1:6" x14ac:dyDescent="0.25">
      <c r="A1" s="2" t="s">
        <v>980</v>
      </c>
      <c r="F1" s="923" t="s">
        <v>1482</v>
      </c>
    </row>
    <row r="2" spans="1:6" x14ac:dyDescent="0.25">
      <c r="A2" s="2" t="s">
        <v>113</v>
      </c>
      <c r="B2" s="2" t="s">
        <v>114</v>
      </c>
      <c r="C2" s="2" t="s">
        <v>115</v>
      </c>
      <c r="D2" s="2" t="s">
        <v>116</v>
      </c>
      <c r="E2" s="2" t="s">
        <v>117</v>
      </c>
    </row>
    <row r="4" spans="1:6" x14ac:dyDescent="0.25">
      <c r="A4" s="1440" t="s">
        <v>1575</v>
      </c>
    </row>
    <row r="6" spans="1:6" ht="26.4" x14ac:dyDescent="0.25">
      <c r="A6" s="419" t="s">
        <v>427</v>
      </c>
      <c r="B6" s="988" t="s">
        <v>1345</v>
      </c>
      <c r="C6" s="108" t="s">
        <v>985</v>
      </c>
      <c r="D6" s="223" t="s">
        <v>1491</v>
      </c>
      <c r="E6" s="988" t="s">
        <v>1486</v>
      </c>
      <c r="F6" s="988"/>
    </row>
    <row r="7" spans="1:6" ht="39.6" x14ac:dyDescent="0.25">
      <c r="A7" s="419" t="s">
        <v>1489</v>
      </c>
      <c r="B7" s="108" t="s">
        <v>1492</v>
      </c>
      <c r="C7" s="108" t="s">
        <v>1486</v>
      </c>
      <c r="D7" s="1331" t="s">
        <v>1490</v>
      </c>
      <c r="E7" s="292"/>
    </row>
    <row r="8" spans="1:6" x14ac:dyDescent="0.25">
      <c r="A8" s="419" t="s">
        <v>1494</v>
      </c>
      <c r="B8" s="108" t="s">
        <v>1496</v>
      </c>
      <c r="C8" s="108" t="s">
        <v>1486</v>
      </c>
      <c r="D8" s="223" t="s">
        <v>1495</v>
      </c>
      <c r="E8" s="108"/>
    </row>
    <row r="9" spans="1:6" ht="80.25" customHeight="1" x14ac:dyDescent="0.25">
      <c r="A9" s="419" t="s">
        <v>1518</v>
      </c>
      <c r="B9" s="988" t="s">
        <v>1525</v>
      </c>
      <c r="C9" s="108" t="s">
        <v>1486</v>
      </c>
      <c r="D9" s="223" t="s">
        <v>1519</v>
      </c>
      <c r="E9" s="108"/>
    </row>
    <row r="10" spans="1:6" ht="27.75" customHeight="1" x14ac:dyDescent="0.25">
      <c r="A10" s="419" t="s">
        <v>1526</v>
      </c>
      <c r="B10" s="988" t="s">
        <v>1527</v>
      </c>
      <c r="C10" s="988" t="s">
        <v>1486</v>
      </c>
      <c r="D10" s="1331" t="s">
        <v>1528</v>
      </c>
      <c r="E10" s="108"/>
    </row>
    <row r="11" spans="1:6" ht="184.8" x14ac:dyDescent="0.25">
      <c r="A11" s="419" t="s">
        <v>1529</v>
      </c>
      <c r="B11" s="988" t="s">
        <v>1570</v>
      </c>
      <c r="C11" s="988" t="s">
        <v>1486</v>
      </c>
      <c r="D11" s="1331" t="s">
        <v>1530</v>
      </c>
      <c r="E11" s="292"/>
      <c r="F11" s="1427"/>
    </row>
    <row r="12" spans="1:6" ht="52.8" x14ac:dyDescent="0.25">
      <c r="A12" s="419" t="s">
        <v>1571</v>
      </c>
      <c r="B12" s="988" t="s">
        <v>1573</v>
      </c>
      <c r="C12" s="108" t="s">
        <v>1486</v>
      </c>
      <c r="D12" s="988" t="s">
        <v>1572</v>
      </c>
      <c r="E12" s="292"/>
    </row>
    <row r="13" spans="1:6" x14ac:dyDescent="0.25">
      <c r="A13" s="419"/>
      <c r="B13" s="292"/>
      <c r="C13" s="292"/>
      <c r="D13" s="292"/>
      <c r="E13" s="108"/>
    </row>
    <row r="14" spans="1:6" x14ac:dyDescent="0.25">
      <c r="A14" s="1441" t="s">
        <v>1605</v>
      </c>
      <c r="B14" s="108"/>
      <c r="C14" s="108"/>
      <c r="D14" s="108"/>
      <c r="E14" s="108"/>
    </row>
    <row r="15" spans="1:6" x14ac:dyDescent="0.25">
      <c r="A15" s="419"/>
      <c r="B15" s="988"/>
      <c r="C15" s="108"/>
      <c r="D15" s="108"/>
      <c r="E15" s="108"/>
    </row>
    <row r="16" spans="1:6" ht="193.5" customHeight="1" x14ac:dyDescent="0.25">
      <c r="A16" s="419" t="s">
        <v>1574</v>
      </c>
      <c r="B16" s="1427" t="s">
        <v>1829</v>
      </c>
      <c r="C16" s="988" t="s">
        <v>1486</v>
      </c>
      <c r="D16" s="988" t="s">
        <v>1828</v>
      </c>
      <c r="E16" s="108"/>
    </row>
    <row r="17" spans="1:5" ht="15.75" customHeight="1" x14ac:dyDescent="0.25">
      <c r="A17" s="419" t="s">
        <v>1489</v>
      </c>
      <c r="B17" s="1427" t="s">
        <v>1855</v>
      </c>
      <c r="C17" s="988" t="s">
        <v>1486</v>
      </c>
      <c r="D17" s="988" t="s">
        <v>1853</v>
      </c>
      <c r="E17" s="108"/>
    </row>
    <row r="18" spans="1:5" ht="39.6" x14ac:dyDescent="0.25">
      <c r="A18" s="419" t="s">
        <v>1494</v>
      </c>
      <c r="B18" s="108" t="s">
        <v>1857</v>
      </c>
      <c r="C18" s="108" t="s">
        <v>1486</v>
      </c>
      <c r="D18" s="108" t="s">
        <v>1856</v>
      </c>
      <c r="E18" s="108"/>
    </row>
    <row r="19" spans="1:5" x14ac:dyDescent="0.25">
      <c r="A19" s="419"/>
      <c r="B19" s="108"/>
      <c r="C19" s="108"/>
      <c r="D19" s="108"/>
      <c r="E19" s="108"/>
    </row>
    <row r="20" spans="1:5" x14ac:dyDescent="0.25">
      <c r="A20" s="1441" t="s">
        <v>1858</v>
      </c>
      <c r="B20" s="108"/>
      <c r="C20" s="108"/>
      <c r="D20" s="108"/>
      <c r="E20" s="108"/>
    </row>
    <row r="21" spans="1:5" x14ac:dyDescent="0.25">
      <c r="A21" s="419"/>
      <c r="B21" s="108"/>
      <c r="C21" s="108"/>
      <c r="D21" s="108"/>
      <c r="E21" s="108"/>
    </row>
    <row r="22" spans="1:5" ht="105.6" x14ac:dyDescent="0.25">
      <c r="A22" s="419" t="s">
        <v>1574</v>
      </c>
      <c r="B22" s="988" t="s">
        <v>1968</v>
      </c>
      <c r="C22" s="988" t="s">
        <v>1486</v>
      </c>
      <c r="D22" s="988" t="s">
        <v>1972</v>
      </c>
      <c r="E22" s="108"/>
    </row>
    <row r="23" spans="1:5" ht="26.4" x14ac:dyDescent="0.25">
      <c r="A23" s="419" t="s">
        <v>1489</v>
      </c>
      <c r="B23" s="108" t="s">
        <v>1973</v>
      </c>
      <c r="C23" s="108" t="s">
        <v>1486</v>
      </c>
      <c r="D23" s="108" t="s">
        <v>1974</v>
      </c>
      <c r="E23" s="108"/>
    </row>
    <row r="24" spans="1:5" x14ac:dyDescent="0.25">
      <c r="A24" s="108"/>
      <c r="B24" s="108"/>
      <c r="C24" s="108"/>
      <c r="D24" s="108"/>
      <c r="E24" s="108"/>
    </row>
    <row r="25" spans="1:5" x14ac:dyDescent="0.25">
      <c r="A25" s="108"/>
      <c r="B25" s="108"/>
      <c r="C25" s="108"/>
      <c r="D25" s="108"/>
      <c r="E25" s="108"/>
    </row>
    <row r="26" spans="1:5" x14ac:dyDescent="0.25">
      <c r="A26" s="108"/>
      <c r="B26" s="108"/>
      <c r="C26" s="108"/>
      <c r="D26" s="108"/>
      <c r="E26" s="108"/>
    </row>
    <row r="27" spans="1:5" x14ac:dyDescent="0.25">
      <c r="A27" s="108"/>
      <c r="B27" s="108"/>
      <c r="C27" s="108"/>
      <c r="D27" s="108"/>
      <c r="E27" s="108"/>
    </row>
  </sheetData>
  <phoneticPr fontId="0" type="noConversion"/>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6"/>
  <sheetViews>
    <sheetView workbookViewId="0">
      <pane xSplit="1" ySplit="11" topLeftCell="B12" activePane="bottomRight" state="frozen"/>
      <selection pane="topRight" activeCell="B1" sqref="B1"/>
      <selection pane="bottomLeft" activeCell="A11" sqref="A11"/>
      <selection pane="bottomRight"/>
    </sheetView>
  </sheetViews>
  <sheetFormatPr defaultColWidth="9.109375" defaultRowHeight="13.2" x14ac:dyDescent="0.25"/>
  <cols>
    <col min="1" max="1" width="46.44140625" style="118" customWidth="1"/>
    <col min="2" max="2" width="15.33203125" style="118" customWidth="1"/>
    <col min="3" max="3" width="11.5546875" style="118" customWidth="1"/>
    <col min="4" max="9" width="9.109375" style="118"/>
    <col min="10" max="10" width="13.33203125" style="118" customWidth="1"/>
    <col min="11" max="11" width="14.33203125" style="118" customWidth="1"/>
    <col min="12" max="15" width="9.109375" style="118"/>
    <col min="16" max="16" width="17.5546875" style="118" customWidth="1"/>
    <col min="17" max="17" width="17.6640625" style="118" customWidth="1"/>
    <col min="18" max="21" width="9.109375" style="118"/>
    <col min="22" max="22" width="15.6640625" style="118" customWidth="1"/>
    <col min="23" max="23" width="18" style="118" customWidth="1"/>
    <col min="24" max="27" width="9.109375" style="118"/>
    <col min="28" max="28" width="17.109375" style="118" customWidth="1"/>
    <col min="29" max="29" width="17.6640625" style="118" customWidth="1"/>
    <col min="30" max="16384" width="9.109375" style="118"/>
  </cols>
  <sheetData>
    <row r="1" spans="1:29" x14ac:dyDescent="0.25">
      <c r="A1" s="152" t="s">
        <v>238</v>
      </c>
      <c r="B1" s="291" t="s">
        <v>762</v>
      </c>
    </row>
    <row r="2" spans="1:29" x14ac:dyDescent="0.25">
      <c r="A2" s="152" t="s">
        <v>241</v>
      </c>
      <c r="B2" s="118" t="s">
        <v>168</v>
      </c>
    </row>
    <row r="3" spans="1:29" x14ac:dyDescent="0.25">
      <c r="A3" s="152" t="s">
        <v>239</v>
      </c>
      <c r="B3" s="118" t="s">
        <v>169</v>
      </c>
    </row>
    <row r="4" spans="1:29" x14ac:dyDescent="0.25">
      <c r="A4" s="152" t="s">
        <v>240</v>
      </c>
      <c r="B4" s="1">
        <v>2001</v>
      </c>
    </row>
    <row r="5" spans="1:29" x14ac:dyDescent="0.25">
      <c r="A5" s="152"/>
    </row>
    <row r="6" spans="1:29" x14ac:dyDescent="0.25">
      <c r="A6" s="578" t="s">
        <v>415</v>
      </c>
      <c r="B6" s="411"/>
      <c r="C6" s="412"/>
    </row>
    <row r="7" spans="1:29" x14ac:dyDescent="0.25">
      <c r="A7" s="584" t="s">
        <v>587</v>
      </c>
      <c r="B7" s="585" t="s">
        <v>440</v>
      </c>
      <c r="C7" s="583">
        <f>Unitflowchart!S348</f>
        <v>44</v>
      </c>
    </row>
    <row r="8" spans="1:29" x14ac:dyDescent="0.25">
      <c r="A8" s="413" t="s">
        <v>369</v>
      </c>
      <c r="B8" s="414" t="s">
        <v>370</v>
      </c>
      <c r="C8" s="415">
        <f>include_machinery</f>
        <v>0</v>
      </c>
    </row>
    <row r="10" spans="1:29" x14ac:dyDescent="0.25">
      <c r="A10" s="120" t="s">
        <v>243</v>
      </c>
      <c r="B10" s="120" t="s">
        <v>242</v>
      </c>
      <c r="C10" s="120"/>
      <c r="D10" s="120"/>
      <c r="E10" s="198" t="s">
        <v>28</v>
      </c>
      <c r="F10" s="120" t="s">
        <v>245</v>
      </c>
      <c r="G10" s="120"/>
      <c r="H10" s="120"/>
      <c r="I10" s="198" t="s">
        <v>28</v>
      </c>
      <c r="J10" s="120" t="s">
        <v>92</v>
      </c>
      <c r="K10" s="120"/>
      <c r="L10" s="120" t="s">
        <v>249</v>
      </c>
      <c r="M10" s="120"/>
      <c r="N10" s="120"/>
      <c r="O10" s="198" t="s">
        <v>28</v>
      </c>
      <c r="P10" s="120" t="s">
        <v>371</v>
      </c>
      <c r="Q10" s="120"/>
      <c r="R10" s="120" t="s">
        <v>251</v>
      </c>
      <c r="S10" s="120"/>
      <c r="T10" s="120"/>
      <c r="U10" s="198" t="s">
        <v>28</v>
      </c>
      <c r="V10" s="120" t="s">
        <v>372</v>
      </c>
      <c r="W10" s="120"/>
      <c r="X10" s="120" t="s">
        <v>253</v>
      </c>
      <c r="Y10" s="120"/>
      <c r="Z10" s="120"/>
      <c r="AA10" s="198" t="s">
        <v>28</v>
      </c>
      <c r="AB10" s="120" t="s">
        <v>373</v>
      </c>
      <c r="AC10" s="120"/>
    </row>
    <row r="11" spans="1:29" x14ac:dyDescent="0.25">
      <c r="A11" s="312" t="s">
        <v>93</v>
      </c>
      <c r="B11" s="120" t="s">
        <v>244</v>
      </c>
      <c r="C11" s="120" t="s">
        <v>246</v>
      </c>
      <c r="D11" s="120" t="s">
        <v>247</v>
      </c>
      <c r="E11" s="198"/>
      <c r="F11" s="120" t="s">
        <v>244</v>
      </c>
      <c r="G11" s="120" t="s">
        <v>246</v>
      </c>
      <c r="H11" s="120" t="s">
        <v>247</v>
      </c>
      <c r="I11" s="198"/>
      <c r="J11" s="120" t="s">
        <v>246</v>
      </c>
      <c r="K11" s="120" t="s">
        <v>247</v>
      </c>
      <c r="L11" s="120" t="s">
        <v>244</v>
      </c>
      <c r="M11" s="120" t="s">
        <v>246</v>
      </c>
      <c r="N11" s="120" t="s">
        <v>247</v>
      </c>
      <c r="O11" s="198"/>
      <c r="P11" s="120" t="s">
        <v>246</v>
      </c>
      <c r="Q11" s="120" t="s">
        <v>247</v>
      </c>
      <c r="R11" s="120" t="s">
        <v>244</v>
      </c>
      <c r="S11" s="120" t="s">
        <v>246</v>
      </c>
      <c r="T11" s="120" t="s">
        <v>247</v>
      </c>
      <c r="U11" s="198"/>
      <c r="V11" s="120" t="s">
        <v>246</v>
      </c>
      <c r="W11" s="120" t="s">
        <v>247</v>
      </c>
      <c r="X11" s="120" t="s">
        <v>244</v>
      </c>
      <c r="Y11" s="120" t="s">
        <v>246</v>
      </c>
      <c r="Z11" s="120" t="s">
        <v>247</v>
      </c>
      <c r="AA11" s="198"/>
      <c r="AB11" s="120" t="s">
        <v>246</v>
      </c>
      <c r="AC11" s="120" t="s">
        <v>247</v>
      </c>
    </row>
    <row r="12" spans="1:29" x14ac:dyDescent="0.25">
      <c r="A12" s="120"/>
      <c r="B12" s="120"/>
      <c r="C12" s="120"/>
      <c r="D12" s="120"/>
      <c r="E12" s="198"/>
      <c r="F12" s="120"/>
      <c r="G12" s="120"/>
      <c r="H12" s="120"/>
      <c r="I12" s="198"/>
      <c r="J12" s="120"/>
      <c r="K12" s="120"/>
      <c r="L12" s="120"/>
      <c r="M12" s="120"/>
      <c r="N12" s="120"/>
      <c r="O12" s="198"/>
      <c r="P12" s="120"/>
      <c r="Q12" s="120"/>
      <c r="R12" s="120"/>
      <c r="S12" s="120"/>
      <c r="T12" s="120"/>
      <c r="U12" s="198"/>
      <c r="V12" s="120"/>
      <c r="W12" s="120"/>
      <c r="X12" s="120"/>
      <c r="Y12" s="120"/>
      <c r="Z12" s="120"/>
      <c r="AA12" s="198"/>
      <c r="AB12" s="120"/>
      <c r="AC12" s="120"/>
    </row>
    <row r="13" spans="1:29" x14ac:dyDescent="0.25">
      <c r="A13" s="313" t="s">
        <v>683</v>
      </c>
      <c r="B13" s="314"/>
      <c r="C13" s="314"/>
      <c r="D13" s="314"/>
      <c r="E13" s="315"/>
      <c r="F13" s="314"/>
      <c r="G13" s="314"/>
      <c r="H13" s="314"/>
      <c r="I13" s="315"/>
      <c r="J13" s="314"/>
      <c r="K13" s="314"/>
      <c r="L13" s="314"/>
      <c r="M13" s="314"/>
      <c r="N13" s="314"/>
      <c r="O13" s="315"/>
      <c r="P13" s="314"/>
      <c r="Q13" s="314"/>
      <c r="R13" s="314"/>
      <c r="S13" s="314"/>
      <c r="T13" s="314"/>
      <c r="U13" s="315"/>
      <c r="V13" s="314"/>
      <c r="W13" s="314"/>
      <c r="X13" s="314"/>
      <c r="Y13" s="314"/>
      <c r="Z13" s="314"/>
      <c r="AA13" s="315"/>
      <c r="AB13" s="314"/>
      <c r="AC13" s="314"/>
    </row>
    <row r="14" spans="1:29" ht="12.75" customHeight="1" x14ac:dyDescent="0.25">
      <c r="A14" s="316" t="s">
        <v>863</v>
      </c>
      <c r="B14" s="316" t="s">
        <v>18</v>
      </c>
      <c r="C14" s="581">
        <v>0.40221087474535716</v>
      </c>
      <c r="D14" s="581">
        <v>1.8903911113031788E-2</v>
      </c>
      <c r="E14" s="317" t="s">
        <v>1500</v>
      </c>
      <c r="F14" s="316" t="s">
        <v>7</v>
      </c>
      <c r="G14" s="582">
        <v>1.073</v>
      </c>
      <c r="H14" s="582">
        <v>0</v>
      </c>
      <c r="I14" s="314" t="s">
        <v>1503</v>
      </c>
      <c r="J14" s="586">
        <f>C14*G14</f>
        <v>0.43157226860176823</v>
      </c>
      <c r="K14" s="586">
        <f>SQRT(((D14*G14)^2)+((C14*H14)^2))</f>
        <v>2.0283896624283107E-2</v>
      </c>
      <c r="L14" s="314" t="s">
        <v>8</v>
      </c>
      <c r="M14" s="582">
        <v>7.6999999999999999E-2</v>
      </c>
      <c r="N14" s="582">
        <v>0</v>
      </c>
      <c r="O14" s="314" t="s">
        <v>1507</v>
      </c>
      <c r="P14" s="591">
        <f>C14*M14</f>
        <v>3.0970237355392501E-2</v>
      </c>
      <c r="Q14" s="591">
        <f>SQRT(((D14*M14)^2)+((C14*N14)^2))</f>
        <v>1.4556011557034477E-3</v>
      </c>
      <c r="R14" s="314" t="s">
        <v>9</v>
      </c>
      <c r="S14" s="582">
        <v>1.5999999999999999E-5</v>
      </c>
      <c r="T14" s="582">
        <v>0</v>
      </c>
      <c r="U14" s="314" t="s">
        <v>1508</v>
      </c>
      <c r="V14" s="602">
        <f>C14*S14</f>
        <v>6.4353739959257139E-6</v>
      </c>
      <c r="W14" s="602">
        <f>SQRT(((D14*S14)^2)+((C14*T14)^2))</f>
        <v>3.0246257780850857E-7</v>
      </c>
      <c r="X14" s="314" t="s">
        <v>10</v>
      </c>
      <c r="Y14" s="582">
        <v>2.0800000000000001E-5</v>
      </c>
      <c r="Z14" s="582">
        <v>0</v>
      </c>
      <c r="AA14" s="314" t="s">
        <v>1510</v>
      </c>
      <c r="AB14" s="394">
        <f>C14*Y14</f>
        <v>8.3659861947034292E-6</v>
      </c>
      <c r="AC14" s="394">
        <f>SQRT(((D14*Y14)^2)+((C14*Z14)^2))</f>
        <v>3.9320135115106121E-7</v>
      </c>
    </row>
    <row r="15" spans="1:29" ht="12.75" customHeight="1" x14ac:dyDescent="0.25">
      <c r="A15" s="316" t="s">
        <v>864</v>
      </c>
      <c r="B15" s="316" t="s">
        <v>18</v>
      </c>
      <c r="C15" s="581">
        <v>4.4670266666666673E-2</v>
      </c>
      <c r="D15" s="581">
        <v>5.181750933333334E-3</v>
      </c>
      <c r="E15" s="319" t="s">
        <v>1501</v>
      </c>
      <c r="F15" s="316" t="s">
        <v>7</v>
      </c>
      <c r="G15" s="581">
        <v>1</v>
      </c>
      <c r="H15" s="581">
        <v>0</v>
      </c>
      <c r="I15" s="319"/>
      <c r="J15" s="516">
        <f>$C15*$G15*$C$8</f>
        <v>0</v>
      </c>
      <c r="K15" s="516">
        <f>SQRT((($D15*$G15)^2)+(($C15*$H15)^2))*$C$8</f>
        <v>0</v>
      </c>
      <c r="L15" s="316" t="s">
        <v>218</v>
      </c>
      <c r="M15" s="581">
        <v>3.0166933333333336E-3</v>
      </c>
      <c r="N15" s="581">
        <v>3.4993642666666675E-4</v>
      </c>
      <c r="O15" s="319" t="s">
        <v>1511</v>
      </c>
      <c r="P15" s="591">
        <f>M15*$C$8</f>
        <v>0</v>
      </c>
      <c r="Q15" s="591">
        <f>N15*$C$8</f>
        <v>0</v>
      </c>
      <c r="R15" s="316" t="s">
        <v>219</v>
      </c>
      <c r="S15" s="581">
        <v>4.7773980000000006E-6</v>
      </c>
      <c r="T15" s="581">
        <v>5.5417816800000013E-7</v>
      </c>
      <c r="U15" s="319" t="s">
        <v>1513</v>
      </c>
      <c r="V15" s="602">
        <f>S15*$C$8</f>
        <v>0</v>
      </c>
      <c r="W15" s="602">
        <f>T15*$C$8</f>
        <v>0</v>
      </c>
      <c r="X15" s="316" t="s">
        <v>220</v>
      </c>
      <c r="Y15" s="581">
        <v>2.3785466666666669E-7</v>
      </c>
      <c r="Z15" s="581">
        <v>2.7591141333333336E-8</v>
      </c>
      <c r="AA15" s="319" t="s">
        <v>1516</v>
      </c>
      <c r="AB15" s="394">
        <f>Y15*$C$8</f>
        <v>0</v>
      </c>
      <c r="AC15" s="394">
        <f>Z15*$C$8</f>
        <v>0</v>
      </c>
    </row>
    <row r="16" spans="1:29" ht="15" customHeight="1" x14ac:dyDescent="0.25">
      <c r="A16" s="316" t="s">
        <v>221</v>
      </c>
      <c r="B16" s="316" t="s">
        <v>12</v>
      </c>
      <c r="C16" s="581">
        <v>2</v>
      </c>
      <c r="D16" s="581">
        <v>0.3</v>
      </c>
      <c r="E16" s="319" t="s">
        <v>1502</v>
      </c>
      <c r="F16" s="316"/>
      <c r="G16" s="321"/>
      <c r="H16" s="321"/>
      <c r="I16" s="319"/>
      <c r="J16" s="516">
        <f>($C$16/100)*$J$15</f>
        <v>0</v>
      </c>
      <c r="K16" s="516">
        <f>SQRT(((($D$16/100)*J15)^2)+((($C$16/100)*K15)^2))</f>
        <v>0</v>
      </c>
      <c r="L16" s="316"/>
      <c r="M16" s="321"/>
      <c r="N16" s="321"/>
      <c r="O16" s="319" t="s">
        <v>1512</v>
      </c>
      <c r="P16" s="592">
        <f>($C$16/100)*$P15</f>
        <v>0</v>
      </c>
      <c r="Q16" s="592">
        <f>SQRT(((($D$16/100)*$P15)^2)+((($C$16/100)*$Q15)^2))</f>
        <v>0</v>
      </c>
      <c r="R16" s="316"/>
      <c r="S16" s="321"/>
      <c r="T16" s="321"/>
      <c r="U16" s="319" t="s">
        <v>1514</v>
      </c>
      <c r="V16" s="603">
        <f>($C$16/100)*$V15</f>
        <v>0</v>
      </c>
      <c r="W16" s="603">
        <f>SQRT(((($D$16/100)*$V15)^2)+((($C$16/100)*$W15)^2))</f>
        <v>0</v>
      </c>
      <c r="X16" s="316"/>
      <c r="Y16" s="321"/>
      <c r="Z16" s="321"/>
      <c r="AA16" s="319" t="s">
        <v>1517</v>
      </c>
      <c r="AB16" s="597">
        <f>($C$16/100)*$AB15</f>
        <v>0</v>
      </c>
      <c r="AC16" s="597">
        <f>SQRT(((($D$16/100)*$AB15)^2)+((($C$16/100)*$AC15)^2))</f>
        <v>0</v>
      </c>
    </row>
    <row r="17" spans="1:29" x14ac:dyDescent="0.25">
      <c r="A17" s="316"/>
      <c r="B17" s="316"/>
      <c r="C17" s="316"/>
      <c r="D17" s="316"/>
      <c r="E17" s="319"/>
      <c r="F17" s="316"/>
      <c r="G17" s="316"/>
      <c r="H17" s="316"/>
      <c r="I17" s="319"/>
      <c r="J17" s="514"/>
      <c r="K17" s="514"/>
      <c r="L17" s="316"/>
      <c r="M17" s="316"/>
      <c r="N17" s="316"/>
      <c r="O17" s="319"/>
      <c r="P17" s="593"/>
      <c r="Q17" s="593"/>
      <c r="R17" s="316"/>
      <c r="S17" s="316"/>
      <c r="T17" s="316"/>
      <c r="U17" s="319"/>
      <c r="V17" s="604"/>
      <c r="W17" s="604"/>
      <c r="X17" s="316"/>
      <c r="Y17" s="316"/>
      <c r="Z17" s="316"/>
      <c r="AA17" s="319"/>
      <c r="AB17" s="598"/>
      <c r="AC17" s="598"/>
    </row>
    <row r="18" spans="1:29" x14ac:dyDescent="0.25">
      <c r="A18" s="322" t="s">
        <v>19</v>
      </c>
      <c r="B18" s="322"/>
      <c r="C18" s="322"/>
      <c r="D18" s="322"/>
      <c r="E18" s="323"/>
      <c r="F18" s="322"/>
      <c r="G18" s="322"/>
      <c r="H18" s="322"/>
      <c r="I18" s="323"/>
      <c r="J18" s="515">
        <f>SUM(J14:J16)</f>
        <v>0.43157226860176823</v>
      </c>
      <c r="K18" s="515">
        <f>SQRT((K14^2)+(K15^2)+(K16^2))</f>
        <v>2.0283896624283107E-2</v>
      </c>
      <c r="L18" s="322"/>
      <c r="M18" s="322"/>
      <c r="N18" s="322"/>
      <c r="O18" s="323"/>
      <c r="P18" s="594">
        <f>SUM(P14:P16)</f>
        <v>3.0970237355392501E-2</v>
      </c>
      <c r="Q18" s="594">
        <f>SQRT((Q14^2)+(Q15^2)+(Q16^2))</f>
        <v>1.4556011557034477E-3</v>
      </c>
      <c r="R18" s="322"/>
      <c r="S18" s="322"/>
      <c r="T18" s="322"/>
      <c r="U18" s="323"/>
      <c r="V18" s="605">
        <f>SUM(V14:V16)</f>
        <v>6.4353739959257139E-6</v>
      </c>
      <c r="W18" s="605">
        <f>SQRT((W14^2)+(W15^2)+(W16^2))</f>
        <v>3.0246257780850857E-7</v>
      </c>
      <c r="X18" s="322"/>
      <c r="Y18" s="322"/>
      <c r="Z18" s="322"/>
      <c r="AA18" s="323"/>
      <c r="AB18" s="599">
        <f>SUM(AB14:AB16)</f>
        <v>8.3659861947034292E-6</v>
      </c>
      <c r="AC18" s="599">
        <f>SQRT((AC14^2)+(AC15^2)+(AC16^2))</f>
        <v>3.9320135115106121E-7</v>
      </c>
    </row>
    <row r="19" spans="1:29" x14ac:dyDescent="0.25">
      <c r="J19" s="587"/>
      <c r="K19" s="587"/>
      <c r="P19" s="325"/>
      <c r="Q19" s="325"/>
      <c r="V19" s="326"/>
      <c r="W19" s="326"/>
      <c r="AB19" s="600"/>
      <c r="AC19" s="600"/>
    </row>
    <row r="20" spans="1:29" x14ac:dyDescent="0.25">
      <c r="A20" s="324" t="s">
        <v>685</v>
      </c>
      <c r="J20" s="587"/>
      <c r="K20" s="587"/>
      <c r="P20" s="325"/>
      <c r="Q20" s="325"/>
      <c r="V20" s="326"/>
      <c r="W20" s="326"/>
      <c r="AB20" s="600"/>
      <c r="AC20" s="600"/>
    </row>
    <row r="21" spans="1:29" ht="14.25" customHeight="1" x14ac:dyDescent="0.25">
      <c r="A21" s="316" t="s">
        <v>863</v>
      </c>
      <c r="B21" s="316" t="s">
        <v>18</v>
      </c>
      <c r="C21" s="581">
        <v>0.39664394222292981</v>
      </c>
      <c r="D21" s="581">
        <v>1.86422652844777E-2</v>
      </c>
      <c r="E21" s="319" t="s">
        <v>1500</v>
      </c>
      <c r="F21" s="316" t="s">
        <v>7</v>
      </c>
      <c r="G21" s="582">
        <v>1.073</v>
      </c>
      <c r="H21" s="582">
        <v>0</v>
      </c>
      <c r="I21" s="314" t="s">
        <v>1503</v>
      </c>
      <c r="J21" s="586">
        <f>C21*G21</f>
        <v>0.42559895000520365</v>
      </c>
      <c r="K21" s="586">
        <f>SQRT(((D21*G21)^2)+((C21*H21)^2))</f>
        <v>2.0003150650244571E-2</v>
      </c>
      <c r="L21" s="314" t="s">
        <v>8</v>
      </c>
      <c r="M21" s="582">
        <v>7.6999999999999999E-2</v>
      </c>
      <c r="N21" s="582">
        <v>0</v>
      </c>
      <c r="O21" s="314" t="s">
        <v>1507</v>
      </c>
      <c r="P21" s="591">
        <f>C21*M21</f>
        <v>3.0541583551165596E-2</v>
      </c>
      <c r="Q21" s="591">
        <f>SQRT(((D21*M21)^2)+((C21*N21)^2))</f>
        <v>1.4354544269047829E-3</v>
      </c>
      <c r="R21" s="314" t="s">
        <v>9</v>
      </c>
      <c r="S21" s="582">
        <v>1.5999999999999999E-5</v>
      </c>
      <c r="T21" s="582">
        <v>0</v>
      </c>
      <c r="U21" s="314" t="s">
        <v>1515</v>
      </c>
      <c r="V21" s="602">
        <f>C21*S21</f>
        <v>6.3463030755668767E-6</v>
      </c>
      <c r="W21" s="602">
        <f>SQRT(((D21*S21)^2)+((C21*T21)^2))</f>
        <v>2.9827624455164321E-7</v>
      </c>
      <c r="X21" s="314" t="s">
        <v>10</v>
      </c>
      <c r="Y21" s="582">
        <v>2.0800000000000001E-5</v>
      </c>
      <c r="Z21" s="582">
        <v>0</v>
      </c>
      <c r="AA21" s="314" t="s">
        <v>1510</v>
      </c>
      <c r="AB21" s="394">
        <f>C21*Y21</f>
        <v>8.2501939982369412E-6</v>
      </c>
      <c r="AC21" s="394">
        <f>SQRT(((D21*Y21)^2)+((C21*Z21)^2))</f>
        <v>3.877591179171362E-7</v>
      </c>
    </row>
    <row r="22" spans="1:29" ht="15" customHeight="1" x14ac:dyDescent="0.25">
      <c r="A22" s="316" t="s">
        <v>864</v>
      </c>
      <c r="B22" s="316" t="s">
        <v>18</v>
      </c>
      <c r="C22" s="581">
        <v>3.586992156862745E-2</v>
      </c>
      <c r="D22" s="581">
        <v>4.1609109019607841E-3</v>
      </c>
      <c r="E22" s="319" t="s">
        <v>1501</v>
      </c>
      <c r="F22" s="316" t="s">
        <v>7</v>
      </c>
      <c r="G22" s="581">
        <v>1</v>
      </c>
      <c r="H22" s="581">
        <v>0</v>
      </c>
      <c r="I22" s="319"/>
      <c r="J22" s="516">
        <f>$C22*$G22*$C$8</f>
        <v>0</v>
      </c>
      <c r="K22" s="516">
        <f>SQRT((($D22*$G22)^2)+(($C22*$H22)^2))*$C$8</f>
        <v>0</v>
      </c>
      <c r="L22" s="316" t="s">
        <v>218</v>
      </c>
      <c r="M22" s="581">
        <v>2.4223843137254901E-3</v>
      </c>
      <c r="N22" s="581">
        <v>2.8099658039215685E-4</v>
      </c>
      <c r="O22" s="319" t="s">
        <v>1511</v>
      </c>
      <c r="P22" s="591">
        <f>M22*$C$8</f>
        <v>0</v>
      </c>
      <c r="Q22" s="591">
        <f>N22*$C$8</f>
        <v>0</v>
      </c>
      <c r="R22" s="316" t="s">
        <v>219</v>
      </c>
      <c r="S22" s="581">
        <v>3.8362182352941178E-6</v>
      </c>
      <c r="T22" s="581">
        <v>4.4500131529411761E-7</v>
      </c>
      <c r="U22" s="319" t="s">
        <v>1509</v>
      </c>
      <c r="V22" s="602">
        <f>S22*$C$8</f>
        <v>0</v>
      </c>
      <c r="W22" s="602">
        <f>T22*$C$8</f>
        <v>0</v>
      </c>
      <c r="X22" s="316" t="s">
        <v>220</v>
      </c>
      <c r="Y22" s="581">
        <v>1.909956862745098E-7</v>
      </c>
      <c r="Z22" s="581">
        <v>2.2155499607843137E-8</v>
      </c>
      <c r="AA22" s="319" t="s">
        <v>1516</v>
      </c>
      <c r="AB22" s="394">
        <f>Y22*$C$8</f>
        <v>0</v>
      </c>
      <c r="AC22" s="394">
        <f>Z22*$C$8</f>
        <v>0</v>
      </c>
    </row>
    <row r="23" spans="1:29" ht="14.25" customHeight="1" x14ac:dyDescent="0.25">
      <c r="A23" s="316" t="s">
        <v>221</v>
      </c>
      <c r="B23" s="316" t="s">
        <v>12</v>
      </c>
      <c r="C23" s="581">
        <v>2</v>
      </c>
      <c r="D23" s="581">
        <v>0.3</v>
      </c>
      <c r="E23" s="319" t="s">
        <v>1502</v>
      </c>
      <c r="F23" s="316"/>
      <c r="G23" s="321"/>
      <c r="H23" s="321"/>
      <c r="I23" s="319"/>
      <c r="J23" s="516">
        <f>($C$16/100)*$J$15</f>
        <v>0</v>
      </c>
      <c r="K23" s="516">
        <f>SQRT(((($D$16/100)*J22)^2)+((($C$16/100)*K22)^2))</f>
        <v>0</v>
      </c>
      <c r="L23" s="316"/>
      <c r="M23" s="321"/>
      <c r="N23" s="321"/>
      <c r="O23" s="319" t="s">
        <v>1512</v>
      </c>
      <c r="P23" s="592">
        <f>($C$16/100)*$P22</f>
        <v>0</v>
      </c>
      <c r="Q23" s="592">
        <f>SQRT(((($D$16/100)*$P22)^2)+((($C$16/100)*$Q22)^2))</f>
        <v>0</v>
      </c>
      <c r="R23" s="316"/>
      <c r="S23" s="321"/>
      <c r="T23" s="321"/>
      <c r="U23" s="319" t="s">
        <v>1514</v>
      </c>
      <c r="V23" s="603">
        <f>($C$16/100)*$V22</f>
        <v>0</v>
      </c>
      <c r="W23" s="603">
        <f>SQRT(((($D$16/100)*$V22)^2)+((($C$16/100)*$W22)^2))</f>
        <v>0</v>
      </c>
      <c r="X23" s="316"/>
      <c r="Y23" s="321"/>
      <c r="Z23" s="321"/>
      <c r="AA23" s="319" t="s">
        <v>1517</v>
      </c>
      <c r="AB23" s="597">
        <f>($C$16/100)*$AB22</f>
        <v>0</v>
      </c>
      <c r="AC23" s="597">
        <f>SQRT(((($D$16/100)*$AB22)^2)+((($C$16/100)*$AC22)^2))</f>
        <v>0</v>
      </c>
    </row>
    <row r="24" spans="1:29" x14ac:dyDescent="0.25">
      <c r="A24" s="316"/>
      <c r="B24" s="316"/>
      <c r="C24" s="316"/>
      <c r="D24" s="316"/>
      <c r="E24" s="319"/>
      <c r="F24" s="316"/>
      <c r="G24" s="316"/>
      <c r="H24" s="316"/>
      <c r="I24" s="319"/>
      <c r="J24" s="514"/>
      <c r="K24" s="514"/>
      <c r="L24" s="316"/>
      <c r="M24" s="316"/>
      <c r="N24" s="316"/>
      <c r="O24" s="319"/>
      <c r="P24" s="593"/>
      <c r="Q24" s="593"/>
      <c r="R24" s="316"/>
      <c r="S24" s="316"/>
      <c r="T24" s="316"/>
      <c r="U24" s="319"/>
      <c r="V24" s="604"/>
      <c r="W24" s="604"/>
      <c r="X24" s="316"/>
      <c r="Y24" s="316"/>
      <c r="Z24" s="316"/>
      <c r="AA24" s="319"/>
      <c r="AB24" s="598"/>
      <c r="AC24" s="598"/>
    </row>
    <row r="25" spans="1:29" x14ac:dyDescent="0.25">
      <c r="A25" s="322" t="s">
        <v>19</v>
      </c>
      <c r="B25" s="322"/>
      <c r="C25" s="322"/>
      <c r="D25" s="322"/>
      <c r="E25" s="323"/>
      <c r="F25" s="322"/>
      <c r="G25" s="322"/>
      <c r="H25" s="322"/>
      <c r="I25" s="323"/>
      <c r="J25" s="515">
        <f>SUM(J21:J23)</f>
        <v>0.42559895000520365</v>
      </c>
      <c r="K25" s="515">
        <f>SQRT((K21^2)+(K22^2)+(K23^2))</f>
        <v>2.0003150650244571E-2</v>
      </c>
      <c r="L25" s="322"/>
      <c r="M25" s="322"/>
      <c r="N25" s="322"/>
      <c r="O25" s="323"/>
      <c r="P25" s="594">
        <f>SUM(P21:P23)</f>
        <v>3.0541583551165596E-2</v>
      </c>
      <c r="Q25" s="594">
        <f>SQRT((Q21^2)+(Q22^2)+(Q23^2))</f>
        <v>1.4354544269047829E-3</v>
      </c>
      <c r="R25" s="322"/>
      <c r="S25" s="322"/>
      <c r="T25" s="322"/>
      <c r="U25" s="323"/>
      <c r="V25" s="605">
        <f>SUM(V21:V23)</f>
        <v>6.3463030755668767E-6</v>
      </c>
      <c r="W25" s="605">
        <f>SQRT((W21^2)+(W22^2)+(W23^2))</f>
        <v>2.9827624455164321E-7</v>
      </c>
      <c r="X25" s="322"/>
      <c r="Y25" s="322"/>
      <c r="Z25" s="322"/>
      <c r="AA25" s="323"/>
      <c r="AB25" s="599">
        <f>SUM(AB21:AB23)</f>
        <v>8.2501939982369412E-6</v>
      </c>
      <c r="AC25" s="599">
        <f>SQRT((AC21^2)+(AC22^2)+(AC23^2))</f>
        <v>3.877591179171362E-7</v>
      </c>
    </row>
    <row r="26" spans="1:29" x14ac:dyDescent="0.25">
      <c r="J26" s="587"/>
      <c r="K26" s="587"/>
      <c r="P26" s="325"/>
      <c r="Q26" s="325"/>
      <c r="V26" s="326"/>
      <c r="W26" s="326"/>
      <c r="AB26" s="600"/>
      <c r="AC26" s="600"/>
    </row>
    <row r="27" spans="1:29" x14ac:dyDescent="0.25">
      <c r="A27" s="324" t="s">
        <v>686</v>
      </c>
      <c r="J27" s="587"/>
      <c r="K27" s="587"/>
      <c r="P27" s="325"/>
      <c r="Q27" s="325"/>
      <c r="V27" s="326"/>
      <c r="W27" s="326"/>
      <c r="AB27" s="600"/>
      <c r="AC27" s="600"/>
    </row>
    <row r="28" spans="1:29" ht="14.25" customHeight="1" x14ac:dyDescent="0.25">
      <c r="A28" s="316" t="s">
        <v>863</v>
      </c>
      <c r="B28" s="316" t="s">
        <v>18</v>
      </c>
      <c r="C28" s="581">
        <v>0.50542371826466825</v>
      </c>
      <c r="D28" s="581">
        <v>2.3754914758439407E-2</v>
      </c>
      <c r="E28" s="319" t="s">
        <v>1500</v>
      </c>
      <c r="F28" s="316" t="s">
        <v>7</v>
      </c>
      <c r="G28" s="582">
        <v>1.073</v>
      </c>
      <c r="H28" s="582">
        <v>0</v>
      </c>
      <c r="I28" s="314" t="s">
        <v>1503</v>
      </c>
      <c r="J28" s="586">
        <f>C28*G28</f>
        <v>0.54231964969798896</v>
      </c>
      <c r="K28" s="586">
        <f>SQRT(((D28*G28)^2)+((C28*H28)^2))</f>
        <v>2.5489023535805483E-2</v>
      </c>
      <c r="L28" s="314" t="s">
        <v>8</v>
      </c>
      <c r="M28" s="582">
        <v>7.6999999999999999E-2</v>
      </c>
      <c r="N28" s="582">
        <v>0</v>
      </c>
      <c r="O28" s="314" t="s">
        <v>1507</v>
      </c>
      <c r="P28" s="591">
        <f>C28*M28</f>
        <v>3.8917626306379453E-2</v>
      </c>
      <c r="Q28" s="591">
        <f>SQRT(((D28*M28)^2)+((C28*N28)^2))</f>
        <v>1.8291284363998344E-3</v>
      </c>
      <c r="R28" s="314" t="s">
        <v>9</v>
      </c>
      <c r="S28" s="582">
        <v>1.5999999999999999E-5</v>
      </c>
      <c r="T28" s="582">
        <v>0</v>
      </c>
      <c r="U28" s="314" t="s">
        <v>1508</v>
      </c>
      <c r="V28" s="602">
        <f>C28*S28</f>
        <v>8.0867794922346925E-6</v>
      </c>
      <c r="W28" s="602">
        <f>SQRT(((D28*S28)^2)+((C28*T28)^2))</f>
        <v>3.8007863613503047E-7</v>
      </c>
      <c r="X28" s="314" t="s">
        <v>10</v>
      </c>
      <c r="Y28" s="582">
        <v>2.0800000000000001E-5</v>
      </c>
      <c r="Z28" s="582">
        <v>0</v>
      </c>
      <c r="AA28" s="314" t="s">
        <v>1510</v>
      </c>
      <c r="AB28" s="394">
        <f>C28*Y28</f>
        <v>1.05128133399051E-5</v>
      </c>
      <c r="AC28" s="394">
        <f>SQRT(((D28*Y28)^2)+((C28*Z28)^2))</f>
        <v>4.9410222697553969E-7</v>
      </c>
    </row>
    <row r="29" spans="1:29" ht="13.5" customHeight="1" x14ac:dyDescent="0.25">
      <c r="A29" s="316" t="s">
        <v>864</v>
      </c>
      <c r="B29" s="316" t="s">
        <v>18</v>
      </c>
      <c r="C29" s="581">
        <v>3.9389533333333331E-2</v>
      </c>
      <c r="D29" s="581">
        <v>4.6085754000000003E-3</v>
      </c>
      <c r="E29" s="319" t="s">
        <v>1501</v>
      </c>
      <c r="F29" s="316" t="s">
        <v>7</v>
      </c>
      <c r="G29" s="581">
        <v>1</v>
      </c>
      <c r="H29" s="581">
        <v>0</v>
      </c>
      <c r="I29" s="319"/>
      <c r="J29" s="516">
        <f>$C29*$G29*$C$8</f>
        <v>0</v>
      </c>
      <c r="K29" s="516">
        <f>SQRT((($D29*$G29)^2)+(($C29*$H29)^2))*$C$8</f>
        <v>0</v>
      </c>
      <c r="L29" s="316" t="s">
        <v>218</v>
      </c>
      <c r="M29" s="581">
        <v>2.6600723809523811E-3</v>
      </c>
      <c r="N29" s="581">
        <v>3.112284685714286E-4</v>
      </c>
      <c r="O29" s="319" t="s">
        <v>1511</v>
      </c>
      <c r="P29" s="591">
        <f>M29*$C$8</f>
        <v>0</v>
      </c>
      <c r="Q29" s="591">
        <f>N29*$C$8</f>
        <v>0</v>
      </c>
      <c r="R29" s="316" t="s">
        <v>219</v>
      </c>
      <c r="S29" s="581">
        <v>4.2126338571428568E-6</v>
      </c>
      <c r="T29" s="581">
        <v>4.9287816128571433E-7</v>
      </c>
      <c r="U29" s="319" t="s">
        <v>1513</v>
      </c>
      <c r="V29" s="602">
        <f>S29*$C$8</f>
        <v>0</v>
      </c>
      <c r="W29" s="602">
        <f>T29*$C$8</f>
        <v>0</v>
      </c>
      <c r="X29" s="316" t="s">
        <v>220</v>
      </c>
      <c r="Y29" s="581">
        <v>2.0973647619047619E-7</v>
      </c>
      <c r="Z29" s="581">
        <v>2.4539167714285718E-8</v>
      </c>
      <c r="AA29" s="319" t="s">
        <v>1516</v>
      </c>
      <c r="AB29" s="394">
        <f>Y29*$C$8</f>
        <v>0</v>
      </c>
      <c r="AC29" s="394">
        <f>Z29*$C$8</f>
        <v>0</v>
      </c>
    </row>
    <row r="30" spans="1:29" ht="14.25" customHeight="1" x14ac:dyDescent="0.25">
      <c r="A30" s="316" t="s">
        <v>221</v>
      </c>
      <c r="B30" s="316" t="s">
        <v>12</v>
      </c>
      <c r="C30" s="581">
        <v>2</v>
      </c>
      <c r="D30" s="581">
        <v>0.3</v>
      </c>
      <c r="E30" s="319" t="s">
        <v>1502</v>
      </c>
      <c r="F30" s="316"/>
      <c r="G30" s="321"/>
      <c r="H30" s="321"/>
      <c r="I30" s="319"/>
      <c r="J30" s="516">
        <f>($C$16/100)*$J$15</f>
        <v>0</v>
      </c>
      <c r="K30" s="516">
        <f>SQRT(((($D$16/100)*J29)^2)+((($C$16/100)*K29)^2))</f>
        <v>0</v>
      </c>
      <c r="L30" s="316"/>
      <c r="M30" s="321"/>
      <c r="N30" s="321"/>
      <c r="O30" s="319" t="s">
        <v>1512</v>
      </c>
      <c r="P30" s="592">
        <f>($C$16/100)*$P29</f>
        <v>0</v>
      </c>
      <c r="Q30" s="592">
        <f>SQRT(((($D$16/100)*$P29)^2)+((($C$16/100)*$Q29)^2))</f>
        <v>0</v>
      </c>
      <c r="R30" s="316"/>
      <c r="S30" s="321"/>
      <c r="T30" s="321"/>
      <c r="U30" s="319" t="s">
        <v>1514</v>
      </c>
      <c r="V30" s="603">
        <f>($C$16/100)*$V29</f>
        <v>0</v>
      </c>
      <c r="W30" s="603">
        <f>SQRT(((($D$16/100)*$V29)^2)+((($C$16/100)*$W29)^2))</f>
        <v>0</v>
      </c>
      <c r="X30" s="316"/>
      <c r="Y30" s="321"/>
      <c r="Z30" s="321"/>
      <c r="AA30" s="319" t="s">
        <v>1517</v>
      </c>
      <c r="AB30" s="597">
        <f>($C$16/100)*$AB29</f>
        <v>0</v>
      </c>
      <c r="AC30" s="597">
        <f>SQRT(((($D$16/100)*$AB29)^2)+((($C$16/100)*$AC29)^2))</f>
        <v>0</v>
      </c>
    </row>
    <row r="31" spans="1:29" x14ac:dyDescent="0.25">
      <c r="A31" s="316"/>
      <c r="B31" s="316"/>
      <c r="C31" s="316"/>
      <c r="D31" s="316"/>
      <c r="E31" s="319"/>
      <c r="F31" s="316"/>
      <c r="G31" s="316"/>
      <c r="H31" s="316"/>
      <c r="I31" s="319"/>
      <c r="J31" s="514"/>
      <c r="K31" s="514"/>
      <c r="L31" s="316"/>
      <c r="M31" s="316"/>
      <c r="N31" s="316"/>
      <c r="O31" s="319"/>
      <c r="P31" s="593"/>
      <c r="Q31" s="593"/>
      <c r="R31" s="316"/>
      <c r="S31" s="316"/>
      <c r="T31" s="316"/>
      <c r="U31" s="319"/>
      <c r="V31" s="604"/>
      <c r="W31" s="604"/>
      <c r="X31" s="316"/>
      <c r="Y31" s="316"/>
      <c r="Z31" s="316"/>
      <c r="AA31" s="319"/>
      <c r="AB31" s="598"/>
      <c r="AC31" s="598"/>
    </row>
    <row r="32" spans="1:29" x14ac:dyDescent="0.25">
      <c r="A32" s="322" t="s">
        <v>19</v>
      </c>
      <c r="B32" s="322"/>
      <c r="C32" s="322"/>
      <c r="D32" s="322"/>
      <c r="E32" s="323"/>
      <c r="F32" s="322"/>
      <c r="G32" s="322"/>
      <c r="H32" s="322"/>
      <c r="I32" s="323"/>
      <c r="J32" s="515">
        <f>SUM(J28:J30)</f>
        <v>0.54231964969798896</v>
      </c>
      <c r="K32" s="515">
        <f>SQRT((K28^2)+(K29^2)+(K30^2))</f>
        <v>2.5489023535805483E-2</v>
      </c>
      <c r="L32" s="322"/>
      <c r="M32" s="322"/>
      <c r="N32" s="322"/>
      <c r="O32" s="323"/>
      <c r="P32" s="594">
        <f>SUM(P28:P30)</f>
        <v>3.8917626306379453E-2</v>
      </c>
      <c r="Q32" s="594">
        <f>SQRT((Q28^2)+(Q29^2)+(Q30^2))</f>
        <v>1.8291284363998344E-3</v>
      </c>
      <c r="R32" s="322"/>
      <c r="S32" s="322"/>
      <c r="T32" s="322"/>
      <c r="U32" s="323"/>
      <c r="V32" s="605">
        <f>SUM(V28:V30)</f>
        <v>8.0867794922346925E-6</v>
      </c>
      <c r="W32" s="605">
        <f>SQRT((W28^2)+(W29^2)+(W30^2))</f>
        <v>3.8007863613503047E-7</v>
      </c>
      <c r="X32" s="322"/>
      <c r="Y32" s="322"/>
      <c r="Z32" s="322"/>
      <c r="AA32" s="323"/>
      <c r="AB32" s="599">
        <f>SUM(AB28:AB30)</f>
        <v>1.05128133399051E-5</v>
      </c>
      <c r="AC32" s="599">
        <f>SQRT((AC28^2)+(AC29^2)+(AC30^2))</f>
        <v>4.9410222697553969E-7</v>
      </c>
    </row>
    <row r="33" spans="1:29" x14ac:dyDescent="0.25">
      <c r="J33" s="587"/>
      <c r="K33" s="587"/>
      <c r="P33" s="325"/>
      <c r="Q33" s="325"/>
      <c r="V33" s="326"/>
      <c r="W33" s="326"/>
      <c r="AB33" s="600"/>
      <c r="AC33" s="600"/>
    </row>
    <row r="34" spans="1:29" x14ac:dyDescent="0.25">
      <c r="A34" s="324" t="s">
        <v>687</v>
      </c>
      <c r="J34" s="587"/>
      <c r="K34" s="587"/>
      <c r="P34" s="325"/>
      <c r="Q34" s="325"/>
      <c r="V34" s="326"/>
      <c r="W34" s="326"/>
      <c r="AB34" s="600"/>
      <c r="AC34" s="600"/>
    </row>
    <row r="35" spans="1:29" ht="15.75" customHeight="1" x14ac:dyDescent="0.25">
      <c r="A35" s="316" t="s">
        <v>863</v>
      </c>
      <c r="B35" s="316" t="s">
        <v>18</v>
      </c>
      <c r="C35" s="581">
        <v>0.56034614423932938</v>
      </c>
      <c r="D35" s="581">
        <v>3.1E-2</v>
      </c>
      <c r="E35" s="319" t="s">
        <v>94</v>
      </c>
      <c r="F35" s="316" t="s">
        <v>7</v>
      </c>
      <c r="G35" s="582">
        <v>1.073</v>
      </c>
      <c r="H35" s="582">
        <v>0</v>
      </c>
      <c r="I35" s="314" t="s">
        <v>1503</v>
      </c>
      <c r="J35" s="586">
        <f>C35*G35</f>
        <v>0.60125141276880045</v>
      </c>
      <c r="K35" s="586">
        <f>SQRT(((D35*G35)^2)+((C35*H35)^2))</f>
        <v>3.3263000000000001E-2</v>
      </c>
      <c r="L35" s="314" t="s">
        <v>8</v>
      </c>
      <c r="M35" s="582">
        <v>7.6999999999999999E-2</v>
      </c>
      <c r="N35" s="582">
        <v>0</v>
      </c>
      <c r="O35" s="314" t="s">
        <v>1507</v>
      </c>
      <c r="P35" s="591">
        <f>C35*M35</f>
        <v>4.3146653106428359E-2</v>
      </c>
      <c r="Q35" s="591">
        <f>SQRT(((D35*M35)^2)+((C35*N35)^2))</f>
        <v>2.3869999999999998E-3</v>
      </c>
      <c r="R35" s="314" t="s">
        <v>9</v>
      </c>
      <c r="S35" s="582">
        <v>1.5999999999999999E-5</v>
      </c>
      <c r="T35" s="582">
        <v>0</v>
      </c>
      <c r="U35" s="314" t="s">
        <v>1508</v>
      </c>
      <c r="V35" s="602">
        <f>C35*S35</f>
        <v>8.9655383078292691E-6</v>
      </c>
      <c r="W35" s="602">
        <f>SQRT(((D35*S35)^2)+((C35*T35)^2))</f>
        <v>4.9599999999999999E-7</v>
      </c>
      <c r="X35" s="314" t="s">
        <v>10</v>
      </c>
      <c r="Y35" s="582">
        <v>2.0800000000000001E-5</v>
      </c>
      <c r="Z35" s="582">
        <v>0</v>
      </c>
      <c r="AA35" s="314" t="s">
        <v>1510</v>
      </c>
      <c r="AB35" s="394">
        <f>C35*Y35</f>
        <v>1.1655199800178051E-5</v>
      </c>
      <c r="AC35" s="394">
        <f>SQRT(((D35*Y35)^2)+((C35*Z35)^2))</f>
        <v>6.4480000000000006E-7</v>
      </c>
    </row>
    <row r="36" spans="1:29" ht="16.5" customHeight="1" x14ac:dyDescent="0.25">
      <c r="A36" s="316" t="s">
        <v>864</v>
      </c>
      <c r="B36" s="316" t="s">
        <v>18</v>
      </c>
      <c r="C36" s="581">
        <v>8.0450674418604651E-2</v>
      </c>
      <c r="D36" s="581">
        <v>9.4931795813953494E-3</v>
      </c>
      <c r="E36" s="319" t="s">
        <v>95</v>
      </c>
      <c r="F36" s="316" t="s">
        <v>7</v>
      </c>
      <c r="G36" s="581">
        <v>1</v>
      </c>
      <c r="H36" s="581">
        <v>0</v>
      </c>
      <c r="I36" s="319"/>
      <c r="J36" s="516">
        <f>$C36*$G36*$C$8</f>
        <v>0</v>
      </c>
      <c r="K36" s="516">
        <f>SQRT((($D36*$G36)^2)+(($C36*$H36)^2))*$C$8</f>
        <v>0</v>
      </c>
      <c r="L36" s="316" t="s">
        <v>218</v>
      </c>
      <c r="M36" s="581">
        <v>2.7165162790697677E-3</v>
      </c>
      <c r="N36" s="581">
        <v>3.2054892093023255E-4</v>
      </c>
      <c r="O36" s="319" t="s">
        <v>1511</v>
      </c>
      <c r="P36" s="591">
        <f>M36*$C$8</f>
        <v>0</v>
      </c>
      <c r="Q36" s="591">
        <f>N36*$C$8</f>
        <v>0</v>
      </c>
      <c r="R36" s="316" t="s">
        <v>219</v>
      </c>
      <c r="S36" s="581">
        <v>4.3020214534883724E-6</v>
      </c>
      <c r="T36" s="581">
        <v>5.0763853151162794E-7</v>
      </c>
      <c r="U36" s="319" t="s">
        <v>1513</v>
      </c>
      <c r="V36" s="602">
        <f>S36*$C$8</f>
        <v>0</v>
      </c>
      <c r="W36" s="602">
        <f>T36*$C$8</f>
        <v>0</v>
      </c>
      <c r="X36" s="316" t="s">
        <v>220</v>
      </c>
      <c r="Y36" s="581">
        <v>2.1418686046511628E-7</v>
      </c>
      <c r="Z36" s="581">
        <v>2.5274049534883721E-8</v>
      </c>
      <c r="AA36" s="319" t="s">
        <v>1516</v>
      </c>
      <c r="AB36" s="394">
        <f>Y36*$C$8</f>
        <v>0</v>
      </c>
      <c r="AC36" s="394">
        <f>Z36*$C$8</f>
        <v>0</v>
      </c>
    </row>
    <row r="37" spans="1:29" ht="15.75" customHeight="1" x14ac:dyDescent="0.25">
      <c r="A37" s="316" t="s">
        <v>221</v>
      </c>
      <c r="B37" s="316" t="s">
        <v>12</v>
      </c>
      <c r="C37" s="581">
        <v>2</v>
      </c>
      <c r="D37" s="581">
        <f>C37*15/100</f>
        <v>0.3</v>
      </c>
      <c r="E37" s="319" t="s">
        <v>684</v>
      </c>
      <c r="F37" s="316"/>
      <c r="G37" s="321"/>
      <c r="H37" s="321"/>
      <c r="I37" s="319"/>
      <c r="J37" s="516">
        <f>($C$16/100)*$J$15</f>
        <v>0</v>
      </c>
      <c r="K37" s="516">
        <f>SQRT(((($D$16/100)*J36)^2)+((($C$16/100)*K36)^2))</f>
        <v>0</v>
      </c>
      <c r="L37" s="316"/>
      <c r="M37" s="321"/>
      <c r="N37" s="321"/>
      <c r="O37" s="319" t="s">
        <v>1512</v>
      </c>
      <c r="P37" s="592">
        <f>($C$16/100)*$P36</f>
        <v>0</v>
      </c>
      <c r="Q37" s="592">
        <f>SQRT(((($D$16/100)*$P36)^2)+((($C$16/100)*$Q36)^2))</f>
        <v>0</v>
      </c>
      <c r="R37" s="316"/>
      <c r="S37" s="321"/>
      <c r="T37" s="321"/>
      <c r="U37" s="319" t="s">
        <v>1514</v>
      </c>
      <c r="V37" s="603">
        <f>($C$16/100)*$V36</f>
        <v>0</v>
      </c>
      <c r="W37" s="603">
        <f>SQRT(((($D$16/100)*$V36)^2)+((($C$16/100)*$W36)^2))</f>
        <v>0</v>
      </c>
      <c r="X37" s="316"/>
      <c r="Y37" s="321"/>
      <c r="Z37" s="321"/>
      <c r="AA37" s="319" t="s">
        <v>1517</v>
      </c>
      <c r="AB37" s="597">
        <f>($C$16/100)*$AB36</f>
        <v>0</v>
      </c>
      <c r="AC37" s="597">
        <f>SQRT(((($D$16/100)*$AB36)^2)+((($C$16/100)*$AC36)^2))</f>
        <v>0</v>
      </c>
    </row>
    <row r="38" spans="1:29" x14ac:dyDescent="0.25">
      <c r="A38" s="316"/>
      <c r="B38" s="316"/>
      <c r="C38" s="316"/>
      <c r="D38" s="316"/>
      <c r="E38" s="319"/>
      <c r="F38" s="316"/>
      <c r="G38" s="316"/>
      <c r="H38" s="316"/>
      <c r="I38" s="319"/>
      <c r="J38" s="514"/>
      <c r="K38" s="514"/>
      <c r="L38" s="316"/>
      <c r="M38" s="316"/>
      <c r="N38" s="316"/>
      <c r="O38" s="319"/>
      <c r="P38" s="593"/>
      <c r="Q38" s="593"/>
      <c r="R38" s="316"/>
      <c r="S38" s="316"/>
      <c r="T38" s="316"/>
      <c r="U38" s="319"/>
      <c r="V38" s="604"/>
      <c r="W38" s="604"/>
      <c r="X38" s="316"/>
      <c r="Y38" s="316"/>
      <c r="Z38" s="316"/>
      <c r="AA38" s="319"/>
      <c r="AB38" s="598"/>
      <c r="AC38" s="598"/>
    </row>
    <row r="39" spans="1:29" x14ac:dyDescent="0.25">
      <c r="A39" s="322" t="s">
        <v>19</v>
      </c>
      <c r="B39" s="322"/>
      <c r="C39" s="322"/>
      <c r="D39" s="322"/>
      <c r="E39" s="323"/>
      <c r="F39" s="322"/>
      <c r="G39" s="322"/>
      <c r="H39" s="322"/>
      <c r="I39" s="323"/>
      <c r="J39" s="515">
        <f>SUM(J35:J37)</f>
        <v>0.60125141276880045</v>
      </c>
      <c r="K39" s="515">
        <f>SQRT((K35^2)+(K36^2)+(K37^2))</f>
        <v>3.3263000000000001E-2</v>
      </c>
      <c r="L39" s="322"/>
      <c r="M39" s="322"/>
      <c r="N39" s="322"/>
      <c r="O39" s="323"/>
      <c r="P39" s="594">
        <f>SUM(P35:P37)</f>
        <v>4.3146653106428359E-2</v>
      </c>
      <c r="Q39" s="594">
        <f>SQRT((Q35^2)+(Q36^2)+(Q37^2))</f>
        <v>2.3869999999999998E-3</v>
      </c>
      <c r="R39" s="322"/>
      <c r="S39" s="322"/>
      <c r="T39" s="322"/>
      <c r="U39" s="323"/>
      <c r="V39" s="605">
        <f>SUM(V35:V37)</f>
        <v>8.9655383078292691E-6</v>
      </c>
      <c r="W39" s="605">
        <f>SQRT((W35^2)+(W36^2)+(W37^2))</f>
        <v>4.9599999999999999E-7</v>
      </c>
      <c r="X39" s="322"/>
      <c r="Y39" s="322"/>
      <c r="Z39" s="322"/>
      <c r="AA39" s="323"/>
      <c r="AB39" s="599">
        <f>SUM(AB35:AB37)</f>
        <v>1.1655199800178051E-5</v>
      </c>
      <c r="AC39" s="599">
        <f>SQRT((AC35^2)+(AC36^2)+(AC37^2))</f>
        <v>6.4480000000000006E-7</v>
      </c>
    </row>
    <row r="40" spans="1:29" x14ac:dyDescent="0.25">
      <c r="J40" s="587"/>
      <c r="K40" s="587"/>
      <c r="P40" s="325"/>
      <c r="Q40" s="325"/>
      <c r="V40" s="326"/>
      <c r="W40" s="326"/>
      <c r="AB40" s="600"/>
      <c r="AC40" s="600"/>
    </row>
    <row r="41" spans="1:29" x14ac:dyDescent="0.25">
      <c r="A41" s="152" t="s">
        <v>374</v>
      </c>
      <c r="J41" s="588"/>
      <c r="K41" s="588"/>
      <c r="P41" s="325"/>
      <c r="Q41" s="325"/>
      <c r="V41" s="326"/>
      <c r="W41" s="326"/>
      <c r="AB41" s="600"/>
      <c r="AC41" s="600"/>
    </row>
    <row r="42" spans="1:29" x14ac:dyDescent="0.25">
      <c r="A42" s="152" t="s">
        <v>863</v>
      </c>
      <c r="J42" s="589">
        <f>IF($C$7=44,J14,IF($C$7=40,J21,IF($C$7=32,J28,J35)))</f>
        <v>0.43157226860176823</v>
      </c>
      <c r="K42" s="589">
        <f>IF($C$7=44,K14,IF($C$7=40,K21,IF($C$7=32,K28,K35)))</f>
        <v>2.0283896624283107E-2</v>
      </c>
      <c r="P42" s="595">
        <f>IF($C$7=44,P14,IF($C$7=40,P21,IF($C$7=32,P28,P35)))</f>
        <v>3.0970237355392501E-2</v>
      </c>
      <c r="Q42" s="595">
        <f>IF($C$7=44,Q14,IF($C$7=40,Q21,IF($C$7=32,Q28,Q35)))</f>
        <v>1.4556011557034477E-3</v>
      </c>
      <c r="V42" s="606">
        <f>IF($C$7=44,V14,IF($C$7=40,V21,IF($C$7=32,V28,V35)))</f>
        <v>6.4353739959257139E-6</v>
      </c>
      <c r="W42" s="606">
        <f>IF($C$7=44,W14,IF($C$7=40,W21,IF($C$7=32,W28,W35)))</f>
        <v>3.0246257780850857E-7</v>
      </c>
      <c r="AB42" s="601">
        <f>IF($C$7=44,AB14,IF($C$7=40,AB21,IF($C$7=32,AB28,AB35)))</f>
        <v>8.3659861947034292E-6</v>
      </c>
      <c r="AC42" s="601">
        <f>IF($C$7=44,AC14,IF($C$7=40,AC21,IF($C$7=32,AC28,AC35)))</f>
        <v>3.9320135115106121E-7</v>
      </c>
    </row>
    <row r="43" spans="1:29" x14ac:dyDescent="0.25">
      <c r="A43" s="152" t="s">
        <v>865</v>
      </c>
      <c r="J43" s="589">
        <f t="shared" ref="J43:K44" si="0">IF($C$7=44,J15,IF($C$7=40,J22,IF($C$7=32,J29,J36)))</f>
        <v>0</v>
      </c>
      <c r="K43" s="589">
        <f t="shared" si="0"/>
        <v>0</v>
      </c>
      <c r="P43" s="595">
        <f t="shared" ref="P43:Q44" si="1">IF($C$7=44,P15,IF($C$7=40,P22,IF($C$7=32,P29,P36)))</f>
        <v>0</v>
      </c>
      <c r="Q43" s="595">
        <f t="shared" si="1"/>
        <v>0</v>
      </c>
      <c r="V43" s="606">
        <f t="shared" ref="V43:W44" si="2">IF($C$7=44,V15,IF($C$7=40,V22,IF($C$7=32,V29,V36)))</f>
        <v>0</v>
      </c>
      <c r="W43" s="606">
        <f t="shared" si="2"/>
        <v>0</v>
      </c>
      <c r="AB43" s="601">
        <f t="shared" ref="AB43:AC44" si="3">IF($C$7=44,AB15,IF($C$7=40,AB22,IF($C$7=32,AB29,AB36)))</f>
        <v>0</v>
      </c>
      <c r="AC43" s="601">
        <f t="shared" si="3"/>
        <v>0</v>
      </c>
    </row>
    <row r="44" spans="1:29" x14ac:dyDescent="0.25">
      <c r="A44" s="152" t="s">
        <v>221</v>
      </c>
      <c r="J44" s="589">
        <f t="shared" si="0"/>
        <v>0</v>
      </c>
      <c r="K44" s="589">
        <f t="shared" si="0"/>
        <v>0</v>
      </c>
      <c r="P44" s="595">
        <f t="shared" si="1"/>
        <v>0</v>
      </c>
      <c r="Q44" s="595">
        <f t="shared" si="1"/>
        <v>0</v>
      </c>
      <c r="V44" s="606">
        <f t="shared" si="2"/>
        <v>0</v>
      </c>
      <c r="W44" s="606">
        <f t="shared" si="2"/>
        <v>0</v>
      </c>
      <c r="AB44" s="601">
        <f t="shared" si="3"/>
        <v>0</v>
      </c>
      <c r="AC44" s="601">
        <f t="shared" si="3"/>
        <v>0</v>
      </c>
    </row>
    <row r="45" spans="1:29" x14ac:dyDescent="0.25">
      <c r="A45" s="2"/>
      <c r="J45" s="587"/>
      <c r="K45" s="587"/>
      <c r="P45" s="325"/>
      <c r="Q45" s="325"/>
      <c r="V45" s="326"/>
      <c r="W45" s="326"/>
      <c r="AB45" s="600"/>
      <c r="AC45" s="600"/>
    </row>
    <row r="46" spans="1:29" x14ac:dyDescent="0.25">
      <c r="A46" s="2" t="s">
        <v>375</v>
      </c>
      <c r="J46" s="590">
        <f t="shared" ref="J46:K46" si="4">IF($C$7=44,J18,IF($C$7=40,J25,IF($C$7=32,J32,J39)))</f>
        <v>0.43157226860176823</v>
      </c>
      <c r="K46" s="590">
        <f t="shared" si="4"/>
        <v>2.0283896624283107E-2</v>
      </c>
      <c r="P46" s="596">
        <f t="shared" ref="P46:Q46" si="5">IF($C$7=44,P18,IF($C$7=40,P25,IF($C$7=32,P32,P39)))</f>
        <v>3.0970237355392501E-2</v>
      </c>
      <c r="Q46" s="596">
        <f t="shared" si="5"/>
        <v>1.4556011557034477E-3</v>
      </c>
      <c r="V46" s="607">
        <f t="shared" ref="V46:W46" si="6">IF($C$7=44,V18,IF($C$7=40,V25,IF($C$7=32,V32,V39)))</f>
        <v>6.4353739959257139E-6</v>
      </c>
      <c r="W46" s="607">
        <f t="shared" si="6"/>
        <v>3.0246257780850857E-7</v>
      </c>
      <c r="AB46" s="608">
        <f t="shared" ref="AB46:AC46" si="7">IF($C$7=44,AB18,IF($C$7=40,AB25,IF($C$7=32,AB32,AB39)))</f>
        <v>8.3659861947034292E-6</v>
      </c>
      <c r="AC46" s="608">
        <f t="shared" si="7"/>
        <v>3.9320135115106121E-7</v>
      </c>
    </row>
  </sheetData>
  <pageMargins left="0.75" right="0.75" top="1" bottom="1" header="0.5" footer="0.5"/>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6"/>
  <sheetViews>
    <sheetView workbookViewId="0">
      <pane xSplit="1" ySplit="11" topLeftCell="B12" activePane="bottomRight" state="frozen"/>
      <selection pane="topRight" activeCell="B1" sqref="B1"/>
      <selection pane="bottomLeft" activeCell="A11" sqref="A11"/>
      <selection pane="bottomRight"/>
    </sheetView>
  </sheetViews>
  <sheetFormatPr defaultColWidth="9.109375" defaultRowHeight="13.2" x14ac:dyDescent="0.25"/>
  <cols>
    <col min="1" max="1" width="46.44140625" style="118" customWidth="1"/>
    <col min="2" max="2" width="15.33203125" style="118" customWidth="1"/>
    <col min="3" max="3" width="11.5546875" style="118" customWidth="1"/>
    <col min="4" max="9" width="9.109375" style="118"/>
    <col min="10" max="10" width="13.33203125" style="118" customWidth="1"/>
    <col min="11" max="11" width="14.33203125" style="118" customWidth="1"/>
    <col min="12" max="15" width="9.109375" style="118"/>
    <col min="16" max="16" width="17.5546875" style="118" customWidth="1"/>
    <col min="17" max="17" width="17.6640625" style="118" customWidth="1"/>
    <col min="18" max="21" width="9.109375" style="118"/>
    <col min="22" max="22" width="15.6640625" style="118" customWidth="1"/>
    <col min="23" max="23" width="18" style="118" customWidth="1"/>
    <col min="24" max="27" width="9.109375" style="118"/>
    <col min="28" max="28" width="17.109375" style="118" customWidth="1"/>
    <col min="29" max="29" width="17.6640625" style="118" customWidth="1"/>
    <col min="30" max="16384" width="9.109375" style="118"/>
  </cols>
  <sheetData>
    <row r="1" spans="1:29" x14ac:dyDescent="0.25">
      <c r="A1" s="152" t="s">
        <v>238</v>
      </c>
      <c r="B1" s="291" t="s">
        <v>763</v>
      </c>
    </row>
    <row r="2" spans="1:29" x14ac:dyDescent="0.25">
      <c r="A2" s="152" t="s">
        <v>241</v>
      </c>
      <c r="B2" s="118" t="s">
        <v>168</v>
      </c>
    </row>
    <row r="3" spans="1:29" x14ac:dyDescent="0.25">
      <c r="A3" s="152" t="s">
        <v>239</v>
      </c>
      <c r="B3" s="118" t="s">
        <v>169</v>
      </c>
    </row>
    <row r="4" spans="1:29" x14ac:dyDescent="0.25">
      <c r="A4" s="152" t="s">
        <v>240</v>
      </c>
      <c r="B4" s="1">
        <v>2001</v>
      </c>
    </row>
    <row r="5" spans="1:29" x14ac:dyDescent="0.25">
      <c r="A5" s="152"/>
    </row>
    <row r="6" spans="1:29" x14ac:dyDescent="0.25">
      <c r="A6" s="578" t="s">
        <v>415</v>
      </c>
      <c r="B6" s="411"/>
      <c r="C6" s="412"/>
    </row>
    <row r="7" spans="1:29" x14ac:dyDescent="0.25">
      <c r="A7" s="584" t="s">
        <v>587</v>
      </c>
      <c r="B7" s="585" t="s">
        <v>440</v>
      </c>
      <c r="C7" s="583">
        <f>Unitflowchart!S369</f>
        <v>44</v>
      </c>
    </row>
    <row r="8" spans="1:29" x14ac:dyDescent="0.25">
      <c r="A8" s="413" t="s">
        <v>369</v>
      </c>
      <c r="B8" s="414" t="s">
        <v>370</v>
      </c>
      <c r="C8" s="415">
        <f>include_machinery</f>
        <v>0</v>
      </c>
    </row>
    <row r="10" spans="1:29" x14ac:dyDescent="0.25">
      <c r="A10" s="120" t="s">
        <v>243</v>
      </c>
      <c r="B10" s="120" t="s">
        <v>242</v>
      </c>
      <c r="C10" s="120"/>
      <c r="D10" s="120"/>
      <c r="E10" s="198" t="s">
        <v>28</v>
      </c>
      <c r="F10" s="120" t="s">
        <v>245</v>
      </c>
      <c r="G10" s="120"/>
      <c r="H10" s="120"/>
      <c r="I10" s="198" t="s">
        <v>28</v>
      </c>
      <c r="J10" s="120" t="s">
        <v>92</v>
      </c>
      <c r="K10" s="120"/>
      <c r="L10" s="120" t="s">
        <v>249</v>
      </c>
      <c r="M10" s="120"/>
      <c r="N10" s="120"/>
      <c r="O10" s="198" t="s">
        <v>28</v>
      </c>
      <c r="P10" s="120" t="s">
        <v>371</v>
      </c>
      <c r="Q10" s="120"/>
      <c r="R10" s="120" t="s">
        <v>251</v>
      </c>
      <c r="S10" s="120"/>
      <c r="T10" s="120"/>
      <c r="U10" s="198" t="s">
        <v>28</v>
      </c>
      <c r="V10" s="120" t="s">
        <v>372</v>
      </c>
      <c r="W10" s="120"/>
      <c r="X10" s="120" t="s">
        <v>253</v>
      </c>
      <c r="Y10" s="120"/>
      <c r="Z10" s="120"/>
      <c r="AA10" s="198" t="s">
        <v>28</v>
      </c>
      <c r="AB10" s="120" t="s">
        <v>373</v>
      </c>
      <c r="AC10" s="120"/>
    </row>
    <row r="11" spans="1:29" x14ac:dyDescent="0.25">
      <c r="A11" s="312" t="s">
        <v>93</v>
      </c>
      <c r="B11" s="120" t="s">
        <v>244</v>
      </c>
      <c r="C11" s="120" t="s">
        <v>246</v>
      </c>
      <c r="D11" s="120" t="s">
        <v>247</v>
      </c>
      <c r="E11" s="198"/>
      <c r="F11" s="120" t="s">
        <v>244</v>
      </c>
      <c r="G11" s="120" t="s">
        <v>246</v>
      </c>
      <c r="H11" s="120" t="s">
        <v>247</v>
      </c>
      <c r="I11" s="198"/>
      <c r="J11" s="120" t="s">
        <v>246</v>
      </c>
      <c r="K11" s="120" t="s">
        <v>247</v>
      </c>
      <c r="L11" s="120" t="s">
        <v>244</v>
      </c>
      <c r="M11" s="120" t="s">
        <v>246</v>
      </c>
      <c r="N11" s="120" t="s">
        <v>247</v>
      </c>
      <c r="O11" s="198"/>
      <c r="P11" s="120" t="s">
        <v>246</v>
      </c>
      <c r="Q11" s="120" t="s">
        <v>247</v>
      </c>
      <c r="R11" s="120" t="s">
        <v>244</v>
      </c>
      <c r="S11" s="120" t="s">
        <v>246</v>
      </c>
      <c r="T11" s="120" t="s">
        <v>247</v>
      </c>
      <c r="U11" s="198"/>
      <c r="V11" s="120" t="s">
        <v>246</v>
      </c>
      <c r="W11" s="120" t="s">
        <v>247</v>
      </c>
      <c r="X11" s="120" t="s">
        <v>244</v>
      </c>
      <c r="Y11" s="120" t="s">
        <v>246</v>
      </c>
      <c r="Z11" s="120" t="s">
        <v>247</v>
      </c>
      <c r="AA11" s="198"/>
      <c r="AB11" s="120" t="s">
        <v>246</v>
      </c>
      <c r="AC11" s="120" t="s">
        <v>247</v>
      </c>
    </row>
    <row r="12" spans="1:29" x14ac:dyDescent="0.25">
      <c r="A12" s="120"/>
      <c r="B12" s="120"/>
      <c r="C12" s="120"/>
      <c r="D12" s="120"/>
      <c r="E12" s="198"/>
      <c r="F12" s="120"/>
      <c r="G12" s="120"/>
      <c r="H12" s="120"/>
      <c r="I12" s="198"/>
      <c r="J12" s="120"/>
      <c r="K12" s="120"/>
      <c r="L12" s="120"/>
      <c r="M12" s="120"/>
      <c r="N12" s="120"/>
      <c r="O12" s="198"/>
      <c r="P12" s="120"/>
      <c r="Q12" s="120"/>
      <c r="R12" s="120"/>
      <c r="S12" s="120"/>
      <c r="T12" s="120"/>
      <c r="U12" s="198"/>
      <c r="V12" s="120"/>
      <c r="W12" s="120"/>
      <c r="X12" s="120"/>
      <c r="Y12" s="120"/>
      <c r="Z12" s="120"/>
      <c r="AA12" s="198"/>
      <c r="AB12" s="120"/>
      <c r="AC12" s="120"/>
    </row>
    <row r="13" spans="1:29" x14ac:dyDescent="0.25">
      <c r="A13" s="313" t="s">
        <v>683</v>
      </c>
      <c r="B13" s="314"/>
      <c r="C13" s="314"/>
      <c r="D13" s="314"/>
      <c r="E13" s="315"/>
      <c r="F13" s="314"/>
      <c r="G13" s="314"/>
      <c r="H13" s="314"/>
      <c r="I13" s="315"/>
      <c r="J13" s="314"/>
      <c r="K13" s="314"/>
      <c r="L13" s="314"/>
      <c r="M13" s="314"/>
      <c r="N13" s="314"/>
      <c r="O13" s="315"/>
      <c r="P13" s="314"/>
      <c r="Q13" s="314"/>
      <c r="R13" s="314"/>
      <c r="S13" s="314"/>
      <c r="T13" s="314"/>
      <c r="U13" s="315"/>
      <c r="V13" s="314"/>
      <c r="W13" s="314"/>
      <c r="X13" s="314"/>
      <c r="Y13" s="314"/>
      <c r="Z13" s="314"/>
      <c r="AA13" s="315"/>
      <c r="AB13" s="314"/>
      <c r="AC13" s="314"/>
    </row>
    <row r="14" spans="1:29" ht="12.75" customHeight="1" x14ac:dyDescent="0.25">
      <c r="A14" s="316" t="s">
        <v>863</v>
      </c>
      <c r="B14" s="316" t="s">
        <v>18</v>
      </c>
      <c r="C14" s="581">
        <v>0.40221087474535716</v>
      </c>
      <c r="D14" s="581">
        <v>1.8903911113031788E-2</v>
      </c>
      <c r="E14" s="317" t="s">
        <v>1500</v>
      </c>
      <c r="F14" s="316" t="s">
        <v>7</v>
      </c>
      <c r="G14" s="582">
        <v>1.073</v>
      </c>
      <c r="H14" s="582">
        <v>0</v>
      </c>
      <c r="I14" s="314" t="s">
        <v>1503</v>
      </c>
      <c r="J14" s="586">
        <f>C14*G14</f>
        <v>0.43157226860176823</v>
      </c>
      <c r="K14" s="586">
        <f>SQRT(((D14*G14)^2)+((C14*H14)^2))</f>
        <v>2.0283896624283107E-2</v>
      </c>
      <c r="L14" s="314" t="s">
        <v>8</v>
      </c>
      <c r="M14" s="582">
        <v>7.6999999999999999E-2</v>
      </c>
      <c r="N14" s="582">
        <v>0</v>
      </c>
      <c r="O14" s="314" t="s">
        <v>1507</v>
      </c>
      <c r="P14" s="591">
        <f>C14*M14</f>
        <v>3.0970237355392501E-2</v>
      </c>
      <c r="Q14" s="591">
        <f>SQRT(((D14*M14)^2)+((C14*N14)^2))</f>
        <v>1.4556011557034477E-3</v>
      </c>
      <c r="R14" s="314" t="s">
        <v>9</v>
      </c>
      <c r="S14" s="582">
        <v>1.5999999999999999E-5</v>
      </c>
      <c r="T14" s="582">
        <v>0</v>
      </c>
      <c r="U14" s="314" t="s">
        <v>1508</v>
      </c>
      <c r="V14" s="602">
        <f>C14*S14</f>
        <v>6.4353739959257139E-6</v>
      </c>
      <c r="W14" s="602">
        <f>SQRT(((D14*S14)^2)+((C14*T14)^2))</f>
        <v>3.0246257780850857E-7</v>
      </c>
      <c r="X14" s="314" t="s">
        <v>10</v>
      </c>
      <c r="Y14" s="582">
        <v>2.0800000000000001E-5</v>
      </c>
      <c r="Z14" s="582">
        <v>0</v>
      </c>
      <c r="AA14" s="314" t="s">
        <v>1510</v>
      </c>
      <c r="AB14" s="394">
        <f>C14*Y14</f>
        <v>8.3659861947034292E-6</v>
      </c>
      <c r="AC14" s="394">
        <f>SQRT(((D14*Y14)^2)+((C14*Z14)^2))</f>
        <v>3.9320135115106121E-7</v>
      </c>
    </row>
    <row r="15" spans="1:29" ht="12.75" customHeight="1" x14ac:dyDescent="0.25">
      <c r="A15" s="316" t="s">
        <v>864</v>
      </c>
      <c r="B15" s="316" t="s">
        <v>18</v>
      </c>
      <c r="C15" s="581">
        <v>4.4670266666666673E-2</v>
      </c>
      <c r="D15" s="581">
        <v>5.181750933333334E-3</v>
      </c>
      <c r="E15" s="319" t="s">
        <v>1501</v>
      </c>
      <c r="F15" s="316" t="s">
        <v>7</v>
      </c>
      <c r="G15" s="581">
        <v>1</v>
      </c>
      <c r="H15" s="581">
        <v>0</v>
      </c>
      <c r="I15" s="319"/>
      <c r="J15" s="516">
        <f>$C15*$G15*$C$8</f>
        <v>0</v>
      </c>
      <c r="K15" s="516">
        <f>SQRT((($D15*$G15)^2)+(($C15*$H15)^2))*$C$8</f>
        <v>0</v>
      </c>
      <c r="L15" s="316" t="s">
        <v>218</v>
      </c>
      <c r="M15" s="581">
        <v>3.0166933333333336E-3</v>
      </c>
      <c r="N15" s="581">
        <v>3.4993642666666675E-4</v>
      </c>
      <c r="O15" s="319" t="s">
        <v>1511</v>
      </c>
      <c r="P15" s="591">
        <f>M15*$C$8</f>
        <v>0</v>
      </c>
      <c r="Q15" s="591">
        <f>N15*$C$8</f>
        <v>0</v>
      </c>
      <c r="R15" s="316" t="s">
        <v>219</v>
      </c>
      <c r="S15" s="581">
        <v>4.7773980000000006E-6</v>
      </c>
      <c r="T15" s="581">
        <v>5.5417816800000013E-7</v>
      </c>
      <c r="U15" s="319" t="s">
        <v>1513</v>
      </c>
      <c r="V15" s="602">
        <f>S15*$C$8</f>
        <v>0</v>
      </c>
      <c r="W15" s="602">
        <f>T15*$C$8</f>
        <v>0</v>
      </c>
      <c r="X15" s="316" t="s">
        <v>220</v>
      </c>
      <c r="Y15" s="581">
        <v>2.3785466666666669E-7</v>
      </c>
      <c r="Z15" s="581">
        <v>2.7591141333333336E-8</v>
      </c>
      <c r="AA15" s="319" t="s">
        <v>1516</v>
      </c>
      <c r="AB15" s="394">
        <f>Y15*$C$8</f>
        <v>0</v>
      </c>
      <c r="AC15" s="394">
        <f>Z15*$C$8</f>
        <v>0</v>
      </c>
    </row>
    <row r="16" spans="1:29" ht="15" customHeight="1" x14ac:dyDescent="0.25">
      <c r="A16" s="316" t="s">
        <v>221</v>
      </c>
      <c r="B16" s="316" t="s">
        <v>12</v>
      </c>
      <c r="C16" s="581">
        <v>2</v>
      </c>
      <c r="D16" s="581">
        <v>0.3</v>
      </c>
      <c r="E16" s="319" t="s">
        <v>1502</v>
      </c>
      <c r="F16" s="316"/>
      <c r="G16" s="321"/>
      <c r="H16" s="321"/>
      <c r="I16" s="319"/>
      <c r="J16" s="516">
        <f>($C$16/100)*$J$15</f>
        <v>0</v>
      </c>
      <c r="K16" s="516">
        <f>SQRT(((($D$16/100)*J15)^2)+((($C$16/100)*K15)^2))</f>
        <v>0</v>
      </c>
      <c r="L16" s="316"/>
      <c r="M16" s="321"/>
      <c r="N16" s="321"/>
      <c r="O16" s="319" t="s">
        <v>1512</v>
      </c>
      <c r="P16" s="592">
        <f>($C$16/100)*$P15</f>
        <v>0</v>
      </c>
      <c r="Q16" s="592">
        <f>SQRT(((($D$16/100)*$P15)^2)+((($C$16/100)*$Q15)^2))</f>
        <v>0</v>
      </c>
      <c r="R16" s="316"/>
      <c r="S16" s="321"/>
      <c r="T16" s="321"/>
      <c r="U16" s="319" t="s">
        <v>1514</v>
      </c>
      <c r="V16" s="603">
        <f>($C$16/100)*$V15</f>
        <v>0</v>
      </c>
      <c r="W16" s="603">
        <f>SQRT(((($D$16/100)*$V15)^2)+((($C$16/100)*$W15)^2))</f>
        <v>0</v>
      </c>
      <c r="X16" s="316"/>
      <c r="Y16" s="321"/>
      <c r="Z16" s="321"/>
      <c r="AA16" s="319" t="s">
        <v>1517</v>
      </c>
      <c r="AB16" s="597">
        <f>($C$16/100)*$AB15</f>
        <v>0</v>
      </c>
      <c r="AC16" s="597">
        <f>SQRT(((($D$16/100)*$AB15)^2)+((($C$16/100)*$AC15)^2))</f>
        <v>0</v>
      </c>
    </row>
    <row r="17" spans="1:29" x14ac:dyDescent="0.25">
      <c r="A17" s="316"/>
      <c r="B17" s="316"/>
      <c r="C17" s="316"/>
      <c r="D17" s="316"/>
      <c r="E17" s="319"/>
      <c r="F17" s="316"/>
      <c r="G17" s="316"/>
      <c r="H17" s="316"/>
      <c r="I17" s="319"/>
      <c r="J17" s="514"/>
      <c r="K17" s="514"/>
      <c r="L17" s="316"/>
      <c r="M17" s="316"/>
      <c r="N17" s="316"/>
      <c r="O17" s="319"/>
      <c r="P17" s="593"/>
      <c r="Q17" s="593"/>
      <c r="R17" s="316"/>
      <c r="S17" s="316"/>
      <c r="T17" s="316"/>
      <c r="U17" s="319"/>
      <c r="V17" s="604"/>
      <c r="W17" s="604"/>
      <c r="X17" s="316"/>
      <c r="Y17" s="316"/>
      <c r="Z17" s="316"/>
      <c r="AA17" s="319"/>
      <c r="AB17" s="598"/>
      <c r="AC17" s="598"/>
    </row>
    <row r="18" spans="1:29" x14ac:dyDescent="0.25">
      <c r="A18" s="322" t="s">
        <v>19</v>
      </c>
      <c r="B18" s="322"/>
      <c r="C18" s="322"/>
      <c r="D18" s="322"/>
      <c r="E18" s="323"/>
      <c r="F18" s="322"/>
      <c r="G18" s="322"/>
      <c r="H18" s="322"/>
      <c r="I18" s="323"/>
      <c r="J18" s="515">
        <f>SUM(J14:J16)</f>
        <v>0.43157226860176823</v>
      </c>
      <c r="K18" s="515">
        <f>SQRT((K14^2)+(K15^2)+(K16^2))</f>
        <v>2.0283896624283107E-2</v>
      </c>
      <c r="L18" s="322"/>
      <c r="M18" s="322"/>
      <c r="N18" s="322"/>
      <c r="O18" s="323"/>
      <c r="P18" s="594">
        <f>SUM(P14:P16)</f>
        <v>3.0970237355392501E-2</v>
      </c>
      <c r="Q18" s="594">
        <f>SQRT((Q14^2)+(Q15^2)+(Q16^2))</f>
        <v>1.4556011557034477E-3</v>
      </c>
      <c r="R18" s="322"/>
      <c r="S18" s="322"/>
      <c r="T18" s="322"/>
      <c r="U18" s="323"/>
      <c r="V18" s="605">
        <f>SUM(V14:V16)</f>
        <v>6.4353739959257139E-6</v>
      </c>
      <c r="W18" s="605">
        <f>SQRT((W14^2)+(W15^2)+(W16^2))</f>
        <v>3.0246257780850857E-7</v>
      </c>
      <c r="X18" s="322"/>
      <c r="Y18" s="322"/>
      <c r="Z18" s="322"/>
      <c r="AA18" s="323"/>
      <c r="AB18" s="599">
        <f>SUM(AB14:AB16)</f>
        <v>8.3659861947034292E-6</v>
      </c>
      <c r="AC18" s="599">
        <f>SQRT((AC14^2)+(AC15^2)+(AC16^2))</f>
        <v>3.9320135115106121E-7</v>
      </c>
    </row>
    <row r="19" spans="1:29" x14ac:dyDescent="0.25">
      <c r="J19" s="587"/>
      <c r="K19" s="587"/>
      <c r="P19" s="325"/>
      <c r="Q19" s="325"/>
      <c r="V19" s="326"/>
      <c r="W19" s="326"/>
      <c r="AB19" s="600"/>
      <c r="AC19" s="600"/>
    </row>
    <row r="20" spans="1:29" x14ac:dyDescent="0.25">
      <c r="A20" s="324" t="s">
        <v>685</v>
      </c>
      <c r="J20" s="587"/>
      <c r="K20" s="587"/>
      <c r="P20" s="325"/>
      <c r="Q20" s="325"/>
      <c r="V20" s="326"/>
      <c r="W20" s="326"/>
      <c r="AB20" s="600"/>
      <c r="AC20" s="600"/>
    </row>
    <row r="21" spans="1:29" ht="14.25" customHeight="1" x14ac:dyDescent="0.25">
      <c r="A21" s="316" t="s">
        <v>863</v>
      </c>
      <c r="B21" s="316" t="s">
        <v>18</v>
      </c>
      <c r="C21" s="581">
        <v>0.39664394222292981</v>
      </c>
      <c r="D21" s="581">
        <v>1.86422652844777E-2</v>
      </c>
      <c r="E21" s="319" t="s">
        <v>1500</v>
      </c>
      <c r="F21" s="316" t="s">
        <v>7</v>
      </c>
      <c r="G21" s="582">
        <v>1.073</v>
      </c>
      <c r="H21" s="582">
        <v>0</v>
      </c>
      <c r="I21" s="314" t="s">
        <v>1503</v>
      </c>
      <c r="J21" s="586">
        <f>C21*G21</f>
        <v>0.42559895000520365</v>
      </c>
      <c r="K21" s="586">
        <f>SQRT(((D21*G21)^2)+((C21*H21)^2))</f>
        <v>2.0003150650244571E-2</v>
      </c>
      <c r="L21" s="314" t="s">
        <v>8</v>
      </c>
      <c r="M21" s="582">
        <v>7.6999999999999999E-2</v>
      </c>
      <c r="N21" s="582">
        <v>0</v>
      </c>
      <c r="O21" s="314" t="s">
        <v>1507</v>
      </c>
      <c r="P21" s="591">
        <f>C21*M21</f>
        <v>3.0541583551165596E-2</v>
      </c>
      <c r="Q21" s="591">
        <f>SQRT(((D21*M21)^2)+((C21*N21)^2))</f>
        <v>1.4354544269047829E-3</v>
      </c>
      <c r="R21" s="314" t="s">
        <v>9</v>
      </c>
      <c r="S21" s="582">
        <v>1.5999999999999999E-5</v>
      </c>
      <c r="T21" s="582">
        <v>0</v>
      </c>
      <c r="U21" s="314" t="s">
        <v>1515</v>
      </c>
      <c r="V21" s="602">
        <f>C21*S21</f>
        <v>6.3463030755668767E-6</v>
      </c>
      <c r="W21" s="602">
        <f>SQRT(((D21*S21)^2)+((C21*T21)^2))</f>
        <v>2.9827624455164321E-7</v>
      </c>
      <c r="X21" s="314" t="s">
        <v>10</v>
      </c>
      <c r="Y21" s="582">
        <v>2.0800000000000001E-5</v>
      </c>
      <c r="Z21" s="582">
        <v>0</v>
      </c>
      <c r="AA21" s="314" t="s">
        <v>1510</v>
      </c>
      <c r="AB21" s="394">
        <f>C21*Y21</f>
        <v>8.2501939982369412E-6</v>
      </c>
      <c r="AC21" s="394">
        <f>SQRT(((D21*Y21)^2)+((C21*Z21)^2))</f>
        <v>3.877591179171362E-7</v>
      </c>
    </row>
    <row r="22" spans="1:29" ht="15" customHeight="1" x14ac:dyDescent="0.25">
      <c r="A22" s="316" t="s">
        <v>864</v>
      </c>
      <c r="B22" s="316" t="s">
        <v>18</v>
      </c>
      <c r="C22" s="581">
        <v>3.586992156862745E-2</v>
      </c>
      <c r="D22" s="581">
        <v>4.1609109019607841E-3</v>
      </c>
      <c r="E22" s="319" t="s">
        <v>1501</v>
      </c>
      <c r="F22" s="316" t="s">
        <v>7</v>
      </c>
      <c r="G22" s="581">
        <v>1</v>
      </c>
      <c r="H22" s="581">
        <v>0</v>
      </c>
      <c r="I22" s="319"/>
      <c r="J22" s="516">
        <f>$C22*$G22*$C$8</f>
        <v>0</v>
      </c>
      <c r="K22" s="516">
        <f>SQRT((($D22*$G22)^2)+(($C22*$H22)^2))*$C$8</f>
        <v>0</v>
      </c>
      <c r="L22" s="316" t="s">
        <v>218</v>
      </c>
      <c r="M22" s="581">
        <v>2.4223843137254901E-3</v>
      </c>
      <c r="N22" s="581">
        <v>2.8099658039215685E-4</v>
      </c>
      <c r="O22" s="319" t="s">
        <v>1511</v>
      </c>
      <c r="P22" s="591">
        <f>M22*$C$8</f>
        <v>0</v>
      </c>
      <c r="Q22" s="591">
        <f>N22*$C$8</f>
        <v>0</v>
      </c>
      <c r="R22" s="316" t="s">
        <v>219</v>
      </c>
      <c r="S22" s="581">
        <v>3.8362182352941178E-6</v>
      </c>
      <c r="T22" s="581">
        <v>4.4500131529411761E-7</v>
      </c>
      <c r="U22" s="319" t="s">
        <v>1509</v>
      </c>
      <c r="V22" s="602">
        <f>S22*$C$8</f>
        <v>0</v>
      </c>
      <c r="W22" s="602">
        <f>T22*$C$8</f>
        <v>0</v>
      </c>
      <c r="X22" s="316" t="s">
        <v>220</v>
      </c>
      <c r="Y22" s="581">
        <v>1.909956862745098E-7</v>
      </c>
      <c r="Z22" s="581">
        <v>2.2155499607843137E-8</v>
      </c>
      <c r="AA22" s="319" t="s">
        <v>1516</v>
      </c>
      <c r="AB22" s="394">
        <f>Y22*$C$8</f>
        <v>0</v>
      </c>
      <c r="AC22" s="394">
        <f>Z22*$C$8</f>
        <v>0</v>
      </c>
    </row>
    <row r="23" spans="1:29" ht="14.25" customHeight="1" x14ac:dyDescent="0.25">
      <c r="A23" s="316" t="s">
        <v>221</v>
      </c>
      <c r="B23" s="316" t="s">
        <v>12</v>
      </c>
      <c r="C23" s="581">
        <v>2</v>
      </c>
      <c r="D23" s="581">
        <v>0.3</v>
      </c>
      <c r="E23" s="319" t="s">
        <v>1502</v>
      </c>
      <c r="F23" s="316"/>
      <c r="G23" s="321"/>
      <c r="H23" s="321"/>
      <c r="I23" s="319"/>
      <c r="J23" s="516">
        <f>($C$16/100)*$J$15</f>
        <v>0</v>
      </c>
      <c r="K23" s="516">
        <f>SQRT(((($D$16/100)*J22)^2)+((($C$16/100)*K22)^2))</f>
        <v>0</v>
      </c>
      <c r="L23" s="316"/>
      <c r="M23" s="321"/>
      <c r="N23" s="321"/>
      <c r="O23" s="319" t="s">
        <v>1512</v>
      </c>
      <c r="P23" s="592">
        <f>($C$16/100)*$P22</f>
        <v>0</v>
      </c>
      <c r="Q23" s="592">
        <f>SQRT(((($D$16/100)*$P22)^2)+((($C$16/100)*$Q22)^2))</f>
        <v>0</v>
      </c>
      <c r="R23" s="316"/>
      <c r="S23" s="321"/>
      <c r="T23" s="321"/>
      <c r="U23" s="319" t="s">
        <v>1514</v>
      </c>
      <c r="V23" s="603">
        <f>($C$16/100)*$V22</f>
        <v>0</v>
      </c>
      <c r="W23" s="603">
        <f>SQRT(((($D$16/100)*$V22)^2)+((($C$16/100)*$W22)^2))</f>
        <v>0</v>
      </c>
      <c r="X23" s="316"/>
      <c r="Y23" s="321"/>
      <c r="Z23" s="321"/>
      <c r="AA23" s="319" t="s">
        <v>1517</v>
      </c>
      <c r="AB23" s="597">
        <f>($C$16/100)*$AB22</f>
        <v>0</v>
      </c>
      <c r="AC23" s="597">
        <f>SQRT(((($D$16/100)*$AB22)^2)+((($C$16/100)*$AC22)^2))</f>
        <v>0</v>
      </c>
    </row>
    <row r="24" spans="1:29" x14ac:dyDescent="0.25">
      <c r="A24" s="316"/>
      <c r="B24" s="316"/>
      <c r="C24" s="316"/>
      <c r="D24" s="316"/>
      <c r="E24" s="319"/>
      <c r="F24" s="316"/>
      <c r="G24" s="316"/>
      <c r="H24" s="316"/>
      <c r="I24" s="319"/>
      <c r="J24" s="514"/>
      <c r="K24" s="514"/>
      <c r="L24" s="316"/>
      <c r="M24" s="316"/>
      <c r="N24" s="316"/>
      <c r="O24" s="319"/>
      <c r="P24" s="593"/>
      <c r="Q24" s="593"/>
      <c r="R24" s="316"/>
      <c r="S24" s="316"/>
      <c r="T24" s="316"/>
      <c r="U24" s="319"/>
      <c r="V24" s="604"/>
      <c r="W24" s="604"/>
      <c r="X24" s="316"/>
      <c r="Y24" s="316"/>
      <c r="Z24" s="316"/>
      <c r="AA24" s="319"/>
      <c r="AB24" s="598"/>
      <c r="AC24" s="598"/>
    </row>
    <row r="25" spans="1:29" x14ac:dyDescent="0.25">
      <c r="A25" s="322" t="s">
        <v>19</v>
      </c>
      <c r="B25" s="322"/>
      <c r="C25" s="322"/>
      <c r="D25" s="322"/>
      <c r="E25" s="323"/>
      <c r="F25" s="322"/>
      <c r="G25" s="322"/>
      <c r="H25" s="322"/>
      <c r="I25" s="323"/>
      <c r="J25" s="515">
        <f>SUM(J21:J23)</f>
        <v>0.42559895000520365</v>
      </c>
      <c r="K25" s="515">
        <f>SQRT((K21^2)+(K22^2)+(K23^2))</f>
        <v>2.0003150650244571E-2</v>
      </c>
      <c r="L25" s="322"/>
      <c r="M25" s="322"/>
      <c r="N25" s="322"/>
      <c r="O25" s="323"/>
      <c r="P25" s="594">
        <f>SUM(P21:P23)</f>
        <v>3.0541583551165596E-2</v>
      </c>
      <c r="Q25" s="594">
        <f>SQRT((Q21^2)+(Q22^2)+(Q23^2))</f>
        <v>1.4354544269047829E-3</v>
      </c>
      <c r="R25" s="322"/>
      <c r="S25" s="322"/>
      <c r="T25" s="322"/>
      <c r="U25" s="323"/>
      <c r="V25" s="605">
        <f>SUM(V21:V23)</f>
        <v>6.3463030755668767E-6</v>
      </c>
      <c r="W25" s="605">
        <f>SQRT((W21^2)+(W22^2)+(W23^2))</f>
        <v>2.9827624455164321E-7</v>
      </c>
      <c r="X25" s="322"/>
      <c r="Y25" s="322"/>
      <c r="Z25" s="322"/>
      <c r="AA25" s="323"/>
      <c r="AB25" s="599">
        <f>SUM(AB21:AB23)</f>
        <v>8.2501939982369412E-6</v>
      </c>
      <c r="AC25" s="599">
        <f>SQRT((AC21^2)+(AC22^2)+(AC23^2))</f>
        <v>3.877591179171362E-7</v>
      </c>
    </row>
    <row r="26" spans="1:29" x14ac:dyDescent="0.25">
      <c r="J26" s="587"/>
      <c r="K26" s="587"/>
      <c r="P26" s="325"/>
      <c r="Q26" s="325"/>
      <c r="V26" s="326"/>
      <c r="W26" s="326"/>
      <c r="AB26" s="600"/>
      <c r="AC26" s="600"/>
    </row>
    <row r="27" spans="1:29" x14ac:dyDescent="0.25">
      <c r="A27" s="324" t="s">
        <v>686</v>
      </c>
      <c r="J27" s="587"/>
      <c r="K27" s="587"/>
      <c r="P27" s="325"/>
      <c r="Q27" s="325"/>
      <c r="V27" s="326"/>
      <c r="W27" s="326"/>
      <c r="AB27" s="600"/>
      <c r="AC27" s="600"/>
    </row>
    <row r="28" spans="1:29" ht="14.25" customHeight="1" x14ac:dyDescent="0.25">
      <c r="A28" s="316" t="s">
        <v>863</v>
      </c>
      <c r="B28" s="316" t="s">
        <v>18</v>
      </c>
      <c r="C28" s="581">
        <v>0.50542371826466825</v>
      </c>
      <c r="D28" s="581">
        <v>2.3754914758439407E-2</v>
      </c>
      <c r="E28" s="319" t="s">
        <v>1500</v>
      </c>
      <c r="F28" s="316" t="s">
        <v>7</v>
      </c>
      <c r="G28" s="582">
        <v>1.073</v>
      </c>
      <c r="H28" s="582">
        <v>0</v>
      </c>
      <c r="I28" s="314" t="s">
        <v>1503</v>
      </c>
      <c r="J28" s="586">
        <f>C28*G28</f>
        <v>0.54231964969798896</v>
      </c>
      <c r="K28" s="586">
        <f>SQRT(((D28*G28)^2)+((C28*H28)^2))</f>
        <v>2.5489023535805483E-2</v>
      </c>
      <c r="L28" s="314" t="s">
        <v>8</v>
      </c>
      <c r="M28" s="582">
        <v>7.6999999999999999E-2</v>
      </c>
      <c r="N28" s="582">
        <v>0</v>
      </c>
      <c r="O28" s="314" t="s">
        <v>1507</v>
      </c>
      <c r="P28" s="591">
        <f>C28*M28</f>
        <v>3.8917626306379453E-2</v>
      </c>
      <c r="Q28" s="591">
        <f>SQRT(((D28*M28)^2)+((C28*N28)^2))</f>
        <v>1.8291284363998344E-3</v>
      </c>
      <c r="R28" s="314" t="s">
        <v>9</v>
      </c>
      <c r="S28" s="582">
        <v>1.5999999999999999E-5</v>
      </c>
      <c r="T28" s="582">
        <v>0</v>
      </c>
      <c r="U28" s="314" t="s">
        <v>1508</v>
      </c>
      <c r="V28" s="602">
        <f>C28*S28</f>
        <v>8.0867794922346925E-6</v>
      </c>
      <c r="W28" s="602">
        <f>SQRT(((D28*S28)^2)+((C28*T28)^2))</f>
        <v>3.8007863613503047E-7</v>
      </c>
      <c r="X28" s="314" t="s">
        <v>10</v>
      </c>
      <c r="Y28" s="582">
        <v>2.0800000000000001E-5</v>
      </c>
      <c r="Z28" s="582">
        <v>0</v>
      </c>
      <c r="AA28" s="314" t="s">
        <v>1510</v>
      </c>
      <c r="AB28" s="394">
        <f>C28*Y28</f>
        <v>1.05128133399051E-5</v>
      </c>
      <c r="AC28" s="394">
        <f>SQRT(((D28*Y28)^2)+((C28*Z28)^2))</f>
        <v>4.9410222697553969E-7</v>
      </c>
    </row>
    <row r="29" spans="1:29" ht="13.5" customHeight="1" x14ac:dyDescent="0.25">
      <c r="A29" s="316" t="s">
        <v>864</v>
      </c>
      <c r="B29" s="316" t="s">
        <v>18</v>
      </c>
      <c r="C29" s="581">
        <v>3.9389533333333331E-2</v>
      </c>
      <c r="D29" s="581">
        <v>4.6085754000000003E-3</v>
      </c>
      <c r="E29" s="319" t="s">
        <v>1501</v>
      </c>
      <c r="F29" s="316" t="s">
        <v>7</v>
      </c>
      <c r="G29" s="581">
        <v>1</v>
      </c>
      <c r="H29" s="581">
        <v>0</v>
      </c>
      <c r="I29" s="319"/>
      <c r="J29" s="516">
        <f>$C29*$G29*$C$8</f>
        <v>0</v>
      </c>
      <c r="K29" s="516">
        <f>SQRT((($D29*$G29)^2)+(($C29*$H29)^2))*$C$8</f>
        <v>0</v>
      </c>
      <c r="L29" s="316" t="s">
        <v>218</v>
      </c>
      <c r="M29" s="581">
        <v>2.6600723809523811E-3</v>
      </c>
      <c r="N29" s="581">
        <v>3.112284685714286E-4</v>
      </c>
      <c r="O29" s="319" t="s">
        <v>1511</v>
      </c>
      <c r="P29" s="591">
        <f>M29*$C$8</f>
        <v>0</v>
      </c>
      <c r="Q29" s="591">
        <f>N29*$C$8</f>
        <v>0</v>
      </c>
      <c r="R29" s="316" t="s">
        <v>219</v>
      </c>
      <c r="S29" s="581">
        <v>4.2126338571428568E-6</v>
      </c>
      <c r="T29" s="581">
        <v>4.9287816128571433E-7</v>
      </c>
      <c r="U29" s="319" t="s">
        <v>1513</v>
      </c>
      <c r="V29" s="602">
        <f>S29*$C$8</f>
        <v>0</v>
      </c>
      <c r="W29" s="602">
        <f>T29*$C$8</f>
        <v>0</v>
      </c>
      <c r="X29" s="316" t="s">
        <v>220</v>
      </c>
      <c r="Y29" s="581">
        <v>2.0973647619047619E-7</v>
      </c>
      <c r="Z29" s="581">
        <v>2.4539167714285718E-8</v>
      </c>
      <c r="AA29" s="319" t="s">
        <v>1516</v>
      </c>
      <c r="AB29" s="394">
        <f>Y29*$C$8</f>
        <v>0</v>
      </c>
      <c r="AC29" s="394">
        <f>Z29*$C$8</f>
        <v>0</v>
      </c>
    </row>
    <row r="30" spans="1:29" ht="14.25" customHeight="1" x14ac:dyDescent="0.25">
      <c r="A30" s="316" t="s">
        <v>221</v>
      </c>
      <c r="B30" s="316" t="s">
        <v>12</v>
      </c>
      <c r="C30" s="581">
        <v>2</v>
      </c>
      <c r="D30" s="581">
        <v>0.3</v>
      </c>
      <c r="E30" s="319" t="s">
        <v>1502</v>
      </c>
      <c r="F30" s="316"/>
      <c r="G30" s="321"/>
      <c r="H30" s="321"/>
      <c r="I30" s="319"/>
      <c r="J30" s="516">
        <f>($C$16/100)*$J$15</f>
        <v>0</v>
      </c>
      <c r="K30" s="516">
        <f>SQRT(((($D$16/100)*J29)^2)+((($C$16/100)*K29)^2))</f>
        <v>0</v>
      </c>
      <c r="L30" s="316"/>
      <c r="M30" s="321"/>
      <c r="N30" s="321"/>
      <c r="O30" s="319" t="s">
        <v>1512</v>
      </c>
      <c r="P30" s="592">
        <f>($C$16/100)*$P29</f>
        <v>0</v>
      </c>
      <c r="Q30" s="592">
        <f>SQRT(((($D$16/100)*$P29)^2)+((($C$16/100)*$Q29)^2))</f>
        <v>0</v>
      </c>
      <c r="R30" s="316"/>
      <c r="S30" s="321"/>
      <c r="T30" s="321"/>
      <c r="U30" s="319" t="s">
        <v>1514</v>
      </c>
      <c r="V30" s="603">
        <f>($C$16/100)*$V29</f>
        <v>0</v>
      </c>
      <c r="W30" s="603">
        <f>SQRT(((($D$16/100)*$V29)^2)+((($C$16/100)*$W29)^2))</f>
        <v>0</v>
      </c>
      <c r="X30" s="316"/>
      <c r="Y30" s="321"/>
      <c r="Z30" s="321"/>
      <c r="AA30" s="319" t="s">
        <v>1517</v>
      </c>
      <c r="AB30" s="597">
        <f>($C$16/100)*$AB29</f>
        <v>0</v>
      </c>
      <c r="AC30" s="597">
        <f>SQRT(((($D$16/100)*$AB29)^2)+((($C$16/100)*$AC29)^2))</f>
        <v>0</v>
      </c>
    </row>
    <row r="31" spans="1:29" x14ac:dyDescent="0.25">
      <c r="A31" s="316"/>
      <c r="B31" s="316"/>
      <c r="C31" s="316"/>
      <c r="D31" s="316"/>
      <c r="E31" s="319"/>
      <c r="F31" s="316"/>
      <c r="G31" s="316"/>
      <c r="H31" s="316"/>
      <c r="I31" s="319"/>
      <c r="J31" s="514"/>
      <c r="K31" s="514"/>
      <c r="L31" s="316"/>
      <c r="M31" s="316"/>
      <c r="N31" s="316"/>
      <c r="O31" s="319"/>
      <c r="P31" s="593"/>
      <c r="Q31" s="593"/>
      <c r="R31" s="316"/>
      <c r="S31" s="316"/>
      <c r="T31" s="316"/>
      <c r="U31" s="319"/>
      <c r="V31" s="604"/>
      <c r="W31" s="604"/>
      <c r="X31" s="316"/>
      <c r="Y31" s="316"/>
      <c r="Z31" s="316"/>
      <c r="AA31" s="319"/>
      <c r="AB31" s="598"/>
      <c r="AC31" s="598"/>
    </row>
    <row r="32" spans="1:29" x14ac:dyDescent="0.25">
      <c r="A32" s="322" t="s">
        <v>19</v>
      </c>
      <c r="B32" s="322"/>
      <c r="C32" s="322"/>
      <c r="D32" s="322"/>
      <c r="E32" s="323"/>
      <c r="F32" s="322"/>
      <c r="G32" s="322"/>
      <c r="H32" s="322"/>
      <c r="I32" s="323"/>
      <c r="J32" s="515">
        <f>SUM(J28:J30)</f>
        <v>0.54231964969798896</v>
      </c>
      <c r="K32" s="515">
        <f>SQRT((K28^2)+(K29^2)+(K30^2))</f>
        <v>2.5489023535805483E-2</v>
      </c>
      <c r="L32" s="322"/>
      <c r="M32" s="322"/>
      <c r="N32" s="322"/>
      <c r="O32" s="323"/>
      <c r="P32" s="594">
        <f>SUM(P28:P30)</f>
        <v>3.8917626306379453E-2</v>
      </c>
      <c r="Q32" s="594">
        <f>SQRT((Q28^2)+(Q29^2)+(Q30^2))</f>
        <v>1.8291284363998344E-3</v>
      </c>
      <c r="R32" s="322"/>
      <c r="S32" s="322"/>
      <c r="T32" s="322"/>
      <c r="U32" s="323"/>
      <c r="V32" s="605">
        <f>SUM(V28:V30)</f>
        <v>8.0867794922346925E-6</v>
      </c>
      <c r="W32" s="605">
        <f>SQRT((W28^2)+(W29^2)+(W30^2))</f>
        <v>3.8007863613503047E-7</v>
      </c>
      <c r="X32" s="322"/>
      <c r="Y32" s="322"/>
      <c r="Z32" s="322"/>
      <c r="AA32" s="323"/>
      <c r="AB32" s="599">
        <f>SUM(AB28:AB30)</f>
        <v>1.05128133399051E-5</v>
      </c>
      <c r="AC32" s="599">
        <f>SQRT((AC28^2)+(AC29^2)+(AC30^2))</f>
        <v>4.9410222697553969E-7</v>
      </c>
    </row>
    <row r="33" spans="1:29" x14ac:dyDescent="0.25">
      <c r="J33" s="587"/>
      <c r="K33" s="587"/>
      <c r="P33" s="325"/>
      <c r="Q33" s="325"/>
      <c r="V33" s="326"/>
      <c r="W33" s="326"/>
      <c r="AB33" s="600"/>
      <c r="AC33" s="600"/>
    </row>
    <row r="34" spans="1:29" x14ac:dyDescent="0.25">
      <c r="A34" s="324" t="s">
        <v>687</v>
      </c>
      <c r="J34" s="587"/>
      <c r="K34" s="587"/>
      <c r="P34" s="325"/>
      <c r="Q34" s="325"/>
      <c r="V34" s="326"/>
      <c r="W34" s="326"/>
      <c r="AB34" s="600"/>
      <c r="AC34" s="600"/>
    </row>
    <row r="35" spans="1:29" ht="15.75" customHeight="1" x14ac:dyDescent="0.25">
      <c r="A35" s="316" t="s">
        <v>863</v>
      </c>
      <c r="B35" s="316" t="s">
        <v>18</v>
      </c>
      <c r="C35" s="581">
        <v>0.56034614423932938</v>
      </c>
      <c r="D35" s="581">
        <v>3.1E-2</v>
      </c>
      <c r="E35" s="319" t="s">
        <v>94</v>
      </c>
      <c r="F35" s="316" t="s">
        <v>7</v>
      </c>
      <c r="G35" s="582">
        <v>1.073</v>
      </c>
      <c r="H35" s="582">
        <v>0</v>
      </c>
      <c r="I35" s="314" t="s">
        <v>1503</v>
      </c>
      <c r="J35" s="586">
        <f>C35*G35</f>
        <v>0.60125141276880045</v>
      </c>
      <c r="K35" s="586">
        <f>SQRT(((D35*G35)^2)+((C35*H35)^2))</f>
        <v>3.3263000000000001E-2</v>
      </c>
      <c r="L35" s="314" t="s">
        <v>8</v>
      </c>
      <c r="M35" s="582">
        <v>7.6999999999999999E-2</v>
      </c>
      <c r="N35" s="582">
        <v>0</v>
      </c>
      <c r="O35" s="314" t="s">
        <v>1507</v>
      </c>
      <c r="P35" s="591">
        <f>C35*M35</f>
        <v>4.3146653106428359E-2</v>
      </c>
      <c r="Q35" s="591">
        <f>SQRT(((D35*M35)^2)+((C35*N35)^2))</f>
        <v>2.3869999999999998E-3</v>
      </c>
      <c r="R35" s="314" t="s">
        <v>9</v>
      </c>
      <c r="S35" s="582">
        <v>1.5999999999999999E-5</v>
      </c>
      <c r="T35" s="582">
        <v>0</v>
      </c>
      <c r="U35" s="314" t="s">
        <v>1508</v>
      </c>
      <c r="V35" s="602">
        <f>C35*S35</f>
        <v>8.9655383078292691E-6</v>
      </c>
      <c r="W35" s="602">
        <f>SQRT(((D35*S35)^2)+((C35*T35)^2))</f>
        <v>4.9599999999999999E-7</v>
      </c>
      <c r="X35" s="314" t="s">
        <v>10</v>
      </c>
      <c r="Y35" s="582">
        <v>2.0800000000000001E-5</v>
      </c>
      <c r="Z35" s="582">
        <v>0</v>
      </c>
      <c r="AA35" s="314" t="s">
        <v>1510</v>
      </c>
      <c r="AB35" s="394">
        <f>C35*Y35</f>
        <v>1.1655199800178051E-5</v>
      </c>
      <c r="AC35" s="394">
        <f>SQRT(((D35*Y35)^2)+((C35*Z35)^2))</f>
        <v>6.4480000000000006E-7</v>
      </c>
    </row>
    <row r="36" spans="1:29" ht="16.5" customHeight="1" x14ac:dyDescent="0.25">
      <c r="A36" s="316" t="s">
        <v>864</v>
      </c>
      <c r="B36" s="316" t="s">
        <v>18</v>
      </c>
      <c r="C36" s="581">
        <v>8.0450674418604651E-2</v>
      </c>
      <c r="D36" s="581">
        <v>9.4931795813953494E-3</v>
      </c>
      <c r="E36" s="319" t="s">
        <v>95</v>
      </c>
      <c r="F36" s="316" t="s">
        <v>7</v>
      </c>
      <c r="G36" s="581">
        <v>1</v>
      </c>
      <c r="H36" s="581">
        <v>0</v>
      </c>
      <c r="I36" s="319"/>
      <c r="J36" s="516">
        <f>$C36*$G36*$C$8</f>
        <v>0</v>
      </c>
      <c r="K36" s="516">
        <f>SQRT((($D36*$G36)^2)+(($C36*$H36)^2))*$C$8</f>
        <v>0</v>
      </c>
      <c r="L36" s="316" t="s">
        <v>218</v>
      </c>
      <c r="M36" s="581">
        <v>2.7165162790697677E-3</v>
      </c>
      <c r="N36" s="581">
        <v>3.2054892093023255E-4</v>
      </c>
      <c r="O36" s="319" t="s">
        <v>1511</v>
      </c>
      <c r="P36" s="591">
        <f>M36*$C$8</f>
        <v>0</v>
      </c>
      <c r="Q36" s="591">
        <f>N36*$C$8</f>
        <v>0</v>
      </c>
      <c r="R36" s="316" t="s">
        <v>219</v>
      </c>
      <c r="S36" s="581">
        <v>4.3020214534883724E-6</v>
      </c>
      <c r="T36" s="581">
        <v>5.0763853151162794E-7</v>
      </c>
      <c r="U36" s="319" t="s">
        <v>1513</v>
      </c>
      <c r="V36" s="602">
        <f>S36*$C$8</f>
        <v>0</v>
      </c>
      <c r="W36" s="602">
        <f>T36*$C$8</f>
        <v>0</v>
      </c>
      <c r="X36" s="316" t="s">
        <v>220</v>
      </c>
      <c r="Y36" s="581">
        <v>2.1418686046511628E-7</v>
      </c>
      <c r="Z36" s="581">
        <v>2.5274049534883721E-8</v>
      </c>
      <c r="AA36" s="319" t="s">
        <v>1516</v>
      </c>
      <c r="AB36" s="394">
        <f>Y36*$C$8</f>
        <v>0</v>
      </c>
      <c r="AC36" s="394">
        <f>Z36*$C$8</f>
        <v>0</v>
      </c>
    </row>
    <row r="37" spans="1:29" ht="15.75" customHeight="1" x14ac:dyDescent="0.25">
      <c r="A37" s="316" t="s">
        <v>221</v>
      </c>
      <c r="B37" s="316" t="s">
        <v>12</v>
      </c>
      <c r="C37" s="581">
        <v>2</v>
      </c>
      <c r="D37" s="581">
        <f>C37*15/100</f>
        <v>0.3</v>
      </c>
      <c r="E37" s="319" t="s">
        <v>684</v>
      </c>
      <c r="F37" s="316"/>
      <c r="G37" s="321"/>
      <c r="H37" s="321"/>
      <c r="I37" s="319"/>
      <c r="J37" s="516">
        <f>($C$16/100)*$J$15</f>
        <v>0</v>
      </c>
      <c r="K37" s="516">
        <f>SQRT(((($D$16/100)*J36)^2)+((($C$16/100)*K36)^2))</f>
        <v>0</v>
      </c>
      <c r="L37" s="316"/>
      <c r="M37" s="321"/>
      <c r="N37" s="321"/>
      <c r="O37" s="319" t="s">
        <v>1512</v>
      </c>
      <c r="P37" s="592">
        <f>($C$16/100)*$P36</f>
        <v>0</v>
      </c>
      <c r="Q37" s="592">
        <f>SQRT(((($D$16/100)*$P36)^2)+((($C$16/100)*$Q36)^2))</f>
        <v>0</v>
      </c>
      <c r="R37" s="316"/>
      <c r="S37" s="321"/>
      <c r="T37" s="321"/>
      <c r="U37" s="319" t="s">
        <v>1514</v>
      </c>
      <c r="V37" s="603">
        <f>($C$16/100)*$V36</f>
        <v>0</v>
      </c>
      <c r="W37" s="603">
        <f>SQRT(((($D$16/100)*$V36)^2)+((($C$16/100)*$W36)^2))</f>
        <v>0</v>
      </c>
      <c r="X37" s="316"/>
      <c r="Y37" s="321"/>
      <c r="Z37" s="321"/>
      <c r="AA37" s="319" t="s">
        <v>1517</v>
      </c>
      <c r="AB37" s="597">
        <f>($C$16/100)*$AB36</f>
        <v>0</v>
      </c>
      <c r="AC37" s="597">
        <f>SQRT(((($D$16/100)*$AB36)^2)+((($C$16/100)*$AC36)^2))</f>
        <v>0</v>
      </c>
    </row>
    <row r="38" spans="1:29" x14ac:dyDescent="0.25">
      <c r="A38" s="316"/>
      <c r="B38" s="316"/>
      <c r="C38" s="316"/>
      <c r="D38" s="316"/>
      <c r="E38" s="319"/>
      <c r="F38" s="316"/>
      <c r="G38" s="316"/>
      <c r="H38" s="316"/>
      <c r="I38" s="319"/>
      <c r="J38" s="514"/>
      <c r="K38" s="514"/>
      <c r="L38" s="316"/>
      <c r="M38" s="316"/>
      <c r="N38" s="316"/>
      <c r="O38" s="319"/>
      <c r="P38" s="593"/>
      <c r="Q38" s="593"/>
      <c r="R38" s="316"/>
      <c r="S38" s="316"/>
      <c r="T38" s="316"/>
      <c r="U38" s="319"/>
      <c r="V38" s="604"/>
      <c r="W38" s="604"/>
      <c r="X38" s="316"/>
      <c r="Y38" s="316"/>
      <c r="Z38" s="316"/>
      <c r="AA38" s="319"/>
      <c r="AB38" s="598"/>
      <c r="AC38" s="598"/>
    </row>
    <row r="39" spans="1:29" x14ac:dyDescent="0.25">
      <c r="A39" s="322" t="s">
        <v>19</v>
      </c>
      <c r="B39" s="322"/>
      <c r="C39" s="322"/>
      <c r="D39" s="322"/>
      <c r="E39" s="323"/>
      <c r="F39" s="322"/>
      <c r="G39" s="322"/>
      <c r="H39" s="322"/>
      <c r="I39" s="323"/>
      <c r="J39" s="515">
        <f>SUM(J35:J37)</f>
        <v>0.60125141276880045</v>
      </c>
      <c r="K39" s="515">
        <f>SQRT((K35^2)+(K36^2)+(K37^2))</f>
        <v>3.3263000000000001E-2</v>
      </c>
      <c r="L39" s="322"/>
      <c r="M39" s="322"/>
      <c r="N39" s="322"/>
      <c r="O39" s="323"/>
      <c r="P39" s="594">
        <f>SUM(P35:P37)</f>
        <v>4.3146653106428359E-2</v>
      </c>
      <c r="Q39" s="594">
        <f>SQRT((Q35^2)+(Q36^2)+(Q37^2))</f>
        <v>2.3869999999999998E-3</v>
      </c>
      <c r="R39" s="322"/>
      <c r="S39" s="322"/>
      <c r="T39" s="322"/>
      <c r="U39" s="323"/>
      <c r="V39" s="605">
        <f>SUM(V35:V37)</f>
        <v>8.9655383078292691E-6</v>
      </c>
      <c r="W39" s="605">
        <f>SQRT((W35^2)+(W36^2)+(W37^2))</f>
        <v>4.9599999999999999E-7</v>
      </c>
      <c r="X39" s="322"/>
      <c r="Y39" s="322"/>
      <c r="Z39" s="322"/>
      <c r="AA39" s="323"/>
      <c r="AB39" s="599">
        <f>SUM(AB35:AB37)</f>
        <v>1.1655199800178051E-5</v>
      </c>
      <c r="AC39" s="599">
        <f>SQRT((AC35^2)+(AC36^2)+(AC37^2))</f>
        <v>6.4480000000000006E-7</v>
      </c>
    </row>
    <row r="40" spans="1:29" x14ac:dyDescent="0.25">
      <c r="J40" s="587"/>
      <c r="K40" s="587"/>
      <c r="P40" s="325"/>
      <c r="Q40" s="325"/>
      <c r="V40" s="326"/>
      <c r="W40" s="326"/>
      <c r="AB40" s="600"/>
      <c r="AC40" s="600"/>
    </row>
    <row r="41" spans="1:29" x14ac:dyDescent="0.25">
      <c r="A41" s="152" t="s">
        <v>374</v>
      </c>
      <c r="J41" s="588"/>
      <c r="K41" s="588"/>
      <c r="P41" s="325"/>
      <c r="Q41" s="325"/>
      <c r="V41" s="326"/>
      <c r="W41" s="326"/>
      <c r="AB41" s="600"/>
      <c r="AC41" s="600"/>
    </row>
    <row r="42" spans="1:29" x14ac:dyDescent="0.25">
      <c r="A42" s="322" t="s">
        <v>863</v>
      </c>
      <c r="J42" s="589">
        <f>IF($C$7=44,J14,IF($C$7=40,J21,IF($C$7=32,J28,J35)))</f>
        <v>0.43157226860176823</v>
      </c>
      <c r="K42" s="589">
        <f>IF($C$7=44,K14,IF($C$7=40,K21,IF($C$7=32,K28,K35)))</f>
        <v>2.0283896624283107E-2</v>
      </c>
      <c r="P42" s="595">
        <f>IF($C$7=44,P14,IF($C$7=40,P21,IF($C$7=32,P28,P35)))</f>
        <v>3.0970237355392501E-2</v>
      </c>
      <c r="Q42" s="595">
        <f>IF($C$7=44,Q14,IF($C$7=40,Q21,IF($C$7=32,Q28,Q35)))</f>
        <v>1.4556011557034477E-3</v>
      </c>
      <c r="V42" s="606">
        <f>IF($C$7=44,V14,IF($C$7=40,V21,IF($C$7=32,V28,V35)))</f>
        <v>6.4353739959257139E-6</v>
      </c>
      <c r="W42" s="606">
        <f>IF($C$7=44,W14,IF($C$7=40,W21,IF($C$7=32,W28,W35)))</f>
        <v>3.0246257780850857E-7</v>
      </c>
      <c r="AB42" s="601">
        <f>IF($C$7=44,AB14,IF($C$7=40,AB21,IF($C$7=32,AB28,AB35)))</f>
        <v>8.3659861947034292E-6</v>
      </c>
      <c r="AC42" s="601">
        <f>IF($C$7=44,AC14,IF($C$7=40,AC21,IF($C$7=32,AC28,AC35)))</f>
        <v>3.9320135115106121E-7</v>
      </c>
    </row>
    <row r="43" spans="1:29" x14ac:dyDescent="0.25">
      <c r="A43" s="322" t="s">
        <v>864</v>
      </c>
      <c r="J43" s="589">
        <f t="shared" ref="J43:K44" si="0">IF($C$7=44,J15,IF($C$7=40,J22,IF($C$7=32,J29,J36)))</f>
        <v>0</v>
      </c>
      <c r="K43" s="589">
        <f t="shared" si="0"/>
        <v>0</v>
      </c>
      <c r="P43" s="595">
        <f t="shared" ref="P43:Q44" si="1">IF($C$7=44,P15,IF($C$7=40,P22,IF($C$7=32,P29,P36)))</f>
        <v>0</v>
      </c>
      <c r="Q43" s="595">
        <f t="shared" si="1"/>
        <v>0</v>
      </c>
      <c r="V43" s="606">
        <f t="shared" ref="V43:W44" si="2">IF($C$7=44,V15,IF($C$7=40,V22,IF($C$7=32,V29,V36)))</f>
        <v>0</v>
      </c>
      <c r="W43" s="606">
        <f t="shared" si="2"/>
        <v>0</v>
      </c>
      <c r="AB43" s="601">
        <f t="shared" ref="AB43:AC44" si="3">IF($C$7=44,AB15,IF($C$7=40,AB22,IF($C$7=32,AB29,AB36)))</f>
        <v>0</v>
      </c>
      <c r="AC43" s="601">
        <f t="shared" si="3"/>
        <v>0</v>
      </c>
    </row>
    <row r="44" spans="1:29" x14ac:dyDescent="0.25">
      <c r="A44" s="322" t="s">
        <v>221</v>
      </c>
      <c r="J44" s="589">
        <f t="shared" si="0"/>
        <v>0</v>
      </c>
      <c r="K44" s="589">
        <f t="shared" si="0"/>
        <v>0</v>
      </c>
      <c r="P44" s="595">
        <f t="shared" si="1"/>
        <v>0</v>
      </c>
      <c r="Q44" s="595">
        <f t="shared" si="1"/>
        <v>0</v>
      </c>
      <c r="V44" s="606">
        <f t="shared" si="2"/>
        <v>0</v>
      </c>
      <c r="W44" s="606">
        <f t="shared" si="2"/>
        <v>0</v>
      </c>
      <c r="AB44" s="601">
        <f t="shared" si="3"/>
        <v>0</v>
      </c>
      <c r="AC44" s="601">
        <f t="shared" si="3"/>
        <v>0</v>
      </c>
    </row>
    <row r="45" spans="1:29" x14ac:dyDescent="0.25">
      <c r="A45" s="2"/>
      <c r="J45" s="587"/>
      <c r="K45" s="587"/>
      <c r="P45" s="325"/>
      <c r="Q45" s="325"/>
      <c r="V45" s="326"/>
      <c r="W45" s="326"/>
      <c r="AB45" s="600"/>
      <c r="AC45" s="600"/>
    </row>
    <row r="46" spans="1:29" x14ac:dyDescent="0.25">
      <c r="A46" s="2" t="s">
        <v>375</v>
      </c>
      <c r="J46" s="590">
        <f t="shared" ref="J46:K46" si="4">IF($C$7=44,J18,IF($C$7=40,J25,IF($C$7=32,J32,J39)))</f>
        <v>0.43157226860176823</v>
      </c>
      <c r="K46" s="590">
        <f t="shared" si="4"/>
        <v>2.0283896624283107E-2</v>
      </c>
      <c r="P46" s="596">
        <f t="shared" ref="P46:Q46" si="5">IF($C$7=44,P18,IF($C$7=40,P25,IF($C$7=32,P32,P39)))</f>
        <v>3.0970237355392501E-2</v>
      </c>
      <c r="Q46" s="596">
        <f t="shared" si="5"/>
        <v>1.4556011557034477E-3</v>
      </c>
      <c r="V46" s="607">
        <f t="shared" ref="V46:W46" si="6">IF($C$7=44,V18,IF($C$7=40,V25,IF($C$7=32,V32,V39)))</f>
        <v>6.4353739959257139E-6</v>
      </c>
      <c r="W46" s="607">
        <f t="shared" si="6"/>
        <v>3.0246257780850857E-7</v>
      </c>
      <c r="AB46" s="608">
        <f t="shared" ref="AB46:AC46" si="7">IF($C$7=44,AB18,IF($C$7=40,AB25,IF($C$7=32,AB32,AB39)))</f>
        <v>8.3659861947034292E-6</v>
      </c>
      <c r="AC46" s="608">
        <f t="shared" si="7"/>
        <v>3.9320135115106121E-7</v>
      </c>
    </row>
  </sheetData>
  <pageMargins left="0.75" right="0.75" top="1" bottom="1" header="0.5" footer="0.5"/>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54"/>
  <sheetViews>
    <sheetView workbookViewId="0"/>
  </sheetViews>
  <sheetFormatPr defaultRowHeight="13.2" x14ac:dyDescent="0.25"/>
  <cols>
    <col min="1" max="1" width="11.6640625" customWidth="1"/>
  </cols>
  <sheetData>
    <row r="1" spans="1:2" x14ac:dyDescent="0.25">
      <c r="A1" s="2" t="s">
        <v>29</v>
      </c>
    </row>
    <row r="3" spans="1:2" x14ac:dyDescent="0.25">
      <c r="A3">
        <v>1</v>
      </c>
      <c r="B3" t="s">
        <v>30</v>
      </c>
    </row>
    <row r="4" spans="1:2" x14ac:dyDescent="0.25">
      <c r="A4">
        <v>2</v>
      </c>
      <c r="B4" t="s">
        <v>31</v>
      </c>
    </row>
    <row r="5" spans="1:2" x14ac:dyDescent="0.25">
      <c r="A5">
        <v>3</v>
      </c>
      <c r="B5" t="s">
        <v>619</v>
      </c>
    </row>
    <row r="6" spans="1:2" x14ac:dyDescent="0.25">
      <c r="A6">
        <v>4</v>
      </c>
      <c r="B6" s="923" t="s">
        <v>942</v>
      </c>
    </row>
    <row r="7" spans="1:2" x14ac:dyDescent="0.25">
      <c r="A7">
        <v>5</v>
      </c>
      <c r="B7" s="3" t="s">
        <v>941</v>
      </c>
    </row>
    <row r="8" spans="1:2" x14ac:dyDescent="0.25">
      <c r="A8">
        <v>6</v>
      </c>
      <c r="B8" s="282" t="s">
        <v>947</v>
      </c>
    </row>
    <row r="9" spans="1:2" x14ac:dyDescent="0.25">
      <c r="A9">
        <v>7</v>
      </c>
      <c r="B9" t="s">
        <v>52</v>
      </c>
    </row>
    <row r="10" spans="1:2" x14ac:dyDescent="0.25">
      <c r="A10">
        <v>8</v>
      </c>
      <c r="B10" t="s">
        <v>1425</v>
      </c>
    </row>
    <row r="11" spans="1:2" x14ac:dyDescent="0.25">
      <c r="A11">
        <v>9</v>
      </c>
      <c r="B11" s="3" t="s">
        <v>32</v>
      </c>
    </row>
    <row r="12" spans="1:2" x14ac:dyDescent="0.25">
      <c r="A12">
        <v>10</v>
      </c>
      <c r="B12" t="s">
        <v>33</v>
      </c>
    </row>
    <row r="13" spans="1:2" x14ac:dyDescent="0.25">
      <c r="A13">
        <v>11</v>
      </c>
      <c r="B13" t="s">
        <v>394</v>
      </c>
    </row>
    <row r="14" spans="1:2" x14ac:dyDescent="0.25">
      <c r="A14">
        <v>12</v>
      </c>
      <c r="B14" t="s">
        <v>53</v>
      </c>
    </row>
    <row r="15" spans="1:2" x14ac:dyDescent="0.25">
      <c r="A15">
        <v>13</v>
      </c>
      <c r="B15" t="s">
        <v>54</v>
      </c>
    </row>
    <row r="16" spans="1:2" x14ac:dyDescent="0.25">
      <c r="A16">
        <v>14</v>
      </c>
      <c r="B16" s="118" t="s">
        <v>403</v>
      </c>
    </row>
    <row r="17" spans="1:2" x14ac:dyDescent="0.25">
      <c r="A17">
        <v>15</v>
      </c>
      <c r="B17" s="353" t="s">
        <v>553</v>
      </c>
    </row>
    <row r="18" spans="1:2" x14ac:dyDescent="0.25">
      <c r="A18">
        <v>16</v>
      </c>
    </row>
    <row r="19" spans="1:2" x14ac:dyDescent="0.25">
      <c r="A19">
        <v>17</v>
      </c>
      <c r="B19" t="s">
        <v>36</v>
      </c>
    </row>
    <row r="20" spans="1:2" x14ac:dyDescent="0.25">
      <c r="A20">
        <v>18</v>
      </c>
      <c r="B20" s="118" t="s">
        <v>59</v>
      </c>
    </row>
    <row r="21" spans="1:2" x14ac:dyDescent="0.25">
      <c r="A21">
        <v>19</v>
      </c>
      <c r="B21" t="s">
        <v>37</v>
      </c>
    </row>
    <row r="22" spans="1:2" x14ac:dyDescent="0.25">
      <c r="A22">
        <v>20</v>
      </c>
      <c r="B22" s="120" t="s">
        <v>58</v>
      </c>
    </row>
    <row r="23" spans="1:2" x14ac:dyDescent="0.25">
      <c r="A23">
        <v>21</v>
      </c>
      <c r="B23" t="s">
        <v>90</v>
      </c>
    </row>
    <row r="24" spans="1:2" x14ac:dyDescent="0.25">
      <c r="A24">
        <v>22</v>
      </c>
      <c r="B24" t="s">
        <v>89</v>
      </c>
    </row>
    <row r="25" spans="1:2" x14ac:dyDescent="0.25">
      <c r="A25">
        <v>23</v>
      </c>
      <c r="B25" t="s">
        <v>91</v>
      </c>
    </row>
    <row r="26" spans="1:2" x14ac:dyDescent="0.25">
      <c r="A26">
        <v>24</v>
      </c>
      <c r="B26" s="118" t="s">
        <v>307</v>
      </c>
    </row>
    <row r="27" spans="1:2" x14ac:dyDescent="0.25">
      <c r="A27">
        <v>25</v>
      </c>
      <c r="B27" s="120" t="s">
        <v>85</v>
      </c>
    </row>
    <row r="28" spans="1:2" x14ac:dyDescent="0.25">
      <c r="A28">
        <v>26</v>
      </c>
      <c r="B28" s="118" t="s">
        <v>234</v>
      </c>
    </row>
    <row r="29" spans="1:2" x14ac:dyDescent="0.25">
      <c r="A29">
        <v>27</v>
      </c>
      <c r="B29" t="s">
        <v>287</v>
      </c>
    </row>
    <row r="30" spans="1:2" x14ac:dyDescent="0.25">
      <c r="A30" s="43">
        <v>28</v>
      </c>
      <c r="B30" s="118" t="s">
        <v>55</v>
      </c>
    </row>
    <row r="31" spans="1:2" x14ac:dyDescent="0.25">
      <c r="A31" s="43">
        <v>29</v>
      </c>
      <c r="B31" s="120" t="s">
        <v>86</v>
      </c>
    </row>
    <row r="32" spans="1:2" x14ac:dyDescent="0.25">
      <c r="A32" s="43">
        <v>30</v>
      </c>
      <c r="B32" s="120" t="s">
        <v>87</v>
      </c>
    </row>
    <row r="33" spans="1:2" ht="15.6" x14ac:dyDescent="0.35">
      <c r="A33" s="43">
        <v>31</v>
      </c>
      <c r="B33" s="120" t="s">
        <v>237</v>
      </c>
    </row>
    <row r="34" spans="1:2" x14ac:dyDescent="0.25">
      <c r="A34" s="43">
        <v>32</v>
      </c>
      <c r="B34" s="118" t="s">
        <v>293</v>
      </c>
    </row>
    <row r="35" spans="1:2" x14ac:dyDescent="0.25">
      <c r="A35">
        <v>33</v>
      </c>
      <c r="B35" t="s">
        <v>235</v>
      </c>
    </row>
    <row r="36" spans="1:2" x14ac:dyDescent="0.25">
      <c r="A36">
        <v>34</v>
      </c>
      <c r="B36" t="s">
        <v>236</v>
      </c>
    </row>
    <row r="37" spans="1:2" x14ac:dyDescent="0.25">
      <c r="A37">
        <v>35</v>
      </c>
      <c r="B37" s="212" t="s">
        <v>294</v>
      </c>
    </row>
    <row r="38" spans="1:2" x14ac:dyDescent="0.25">
      <c r="A38">
        <v>36</v>
      </c>
      <c r="B38" s="212" t="s">
        <v>296</v>
      </c>
    </row>
    <row r="39" spans="1:2" x14ac:dyDescent="0.25">
      <c r="A39">
        <v>37</v>
      </c>
      <c r="B39" s="282" t="s">
        <v>566</v>
      </c>
    </row>
    <row r="40" spans="1:2" x14ac:dyDescent="0.25">
      <c r="A40">
        <v>38</v>
      </c>
      <c r="B40" s="282" t="s">
        <v>298</v>
      </c>
    </row>
    <row r="41" spans="1:2" x14ac:dyDescent="0.25">
      <c r="A41">
        <v>39</v>
      </c>
      <c r="B41" s="3" t="s">
        <v>300</v>
      </c>
    </row>
    <row r="42" spans="1:2" x14ac:dyDescent="0.25">
      <c r="A42">
        <v>40</v>
      </c>
      <c r="B42" s="3" t="s">
        <v>301</v>
      </c>
    </row>
    <row r="43" spans="1:2" x14ac:dyDescent="0.25">
      <c r="A43">
        <v>41</v>
      </c>
      <c r="B43" s="282" t="s">
        <v>305</v>
      </c>
    </row>
    <row r="44" spans="1:2" x14ac:dyDescent="0.25">
      <c r="A44">
        <v>42</v>
      </c>
      <c r="B44" s="282" t="s">
        <v>306</v>
      </c>
    </row>
    <row r="45" spans="1:2" x14ac:dyDescent="0.25">
      <c r="A45">
        <v>43</v>
      </c>
      <c r="B45" s="282" t="s">
        <v>429</v>
      </c>
    </row>
    <row r="46" spans="1:2" x14ac:dyDescent="0.25">
      <c r="A46">
        <v>44</v>
      </c>
      <c r="B46" s="282" t="s">
        <v>59</v>
      </c>
    </row>
    <row r="47" spans="1:2" x14ac:dyDescent="0.25">
      <c r="A47">
        <v>45</v>
      </c>
      <c r="B47" s="282" t="s">
        <v>322</v>
      </c>
    </row>
    <row r="48" spans="1:2" x14ac:dyDescent="0.25">
      <c r="A48">
        <v>46</v>
      </c>
      <c r="B48" t="s">
        <v>324</v>
      </c>
    </row>
    <row r="49" spans="1:2" x14ac:dyDescent="0.25">
      <c r="A49">
        <v>47</v>
      </c>
      <c r="B49" t="s">
        <v>325</v>
      </c>
    </row>
    <row r="50" spans="1:2" x14ac:dyDescent="0.25">
      <c r="A50" s="43">
        <v>48</v>
      </c>
      <c r="B50" s="3" t="s">
        <v>471</v>
      </c>
    </row>
    <row r="51" spans="1:2" x14ac:dyDescent="0.25">
      <c r="A51">
        <v>49</v>
      </c>
      <c r="B51" t="s">
        <v>326</v>
      </c>
    </row>
    <row r="52" spans="1:2" x14ac:dyDescent="0.25">
      <c r="A52">
        <v>50</v>
      </c>
      <c r="B52" s="311" t="s">
        <v>334</v>
      </c>
    </row>
    <row r="53" spans="1:2" x14ac:dyDescent="0.25">
      <c r="A53">
        <v>51</v>
      </c>
      <c r="B53" s="282" t="s">
        <v>354</v>
      </c>
    </row>
    <row r="54" spans="1:2" x14ac:dyDescent="0.25">
      <c r="A54">
        <v>52</v>
      </c>
      <c r="B54" s="120" t="s">
        <v>355</v>
      </c>
    </row>
    <row r="55" spans="1:2" x14ac:dyDescent="0.25">
      <c r="A55">
        <v>53</v>
      </c>
      <c r="B55" s="102" t="s">
        <v>360</v>
      </c>
    </row>
    <row r="56" spans="1:2" x14ac:dyDescent="0.25">
      <c r="A56">
        <v>54</v>
      </c>
      <c r="B56" s="102" t="s">
        <v>361</v>
      </c>
    </row>
    <row r="57" spans="1:2" x14ac:dyDescent="0.25">
      <c r="A57">
        <v>55</v>
      </c>
      <c r="B57" s="282" t="s">
        <v>366</v>
      </c>
    </row>
    <row r="58" spans="1:2" x14ac:dyDescent="0.25">
      <c r="A58">
        <v>56</v>
      </c>
      <c r="B58" s="311" t="s">
        <v>365</v>
      </c>
    </row>
    <row r="59" spans="1:2" x14ac:dyDescent="0.25">
      <c r="A59">
        <v>57</v>
      </c>
      <c r="B59" s="3" t="s">
        <v>559</v>
      </c>
    </row>
    <row r="60" spans="1:2" ht="12" customHeight="1" x14ac:dyDescent="0.25">
      <c r="A60">
        <v>58</v>
      </c>
      <c r="B60" s="282" t="s">
        <v>368</v>
      </c>
    </row>
    <row r="61" spans="1:2" ht="12" customHeight="1" x14ac:dyDescent="0.25">
      <c r="A61">
        <v>59</v>
      </c>
      <c r="B61" s="330" t="s">
        <v>376</v>
      </c>
    </row>
    <row r="62" spans="1:2" ht="15" customHeight="1" x14ac:dyDescent="0.35">
      <c r="A62">
        <v>60</v>
      </c>
      <c r="B62" s="336" t="s">
        <v>378</v>
      </c>
    </row>
    <row r="63" spans="1:2" ht="12" customHeight="1" x14ac:dyDescent="0.25">
      <c r="A63">
        <v>61</v>
      </c>
      <c r="B63" t="s">
        <v>379</v>
      </c>
    </row>
    <row r="64" spans="1:2" ht="12" customHeight="1" x14ac:dyDescent="0.25">
      <c r="A64">
        <v>62</v>
      </c>
      <c r="B64" s="3" t="s">
        <v>558</v>
      </c>
    </row>
    <row r="65" spans="1:2" ht="12" customHeight="1" x14ac:dyDescent="0.25">
      <c r="A65">
        <v>63</v>
      </c>
      <c r="B65" s="282" t="s">
        <v>960</v>
      </c>
    </row>
    <row r="66" spans="1:2" ht="12" customHeight="1" x14ac:dyDescent="0.25">
      <c r="A66">
        <v>64</v>
      </c>
      <c r="B66" s="3" t="s">
        <v>557</v>
      </c>
    </row>
    <row r="67" spans="1:2" ht="12" customHeight="1" x14ac:dyDescent="0.25">
      <c r="A67">
        <v>65</v>
      </c>
      <c r="B67" s="3" t="s">
        <v>562</v>
      </c>
    </row>
    <row r="68" spans="1:2" ht="12" customHeight="1" x14ac:dyDescent="0.25">
      <c r="A68">
        <v>66</v>
      </c>
      <c r="B68" s="282" t="s">
        <v>959</v>
      </c>
    </row>
    <row r="69" spans="1:2" ht="12" customHeight="1" x14ac:dyDescent="0.25">
      <c r="A69">
        <v>67</v>
      </c>
      <c r="B69" s="353" t="s">
        <v>493</v>
      </c>
    </row>
    <row r="70" spans="1:2" ht="12" customHeight="1" x14ac:dyDescent="0.25">
      <c r="A70">
        <v>68</v>
      </c>
      <c r="B70" s="3" t="s">
        <v>494</v>
      </c>
    </row>
    <row r="71" spans="1:2" ht="12" customHeight="1" x14ac:dyDescent="0.25">
      <c r="A71">
        <v>69</v>
      </c>
      <c r="B71" s="3" t="s">
        <v>560</v>
      </c>
    </row>
    <row r="72" spans="1:2" ht="12" customHeight="1" x14ac:dyDescent="0.25">
      <c r="A72">
        <v>70</v>
      </c>
      <c r="B72" s="3" t="s">
        <v>561</v>
      </c>
    </row>
    <row r="73" spans="1:2" ht="12" customHeight="1" x14ac:dyDescent="0.25">
      <c r="A73">
        <v>71</v>
      </c>
      <c r="B73" s="3" t="s">
        <v>629</v>
      </c>
    </row>
    <row r="74" spans="1:2" ht="12" customHeight="1" x14ac:dyDescent="0.25">
      <c r="A74">
        <v>72</v>
      </c>
      <c r="B74" s="3" t="s">
        <v>642</v>
      </c>
    </row>
    <row r="75" spans="1:2" ht="12" customHeight="1" x14ac:dyDescent="0.25">
      <c r="A75">
        <v>73</v>
      </c>
      <c r="B75" s="1046" t="s">
        <v>1531</v>
      </c>
    </row>
    <row r="76" spans="1:2" ht="12" customHeight="1" x14ac:dyDescent="0.25">
      <c r="A76">
        <v>74</v>
      </c>
      <c r="B76" s="1046" t="s">
        <v>1556</v>
      </c>
    </row>
    <row r="77" spans="1:2" ht="12" customHeight="1" x14ac:dyDescent="0.25">
      <c r="A77">
        <v>75</v>
      </c>
      <c r="B77" s="1046" t="s">
        <v>1532</v>
      </c>
    </row>
    <row r="78" spans="1:2" ht="12" customHeight="1" x14ac:dyDescent="0.25">
      <c r="A78">
        <v>76</v>
      </c>
      <c r="B78" s="924" t="s">
        <v>1580</v>
      </c>
    </row>
    <row r="79" spans="1:2" ht="12" customHeight="1" x14ac:dyDescent="0.25">
      <c r="A79">
        <v>77</v>
      </c>
      <c r="B79" s="924" t="s">
        <v>1650</v>
      </c>
    </row>
    <row r="80" spans="1:2" ht="12" customHeight="1" x14ac:dyDescent="0.25">
      <c r="A80">
        <v>78</v>
      </c>
      <c r="B80" s="282" t="s">
        <v>1837</v>
      </c>
    </row>
    <row r="81" spans="1:13" ht="12" customHeight="1" x14ac:dyDescent="0.25">
      <c r="A81">
        <v>79</v>
      </c>
      <c r="B81" s="282" t="s">
        <v>1838</v>
      </c>
    </row>
    <row r="82" spans="1:13" ht="12" customHeight="1" x14ac:dyDescent="0.25">
      <c r="A82">
        <v>80</v>
      </c>
      <c r="B82" s="282" t="s">
        <v>1839</v>
      </c>
    </row>
    <row r="83" spans="1:13" ht="12" customHeight="1" x14ac:dyDescent="0.35">
      <c r="A83">
        <v>81</v>
      </c>
      <c r="B83" s="924" t="s">
        <v>1867</v>
      </c>
    </row>
    <row r="84" spans="1:13" ht="12" customHeight="1" x14ac:dyDescent="0.35">
      <c r="A84">
        <v>82</v>
      </c>
      <c r="B84" s="924" t="s">
        <v>1868</v>
      </c>
    </row>
    <row r="85" spans="1:13" ht="12" customHeight="1" x14ac:dyDescent="0.25">
      <c r="A85">
        <v>83</v>
      </c>
      <c r="B85" s="924" t="s">
        <v>1872</v>
      </c>
    </row>
    <row r="86" spans="1:13" ht="12" customHeight="1" x14ac:dyDescent="0.25">
      <c r="A86">
        <v>84</v>
      </c>
      <c r="B86" s="924" t="s">
        <v>1873</v>
      </c>
    </row>
    <row r="87" spans="1:13" ht="12" customHeight="1" x14ac:dyDescent="0.25">
      <c r="A87">
        <v>85</v>
      </c>
      <c r="B87" s="924" t="s">
        <v>1917</v>
      </c>
    </row>
    <row r="88" spans="1:13" ht="12" customHeight="1" x14ac:dyDescent="0.25">
      <c r="A88">
        <v>86</v>
      </c>
      <c r="B88" s="924" t="s">
        <v>1921</v>
      </c>
    </row>
    <row r="89" spans="1:13" ht="12" customHeight="1" x14ac:dyDescent="0.25">
      <c r="B89" s="282"/>
    </row>
    <row r="90" spans="1:13" ht="12" customHeight="1" x14ac:dyDescent="0.25">
      <c r="A90" s="2" t="s">
        <v>1146</v>
      </c>
      <c r="B90" s="282"/>
    </row>
    <row r="91" spans="1:13" ht="12" customHeight="1" x14ac:dyDescent="0.25">
      <c r="B91" s="282"/>
    </row>
    <row r="92" spans="1:13" ht="12" customHeight="1" x14ac:dyDescent="0.25">
      <c r="A92" s="923" t="s">
        <v>1147</v>
      </c>
      <c r="B92" s="924" t="s">
        <v>1154</v>
      </c>
    </row>
    <row r="93" spans="1:13" ht="12" customHeight="1" x14ac:dyDescent="0.25">
      <c r="A93" s="923" t="s">
        <v>1271</v>
      </c>
      <c r="B93" s="924" t="s">
        <v>1272</v>
      </c>
    </row>
    <row r="94" spans="1:13" s="923" customFormat="1" x14ac:dyDescent="0.25">
      <c r="A94" s="923" t="s">
        <v>1411</v>
      </c>
      <c r="B94" s="1046" t="s">
        <v>1412</v>
      </c>
      <c r="M94" s="889"/>
    </row>
    <row r="95" spans="1:13" s="923" customFormat="1" x14ac:dyDescent="0.25">
      <c r="A95" s="923" t="s">
        <v>1415</v>
      </c>
      <c r="B95" s="923" t="s">
        <v>236</v>
      </c>
      <c r="M95" s="889"/>
    </row>
    <row r="96" spans="1:13" s="923" customFormat="1" x14ac:dyDescent="0.25">
      <c r="A96" s="923" t="s">
        <v>1408</v>
      </c>
      <c r="B96" s="1046" t="s">
        <v>1409</v>
      </c>
      <c r="M96" s="889"/>
    </row>
    <row r="97" spans="1:13" s="923" customFormat="1" x14ac:dyDescent="0.25">
      <c r="A97" s="923" t="s">
        <v>1407</v>
      </c>
      <c r="B97" s="923" t="s">
        <v>494</v>
      </c>
      <c r="C97" s="983"/>
      <c r="M97" s="889"/>
    </row>
    <row r="98" spans="1:13" s="923" customFormat="1" x14ac:dyDescent="0.25">
      <c r="A98" s="923" t="s">
        <v>1397</v>
      </c>
      <c r="B98" s="330" t="s">
        <v>376</v>
      </c>
      <c r="C98" s="983"/>
      <c r="M98" s="889"/>
    </row>
    <row r="99" spans="1:13" s="923" customFormat="1" x14ac:dyDescent="0.25">
      <c r="A99" s="923" t="s">
        <v>1413</v>
      </c>
      <c r="B99" s="924" t="s">
        <v>354</v>
      </c>
      <c r="C99" s="983"/>
      <c r="M99" s="889"/>
    </row>
    <row r="100" spans="1:13" s="923" customFormat="1" x14ac:dyDescent="0.25">
      <c r="A100" s="923" t="s">
        <v>1414</v>
      </c>
      <c r="B100" s="1046" t="s">
        <v>493</v>
      </c>
      <c r="C100" s="983"/>
      <c r="M100" s="889"/>
    </row>
    <row r="101" spans="1:13" s="923" customFormat="1" x14ac:dyDescent="0.25">
      <c r="A101" s="923" t="s">
        <v>1405</v>
      </c>
      <c r="B101" s="120" t="s">
        <v>86</v>
      </c>
      <c r="C101" s="983"/>
      <c r="M101" s="889"/>
    </row>
    <row r="102" spans="1:13" s="923" customFormat="1" x14ac:dyDescent="0.25">
      <c r="A102" s="923" t="s">
        <v>1406</v>
      </c>
      <c r="B102" s="120" t="s">
        <v>87</v>
      </c>
      <c r="C102" s="983"/>
      <c r="M102" s="889"/>
    </row>
    <row r="103" spans="1:13" ht="12" customHeight="1" x14ac:dyDescent="0.25">
      <c r="B103" s="282"/>
    </row>
    <row r="104" spans="1:13" ht="12" customHeight="1" x14ac:dyDescent="0.25">
      <c r="A104" s="2" t="s">
        <v>60</v>
      </c>
      <c r="B104" s="118"/>
    </row>
    <row r="105" spans="1:13" x14ac:dyDescent="0.25">
      <c r="A105" s="2"/>
      <c r="B105" s="118"/>
    </row>
    <row r="106" spans="1:13" x14ac:dyDescent="0.25">
      <c r="A106" t="s">
        <v>61</v>
      </c>
      <c r="B106" s="118" t="s">
        <v>62</v>
      </c>
    </row>
    <row r="107" spans="1:13" x14ac:dyDescent="0.25">
      <c r="A107" t="s">
        <v>63</v>
      </c>
      <c r="B107" s="118" t="s">
        <v>64</v>
      </c>
    </row>
    <row r="108" spans="1:13" x14ac:dyDescent="0.25">
      <c r="A108" t="s">
        <v>65</v>
      </c>
      <c r="B108" s="118" t="s">
        <v>31</v>
      </c>
    </row>
    <row r="109" spans="1:13" x14ac:dyDescent="0.25">
      <c r="A109" t="s">
        <v>66</v>
      </c>
      <c r="B109" s="118" t="s">
        <v>35</v>
      </c>
    </row>
    <row r="110" spans="1:13" x14ac:dyDescent="0.25">
      <c r="A110" t="s">
        <v>67</v>
      </c>
      <c r="B110" s="118" t="s">
        <v>68</v>
      </c>
    </row>
    <row r="111" spans="1:13" x14ac:dyDescent="0.25">
      <c r="A111" t="s">
        <v>69</v>
      </c>
      <c r="B111" s="118" t="s">
        <v>70</v>
      </c>
    </row>
    <row r="112" spans="1:13" x14ac:dyDescent="0.25">
      <c r="A112" t="s">
        <v>71</v>
      </c>
      <c r="B112" s="118" t="s">
        <v>72</v>
      </c>
    </row>
    <row r="113" spans="1:2" x14ac:dyDescent="0.25">
      <c r="A113" t="s">
        <v>73</v>
      </c>
      <c r="B113" s="118" t="s">
        <v>74</v>
      </c>
    </row>
    <row r="114" spans="1:2" x14ac:dyDescent="0.25">
      <c r="A114" t="s">
        <v>75</v>
      </c>
      <c r="B114" s="118" t="s">
        <v>52</v>
      </c>
    </row>
    <row r="115" spans="1:2" x14ac:dyDescent="0.25">
      <c r="A115" t="s">
        <v>327</v>
      </c>
      <c r="B115" t="s">
        <v>335</v>
      </c>
    </row>
    <row r="116" spans="1:2" x14ac:dyDescent="0.25">
      <c r="A116" s="3" t="s">
        <v>393</v>
      </c>
      <c r="B116" s="923" t="s">
        <v>1497</v>
      </c>
    </row>
    <row r="117" spans="1:2" x14ac:dyDescent="0.25">
      <c r="A117" s="3" t="s">
        <v>395</v>
      </c>
      <c r="B117" s="3" t="s">
        <v>768</v>
      </c>
    </row>
    <row r="118" spans="1:2" x14ac:dyDescent="0.25">
      <c r="A118" s="3" t="s">
        <v>396</v>
      </c>
      <c r="B118" s="353" t="s">
        <v>769</v>
      </c>
    </row>
    <row r="119" spans="1:2" x14ac:dyDescent="0.25">
      <c r="A119" s="3" t="s">
        <v>771</v>
      </c>
      <c r="B119" s="150" t="s">
        <v>770</v>
      </c>
    </row>
    <row r="120" spans="1:2" x14ac:dyDescent="0.25">
      <c r="A120" s="923" t="s">
        <v>1337</v>
      </c>
      <c r="B120" t="s">
        <v>1336</v>
      </c>
    </row>
    <row r="121" spans="1:2" x14ac:dyDescent="0.25">
      <c r="A121" s="923" t="s">
        <v>1498</v>
      </c>
      <c r="B121" s="922" t="s">
        <v>1499</v>
      </c>
    </row>
    <row r="123" spans="1:2" x14ac:dyDescent="0.25">
      <c r="A123" s="2" t="s">
        <v>76</v>
      </c>
      <c r="B123" s="118"/>
    </row>
    <row r="124" spans="1:2" x14ac:dyDescent="0.25">
      <c r="B124" s="118"/>
    </row>
    <row r="125" spans="1:2" x14ac:dyDescent="0.25">
      <c r="A125" t="s">
        <v>77</v>
      </c>
      <c r="B125" s="68" t="s">
        <v>78</v>
      </c>
    </row>
    <row r="126" spans="1:2" x14ac:dyDescent="0.25">
      <c r="A126" t="s">
        <v>79</v>
      </c>
      <c r="B126" s="68" t="s">
        <v>216</v>
      </c>
    </row>
    <row r="127" spans="1:2" x14ac:dyDescent="0.25">
      <c r="A127" t="s">
        <v>80</v>
      </c>
      <c r="B127" s="68" t="s">
        <v>62</v>
      </c>
    </row>
    <row r="128" spans="1:2" x14ac:dyDescent="0.25">
      <c r="A128" t="s">
        <v>81</v>
      </c>
      <c r="B128" s="150" t="s">
        <v>770</v>
      </c>
    </row>
    <row r="129" spans="1:13" x14ac:dyDescent="0.25">
      <c r="A129" t="s">
        <v>82</v>
      </c>
      <c r="B129" s="68" t="s">
        <v>31</v>
      </c>
    </row>
    <row r="130" spans="1:13" x14ac:dyDescent="0.25">
      <c r="A130" s="3" t="s">
        <v>426</v>
      </c>
      <c r="B130" s="291" t="s">
        <v>554</v>
      </c>
    </row>
    <row r="131" spans="1:13" x14ac:dyDescent="0.25">
      <c r="A131" s="3" t="s">
        <v>767</v>
      </c>
      <c r="B131" s="150" t="s">
        <v>769</v>
      </c>
    </row>
    <row r="133" spans="1:13" x14ac:dyDescent="0.25">
      <c r="A133" s="2" t="s">
        <v>100</v>
      </c>
      <c r="B133" s="118"/>
    </row>
    <row r="134" spans="1:13" x14ac:dyDescent="0.25">
      <c r="B134" s="118"/>
    </row>
    <row r="135" spans="1:13" x14ac:dyDescent="0.25">
      <c r="A135" t="s">
        <v>101</v>
      </c>
      <c r="B135" s="118" t="s">
        <v>102</v>
      </c>
    </row>
    <row r="136" spans="1:13" x14ac:dyDescent="0.25">
      <c r="A136" t="s">
        <v>103</v>
      </c>
      <c r="B136" s="118" t="s">
        <v>104</v>
      </c>
    </row>
    <row r="137" spans="1:13" x14ac:dyDescent="0.25">
      <c r="A137" t="s">
        <v>105</v>
      </c>
      <c r="B137" s="120" t="s">
        <v>56</v>
      </c>
    </row>
    <row r="138" spans="1:13" x14ac:dyDescent="0.25">
      <c r="A138" t="s">
        <v>106</v>
      </c>
      <c r="B138" s="120" t="s">
        <v>58</v>
      </c>
    </row>
    <row r="139" spans="1:13" x14ac:dyDescent="0.25">
      <c r="A139" t="s">
        <v>107</v>
      </c>
      <c r="B139" s="118" t="s">
        <v>33</v>
      </c>
    </row>
    <row r="140" spans="1:13" x14ac:dyDescent="0.25">
      <c r="A140" t="s">
        <v>108</v>
      </c>
      <c r="B140" s="118" t="s">
        <v>55</v>
      </c>
    </row>
    <row r="141" spans="1:13" x14ac:dyDescent="0.25">
      <c r="A141" t="s">
        <v>109</v>
      </c>
      <c r="B141" s="118" t="s">
        <v>110</v>
      </c>
    </row>
    <row r="142" spans="1:13" x14ac:dyDescent="0.25">
      <c r="A142" t="s">
        <v>111</v>
      </c>
      <c r="B142" s="118" t="s">
        <v>57</v>
      </c>
    </row>
    <row r="143" spans="1:13" x14ac:dyDescent="0.25">
      <c r="A143" t="s">
        <v>112</v>
      </c>
      <c r="B143" s="118" t="s">
        <v>37</v>
      </c>
    </row>
    <row r="144" spans="1:13" s="3" customFormat="1" x14ac:dyDescent="0.25">
      <c r="A144" t="s">
        <v>412</v>
      </c>
      <c r="B144" s="118" t="s">
        <v>413</v>
      </c>
      <c r="M144" s="290"/>
    </row>
    <row r="145" spans="1:13" s="3" customFormat="1" ht="13.8" x14ac:dyDescent="0.25">
      <c r="A145"/>
      <c r="B145" s="388"/>
      <c r="M145" s="290"/>
    </row>
    <row r="146" spans="1:13" s="3" customFormat="1" x14ac:dyDescent="0.25">
      <c r="A146" s="2" t="s">
        <v>336</v>
      </c>
      <c r="M146" s="290"/>
    </row>
    <row r="147" spans="1:13" s="3" customFormat="1" x14ac:dyDescent="0.25">
      <c r="A147" s="3" t="s">
        <v>337</v>
      </c>
      <c r="B147" s="3" t="s">
        <v>338</v>
      </c>
      <c r="M147" s="290"/>
    </row>
    <row r="148" spans="1:13" s="3" customFormat="1" x14ac:dyDescent="0.25">
      <c r="A148" s="3" t="s">
        <v>339</v>
      </c>
      <c r="B148" s="291" t="s">
        <v>340</v>
      </c>
      <c r="M148" s="290"/>
    </row>
    <row r="149" spans="1:13" x14ac:dyDescent="0.25">
      <c r="A149" s="3" t="s">
        <v>341</v>
      </c>
      <c r="B149" s="3" t="s">
        <v>342</v>
      </c>
    </row>
    <row r="150" spans="1:13" x14ac:dyDescent="0.25">
      <c r="A150" s="3" t="s">
        <v>343</v>
      </c>
      <c r="B150" s="282" t="s">
        <v>344</v>
      </c>
    </row>
    <row r="151" spans="1:13" x14ac:dyDescent="0.25">
      <c r="A151" s="3" t="s">
        <v>951</v>
      </c>
      <c r="B151" s="212" t="s">
        <v>952</v>
      </c>
    </row>
    <row r="152" spans="1:13" x14ac:dyDescent="0.25">
      <c r="A152" s="3" t="s">
        <v>953</v>
      </c>
      <c r="B152" s="212" t="s">
        <v>954</v>
      </c>
    </row>
    <row r="153" spans="1:13" x14ac:dyDescent="0.25">
      <c r="A153" s="3" t="s">
        <v>961</v>
      </c>
      <c r="B153" s="212" t="s">
        <v>964</v>
      </c>
    </row>
    <row r="154" spans="1:13" x14ac:dyDescent="0.25">
      <c r="A154" s="3" t="s">
        <v>962</v>
      </c>
      <c r="B154" s="3" t="s">
        <v>963</v>
      </c>
    </row>
  </sheetData>
  <phoneticPr fontId="0" type="noConversion"/>
  <hyperlinks>
    <hyperlink ref="B150" r:id="rId1" display="http://www.ipcc.ch/ipccreports/assessment-reports.php"/>
    <hyperlink ref="B53" r:id="rId2" display="http://www.ipcc.ch/ipccreports/assessment-reports.php"/>
    <hyperlink ref="B55" r:id="rId3"/>
    <hyperlink ref="B56" r:id="rId4"/>
    <hyperlink ref="B58" r:id="rId5" location="calcresults accessed 19/05/11"/>
    <hyperlink ref="B52" r:id="rId6"/>
    <hyperlink ref="B99" r:id="rId7" display="http://www.ipcc.ch/ipccreports/assessment-reports.php"/>
  </hyperlinks>
  <pageMargins left="0.75" right="0.75" top="1" bottom="1" header="0.5" footer="0.5"/>
  <pageSetup paperSize="9" orientation="portrait" verticalDpi="0" r:id="rId8"/>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271"/>
  <sheetViews>
    <sheetView zoomScaleNormal="100" workbookViewId="0"/>
  </sheetViews>
  <sheetFormatPr defaultColWidth="9.109375" defaultRowHeight="15" customHeight="1" x14ac:dyDescent="0.35"/>
  <cols>
    <col min="1" max="1" width="48.5546875" style="1110" customWidth="1"/>
    <col min="2" max="2" width="105.5546875" style="1110" customWidth="1"/>
    <col min="3" max="3" width="9.33203125" style="1110" customWidth="1"/>
    <col min="4" max="4" width="38.88671875" style="1110" customWidth="1"/>
    <col min="5" max="5" width="26.6640625" style="1111" customWidth="1"/>
    <col min="6" max="6" width="24.109375" style="1112" customWidth="1"/>
    <col min="7" max="7" width="15.5546875" style="1113" customWidth="1"/>
    <col min="8" max="8" width="87" style="1316" customWidth="1"/>
    <col min="9" max="9" width="46" style="1110" hidden="1" customWidth="1"/>
    <col min="10" max="10" width="14" style="1110" customWidth="1"/>
    <col min="11" max="11" width="35.33203125" style="1110" customWidth="1"/>
    <col min="12" max="12" width="6.6640625" style="1110" customWidth="1"/>
    <col min="13" max="13" width="66.6640625" style="1110" customWidth="1"/>
    <col min="14" max="14" width="9.109375" style="1110"/>
    <col min="15" max="15" width="63.109375" style="1110" customWidth="1"/>
    <col min="16" max="16" width="9.109375" style="1110"/>
    <col min="17" max="17" width="70.44140625" style="1110" customWidth="1"/>
    <col min="18" max="18" width="6.5546875" style="1110" customWidth="1"/>
    <col min="19" max="19" width="23.44140625" style="1110" hidden="1" customWidth="1"/>
    <col min="20" max="20" width="57.6640625" style="1110" customWidth="1"/>
    <col min="21" max="21" width="5.109375" style="1110" customWidth="1"/>
    <col min="22" max="22" width="26.88671875" style="1110" customWidth="1"/>
    <col min="23" max="16384" width="9.109375" style="1110"/>
  </cols>
  <sheetData>
    <row r="1" spans="1:49" ht="15" customHeight="1" x14ac:dyDescent="0.35">
      <c r="A1" s="1109" t="s">
        <v>986</v>
      </c>
      <c r="G1" s="1112"/>
    </row>
    <row r="2" spans="1:49" ht="15" customHeight="1" x14ac:dyDescent="0.35">
      <c r="G2" s="1112"/>
    </row>
    <row r="3" spans="1:49" ht="15" customHeight="1" thickBot="1" x14ac:dyDescent="0.4"/>
    <row r="4" spans="1:49" s="1111" customFormat="1" ht="15" customHeight="1" thickBot="1" x14ac:dyDescent="0.3">
      <c r="A4" s="1114" t="s">
        <v>130</v>
      </c>
      <c r="B4" s="1115" t="s">
        <v>131</v>
      </c>
      <c r="C4" s="1115" t="s">
        <v>132</v>
      </c>
      <c r="D4" s="1115" t="s">
        <v>133</v>
      </c>
      <c r="E4" s="1115" t="s">
        <v>134</v>
      </c>
      <c r="F4" s="1116" t="s">
        <v>256</v>
      </c>
      <c r="G4" s="1117" t="s">
        <v>1467</v>
      </c>
      <c r="H4" s="1333" t="s">
        <v>28</v>
      </c>
      <c r="I4" s="1332" t="s">
        <v>1358</v>
      </c>
      <c r="K4" s="1118"/>
      <c r="L4" s="1119"/>
    </row>
    <row r="5" spans="1:49" s="1111" customFormat="1" ht="15" customHeight="1" thickBot="1" x14ac:dyDescent="0.3">
      <c r="A5" s="1120"/>
      <c r="B5" s="1121"/>
      <c r="C5" s="1121"/>
      <c r="D5" s="1121"/>
      <c r="E5" s="1121"/>
      <c r="F5" s="1122"/>
      <c r="G5" s="1123"/>
      <c r="H5" s="1372"/>
      <c r="I5" s="1334"/>
      <c r="J5" s="1119"/>
      <c r="K5" s="1124" t="s">
        <v>469</v>
      </c>
    </row>
    <row r="6" spans="1:49" s="1131" customFormat="1" ht="15" customHeight="1" thickBot="1" x14ac:dyDescent="0.3">
      <c r="A6" s="1125" t="s">
        <v>258</v>
      </c>
      <c r="B6" s="1126"/>
      <c r="C6" s="1127"/>
      <c r="D6" s="1127"/>
      <c r="E6" s="1127"/>
      <c r="F6" s="1128"/>
      <c r="G6" s="1128"/>
      <c r="H6" s="1335"/>
      <c r="I6" s="1334"/>
      <c r="J6" s="1129"/>
      <c r="K6" s="1130" t="s">
        <v>347</v>
      </c>
    </row>
    <row r="7" spans="1:49" ht="15" customHeight="1" thickBot="1" x14ac:dyDescent="0.4">
      <c r="B7" s="1132"/>
      <c r="H7" s="1354"/>
      <c r="I7" s="1344"/>
      <c r="J7" s="1111"/>
      <c r="K7" s="1133" t="s">
        <v>349</v>
      </c>
    </row>
    <row r="8" spans="1:49" ht="15" customHeight="1" x14ac:dyDescent="0.35">
      <c r="A8" s="1134"/>
      <c r="B8" s="1135" t="s">
        <v>456</v>
      </c>
      <c r="C8" s="1136" t="s">
        <v>263</v>
      </c>
      <c r="D8" s="1137" t="s">
        <v>345</v>
      </c>
      <c r="E8" s="1138" t="s">
        <v>346</v>
      </c>
      <c r="F8" s="1523" t="s">
        <v>347</v>
      </c>
      <c r="G8" s="1139" t="s">
        <v>347</v>
      </c>
      <c r="H8" s="1373" t="s">
        <v>468</v>
      </c>
      <c r="I8" s="1371"/>
      <c r="J8" s="1140"/>
      <c r="M8" s="1141" t="s">
        <v>470</v>
      </c>
      <c r="O8" s="1142"/>
    </row>
    <row r="9" spans="1:49" ht="15" customHeight="1" thickBot="1" x14ac:dyDescent="0.4">
      <c r="A9" s="1143"/>
      <c r="B9" s="1144" t="s">
        <v>1138</v>
      </c>
      <c r="C9" s="1145" t="s">
        <v>260</v>
      </c>
      <c r="D9" s="1145" t="s">
        <v>377</v>
      </c>
      <c r="E9" s="1146" t="s">
        <v>1139</v>
      </c>
      <c r="F9" s="1147">
        <v>1</v>
      </c>
      <c r="G9" s="1148">
        <v>1</v>
      </c>
      <c r="H9" s="1374" t="s">
        <v>1140</v>
      </c>
      <c r="I9" s="1371"/>
      <c r="J9" s="1129"/>
      <c r="M9" s="1141"/>
      <c r="O9" s="1118"/>
    </row>
    <row r="10" spans="1:49" s="1131" customFormat="1" ht="48" customHeight="1" x14ac:dyDescent="0.25">
      <c r="A10" s="1143"/>
      <c r="B10" s="1144" t="s">
        <v>457</v>
      </c>
      <c r="C10" s="1145" t="s">
        <v>260</v>
      </c>
      <c r="D10" s="1145" t="s">
        <v>377</v>
      </c>
      <c r="E10" s="1146" t="s">
        <v>1030</v>
      </c>
      <c r="F10" s="1149">
        <v>0</v>
      </c>
      <c r="G10" s="1150">
        <v>0</v>
      </c>
      <c r="H10" s="1512" t="s">
        <v>1854</v>
      </c>
      <c r="I10" s="1371"/>
      <c r="M10" s="1130" t="s">
        <v>257</v>
      </c>
    </row>
    <row r="11" spans="1:49" s="1131" customFormat="1" ht="15" customHeight="1" x14ac:dyDescent="0.25">
      <c r="A11" s="1143"/>
      <c r="B11" s="1151" t="s">
        <v>899</v>
      </c>
      <c r="C11" s="1152" t="s">
        <v>260</v>
      </c>
      <c r="D11" s="1152" t="s">
        <v>377</v>
      </c>
      <c r="E11" s="1153" t="s">
        <v>900</v>
      </c>
      <c r="F11" s="1154">
        <v>1</v>
      </c>
      <c r="G11" s="1155">
        <v>1</v>
      </c>
      <c r="H11" s="1375" t="s">
        <v>901</v>
      </c>
      <c r="I11" s="1371"/>
      <c r="M11" s="1156" t="s">
        <v>259</v>
      </c>
    </row>
    <row r="12" spans="1:49" s="1131" customFormat="1" ht="15" customHeight="1" thickBot="1" x14ac:dyDescent="0.3">
      <c r="A12" s="1143"/>
      <c r="B12" s="1157" t="s">
        <v>458</v>
      </c>
      <c r="C12" s="1158" t="s">
        <v>263</v>
      </c>
      <c r="D12" s="1159" t="s">
        <v>265</v>
      </c>
      <c r="E12" s="1160" t="s">
        <v>266</v>
      </c>
      <c r="F12" s="1522" t="s">
        <v>257</v>
      </c>
      <c r="G12" s="1161" t="s">
        <v>257</v>
      </c>
      <c r="H12" s="1376" t="s">
        <v>267</v>
      </c>
      <c r="I12" s="1371"/>
      <c r="J12" s="1162"/>
      <c r="K12" s="1162"/>
      <c r="L12" s="1162"/>
      <c r="M12" s="1133" t="s">
        <v>262</v>
      </c>
    </row>
    <row r="13" spans="1:49" s="1131" customFormat="1" ht="15" customHeight="1" thickBot="1" x14ac:dyDescent="0.4">
      <c r="A13" s="1163"/>
      <c r="B13" s="1301" t="s">
        <v>459</v>
      </c>
      <c r="C13" s="1164" t="s">
        <v>246</v>
      </c>
      <c r="D13" s="1164" t="s">
        <v>1458</v>
      </c>
      <c r="E13" s="1165" t="s">
        <v>155</v>
      </c>
      <c r="F13" s="1166">
        <v>1</v>
      </c>
      <c r="G13" s="1167">
        <v>1</v>
      </c>
      <c r="H13" s="1377" t="s">
        <v>1459</v>
      </c>
      <c r="I13" s="1343"/>
      <c r="J13" s="1110"/>
    </row>
    <row r="14" spans="1:49" ht="15" customHeight="1" thickBot="1" x14ac:dyDescent="0.4">
      <c r="G14" s="1112"/>
      <c r="H14" s="1354"/>
      <c r="I14" s="1344"/>
      <c r="J14" s="1131"/>
      <c r="K14" s="1384" t="s">
        <v>1884</v>
      </c>
    </row>
    <row r="15" spans="1:49" s="1169" customFormat="1" ht="15" customHeight="1" thickBot="1" x14ac:dyDescent="0.4">
      <c r="A15" s="1508" t="s">
        <v>999</v>
      </c>
      <c r="B15" s="1509"/>
      <c r="C15" s="1509"/>
      <c r="D15" s="1509"/>
      <c r="E15" s="1509"/>
      <c r="F15" s="1510"/>
      <c r="G15" s="1510"/>
      <c r="H15" s="1511"/>
      <c r="I15" s="1343"/>
      <c r="J15" s="1380"/>
      <c r="K15" s="1517" t="s">
        <v>1910</v>
      </c>
      <c r="L15" s="1381"/>
      <c r="M15" s="1381"/>
      <c r="N15" s="1382"/>
      <c r="O15" s="1110"/>
      <c r="P15" s="1110"/>
      <c r="Q15" s="1110"/>
      <c r="R15" s="1110"/>
      <c r="S15" s="1110"/>
      <c r="T15" s="1110"/>
      <c r="U15" s="1110"/>
      <c r="V15" s="1110"/>
      <c r="W15" s="1110"/>
      <c r="X15" s="1110"/>
      <c r="Y15" s="1110"/>
      <c r="Z15" s="1110"/>
      <c r="AA15" s="1110"/>
      <c r="AB15" s="1110"/>
      <c r="AC15" s="1110"/>
      <c r="AD15" s="1110"/>
      <c r="AE15" s="1110"/>
      <c r="AF15" s="1110"/>
      <c r="AG15" s="1110"/>
      <c r="AH15" s="1110"/>
      <c r="AI15" s="1110"/>
      <c r="AJ15" s="1110"/>
      <c r="AK15" s="1110"/>
      <c r="AL15" s="1110"/>
      <c r="AM15" s="1110"/>
      <c r="AN15" s="1110"/>
      <c r="AO15" s="1110"/>
      <c r="AP15" s="1110"/>
      <c r="AQ15" s="1110"/>
      <c r="AR15" s="1110"/>
      <c r="AS15" s="1110"/>
      <c r="AT15" s="1110"/>
      <c r="AU15" s="1110"/>
      <c r="AV15" s="1110"/>
      <c r="AW15" s="1110"/>
    </row>
    <row r="16" spans="1:49" s="1169" customFormat="1" ht="15" customHeight="1" x14ac:dyDescent="0.35">
      <c r="A16" s="1503"/>
      <c r="B16" s="1504"/>
      <c r="C16" s="1503"/>
      <c r="D16" s="1503"/>
      <c r="E16" s="1505"/>
      <c r="F16" s="1506"/>
      <c r="G16" s="1506"/>
      <c r="H16" s="1507"/>
      <c r="I16" s="1332"/>
      <c r="J16" s="1380"/>
      <c r="K16" s="1518" t="s">
        <v>1911</v>
      </c>
      <c r="L16" s="1381"/>
      <c r="M16" s="1381"/>
      <c r="N16" s="1382"/>
      <c r="O16" s="1110"/>
      <c r="P16" s="1110"/>
      <c r="Q16" s="1110"/>
      <c r="R16" s="1110"/>
      <c r="S16" s="1110"/>
      <c r="T16" s="1110"/>
      <c r="U16" s="1110"/>
      <c r="V16" s="1110"/>
      <c r="W16" s="1110"/>
      <c r="X16" s="1110"/>
      <c r="Y16" s="1110"/>
      <c r="Z16" s="1110"/>
      <c r="AA16" s="1110"/>
      <c r="AB16" s="1110"/>
      <c r="AC16" s="1110"/>
      <c r="AD16" s="1110"/>
      <c r="AE16" s="1110"/>
      <c r="AF16" s="1110"/>
      <c r="AG16" s="1110"/>
      <c r="AH16" s="1110"/>
      <c r="AI16" s="1110"/>
      <c r="AJ16" s="1110"/>
      <c r="AK16" s="1110"/>
      <c r="AL16" s="1110"/>
      <c r="AM16" s="1110"/>
      <c r="AN16" s="1110"/>
      <c r="AO16" s="1110"/>
      <c r="AP16" s="1110"/>
      <c r="AQ16" s="1110"/>
      <c r="AR16" s="1110"/>
      <c r="AS16" s="1110"/>
      <c r="AT16" s="1110"/>
      <c r="AU16" s="1110"/>
      <c r="AV16" s="1110"/>
      <c r="AW16" s="1110"/>
    </row>
    <row r="17" spans="1:55" s="1514" customFormat="1" ht="33" customHeight="1" thickBot="1" x14ac:dyDescent="0.3">
      <c r="A17" s="1183" t="s">
        <v>999</v>
      </c>
      <c r="B17" s="1182" t="s">
        <v>1877</v>
      </c>
      <c r="C17" s="1183" t="s">
        <v>263</v>
      </c>
      <c r="D17" s="1191" t="s">
        <v>1909</v>
      </c>
      <c r="E17" s="1515" t="s">
        <v>1883</v>
      </c>
      <c r="F17" s="1521" t="s">
        <v>1910</v>
      </c>
      <c r="G17" s="1175"/>
      <c r="H17" s="1524" t="s">
        <v>1885</v>
      </c>
      <c r="I17" s="1332"/>
      <c r="J17" s="1520"/>
      <c r="K17" s="1519" t="s">
        <v>1912</v>
      </c>
      <c r="L17" s="1391"/>
      <c r="M17" s="1391"/>
      <c r="N17" s="1513"/>
      <c r="O17" s="1111"/>
      <c r="P17" s="1111"/>
      <c r="Q17" s="1111"/>
      <c r="R17" s="1111"/>
      <c r="S17" s="1111"/>
      <c r="T17" s="1111"/>
      <c r="U17" s="1111"/>
      <c r="V17" s="1111"/>
      <c r="W17" s="1111"/>
      <c r="X17" s="1111"/>
      <c r="Y17" s="1111"/>
      <c r="Z17" s="1111"/>
      <c r="AA17" s="1111"/>
      <c r="AB17" s="1111"/>
      <c r="AC17" s="1111"/>
      <c r="AD17" s="1111"/>
      <c r="AE17" s="1111"/>
      <c r="AF17" s="1111"/>
      <c r="AG17" s="1111"/>
      <c r="AH17" s="1111"/>
      <c r="AI17" s="1111"/>
      <c r="AJ17" s="1111"/>
      <c r="AK17" s="1111"/>
      <c r="AL17" s="1111"/>
      <c r="AM17" s="1111"/>
      <c r="AN17" s="1111"/>
      <c r="AO17" s="1111"/>
      <c r="AP17" s="1111"/>
      <c r="AQ17" s="1111"/>
      <c r="AR17" s="1111"/>
      <c r="AS17" s="1111"/>
      <c r="AT17" s="1111"/>
      <c r="AU17" s="1111"/>
      <c r="AV17" s="1111"/>
      <c r="AW17" s="1111"/>
    </row>
    <row r="18" spans="1:55" s="1176" customFormat="1" ht="31.5" customHeight="1" x14ac:dyDescent="0.35">
      <c r="A18" s="1168" t="s">
        <v>999</v>
      </c>
      <c r="B18" s="1170" t="s">
        <v>1878</v>
      </c>
      <c r="C18" s="1171" t="s">
        <v>246</v>
      </c>
      <c r="D18" s="1172" t="s">
        <v>1000</v>
      </c>
      <c r="E18" s="1173" t="s">
        <v>1001</v>
      </c>
      <c r="F18" s="1502">
        <v>20000</v>
      </c>
      <c r="G18" s="1175">
        <v>20000</v>
      </c>
      <c r="H18" s="1177" t="s">
        <v>1018</v>
      </c>
      <c r="I18" s="1342"/>
      <c r="J18" s="1381"/>
      <c r="L18" s="1382"/>
      <c r="M18" s="1110"/>
      <c r="N18" s="1110"/>
      <c r="O18" s="1110"/>
      <c r="P18" s="1110"/>
      <c r="Q18" s="1110"/>
      <c r="R18" s="1110"/>
      <c r="S18" s="1110"/>
      <c r="T18" s="1110"/>
      <c r="U18" s="1110"/>
      <c r="V18" s="1110"/>
      <c r="W18" s="1110"/>
      <c r="X18" s="1110"/>
      <c r="Y18" s="1110"/>
      <c r="Z18" s="1110"/>
      <c r="AA18" s="1110"/>
      <c r="AB18" s="1110"/>
      <c r="AC18" s="1110"/>
      <c r="AD18" s="1110"/>
      <c r="AE18" s="1110"/>
      <c r="AF18" s="1110"/>
      <c r="AG18" s="1110"/>
      <c r="AH18" s="1110"/>
      <c r="AI18" s="1110"/>
      <c r="AJ18" s="1110"/>
      <c r="AK18" s="1110"/>
      <c r="AL18" s="1110"/>
      <c r="AM18" s="1110"/>
      <c r="AN18" s="1110"/>
      <c r="AO18" s="1110"/>
      <c r="AP18" s="1110"/>
      <c r="AQ18" s="1110"/>
      <c r="AR18" s="1110"/>
      <c r="AS18" s="1110"/>
      <c r="AT18" s="1110"/>
      <c r="AU18" s="1110"/>
      <c r="AV18" s="1110"/>
      <c r="AW18" s="1110"/>
    </row>
    <row r="19" spans="1:55" s="1176" customFormat="1" ht="15" customHeight="1" thickBot="1" x14ac:dyDescent="0.4">
      <c r="A19" s="1168" t="s">
        <v>999</v>
      </c>
      <c r="B19" s="1170" t="s">
        <v>1041</v>
      </c>
      <c r="C19" s="1171" t="s">
        <v>246</v>
      </c>
      <c r="D19" s="1172" t="s">
        <v>1002</v>
      </c>
      <c r="E19" s="1173" t="s">
        <v>1003</v>
      </c>
      <c r="F19" s="1174">
        <v>15</v>
      </c>
      <c r="G19" s="1175">
        <v>15</v>
      </c>
      <c r="H19" s="1177" t="s">
        <v>1419</v>
      </c>
      <c r="I19" s="1343" t="s">
        <v>1421</v>
      </c>
      <c r="J19" s="1196"/>
      <c r="K19" s="1516" t="s">
        <v>1522</v>
      </c>
      <c r="L19" s="1382"/>
      <c r="M19" s="1110"/>
      <c r="N19" s="1110"/>
      <c r="O19" s="1110"/>
      <c r="P19" s="1110"/>
      <c r="Q19" s="1110"/>
      <c r="R19" s="1110"/>
      <c r="S19" s="1110"/>
      <c r="T19" s="1110"/>
      <c r="U19" s="1110"/>
      <c r="V19" s="1110"/>
      <c r="W19" s="1110"/>
      <c r="X19" s="1110"/>
      <c r="Y19" s="1110"/>
      <c r="Z19" s="1110"/>
      <c r="AA19" s="1110"/>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row>
    <row r="20" spans="1:55" s="1176" customFormat="1" ht="15" customHeight="1" x14ac:dyDescent="0.35">
      <c r="A20" s="1168" t="s">
        <v>999</v>
      </c>
      <c r="B20" s="1170" t="s">
        <v>1879</v>
      </c>
      <c r="C20" s="1171" t="s">
        <v>246</v>
      </c>
      <c r="D20" s="1172" t="s">
        <v>1024</v>
      </c>
      <c r="E20" s="1173" t="s">
        <v>1004</v>
      </c>
      <c r="F20" s="1178">
        <v>15</v>
      </c>
      <c r="G20" s="1179">
        <v>15</v>
      </c>
      <c r="H20" s="1177" t="s">
        <v>1359</v>
      </c>
      <c r="I20" s="1342" t="s">
        <v>1015</v>
      </c>
      <c r="J20" s="1196"/>
      <c r="K20" s="1517" t="s">
        <v>1197</v>
      </c>
      <c r="L20" s="1383"/>
      <c r="M20" s="1110"/>
      <c r="N20" s="1110"/>
      <c r="O20" s="1110"/>
      <c r="P20" s="1110"/>
      <c r="Q20" s="1110"/>
      <c r="R20" s="1110"/>
      <c r="S20" s="1110"/>
      <c r="T20" s="1110"/>
      <c r="U20" s="1110"/>
      <c r="V20" s="1110"/>
      <c r="W20" s="1110"/>
      <c r="X20" s="1110"/>
      <c r="Y20" s="1110"/>
      <c r="Z20" s="1110"/>
      <c r="AA20" s="1110"/>
      <c r="AB20" s="1110"/>
      <c r="AC20" s="1110"/>
      <c r="AD20" s="1110"/>
      <c r="AE20" s="1110"/>
      <c r="AF20" s="1110"/>
      <c r="AG20" s="1110"/>
      <c r="AH20" s="1110"/>
      <c r="AI20" s="1110"/>
      <c r="AJ20" s="1110"/>
      <c r="AK20" s="1110"/>
      <c r="AL20" s="1110"/>
      <c r="AM20" s="1110"/>
      <c r="AN20" s="1110"/>
      <c r="AO20" s="1110"/>
      <c r="AP20" s="1110"/>
      <c r="AQ20" s="1110"/>
      <c r="AR20" s="1110"/>
      <c r="AS20" s="1110"/>
      <c r="AT20" s="1110"/>
      <c r="AU20" s="1110"/>
      <c r="AV20" s="1110"/>
      <c r="AW20" s="1110"/>
    </row>
    <row r="21" spans="1:55" s="1176" customFormat="1" ht="15" customHeight="1" x14ac:dyDescent="0.35">
      <c r="A21" s="1168" t="s">
        <v>999</v>
      </c>
      <c r="B21" s="1170" t="s">
        <v>1880</v>
      </c>
      <c r="C21" s="1171" t="s">
        <v>246</v>
      </c>
      <c r="D21" s="1172" t="s">
        <v>38</v>
      </c>
      <c r="E21" s="1173" t="s">
        <v>1471</v>
      </c>
      <c r="F21" s="1178">
        <v>25</v>
      </c>
      <c r="G21" s="1179">
        <v>25</v>
      </c>
      <c r="H21" s="1177" t="s">
        <v>1023</v>
      </c>
      <c r="I21" s="1342"/>
      <c r="J21" s="1196"/>
      <c r="K21" s="1518" t="s">
        <v>1195</v>
      </c>
      <c r="L21" s="1383"/>
      <c r="M21" s="1110"/>
      <c r="N21" s="1110"/>
      <c r="O21" s="1110"/>
      <c r="P21" s="1110"/>
      <c r="Q21" s="1110"/>
      <c r="R21" s="1110"/>
      <c r="S21" s="1110"/>
      <c r="T21" s="1110"/>
      <c r="U21" s="1110"/>
      <c r="V21" s="1110"/>
      <c r="W21" s="1110"/>
      <c r="X21" s="1110"/>
      <c r="Y21" s="1110"/>
      <c r="Z21" s="1110"/>
      <c r="AA21" s="1110"/>
      <c r="AB21" s="1110"/>
      <c r="AC21" s="1110"/>
      <c r="AD21" s="1110"/>
      <c r="AE21" s="1110"/>
      <c r="AF21" s="1110"/>
      <c r="AG21" s="1110"/>
      <c r="AH21" s="1110"/>
      <c r="AI21" s="1110"/>
      <c r="AJ21" s="1110"/>
      <c r="AK21" s="1110"/>
      <c r="AL21" s="1110"/>
      <c r="AM21" s="1110"/>
      <c r="AN21" s="1110"/>
      <c r="AO21" s="1110"/>
      <c r="AP21" s="1110"/>
      <c r="AQ21" s="1110"/>
      <c r="AR21" s="1110"/>
      <c r="AS21" s="1110"/>
      <c r="AT21" s="1110"/>
      <c r="AU21" s="1110"/>
      <c r="AV21" s="1110"/>
      <c r="AW21" s="1110"/>
    </row>
    <row r="22" spans="1:55" s="1176" customFormat="1" ht="15" customHeight="1" thickBot="1" x14ac:dyDescent="0.4">
      <c r="A22" s="1168" t="s">
        <v>999</v>
      </c>
      <c r="B22" s="1170" t="s">
        <v>1881</v>
      </c>
      <c r="C22" s="1171" t="s">
        <v>246</v>
      </c>
      <c r="D22" s="1172" t="s">
        <v>38</v>
      </c>
      <c r="E22" s="1173" t="s">
        <v>1472</v>
      </c>
      <c r="F22" s="1178">
        <v>10</v>
      </c>
      <c r="G22" s="1179">
        <v>10</v>
      </c>
      <c r="H22" s="1177" t="s">
        <v>1473</v>
      </c>
      <c r="I22" s="1342"/>
      <c r="J22" s="1196"/>
      <c r="K22" s="1518" t="s">
        <v>1196</v>
      </c>
      <c r="L22" s="1383"/>
      <c r="M22" s="1384" t="s">
        <v>1219</v>
      </c>
      <c r="N22" s="1110"/>
      <c r="O22" s="1110"/>
      <c r="P22" s="1110"/>
      <c r="Q22" s="1110"/>
      <c r="R22" s="1110"/>
      <c r="S22" s="1110"/>
      <c r="T22" s="1110"/>
      <c r="U22" s="1110"/>
      <c r="V22" s="1110"/>
      <c r="W22" s="1110"/>
      <c r="X22" s="1110"/>
      <c r="Y22" s="1110"/>
      <c r="Z22" s="1110"/>
      <c r="AA22" s="1110"/>
      <c r="AB22" s="1110"/>
      <c r="AC22" s="1110"/>
      <c r="AD22" s="1110"/>
      <c r="AE22" s="1110"/>
      <c r="AF22" s="1110"/>
      <c r="AG22" s="1110"/>
      <c r="AH22" s="1110"/>
      <c r="AI22" s="1110"/>
      <c r="AJ22" s="1110"/>
      <c r="AK22" s="1110"/>
      <c r="AL22" s="1110"/>
      <c r="AM22" s="1110"/>
      <c r="AN22" s="1110"/>
      <c r="AO22" s="1110"/>
      <c r="AP22" s="1110"/>
      <c r="AQ22" s="1110"/>
      <c r="AR22" s="1110"/>
      <c r="AS22" s="1110"/>
      <c r="AT22" s="1110"/>
      <c r="AU22" s="1110"/>
      <c r="AV22" s="1110"/>
      <c r="AW22" s="1110"/>
    </row>
    <row r="23" spans="1:55" s="1176" customFormat="1" ht="15" customHeight="1" thickBot="1" x14ac:dyDescent="0.4">
      <c r="A23" s="1168" t="s">
        <v>999</v>
      </c>
      <c r="B23" s="1182" t="s">
        <v>1882</v>
      </c>
      <c r="C23" s="1183" t="s">
        <v>246</v>
      </c>
      <c r="D23" s="1184" t="s">
        <v>481</v>
      </c>
      <c r="E23" s="1185" t="s">
        <v>1005</v>
      </c>
      <c r="F23" s="1186">
        <v>73.5</v>
      </c>
      <c r="G23" s="1187">
        <v>73.5</v>
      </c>
      <c r="H23" s="1177" t="s">
        <v>1462</v>
      </c>
      <c r="I23" s="1342" t="s">
        <v>1016</v>
      </c>
      <c r="J23" s="1119"/>
      <c r="K23" s="1519" t="s">
        <v>1194</v>
      </c>
      <c r="L23" s="1383"/>
      <c r="M23" s="1189" t="s">
        <v>1208</v>
      </c>
      <c r="N23" s="1110"/>
      <c r="O23" s="1190" t="s">
        <v>1220</v>
      </c>
      <c r="P23" s="1110"/>
      <c r="Q23" s="1110"/>
      <c r="R23" s="1110"/>
      <c r="S23" s="1110"/>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pans="1:55" s="1176" customFormat="1" ht="15" customHeight="1" thickBot="1" x14ac:dyDescent="0.4">
      <c r="A24" s="1168" t="s">
        <v>999</v>
      </c>
      <c r="B24" s="1168" t="s">
        <v>1191</v>
      </c>
      <c r="C24" s="1168" t="s">
        <v>263</v>
      </c>
      <c r="D24" s="1191" t="s">
        <v>1192</v>
      </c>
      <c r="E24" s="1192" t="s">
        <v>1193</v>
      </c>
      <c r="F24" s="1193" t="s">
        <v>1197</v>
      </c>
      <c r="G24" s="1194" t="s">
        <v>1197</v>
      </c>
      <c r="H24" s="1177" t="s">
        <v>1464</v>
      </c>
      <c r="I24" s="1343"/>
      <c r="J24" s="1195"/>
      <c r="K24" s="1196"/>
      <c r="L24" s="1180"/>
      <c r="M24" s="1197" t="s">
        <v>1221</v>
      </c>
      <c r="N24" s="1110"/>
      <c r="O24" s="1189" t="s">
        <v>1213</v>
      </c>
      <c r="P24" s="1110"/>
      <c r="Q24" s="1190" t="s">
        <v>1222</v>
      </c>
      <c r="R24" s="1110"/>
      <c r="S24" s="1110"/>
      <c r="T24" s="1110"/>
      <c r="U24" s="1110"/>
      <c r="V24" s="1110"/>
      <c r="W24" s="1110"/>
      <c r="X24" s="1110"/>
      <c r="Y24" s="1110"/>
      <c r="Z24" s="1110"/>
      <c r="AA24" s="1110"/>
      <c r="AB24" s="1110"/>
      <c r="AC24" s="1110"/>
      <c r="AD24" s="1110"/>
      <c r="AE24" s="1110"/>
      <c r="AF24" s="1110"/>
      <c r="AG24" s="1110"/>
      <c r="AH24" s="1110"/>
      <c r="AI24" s="1110"/>
      <c r="AJ24" s="1110"/>
      <c r="AK24" s="1110"/>
      <c r="AL24" s="1110"/>
      <c r="AM24" s="1110"/>
      <c r="AN24" s="1110"/>
      <c r="AO24" s="1110"/>
      <c r="AP24" s="1110"/>
      <c r="AQ24" s="1110"/>
      <c r="AR24" s="1110"/>
      <c r="AS24" s="1110"/>
    </row>
    <row r="25" spans="1:55" s="1176" customFormat="1" ht="15" customHeight="1" thickBot="1" x14ac:dyDescent="0.4">
      <c r="A25" s="1168" t="s">
        <v>999</v>
      </c>
      <c r="B25" s="1168" t="s">
        <v>1205</v>
      </c>
      <c r="C25" s="1168" t="s">
        <v>263</v>
      </c>
      <c r="D25" s="1191" t="s">
        <v>1206</v>
      </c>
      <c r="E25" s="1192" t="s">
        <v>1207</v>
      </c>
      <c r="F25" s="1193" t="s">
        <v>1208</v>
      </c>
      <c r="G25" s="1194" t="s">
        <v>1208</v>
      </c>
      <c r="H25" s="1378" t="s">
        <v>1209</v>
      </c>
      <c r="I25" s="1343"/>
      <c r="J25" s="1198"/>
      <c r="K25" s="1199"/>
      <c r="L25" s="1200"/>
      <c r="M25" s="1201"/>
      <c r="N25" s="1201"/>
      <c r="O25" s="1202" t="s">
        <v>1223</v>
      </c>
      <c r="P25" s="1196"/>
      <c r="Q25" s="1189" t="s">
        <v>1208</v>
      </c>
      <c r="R25" s="1110"/>
      <c r="S25" s="1110"/>
      <c r="T25" s="1181" t="s">
        <v>1224</v>
      </c>
      <c r="U25" s="1110"/>
      <c r="V25" s="1110"/>
      <c r="W25" s="1110"/>
      <c r="X25" s="1110"/>
      <c r="Y25" s="1110"/>
      <c r="Z25" s="1110"/>
      <c r="AA25" s="1110"/>
      <c r="AB25" s="1110"/>
      <c r="AC25" s="1110"/>
      <c r="AD25" s="1110"/>
      <c r="AE25" s="1110"/>
      <c r="AF25" s="1110"/>
      <c r="AG25" s="1110"/>
      <c r="AH25" s="1110"/>
      <c r="AI25" s="1110"/>
      <c r="AJ25" s="1110"/>
      <c r="AK25" s="1110"/>
      <c r="AL25" s="1110"/>
      <c r="AM25" s="1110"/>
      <c r="AN25" s="1110"/>
      <c r="AO25" s="1110"/>
      <c r="AP25" s="1110"/>
      <c r="AQ25" s="1110"/>
      <c r="AR25" s="1110"/>
      <c r="AS25" s="1110"/>
    </row>
    <row r="26" spans="1:55" s="1176" customFormat="1" ht="15" customHeight="1" thickBot="1" x14ac:dyDescent="0.4">
      <c r="A26" s="1168"/>
      <c r="B26" s="1168" t="s">
        <v>1210</v>
      </c>
      <c r="C26" s="1168" t="s">
        <v>263</v>
      </c>
      <c r="D26" s="1191" t="s">
        <v>1211</v>
      </c>
      <c r="E26" s="1192" t="s">
        <v>1212</v>
      </c>
      <c r="F26" s="1193" t="s">
        <v>1213</v>
      </c>
      <c r="G26" s="1194" t="s">
        <v>1213</v>
      </c>
      <c r="H26" s="1378" t="s">
        <v>1214</v>
      </c>
      <c r="I26" s="1343"/>
      <c r="J26" s="1198"/>
      <c r="K26" s="1199"/>
      <c r="L26" s="1200"/>
      <c r="M26" s="1201"/>
      <c r="N26" s="1201"/>
      <c r="O26" s="1203"/>
      <c r="P26" s="1201"/>
      <c r="Q26" s="1202" t="s">
        <v>1221</v>
      </c>
      <c r="R26" s="1196"/>
      <c r="S26" s="1110"/>
      <c r="T26" s="1204" t="s">
        <v>1208</v>
      </c>
      <c r="U26" s="1110"/>
      <c r="V26" s="1110"/>
      <c r="W26" s="1110"/>
      <c r="X26" s="1110"/>
      <c r="Y26" s="1110"/>
      <c r="Z26" s="1110"/>
      <c r="AA26" s="1110"/>
      <c r="AB26" s="1110"/>
      <c r="AC26" s="1110"/>
      <c r="AD26" s="1110"/>
      <c r="AE26" s="1110"/>
      <c r="AF26" s="1110"/>
      <c r="AG26" s="1110"/>
      <c r="AH26" s="1110"/>
      <c r="AI26" s="1110"/>
      <c r="AJ26" s="1110"/>
      <c r="AK26" s="1110"/>
      <c r="AL26" s="1110"/>
      <c r="AM26" s="1110"/>
      <c r="AN26" s="1110"/>
      <c r="AO26" s="1110"/>
      <c r="AP26" s="1110"/>
      <c r="AQ26" s="1110"/>
      <c r="AR26" s="1110"/>
      <c r="AS26" s="1110"/>
    </row>
    <row r="27" spans="1:55" s="1176" customFormat="1" ht="15" customHeight="1" thickBot="1" x14ac:dyDescent="0.4">
      <c r="A27" s="1168"/>
      <c r="B27" s="1168" t="s">
        <v>1215</v>
      </c>
      <c r="C27" s="1168" t="s">
        <v>263</v>
      </c>
      <c r="D27" s="1191" t="s">
        <v>1206</v>
      </c>
      <c r="E27" s="1192" t="s">
        <v>1216</v>
      </c>
      <c r="F27" s="1193" t="s">
        <v>1208</v>
      </c>
      <c r="G27" s="1194" t="s">
        <v>1208</v>
      </c>
      <c r="H27" s="1378" t="s">
        <v>1209</v>
      </c>
      <c r="I27" s="1343"/>
      <c r="J27" s="1198"/>
      <c r="K27" s="1199"/>
      <c r="L27" s="1200"/>
      <c r="M27" s="1201"/>
      <c r="N27" s="1201"/>
      <c r="O27" s="1203"/>
      <c r="P27" s="1201"/>
      <c r="Q27" s="1201"/>
      <c r="R27" s="1201"/>
      <c r="S27" s="1110"/>
      <c r="T27" s="1197" t="s">
        <v>1221</v>
      </c>
      <c r="U27" s="1110"/>
      <c r="V27" s="1110"/>
      <c r="W27" s="1110"/>
      <c r="X27" s="1110"/>
      <c r="Y27" s="1110"/>
      <c r="Z27" s="1110"/>
      <c r="AA27" s="1110"/>
      <c r="AB27" s="1110"/>
      <c r="AC27" s="1110"/>
      <c r="AD27" s="1110"/>
      <c r="AE27" s="1110"/>
      <c r="AF27" s="1110"/>
      <c r="AG27" s="1110"/>
      <c r="AH27" s="1110"/>
      <c r="AI27" s="1110"/>
      <c r="AJ27" s="1110"/>
      <c r="AK27" s="1110"/>
      <c r="AL27" s="1110"/>
      <c r="AM27" s="1110"/>
      <c r="AN27" s="1110"/>
      <c r="AO27" s="1110"/>
      <c r="AP27" s="1110"/>
      <c r="AQ27" s="1110"/>
      <c r="AR27" s="1110"/>
      <c r="AS27" s="1110"/>
    </row>
    <row r="28" spans="1:55" s="1176" customFormat="1" ht="15" customHeight="1" thickBot="1" x14ac:dyDescent="0.4">
      <c r="A28" s="1168" t="s">
        <v>999</v>
      </c>
      <c r="B28" s="1168" t="s">
        <v>1217</v>
      </c>
      <c r="C28" s="1168" t="s">
        <v>263</v>
      </c>
      <c r="D28" s="1191" t="s">
        <v>1206</v>
      </c>
      <c r="E28" s="1192" t="s">
        <v>1218</v>
      </c>
      <c r="F28" s="1193" t="s">
        <v>1208</v>
      </c>
      <c r="G28" s="1194" t="s">
        <v>1208</v>
      </c>
      <c r="H28" s="1378" t="s">
        <v>1209</v>
      </c>
      <c r="I28" s="1343"/>
      <c r="J28" s="1188"/>
      <c r="K28" s="1393"/>
      <c r="L28" s="1200"/>
      <c r="M28" s="1393"/>
      <c r="N28" s="1394"/>
      <c r="O28" s="1205" t="s">
        <v>1523</v>
      </c>
      <c r="P28" s="1196"/>
      <c r="Q28" s="1118"/>
      <c r="R28" s="1196"/>
      <c r="S28" s="1196"/>
      <c r="T28" s="1386"/>
      <c r="U28" s="1110"/>
      <c r="V28" s="1110"/>
      <c r="W28" s="1110"/>
      <c r="X28" s="1110"/>
      <c r="Y28" s="1110"/>
      <c r="Z28" s="1110"/>
      <c r="AA28" s="1110"/>
      <c r="AB28" s="1110"/>
      <c r="AC28" s="1110"/>
      <c r="AD28" s="1110"/>
      <c r="AE28" s="1110"/>
      <c r="AF28" s="1110"/>
      <c r="AG28" s="1110"/>
      <c r="AH28" s="1110"/>
      <c r="AI28" s="1110"/>
      <c r="AJ28" s="1110"/>
      <c r="AK28" s="1110"/>
      <c r="AL28" s="1110"/>
      <c r="AM28" s="1110"/>
      <c r="AN28" s="1110"/>
      <c r="AO28" s="1110"/>
      <c r="AP28" s="1110"/>
    </row>
    <row r="29" spans="1:55" s="1176" customFormat="1" ht="15" customHeight="1" x14ac:dyDescent="0.35">
      <c r="A29" s="1168" t="s">
        <v>999</v>
      </c>
      <c r="B29" s="1168" t="s">
        <v>1198</v>
      </c>
      <c r="C29" s="1168" t="s">
        <v>263</v>
      </c>
      <c r="D29" s="1191" t="s">
        <v>1199</v>
      </c>
      <c r="E29" s="1206" t="s">
        <v>1200</v>
      </c>
      <c r="F29" s="1207" t="s">
        <v>1204</v>
      </c>
      <c r="G29" s="1208" t="s">
        <v>1204</v>
      </c>
      <c r="H29" s="1378" t="s">
        <v>1463</v>
      </c>
      <c r="I29" s="1343"/>
      <c r="J29" s="1387"/>
      <c r="K29" s="1110"/>
      <c r="L29" s="1383"/>
      <c r="M29" s="1110"/>
      <c r="N29" s="1196"/>
      <c r="O29" s="1388" t="s">
        <v>1201</v>
      </c>
      <c r="P29" s="1196"/>
      <c r="Q29" s="1118"/>
      <c r="R29" s="1196"/>
      <c r="S29" s="1196"/>
      <c r="T29" s="1385"/>
      <c r="U29" s="1110"/>
      <c r="V29" s="1110"/>
      <c r="W29" s="1110"/>
      <c r="X29" s="1110"/>
      <c r="Y29" s="1110"/>
      <c r="Z29" s="1110"/>
      <c r="AA29" s="1110"/>
      <c r="AB29" s="1110"/>
      <c r="AC29" s="1110"/>
      <c r="AD29" s="1110"/>
      <c r="AE29" s="1110"/>
      <c r="AF29" s="1110"/>
      <c r="AG29" s="1110"/>
      <c r="AH29" s="1110"/>
      <c r="AI29" s="1110"/>
      <c r="AJ29" s="1110"/>
      <c r="AK29" s="1110"/>
      <c r="AL29" s="1110"/>
      <c r="AM29" s="1110"/>
      <c r="AN29" s="1110"/>
      <c r="AO29" s="1110"/>
      <c r="AP29" s="1110"/>
      <c r="AQ29" s="1110"/>
      <c r="AR29" s="1110"/>
      <c r="AS29" s="1110"/>
      <c r="AT29" s="1110"/>
      <c r="AU29" s="1110"/>
      <c r="AV29" s="1110"/>
      <c r="AW29" s="1110"/>
      <c r="AX29" s="1110"/>
      <c r="AY29" s="1110"/>
      <c r="AZ29" s="1110"/>
      <c r="BA29" s="1110"/>
      <c r="BB29" s="1110"/>
      <c r="BC29" s="1110"/>
    </row>
    <row r="30" spans="1:55" s="1176" customFormat="1" ht="15" customHeight="1" thickBot="1" x14ac:dyDescent="0.4">
      <c r="A30" s="1168" t="s">
        <v>999</v>
      </c>
      <c r="B30" s="1168" t="s">
        <v>1360</v>
      </c>
      <c r="C30" s="1168" t="s">
        <v>246</v>
      </c>
      <c r="D30" s="1191" t="s">
        <v>1361</v>
      </c>
      <c r="E30" s="1206" t="s">
        <v>1362</v>
      </c>
      <c r="F30" s="1186">
        <v>7</v>
      </c>
      <c r="G30" s="1187">
        <v>7</v>
      </c>
      <c r="H30" s="1378" t="s">
        <v>1466</v>
      </c>
      <c r="I30" s="1343"/>
      <c r="J30" s="1392"/>
      <c r="K30" s="1201"/>
      <c r="L30" s="1395"/>
      <c r="M30" s="1382" t="s">
        <v>1524</v>
      </c>
      <c r="N30" s="1196"/>
      <c r="O30" s="1389" t="s">
        <v>1202</v>
      </c>
      <c r="P30" s="1196"/>
      <c r="Q30" s="1118"/>
      <c r="R30" s="1196"/>
      <c r="S30" s="1196"/>
      <c r="U30" s="1110"/>
      <c r="V30" s="1110"/>
      <c r="W30" s="1110"/>
      <c r="X30" s="1110"/>
      <c r="Y30" s="1110"/>
      <c r="Z30" s="1110"/>
      <c r="AA30" s="1110"/>
      <c r="AB30" s="1110"/>
      <c r="AC30" s="1110"/>
      <c r="AD30" s="1110"/>
      <c r="AE30" s="1110"/>
      <c r="AF30" s="1110"/>
      <c r="AG30" s="1110"/>
      <c r="AH30" s="1110"/>
      <c r="AI30" s="1110"/>
      <c r="AJ30" s="1110"/>
      <c r="AK30" s="1110"/>
      <c r="AL30" s="1110"/>
      <c r="AM30" s="1110"/>
      <c r="AN30" s="1110"/>
      <c r="AO30" s="1110"/>
      <c r="AP30" s="1110"/>
      <c r="AQ30" s="1110"/>
      <c r="AR30" s="1110"/>
      <c r="AS30" s="1110"/>
      <c r="AT30" s="1110"/>
      <c r="AU30" s="1110"/>
      <c r="AV30" s="1110"/>
      <c r="AW30" s="1110"/>
      <c r="AX30" s="1110"/>
      <c r="AY30" s="1110"/>
      <c r="AZ30" s="1110"/>
      <c r="BA30" s="1110"/>
      <c r="BB30" s="1110"/>
      <c r="BC30" s="1110"/>
    </row>
    <row r="31" spans="1:55" s="1176" customFormat="1" ht="15" customHeight="1" x14ac:dyDescent="0.35">
      <c r="A31" s="1168" t="s">
        <v>999</v>
      </c>
      <c r="B31" s="1168" t="s">
        <v>1330</v>
      </c>
      <c r="C31" s="1168" t="s">
        <v>263</v>
      </c>
      <c r="D31" s="1191" t="s">
        <v>1347</v>
      </c>
      <c r="E31" s="1206" t="s">
        <v>1331</v>
      </c>
      <c r="F31" s="1207" t="s">
        <v>1393</v>
      </c>
      <c r="G31" s="1208" t="s">
        <v>1297</v>
      </c>
      <c r="H31" s="1378" t="s">
        <v>1350</v>
      </c>
      <c r="I31" s="1343"/>
      <c r="J31" s="1119"/>
      <c r="K31" s="1110"/>
      <c r="L31" s="1383"/>
      <c r="M31" s="1388" t="s">
        <v>1391</v>
      </c>
      <c r="N31" s="1196"/>
      <c r="O31" s="1389" t="s">
        <v>1203</v>
      </c>
      <c r="P31" s="1196"/>
      <c r="Q31" s="1196"/>
      <c r="R31" s="1196"/>
      <c r="S31" s="1196"/>
      <c r="U31" s="1110"/>
      <c r="V31" s="1110"/>
      <c r="W31" s="1110"/>
      <c r="X31" s="1110"/>
      <c r="Y31" s="1110"/>
      <c r="Z31" s="1110"/>
      <c r="AA31" s="1110"/>
      <c r="AB31" s="1110"/>
      <c r="AC31" s="1110"/>
      <c r="AD31" s="1110"/>
      <c r="AE31" s="1110"/>
      <c r="AF31" s="1110"/>
      <c r="AG31" s="1110"/>
      <c r="AH31" s="1110"/>
      <c r="AI31" s="1110"/>
      <c r="AJ31" s="1110"/>
      <c r="AK31" s="1110"/>
      <c r="AL31" s="1110"/>
      <c r="AM31" s="1110"/>
      <c r="AN31" s="1110"/>
      <c r="AO31" s="1110"/>
      <c r="AP31" s="1110"/>
      <c r="AQ31" s="1110"/>
      <c r="AR31" s="1110"/>
      <c r="AS31" s="1110"/>
      <c r="AT31" s="1110"/>
      <c r="AU31" s="1110"/>
      <c r="AV31" s="1110"/>
      <c r="AW31" s="1110"/>
      <c r="AX31" s="1110"/>
      <c r="AY31" s="1110"/>
      <c r="AZ31" s="1110"/>
      <c r="BA31" s="1110"/>
      <c r="BB31" s="1110"/>
      <c r="BC31" s="1110"/>
    </row>
    <row r="32" spans="1:55" s="1176" customFormat="1" ht="15" customHeight="1" x14ac:dyDescent="0.35">
      <c r="A32" s="1168" t="s">
        <v>999</v>
      </c>
      <c r="B32" s="1168" t="s">
        <v>1363</v>
      </c>
      <c r="C32" s="1168" t="s">
        <v>246</v>
      </c>
      <c r="D32" s="1191" t="s">
        <v>1365</v>
      </c>
      <c r="E32" s="1206" t="s">
        <v>1364</v>
      </c>
      <c r="F32" s="1186">
        <v>105</v>
      </c>
      <c r="G32" s="1187">
        <v>105</v>
      </c>
      <c r="H32" s="1378" t="s">
        <v>1465</v>
      </c>
      <c r="I32" s="1343"/>
      <c r="J32" s="1119"/>
      <c r="K32" s="1110"/>
      <c r="L32" s="1383"/>
      <c r="M32" s="1389" t="s">
        <v>1392</v>
      </c>
      <c r="N32" s="1196"/>
      <c r="O32" s="1389" t="s">
        <v>1204</v>
      </c>
      <c r="P32" s="1196"/>
      <c r="Q32" s="1196"/>
      <c r="R32" s="1196"/>
      <c r="S32" s="1196"/>
      <c r="U32" s="1110"/>
      <c r="V32" s="1110"/>
      <c r="W32" s="1110"/>
      <c r="X32" s="1110"/>
      <c r="Y32" s="1110"/>
      <c r="Z32" s="1110"/>
      <c r="AA32" s="1110"/>
      <c r="AB32" s="1110"/>
      <c r="AC32" s="1110"/>
      <c r="AD32" s="1110"/>
      <c r="AE32" s="1110"/>
      <c r="AF32" s="1110"/>
      <c r="AG32" s="1110"/>
      <c r="AH32" s="1110"/>
      <c r="AI32" s="1110"/>
      <c r="AJ32" s="1110"/>
      <c r="AK32" s="1110"/>
      <c r="AL32" s="1110"/>
      <c r="AM32" s="1110"/>
      <c r="AN32" s="1110"/>
      <c r="AO32" s="1110"/>
      <c r="AP32" s="1110"/>
      <c r="AQ32" s="1110"/>
      <c r="AR32" s="1110"/>
      <c r="AS32" s="1110"/>
      <c r="AT32" s="1110"/>
      <c r="AU32" s="1110"/>
      <c r="AV32" s="1110"/>
      <c r="AW32" s="1110"/>
      <c r="AX32" s="1110"/>
      <c r="AY32" s="1110"/>
      <c r="AZ32" s="1110"/>
      <c r="BA32" s="1110"/>
      <c r="BB32" s="1110"/>
      <c r="BC32" s="1110"/>
    </row>
    <row r="33" spans="1:55" s="1176" customFormat="1" ht="15" customHeight="1" thickBot="1" x14ac:dyDescent="0.4">
      <c r="A33" s="1168" t="s">
        <v>999</v>
      </c>
      <c r="B33" s="1168" t="s">
        <v>1346</v>
      </c>
      <c r="C33" s="1168" t="s">
        <v>263</v>
      </c>
      <c r="D33" s="1191" t="s">
        <v>1348</v>
      </c>
      <c r="E33" s="1206" t="s">
        <v>1349</v>
      </c>
      <c r="F33" s="1207" t="s">
        <v>1393</v>
      </c>
      <c r="G33" s="1208" t="s">
        <v>1393</v>
      </c>
      <c r="H33" s="1378" t="s">
        <v>1350</v>
      </c>
      <c r="I33" s="1343"/>
      <c r="J33" s="1392"/>
      <c r="K33" s="1391" t="s">
        <v>1521</v>
      </c>
      <c r="L33" s="1383"/>
      <c r="M33" s="1389" t="s">
        <v>1393</v>
      </c>
      <c r="N33" s="1196"/>
      <c r="O33" s="1390" t="s">
        <v>482</v>
      </c>
      <c r="P33" s="1196"/>
      <c r="Q33" s="1196"/>
      <c r="R33" s="1196"/>
      <c r="S33" s="1196"/>
      <c r="U33" s="1110"/>
      <c r="V33" s="1110"/>
      <c r="W33" s="1110"/>
      <c r="X33" s="1110"/>
      <c r="Y33" s="1110"/>
      <c r="Z33" s="1110"/>
      <c r="AA33" s="1110"/>
      <c r="AB33" s="1110"/>
      <c r="AC33" s="1110"/>
      <c r="AD33" s="1110"/>
      <c r="AE33" s="1110"/>
      <c r="AF33" s="1110"/>
      <c r="AG33" s="1110"/>
      <c r="AH33" s="1110"/>
      <c r="AI33" s="1110"/>
      <c r="AJ33" s="1110"/>
      <c r="AK33" s="1110"/>
      <c r="AL33" s="1110"/>
      <c r="AM33" s="1110"/>
      <c r="AN33" s="1110"/>
      <c r="AO33" s="1110"/>
      <c r="AP33" s="1110"/>
      <c r="AQ33" s="1110"/>
      <c r="AR33" s="1110"/>
      <c r="AS33" s="1110"/>
      <c r="AT33" s="1110"/>
      <c r="AU33" s="1110"/>
      <c r="AV33" s="1110"/>
      <c r="AW33" s="1110"/>
      <c r="AX33" s="1110"/>
      <c r="AY33" s="1110"/>
      <c r="AZ33" s="1110"/>
      <c r="BA33" s="1110"/>
      <c r="BB33" s="1110"/>
      <c r="BC33" s="1110"/>
    </row>
    <row r="34" spans="1:55" s="1176" customFormat="1" ht="15" customHeight="1" thickBot="1" x14ac:dyDescent="0.4">
      <c r="A34" s="1168" t="s">
        <v>999</v>
      </c>
      <c r="B34" s="1168" t="s">
        <v>1346</v>
      </c>
      <c r="C34" s="1168" t="s">
        <v>263</v>
      </c>
      <c r="D34" s="1191" t="s">
        <v>1401</v>
      </c>
      <c r="E34" s="1206" t="s">
        <v>1400</v>
      </c>
      <c r="F34" s="1207" t="s">
        <v>1389</v>
      </c>
      <c r="G34" s="1208" t="s">
        <v>1389</v>
      </c>
      <c r="H34" s="1378" t="s">
        <v>1420</v>
      </c>
      <c r="I34" s="1343"/>
      <c r="J34" s="1119"/>
      <c r="K34" s="1388" t="s">
        <v>1390</v>
      </c>
      <c r="L34" s="1383"/>
      <c r="M34" s="1390" t="s">
        <v>1208</v>
      </c>
      <c r="N34" s="1196"/>
      <c r="O34" s="1196"/>
      <c r="P34" s="1196"/>
      <c r="Q34" s="1196"/>
      <c r="R34" s="1196"/>
      <c r="S34" s="1196"/>
      <c r="U34" s="1110"/>
      <c r="V34" s="1110"/>
      <c r="W34" s="1110"/>
      <c r="X34" s="1110"/>
      <c r="Y34" s="1110"/>
      <c r="Z34" s="1110"/>
      <c r="AA34" s="1110"/>
      <c r="AB34" s="1110"/>
      <c r="AC34" s="1110"/>
      <c r="AD34" s="1110"/>
      <c r="AE34" s="1110"/>
      <c r="AF34" s="1110"/>
      <c r="AG34" s="1110"/>
      <c r="AH34" s="1110"/>
      <c r="AI34" s="1110"/>
      <c r="AJ34" s="1110"/>
      <c r="AK34" s="1110"/>
      <c r="AL34" s="1110"/>
      <c r="AM34" s="1110"/>
      <c r="AN34" s="1110"/>
      <c r="AO34" s="1110"/>
      <c r="AP34" s="1110"/>
      <c r="AQ34" s="1110"/>
      <c r="AR34" s="1110"/>
      <c r="AS34" s="1110"/>
      <c r="AT34" s="1110"/>
      <c r="AU34" s="1110"/>
      <c r="AV34" s="1110"/>
      <c r="AW34" s="1110"/>
      <c r="AX34" s="1110"/>
      <c r="AY34" s="1110"/>
      <c r="AZ34" s="1110"/>
      <c r="BA34" s="1110"/>
      <c r="BB34" s="1110"/>
      <c r="BC34" s="1110"/>
    </row>
    <row r="35" spans="1:55" s="1176" customFormat="1" ht="15" customHeight="1" thickBot="1" x14ac:dyDescent="0.4">
      <c r="A35" s="1168" t="s">
        <v>999</v>
      </c>
      <c r="B35" s="1168" t="s">
        <v>1432</v>
      </c>
      <c r="C35" s="1168" t="s">
        <v>246</v>
      </c>
      <c r="D35" s="1191" t="s">
        <v>1430</v>
      </c>
      <c r="E35" s="1206" t="s">
        <v>1431</v>
      </c>
      <c r="F35" s="1186">
        <f>3000/prod_cyc_length</f>
        <v>200</v>
      </c>
      <c r="G35" s="1187">
        <f>3000/prod_cyc_length</f>
        <v>200</v>
      </c>
      <c r="H35" s="1378" t="s">
        <v>1104</v>
      </c>
      <c r="I35" s="1343"/>
      <c r="J35" s="1119"/>
      <c r="K35" s="1390" t="s">
        <v>1389</v>
      </c>
      <c r="L35" s="1383"/>
      <c r="N35" s="1196"/>
      <c r="O35" s="1196"/>
      <c r="P35" s="1196"/>
      <c r="Q35" s="1196"/>
      <c r="R35" s="1196"/>
      <c r="S35" s="1196"/>
      <c r="U35" s="1110"/>
      <c r="V35" s="1110"/>
      <c r="W35" s="1110"/>
      <c r="X35" s="1110"/>
      <c r="Y35" s="1110"/>
      <c r="Z35" s="1110"/>
      <c r="AA35" s="1110"/>
      <c r="AB35" s="1110"/>
      <c r="AC35" s="1110"/>
      <c r="AD35" s="1110"/>
      <c r="AE35" s="1110"/>
      <c r="AF35" s="1110"/>
      <c r="AG35" s="1110"/>
      <c r="AH35" s="1110"/>
      <c r="AI35" s="1110"/>
      <c r="AJ35" s="1110"/>
      <c r="AK35" s="1110"/>
      <c r="AL35" s="1110"/>
      <c r="AM35" s="1110"/>
      <c r="AN35" s="1110"/>
      <c r="AO35" s="1110"/>
      <c r="AP35" s="1110"/>
      <c r="AQ35" s="1110"/>
      <c r="AR35" s="1110"/>
      <c r="AS35" s="1110"/>
      <c r="AT35" s="1110"/>
      <c r="AU35" s="1110"/>
      <c r="AV35" s="1110"/>
      <c r="AW35" s="1110"/>
      <c r="AX35" s="1110"/>
      <c r="AY35" s="1110"/>
      <c r="AZ35" s="1110"/>
      <c r="BA35" s="1110"/>
      <c r="BB35" s="1110"/>
      <c r="BC35" s="1110"/>
    </row>
    <row r="36" spans="1:55" s="1176" customFormat="1" ht="15" customHeight="1" x14ac:dyDescent="0.35">
      <c r="A36" s="1168" t="s">
        <v>999</v>
      </c>
      <c r="B36" s="1182" t="s">
        <v>1026</v>
      </c>
      <c r="C36" s="1183" t="s">
        <v>246</v>
      </c>
      <c r="D36" s="1184" t="s">
        <v>38</v>
      </c>
      <c r="E36" s="1185" t="s">
        <v>1027</v>
      </c>
      <c r="F36" s="1186">
        <v>10</v>
      </c>
      <c r="G36" s="1187">
        <v>10</v>
      </c>
      <c r="H36" s="1378" t="s">
        <v>1032</v>
      </c>
      <c r="I36" s="1342"/>
      <c r="J36" s="1119"/>
      <c r="L36" s="1383"/>
      <c r="M36" s="1110"/>
      <c r="N36" s="1196"/>
      <c r="O36" s="1196"/>
      <c r="P36" s="1196"/>
      <c r="Q36" s="1196"/>
      <c r="R36" s="1196"/>
      <c r="S36" s="1196"/>
      <c r="T36" s="1196"/>
      <c r="U36" s="1110"/>
      <c r="V36" s="1110"/>
      <c r="W36" s="1110"/>
      <c r="X36" s="1110"/>
      <c r="Y36" s="1110"/>
      <c r="Z36" s="1110"/>
      <c r="AA36" s="1110"/>
      <c r="AB36" s="1110"/>
      <c r="AC36" s="1110"/>
      <c r="AD36" s="1110"/>
      <c r="AE36" s="1110"/>
      <c r="AF36" s="1110"/>
      <c r="AG36" s="1110"/>
      <c r="AH36" s="1110"/>
      <c r="AI36" s="1110"/>
      <c r="AJ36" s="1110"/>
      <c r="AK36" s="1110"/>
      <c r="AL36" s="1110"/>
      <c r="AM36" s="1110"/>
      <c r="AN36" s="1110"/>
      <c r="AO36" s="1110"/>
      <c r="AP36" s="1110"/>
      <c r="AQ36" s="1110"/>
      <c r="AR36" s="1110"/>
      <c r="AS36" s="1110"/>
      <c r="AT36" s="1110"/>
      <c r="AU36" s="1110"/>
      <c r="AV36" s="1110"/>
      <c r="AW36" s="1110"/>
      <c r="AX36" s="1110"/>
      <c r="AY36" s="1110"/>
      <c r="AZ36" s="1110"/>
      <c r="BA36" s="1110"/>
      <c r="BB36" s="1110"/>
      <c r="BC36" s="1110"/>
    </row>
    <row r="37" spans="1:55" s="1176" customFormat="1" ht="15" customHeight="1" x14ac:dyDescent="0.35">
      <c r="A37" s="1168" t="s">
        <v>999</v>
      </c>
      <c r="B37" s="1182" t="s">
        <v>1155</v>
      </c>
      <c r="C37" s="1183" t="s">
        <v>246</v>
      </c>
      <c r="D37" s="1184" t="s">
        <v>1156</v>
      </c>
      <c r="E37" s="1185" t="s">
        <v>1157</v>
      </c>
      <c r="F37" s="1209">
        <f>43.38*0.8439</f>
        <v>36.608381999999999</v>
      </c>
      <c r="G37" s="1210">
        <f>43.38*0.8439</f>
        <v>36.608381999999999</v>
      </c>
      <c r="H37" s="1378" t="s">
        <v>1158</v>
      </c>
      <c r="I37" s="1342"/>
      <c r="J37" s="1119"/>
      <c r="K37" s="1119"/>
      <c r="L37" s="1383"/>
      <c r="M37" s="1110"/>
      <c r="N37" s="1196"/>
      <c r="O37" s="1196"/>
      <c r="P37" s="1196"/>
      <c r="Q37" s="1196"/>
      <c r="R37" s="1196"/>
      <c r="S37" s="1196"/>
      <c r="T37" s="1196"/>
      <c r="U37" s="1110"/>
      <c r="V37" s="1110"/>
      <c r="W37" s="1110"/>
      <c r="X37" s="1110"/>
      <c r="Y37" s="1110"/>
      <c r="Z37" s="1110"/>
      <c r="AA37" s="1110"/>
      <c r="AB37" s="1110"/>
      <c r="AC37" s="1110"/>
      <c r="AD37" s="1110"/>
      <c r="AE37" s="1110"/>
      <c r="AF37" s="1110"/>
      <c r="AG37" s="1110"/>
      <c r="AH37" s="1110"/>
      <c r="AI37" s="1110"/>
      <c r="AJ37" s="1110"/>
      <c r="AK37" s="1110"/>
      <c r="AL37" s="1110"/>
      <c r="AM37" s="1110"/>
      <c r="AN37" s="1110"/>
      <c r="AO37" s="1110"/>
      <c r="AP37" s="1110"/>
      <c r="AQ37" s="1110"/>
      <c r="AR37" s="1110"/>
      <c r="AS37" s="1110"/>
      <c r="AT37" s="1110"/>
      <c r="AU37" s="1110"/>
      <c r="AV37" s="1110"/>
      <c r="AW37" s="1110"/>
      <c r="AX37" s="1110"/>
      <c r="AY37" s="1110"/>
      <c r="AZ37" s="1110"/>
      <c r="BA37" s="1110"/>
      <c r="BB37" s="1110"/>
      <c r="BC37" s="1110"/>
    </row>
    <row r="38" spans="1:55" s="1176" customFormat="1" ht="15" customHeight="1" x14ac:dyDescent="0.35">
      <c r="A38" s="1168" t="s">
        <v>999</v>
      </c>
      <c r="B38" s="1182" t="s">
        <v>1270</v>
      </c>
      <c r="C38" s="1183" t="s">
        <v>156</v>
      </c>
      <c r="D38" s="1184" t="s">
        <v>1174</v>
      </c>
      <c r="E38" s="1185" t="s">
        <v>1269</v>
      </c>
      <c r="F38" s="1209">
        <v>14.404999999999999</v>
      </c>
      <c r="G38" s="1210">
        <v>14.404999999999999</v>
      </c>
      <c r="H38" s="1378" t="s">
        <v>1273</v>
      </c>
      <c r="I38" s="1342"/>
      <c r="J38" s="1119"/>
      <c r="K38" s="1119"/>
      <c r="L38" s="1383"/>
      <c r="M38" s="1196"/>
      <c r="N38" s="1196"/>
      <c r="O38" s="1196"/>
      <c r="P38" s="1196"/>
      <c r="Q38" s="1196"/>
      <c r="R38" s="1196"/>
      <c r="S38" s="1196"/>
      <c r="T38" s="1196"/>
      <c r="U38" s="1110"/>
      <c r="V38" s="1110"/>
      <c r="W38" s="1110"/>
      <c r="X38" s="1110"/>
      <c r="Y38" s="1110"/>
      <c r="Z38" s="1110"/>
      <c r="AA38" s="1110"/>
      <c r="AB38" s="1110"/>
      <c r="AC38" s="1110"/>
      <c r="AD38" s="1110"/>
      <c r="AE38" s="1110"/>
      <c r="AF38" s="1110"/>
      <c r="AG38" s="1110"/>
      <c r="AH38" s="1110"/>
      <c r="AI38" s="1110"/>
      <c r="AJ38" s="1110"/>
      <c r="AK38" s="1110"/>
      <c r="AL38" s="1110"/>
      <c r="AM38" s="1110"/>
      <c r="AN38" s="1110"/>
      <c r="AO38" s="1110"/>
      <c r="AP38" s="1110"/>
      <c r="AQ38" s="1110"/>
      <c r="AR38" s="1110"/>
      <c r="AS38" s="1110"/>
      <c r="AT38" s="1110"/>
      <c r="AU38" s="1110"/>
      <c r="AV38" s="1110"/>
      <c r="AW38" s="1110"/>
      <c r="AX38" s="1110"/>
      <c r="AY38" s="1110"/>
      <c r="AZ38" s="1110"/>
      <c r="BA38" s="1110"/>
      <c r="BB38" s="1110"/>
      <c r="BC38" s="1110"/>
    </row>
    <row r="39" spans="1:55" s="1176" customFormat="1" ht="15" customHeight="1" x14ac:dyDescent="0.35">
      <c r="A39" s="1168" t="s">
        <v>999</v>
      </c>
      <c r="B39" s="1182" t="s">
        <v>1172</v>
      </c>
      <c r="C39" s="1183" t="s">
        <v>156</v>
      </c>
      <c r="D39" s="1184" t="s">
        <v>1174</v>
      </c>
      <c r="E39" s="1185" t="s">
        <v>1173</v>
      </c>
      <c r="F39" s="1209">
        <v>19.399999999999999</v>
      </c>
      <c r="G39" s="1210">
        <v>19.399999999999999</v>
      </c>
      <c r="H39" s="1378" t="s">
        <v>1175</v>
      </c>
      <c r="I39" s="1342"/>
      <c r="J39" s="1119"/>
      <c r="K39" s="1119"/>
      <c r="L39" s="1383"/>
      <c r="M39" s="1196"/>
      <c r="N39" s="1196"/>
      <c r="O39" s="1196"/>
      <c r="P39" s="1196"/>
      <c r="Q39" s="1196"/>
      <c r="R39" s="1196"/>
      <c r="S39" s="1196"/>
      <c r="T39" s="1196"/>
      <c r="U39" s="1110"/>
      <c r="V39" s="1110"/>
      <c r="W39" s="1110"/>
      <c r="X39" s="1110"/>
      <c r="Y39" s="1110"/>
      <c r="Z39" s="1110"/>
      <c r="AA39" s="1110"/>
      <c r="AB39" s="1110"/>
      <c r="AC39" s="1110"/>
      <c r="AD39" s="1110"/>
      <c r="AE39" s="1110"/>
      <c r="AF39" s="1110"/>
      <c r="AG39" s="1110"/>
      <c r="AH39" s="1110"/>
      <c r="AI39" s="1110"/>
      <c r="AJ39" s="1110"/>
      <c r="AK39" s="1110"/>
      <c r="AL39" s="1110"/>
      <c r="AM39" s="1110"/>
      <c r="AN39" s="1110"/>
      <c r="AO39" s="1110"/>
      <c r="AP39" s="1110"/>
      <c r="AQ39" s="1110"/>
      <c r="AR39" s="1110"/>
      <c r="AS39" s="1110"/>
      <c r="AT39" s="1110"/>
      <c r="AU39" s="1110"/>
      <c r="AV39" s="1110"/>
      <c r="AW39" s="1110"/>
      <c r="AX39" s="1110"/>
      <c r="AY39" s="1110"/>
      <c r="AZ39" s="1110"/>
      <c r="BA39" s="1110"/>
      <c r="BB39" s="1110"/>
      <c r="BC39" s="1110"/>
    </row>
    <row r="40" spans="1:55" s="1176" customFormat="1" ht="15" customHeight="1" x14ac:dyDescent="0.35">
      <c r="A40" s="1168" t="s">
        <v>999</v>
      </c>
      <c r="B40" s="1182" t="s">
        <v>1176</v>
      </c>
      <c r="C40" s="1183" t="s">
        <v>156</v>
      </c>
      <c r="D40" s="1184" t="s">
        <v>1174</v>
      </c>
      <c r="E40" s="1185" t="s">
        <v>1177</v>
      </c>
      <c r="F40" s="1209">
        <v>16.5</v>
      </c>
      <c r="G40" s="1210">
        <v>16.5</v>
      </c>
      <c r="H40" s="1378" t="s">
        <v>1175</v>
      </c>
      <c r="I40" s="1342"/>
      <c r="J40" s="1119"/>
      <c r="K40" s="1119"/>
      <c r="L40" s="1383"/>
      <c r="M40" s="1196"/>
      <c r="N40" s="1196"/>
      <c r="O40" s="1196"/>
      <c r="P40" s="1196"/>
      <c r="Q40" s="1196"/>
      <c r="R40" s="1196"/>
      <c r="S40" s="1196"/>
      <c r="T40" s="1196"/>
      <c r="U40" s="1110"/>
      <c r="V40" s="1110"/>
      <c r="W40" s="1110"/>
      <c r="X40" s="1110"/>
      <c r="Y40" s="1110"/>
      <c r="Z40" s="1110"/>
      <c r="AA40" s="1110"/>
      <c r="AB40" s="1110"/>
      <c r="AC40" s="1110"/>
      <c r="AD40" s="1110"/>
      <c r="AE40" s="1110"/>
      <c r="AF40" s="1110"/>
      <c r="AG40" s="1110"/>
      <c r="AH40" s="1110"/>
      <c r="AI40" s="1110"/>
      <c r="AJ40" s="1110"/>
      <c r="AK40" s="1110"/>
      <c r="AL40" s="1110"/>
      <c r="AM40" s="1110"/>
      <c r="AN40" s="1110"/>
      <c r="AO40" s="1110"/>
      <c r="AP40" s="1110"/>
      <c r="AQ40" s="1110"/>
      <c r="AR40" s="1110"/>
      <c r="AS40" s="1110"/>
      <c r="AT40" s="1110"/>
      <c r="AU40" s="1110"/>
      <c r="AV40" s="1110"/>
      <c r="AW40" s="1110"/>
      <c r="AX40" s="1110"/>
      <c r="AY40" s="1110"/>
      <c r="AZ40" s="1110"/>
      <c r="BA40" s="1110"/>
      <c r="BB40" s="1110"/>
      <c r="BC40" s="1110"/>
    </row>
    <row r="41" spans="1:55" s="1176" customFormat="1" ht="15" customHeight="1" x14ac:dyDescent="0.35">
      <c r="A41" s="1168" t="s">
        <v>999</v>
      </c>
      <c r="B41" s="1182" t="s">
        <v>1178</v>
      </c>
      <c r="C41" s="1183" t="s">
        <v>156</v>
      </c>
      <c r="D41" s="1184" t="s">
        <v>1174</v>
      </c>
      <c r="E41" s="1185" t="s">
        <v>1179</v>
      </c>
      <c r="F41" s="1209">
        <v>22</v>
      </c>
      <c r="G41" s="1210">
        <v>22</v>
      </c>
      <c r="H41" s="1378" t="s">
        <v>1175</v>
      </c>
      <c r="I41" s="1342"/>
      <c r="J41" s="1119"/>
      <c r="K41" s="1119"/>
      <c r="L41" s="1383"/>
      <c r="M41" s="1196"/>
      <c r="N41" s="1196"/>
      <c r="O41" s="1196"/>
      <c r="P41" s="1196"/>
      <c r="Q41" s="1196"/>
      <c r="R41" s="1196"/>
      <c r="S41" s="1196"/>
      <c r="T41" s="1196"/>
      <c r="U41" s="1110"/>
      <c r="V41" s="1110"/>
      <c r="W41" s="1110"/>
      <c r="X41" s="1110"/>
      <c r="Y41" s="1110"/>
      <c r="Z41" s="1110"/>
      <c r="AA41" s="1110"/>
      <c r="AB41" s="1110"/>
      <c r="AC41" s="1110"/>
      <c r="AD41" s="1110"/>
      <c r="AE41" s="1110"/>
      <c r="AF41" s="1110"/>
      <c r="AG41" s="1110"/>
      <c r="AH41" s="1110"/>
      <c r="AI41" s="1110"/>
      <c r="AJ41" s="1110"/>
      <c r="AK41" s="1110"/>
      <c r="AL41" s="1110"/>
      <c r="AM41" s="1110"/>
      <c r="AN41" s="1110"/>
      <c r="AO41" s="1110"/>
      <c r="AP41" s="1110"/>
      <c r="AQ41" s="1110"/>
      <c r="AR41" s="1110"/>
      <c r="AS41" s="1110"/>
      <c r="AT41" s="1110"/>
      <c r="AU41" s="1110"/>
      <c r="AV41" s="1110"/>
      <c r="AW41" s="1110"/>
      <c r="AX41" s="1110"/>
      <c r="AY41" s="1110"/>
      <c r="AZ41" s="1110"/>
      <c r="BA41" s="1110"/>
      <c r="BB41" s="1110"/>
      <c r="BC41" s="1110"/>
    </row>
    <row r="42" spans="1:55" s="1176" customFormat="1" ht="15" customHeight="1" x14ac:dyDescent="0.35">
      <c r="A42" s="1168" t="s">
        <v>999</v>
      </c>
      <c r="B42" s="1182" t="s">
        <v>1180</v>
      </c>
      <c r="C42" s="1183" t="s">
        <v>156</v>
      </c>
      <c r="D42" s="1184" t="s">
        <v>1174</v>
      </c>
      <c r="E42" s="1185" t="s">
        <v>1181</v>
      </c>
      <c r="F42" s="1209">
        <v>13.2</v>
      </c>
      <c r="G42" s="1210">
        <v>13.2</v>
      </c>
      <c r="H42" s="1378" t="s">
        <v>1175</v>
      </c>
      <c r="I42" s="1342"/>
      <c r="J42" s="1119"/>
      <c r="K42" s="1119"/>
      <c r="L42" s="1383"/>
      <c r="M42" s="1196"/>
      <c r="N42" s="1196"/>
      <c r="O42" s="1196"/>
      <c r="P42" s="1196"/>
      <c r="Q42" s="1196"/>
      <c r="R42" s="1196"/>
      <c r="S42" s="1196"/>
      <c r="T42" s="1196"/>
      <c r="U42" s="1110"/>
      <c r="V42" s="1110"/>
      <c r="W42" s="1110"/>
      <c r="X42" s="1110"/>
      <c r="Y42" s="1110"/>
      <c r="Z42" s="1110"/>
      <c r="AA42" s="1110"/>
      <c r="AB42" s="1110"/>
      <c r="AC42" s="1110"/>
      <c r="AD42" s="1110"/>
      <c r="AE42" s="1110"/>
      <c r="AF42" s="1110"/>
      <c r="AG42" s="1110"/>
      <c r="AH42" s="1110"/>
      <c r="AI42" s="1110"/>
      <c r="AJ42" s="1110"/>
      <c r="AK42" s="1110"/>
      <c r="AL42" s="1110"/>
      <c r="AM42" s="1110"/>
      <c r="AN42" s="1110"/>
      <c r="AO42" s="1110"/>
      <c r="AP42" s="1110"/>
      <c r="AQ42" s="1110"/>
      <c r="AR42" s="1110"/>
      <c r="AS42" s="1110"/>
      <c r="AT42" s="1110"/>
      <c r="AU42" s="1110"/>
      <c r="AV42" s="1110"/>
      <c r="AW42" s="1110"/>
      <c r="AX42" s="1110"/>
      <c r="AY42" s="1110"/>
      <c r="AZ42" s="1110"/>
      <c r="BA42" s="1110"/>
      <c r="BB42" s="1110"/>
      <c r="BC42" s="1110"/>
    </row>
    <row r="43" spans="1:55" s="1176" customFormat="1" ht="15" customHeight="1" x14ac:dyDescent="0.35">
      <c r="A43" s="1168" t="s">
        <v>999</v>
      </c>
      <c r="B43" s="1182" t="s">
        <v>1183</v>
      </c>
      <c r="C43" s="1183" t="s">
        <v>156</v>
      </c>
      <c r="D43" s="1184" t="s">
        <v>1174</v>
      </c>
      <c r="E43" s="1185" t="s">
        <v>1182</v>
      </c>
      <c r="F43" s="1209">
        <v>13.2</v>
      </c>
      <c r="G43" s="1210">
        <v>13.2</v>
      </c>
      <c r="H43" s="1378" t="s">
        <v>1175</v>
      </c>
      <c r="I43" s="1342"/>
      <c r="J43" s="1119"/>
      <c r="K43" s="1119"/>
      <c r="L43" s="1383"/>
      <c r="M43" s="1110"/>
      <c r="N43" s="1196"/>
      <c r="O43" s="1196"/>
      <c r="P43" s="1110"/>
      <c r="Q43" s="1110"/>
      <c r="R43" s="1110"/>
      <c r="S43" s="1110"/>
      <c r="T43" s="1110"/>
      <c r="U43" s="1110"/>
      <c r="V43" s="1110"/>
      <c r="W43" s="1110"/>
      <c r="X43" s="1110"/>
      <c r="Y43" s="1110"/>
      <c r="Z43" s="1110"/>
      <c r="AA43" s="1110"/>
      <c r="AB43" s="1110"/>
      <c r="AC43" s="1110"/>
      <c r="AD43" s="1110"/>
      <c r="AE43" s="1110"/>
      <c r="AF43" s="1110"/>
      <c r="AG43" s="1110"/>
      <c r="AH43" s="1110"/>
      <c r="AI43" s="1110"/>
      <c r="AJ43" s="1110"/>
      <c r="AK43" s="1110"/>
      <c r="AL43" s="1110"/>
      <c r="AM43" s="1110"/>
      <c r="AN43" s="1110"/>
      <c r="AO43" s="1110"/>
      <c r="AP43" s="1110"/>
      <c r="AQ43" s="1110"/>
      <c r="AR43" s="1110"/>
      <c r="AS43" s="1110"/>
      <c r="AT43" s="1110"/>
      <c r="AU43" s="1110"/>
      <c r="AV43" s="1110"/>
      <c r="AW43" s="1110"/>
      <c r="AX43" s="1110"/>
      <c r="AY43" s="1110"/>
      <c r="AZ43" s="1110"/>
      <c r="BA43" s="1110"/>
      <c r="BB43" s="1110"/>
      <c r="BC43" s="1110"/>
    </row>
    <row r="44" spans="1:55" s="1176" customFormat="1" ht="15" customHeight="1" x14ac:dyDescent="0.35">
      <c r="A44" s="1168" t="s">
        <v>999</v>
      </c>
      <c r="B44" s="1182" t="s">
        <v>1185</v>
      </c>
      <c r="C44" s="1183" t="s">
        <v>156</v>
      </c>
      <c r="D44" s="1184" t="s">
        <v>1174</v>
      </c>
      <c r="E44" s="1185" t="s">
        <v>1184</v>
      </c>
      <c r="F44" s="1209">
        <v>13.2</v>
      </c>
      <c r="G44" s="1210">
        <v>13.2</v>
      </c>
      <c r="H44" s="1378" t="s">
        <v>1175</v>
      </c>
      <c r="I44" s="1342"/>
      <c r="J44" s="1119"/>
      <c r="K44" s="1119"/>
      <c r="L44" s="1383"/>
      <c r="M44" s="1110"/>
      <c r="N44" s="1110"/>
      <c r="O44" s="1196"/>
      <c r="P44" s="1110"/>
      <c r="Q44" s="1110"/>
      <c r="R44" s="1110"/>
      <c r="S44" s="1110"/>
      <c r="T44" s="1110"/>
      <c r="U44" s="1110"/>
      <c r="V44" s="1110"/>
      <c r="W44" s="1110"/>
      <c r="X44" s="1110"/>
      <c r="Y44" s="1110"/>
      <c r="Z44" s="1110"/>
      <c r="AA44" s="1110"/>
      <c r="AB44" s="1110"/>
      <c r="AC44" s="1110"/>
      <c r="AD44" s="1110"/>
      <c r="AE44" s="1110"/>
      <c r="AF44" s="1110"/>
      <c r="AG44" s="1110"/>
      <c r="AH44" s="1110"/>
      <c r="AI44" s="1110"/>
      <c r="AJ44" s="1110"/>
      <c r="AK44" s="1110"/>
      <c r="AL44" s="1110"/>
      <c r="AM44" s="1110"/>
      <c r="AN44" s="1110"/>
      <c r="AO44" s="1110"/>
      <c r="AP44" s="1110"/>
      <c r="AQ44" s="1110"/>
      <c r="AR44" s="1110"/>
      <c r="AS44" s="1110"/>
      <c r="AT44" s="1110"/>
      <c r="AU44" s="1110"/>
      <c r="AV44" s="1110"/>
      <c r="AW44" s="1110"/>
      <c r="AX44" s="1110"/>
      <c r="AY44" s="1110"/>
      <c r="AZ44" s="1110"/>
      <c r="BA44" s="1110"/>
      <c r="BB44" s="1110"/>
      <c r="BC44" s="1110"/>
    </row>
    <row r="45" spans="1:55" ht="15" customHeight="1" x14ac:dyDescent="0.35">
      <c r="A45" s="1168" t="s">
        <v>999</v>
      </c>
      <c r="B45" s="1182" t="s">
        <v>1186</v>
      </c>
      <c r="C45" s="1183" t="s">
        <v>156</v>
      </c>
      <c r="D45" s="1184" t="s">
        <v>1174</v>
      </c>
      <c r="E45" s="1185" t="s">
        <v>1188</v>
      </c>
      <c r="F45" s="1209">
        <v>13.2</v>
      </c>
      <c r="G45" s="1210">
        <v>13.2</v>
      </c>
      <c r="H45" s="1378" t="s">
        <v>1175</v>
      </c>
      <c r="I45" s="1342"/>
      <c r="L45" s="1196"/>
      <c r="M45" s="1196"/>
    </row>
    <row r="46" spans="1:55" s="1196" customFormat="1" ht="15" customHeight="1" x14ac:dyDescent="0.35">
      <c r="A46" s="1168" t="s">
        <v>999</v>
      </c>
      <c r="B46" s="1182" t="s">
        <v>1187</v>
      </c>
      <c r="C46" s="1183" t="s">
        <v>156</v>
      </c>
      <c r="D46" s="1184" t="s">
        <v>1174</v>
      </c>
      <c r="E46" s="1185" t="s">
        <v>1189</v>
      </c>
      <c r="F46" s="1209">
        <v>13.2</v>
      </c>
      <c r="G46" s="1210">
        <v>13.2</v>
      </c>
      <c r="H46" s="1378" t="s">
        <v>1175</v>
      </c>
      <c r="I46" s="1342"/>
      <c r="L46" s="1110"/>
      <c r="N46" s="1110"/>
      <c r="O46" s="1176"/>
    </row>
    <row r="47" spans="1:55" ht="15" customHeight="1" x14ac:dyDescent="0.35">
      <c r="A47" s="1168" t="s">
        <v>999</v>
      </c>
      <c r="B47" s="1182" t="s">
        <v>1187</v>
      </c>
      <c r="C47" s="1183" t="s">
        <v>156</v>
      </c>
      <c r="D47" s="1184" t="s">
        <v>1174</v>
      </c>
      <c r="E47" s="1185" t="s">
        <v>1276</v>
      </c>
      <c r="F47" s="1209">
        <v>6.7347999999999999</v>
      </c>
      <c r="G47" s="1210">
        <v>6.7347999999999999</v>
      </c>
      <c r="H47" s="1378" t="s">
        <v>1273</v>
      </c>
      <c r="I47" s="1342"/>
      <c r="L47" s="1131"/>
      <c r="N47" s="1196"/>
    </row>
    <row r="48" spans="1:55" ht="15" customHeight="1" x14ac:dyDescent="0.35">
      <c r="A48" s="1168" t="s">
        <v>999</v>
      </c>
      <c r="B48" s="1182" t="s">
        <v>1187</v>
      </c>
      <c r="C48" s="1183" t="s">
        <v>156</v>
      </c>
      <c r="D48" s="1184" t="s">
        <v>1174</v>
      </c>
      <c r="E48" s="1185" t="s">
        <v>1277</v>
      </c>
      <c r="F48" s="1209">
        <v>7.4831597829999996</v>
      </c>
      <c r="G48" s="1210">
        <v>7.4831597829999996</v>
      </c>
      <c r="H48" s="1378" t="s">
        <v>1273</v>
      </c>
      <c r="I48" s="1342"/>
      <c r="L48" s="1131"/>
      <c r="O48" s="1196"/>
    </row>
    <row r="49" spans="1:14" ht="15" customHeight="1" thickBot="1" x14ac:dyDescent="0.4">
      <c r="A49" s="1217" t="s">
        <v>1006</v>
      </c>
      <c r="B49" s="1182" t="s">
        <v>1007</v>
      </c>
      <c r="C49" s="1183" t="s">
        <v>135</v>
      </c>
      <c r="D49" s="1218" t="s">
        <v>1008</v>
      </c>
      <c r="E49" s="1219" t="s">
        <v>1009</v>
      </c>
      <c r="F49" s="1220">
        <v>1</v>
      </c>
      <c r="G49" s="1221">
        <v>1</v>
      </c>
      <c r="H49" s="1378" t="s">
        <v>1010</v>
      </c>
      <c r="I49" s="1342"/>
      <c r="L49" s="1131"/>
    </row>
    <row r="50" spans="1:14" ht="15" customHeight="1" thickBot="1" x14ac:dyDescent="0.4">
      <c r="A50" s="1222"/>
      <c r="B50" s="1222"/>
      <c r="C50" s="1222"/>
      <c r="D50" s="1222"/>
      <c r="E50" s="1223"/>
      <c r="F50" s="1224"/>
      <c r="G50" s="1224"/>
      <c r="H50" s="1379"/>
      <c r="I50" s="1344"/>
      <c r="J50" s="1338"/>
      <c r="K50" s="1196"/>
      <c r="L50" s="1129"/>
    </row>
    <row r="51" spans="1:14" ht="15" customHeight="1" thickBot="1" x14ac:dyDescent="0.4">
      <c r="A51" s="1226" t="s">
        <v>328</v>
      </c>
      <c r="B51" s="1227"/>
      <c r="C51" s="1227"/>
      <c r="D51" s="1227"/>
      <c r="E51" s="1228"/>
      <c r="F51" s="1228"/>
      <c r="G51" s="1228"/>
      <c r="H51" s="1228"/>
      <c r="I51" s="1342"/>
      <c r="L51" s="1131"/>
      <c r="M51" s="1339" t="s">
        <v>681</v>
      </c>
      <c r="N51" s="1196"/>
    </row>
    <row r="52" spans="1:14" ht="15" customHeight="1" thickBot="1" x14ac:dyDescent="0.4">
      <c r="A52" s="1132"/>
      <c r="B52" s="1132"/>
      <c r="C52" s="1132"/>
      <c r="D52" s="1132"/>
      <c r="E52" s="1229"/>
      <c r="F52" s="1230"/>
      <c r="G52" s="1230"/>
      <c r="H52" s="1379"/>
      <c r="I52" s="1344"/>
      <c r="J52" s="1196"/>
      <c r="K52" s="1211" t="s">
        <v>987</v>
      </c>
      <c r="L52" s="1131"/>
      <c r="M52" s="1213" t="s">
        <v>139</v>
      </c>
    </row>
    <row r="53" spans="1:14" ht="15" customHeight="1" x14ac:dyDescent="0.35">
      <c r="A53" s="1231" t="s">
        <v>682</v>
      </c>
      <c r="B53" s="1232"/>
      <c r="C53" s="1232"/>
      <c r="D53" s="1232"/>
      <c r="E53" s="1233"/>
      <c r="F53" s="1234"/>
      <c r="G53" s="1235"/>
      <c r="H53" s="1345"/>
      <c r="I53" s="1342"/>
      <c r="K53" s="1212">
        <v>44</v>
      </c>
      <c r="L53" s="1131"/>
      <c r="M53" s="1216" t="s">
        <v>678</v>
      </c>
    </row>
    <row r="54" spans="1:14" ht="15" customHeight="1" thickBot="1" x14ac:dyDescent="0.4">
      <c r="A54" s="1236" t="s">
        <v>988</v>
      </c>
      <c r="B54" s="1237" t="s">
        <v>587</v>
      </c>
      <c r="C54" s="1237" t="s">
        <v>136</v>
      </c>
      <c r="D54" s="1237" t="s">
        <v>1339</v>
      </c>
      <c r="E54" s="1185" t="s">
        <v>330</v>
      </c>
      <c r="F54" s="1238">
        <v>44</v>
      </c>
      <c r="G54" s="1239">
        <v>44</v>
      </c>
      <c r="H54" s="1346" t="s">
        <v>1374</v>
      </c>
      <c r="I54" s="1343"/>
      <c r="J54" s="1214"/>
      <c r="K54" s="1215">
        <v>40</v>
      </c>
      <c r="M54" s="1216" t="s">
        <v>679</v>
      </c>
    </row>
    <row r="55" spans="1:14" ht="15" customHeight="1" thickBot="1" x14ac:dyDescent="0.4">
      <c r="A55" s="1236" t="s">
        <v>988</v>
      </c>
      <c r="B55" s="1237" t="s">
        <v>460</v>
      </c>
      <c r="C55" s="1237" t="s">
        <v>136</v>
      </c>
      <c r="D55" s="1237" t="s">
        <v>137</v>
      </c>
      <c r="E55" s="1219" t="s">
        <v>138</v>
      </c>
      <c r="F55" s="1240" t="s">
        <v>139</v>
      </c>
      <c r="G55" s="1241" t="s">
        <v>139</v>
      </c>
      <c r="H55" s="1346" t="s">
        <v>989</v>
      </c>
      <c r="I55" s="1343"/>
      <c r="J55" s="1340"/>
      <c r="K55" s="1341"/>
      <c r="L55" s="1214"/>
      <c r="M55" s="1225" t="s">
        <v>680</v>
      </c>
    </row>
    <row r="56" spans="1:14" ht="15" customHeight="1" x14ac:dyDescent="0.35">
      <c r="A56" s="1236" t="s">
        <v>988</v>
      </c>
      <c r="B56" s="1237" t="s">
        <v>461</v>
      </c>
      <c r="C56" s="1237" t="s">
        <v>246</v>
      </c>
      <c r="D56" s="1237" t="s">
        <v>140</v>
      </c>
      <c r="E56" s="1219" t="s">
        <v>141</v>
      </c>
      <c r="F56" s="1240">
        <v>40</v>
      </c>
      <c r="G56" s="1241">
        <v>40</v>
      </c>
      <c r="H56" s="1346" t="s">
        <v>990</v>
      </c>
      <c r="I56" s="1343"/>
    </row>
    <row r="57" spans="1:14" ht="15" customHeight="1" x14ac:dyDescent="0.35">
      <c r="A57" s="1236" t="s">
        <v>988</v>
      </c>
      <c r="B57" s="1237" t="s">
        <v>142</v>
      </c>
      <c r="C57" s="1237" t="s">
        <v>246</v>
      </c>
      <c r="D57" s="1237" t="s">
        <v>38</v>
      </c>
      <c r="E57" s="1219" t="s">
        <v>143</v>
      </c>
      <c r="F57" s="1240">
        <v>0</v>
      </c>
      <c r="G57" s="1241">
        <v>0</v>
      </c>
      <c r="H57" s="1346" t="s">
        <v>991</v>
      </c>
      <c r="I57" s="1343"/>
    </row>
    <row r="58" spans="1:14" ht="15" customHeight="1" x14ac:dyDescent="0.35">
      <c r="A58" s="1236" t="s">
        <v>992</v>
      </c>
      <c r="B58" s="1237" t="s">
        <v>587</v>
      </c>
      <c r="C58" s="1237" t="s">
        <v>136</v>
      </c>
      <c r="D58" s="1237" t="s">
        <v>1339</v>
      </c>
      <c r="E58" s="1219" t="s">
        <v>331</v>
      </c>
      <c r="F58" s="1240">
        <v>44</v>
      </c>
      <c r="G58" s="1241">
        <v>44</v>
      </c>
      <c r="H58" s="1346" t="s">
        <v>1375</v>
      </c>
      <c r="I58" s="1343"/>
    </row>
    <row r="59" spans="1:14" ht="15" customHeight="1" thickBot="1" x14ac:dyDescent="0.4">
      <c r="A59" s="1236" t="s">
        <v>992</v>
      </c>
      <c r="B59" s="1237" t="s">
        <v>460</v>
      </c>
      <c r="C59" s="1237" t="s">
        <v>136</v>
      </c>
      <c r="D59" s="1237" t="s">
        <v>137</v>
      </c>
      <c r="E59" s="1219" t="s">
        <v>144</v>
      </c>
      <c r="F59" s="1240" t="s">
        <v>139</v>
      </c>
      <c r="G59" s="1241" t="s">
        <v>139</v>
      </c>
      <c r="H59" s="1346" t="s">
        <v>993</v>
      </c>
      <c r="I59" s="1343"/>
      <c r="K59" s="1205" t="s">
        <v>689</v>
      </c>
      <c r="L59" s="1129"/>
      <c r="M59" s="1131"/>
    </row>
    <row r="60" spans="1:14" ht="15" customHeight="1" x14ac:dyDescent="0.35">
      <c r="A60" s="1236" t="s">
        <v>992</v>
      </c>
      <c r="B60" s="1237" t="s">
        <v>461</v>
      </c>
      <c r="C60" s="1237" t="s">
        <v>246</v>
      </c>
      <c r="D60" s="1237" t="s">
        <v>140</v>
      </c>
      <c r="E60" s="1219" t="s">
        <v>145</v>
      </c>
      <c r="F60" s="1240">
        <v>0</v>
      </c>
      <c r="G60" s="1241">
        <v>0</v>
      </c>
      <c r="H60" s="1346" t="s">
        <v>994</v>
      </c>
      <c r="I60" s="1343"/>
      <c r="K60" s="1212">
        <v>44</v>
      </c>
    </row>
    <row r="61" spans="1:14" ht="15" customHeight="1" x14ac:dyDescent="0.35">
      <c r="A61" s="1236" t="s">
        <v>992</v>
      </c>
      <c r="B61" s="1237" t="s">
        <v>142</v>
      </c>
      <c r="C61" s="1237" t="s">
        <v>246</v>
      </c>
      <c r="D61" s="1237" t="s">
        <v>38</v>
      </c>
      <c r="E61" s="1219" t="s">
        <v>146</v>
      </c>
      <c r="F61" s="1240">
        <v>0</v>
      </c>
      <c r="G61" s="1241">
        <v>0</v>
      </c>
      <c r="H61" s="1346" t="s">
        <v>995</v>
      </c>
      <c r="I61" s="1343"/>
      <c r="K61" s="1336">
        <v>40</v>
      </c>
    </row>
    <row r="62" spans="1:14" ht="15" customHeight="1" x14ac:dyDescent="0.35">
      <c r="A62" s="1242" t="s">
        <v>329</v>
      </c>
      <c r="B62" s="1237"/>
      <c r="C62" s="1237"/>
      <c r="D62" s="1237"/>
      <c r="E62" s="1219"/>
      <c r="F62" s="1240"/>
      <c r="G62" s="1241"/>
      <c r="H62" s="1346"/>
      <c r="I62" s="1343"/>
      <c r="K62" s="1336">
        <v>32</v>
      </c>
    </row>
    <row r="63" spans="1:14" ht="15" customHeight="1" thickBot="1" x14ac:dyDescent="0.4">
      <c r="A63" s="1236" t="s">
        <v>691</v>
      </c>
      <c r="B63" s="1237" t="s">
        <v>587</v>
      </c>
      <c r="C63" s="1237" t="s">
        <v>136</v>
      </c>
      <c r="D63" s="1237" t="s">
        <v>690</v>
      </c>
      <c r="E63" s="1185" t="s">
        <v>332</v>
      </c>
      <c r="F63" s="1240">
        <v>44</v>
      </c>
      <c r="G63" s="1241">
        <v>44</v>
      </c>
      <c r="H63" s="1346" t="s">
        <v>694</v>
      </c>
      <c r="I63" s="1343"/>
      <c r="J63" s="1201"/>
      <c r="K63" s="1337">
        <v>26</v>
      </c>
    </row>
    <row r="64" spans="1:14" ht="15" customHeight="1" x14ac:dyDescent="0.35">
      <c r="A64" s="1236" t="s">
        <v>691</v>
      </c>
      <c r="B64" s="1237" t="s">
        <v>460</v>
      </c>
      <c r="C64" s="1237" t="s">
        <v>136</v>
      </c>
      <c r="D64" s="1237" t="s">
        <v>137</v>
      </c>
      <c r="E64" s="1219" t="s">
        <v>147</v>
      </c>
      <c r="F64" s="1240" t="s">
        <v>139</v>
      </c>
      <c r="G64" s="1241" t="s">
        <v>139</v>
      </c>
      <c r="H64" s="1346" t="s">
        <v>693</v>
      </c>
      <c r="I64" s="1343"/>
      <c r="K64" s="1131"/>
      <c r="L64" s="1131"/>
      <c r="M64" s="1131"/>
    </row>
    <row r="65" spans="1:13" ht="15" customHeight="1" x14ac:dyDescent="0.35">
      <c r="A65" s="1236" t="s">
        <v>691</v>
      </c>
      <c r="B65" s="1237" t="s">
        <v>461</v>
      </c>
      <c r="C65" s="1237" t="s">
        <v>246</v>
      </c>
      <c r="D65" s="1237" t="s">
        <v>140</v>
      </c>
      <c r="E65" s="1219" t="s">
        <v>148</v>
      </c>
      <c r="F65" s="1240">
        <v>1200</v>
      </c>
      <c r="G65" s="1241">
        <v>1200</v>
      </c>
      <c r="H65" s="1346" t="s">
        <v>1451</v>
      </c>
      <c r="I65" s="1343"/>
      <c r="J65" s="1131"/>
      <c r="K65" s="1131"/>
      <c r="L65" s="1131"/>
      <c r="M65" s="1131"/>
    </row>
    <row r="66" spans="1:13" ht="15" customHeight="1" x14ac:dyDescent="0.35">
      <c r="A66" s="1236" t="s">
        <v>691</v>
      </c>
      <c r="B66" s="1237" t="s">
        <v>142</v>
      </c>
      <c r="C66" s="1237" t="s">
        <v>246</v>
      </c>
      <c r="D66" s="1237" t="s">
        <v>38</v>
      </c>
      <c r="E66" s="1219" t="s">
        <v>149</v>
      </c>
      <c r="F66" s="1240">
        <v>0</v>
      </c>
      <c r="G66" s="1241">
        <v>0</v>
      </c>
      <c r="H66" s="1346" t="s">
        <v>695</v>
      </c>
      <c r="I66" s="1343"/>
      <c r="J66" s="1131"/>
      <c r="K66" s="1131"/>
      <c r="L66" s="1131"/>
      <c r="M66" s="1131"/>
    </row>
    <row r="67" spans="1:13" ht="15" customHeight="1" x14ac:dyDescent="0.35">
      <c r="A67" s="1236" t="s">
        <v>692</v>
      </c>
      <c r="B67" s="1237" t="s">
        <v>587</v>
      </c>
      <c r="C67" s="1237" t="s">
        <v>136</v>
      </c>
      <c r="D67" s="1237" t="s">
        <v>690</v>
      </c>
      <c r="E67" s="1185" t="s">
        <v>333</v>
      </c>
      <c r="F67" s="1240">
        <v>44</v>
      </c>
      <c r="G67" s="1241">
        <v>44</v>
      </c>
      <c r="H67" s="1346" t="s">
        <v>697</v>
      </c>
      <c r="I67" s="1343"/>
      <c r="J67" s="1131"/>
      <c r="K67" s="1131"/>
      <c r="L67" s="1131"/>
      <c r="M67" s="1131"/>
    </row>
    <row r="68" spans="1:13" ht="15" customHeight="1" x14ac:dyDescent="0.35">
      <c r="A68" s="1236" t="s">
        <v>692</v>
      </c>
      <c r="B68" s="1237" t="s">
        <v>460</v>
      </c>
      <c r="C68" s="1237" t="s">
        <v>136</v>
      </c>
      <c r="D68" s="1237" t="s">
        <v>137</v>
      </c>
      <c r="E68" s="1219" t="s">
        <v>150</v>
      </c>
      <c r="F68" s="1240" t="s">
        <v>680</v>
      </c>
      <c r="G68" s="1241" t="s">
        <v>680</v>
      </c>
      <c r="H68" s="1346" t="s">
        <v>696</v>
      </c>
      <c r="I68" s="1343"/>
      <c r="J68" s="1131"/>
      <c r="K68" s="1131"/>
      <c r="L68" s="1131"/>
      <c r="M68" s="1131"/>
    </row>
    <row r="69" spans="1:13" ht="15" customHeight="1" x14ac:dyDescent="0.35">
      <c r="A69" s="1236" t="s">
        <v>692</v>
      </c>
      <c r="B69" s="1237" t="s">
        <v>461</v>
      </c>
      <c r="C69" s="1237" t="s">
        <v>246</v>
      </c>
      <c r="D69" s="1237" t="s">
        <v>140</v>
      </c>
      <c r="E69" s="1219" t="s">
        <v>151</v>
      </c>
      <c r="F69" s="1240">
        <v>0</v>
      </c>
      <c r="G69" s="1241">
        <v>0</v>
      </c>
      <c r="H69" s="1346" t="s">
        <v>1376</v>
      </c>
      <c r="I69" s="1343"/>
      <c r="J69" s="1131"/>
      <c r="K69" s="1131"/>
      <c r="L69" s="1131"/>
      <c r="M69" s="1131"/>
    </row>
    <row r="70" spans="1:13" ht="15" customHeight="1" x14ac:dyDescent="0.35">
      <c r="A70" s="1236" t="s">
        <v>692</v>
      </c>
      <c r="B70" s="1237" t="s">
        <v>142</v>
      </c>
      <c r="C70" s="1237" t="s">
        <v>246</v>
      </c>
      <c r="D70" s="1237" t="s">
        <v>38</v>
      </c>
      <c r="E70" s="1219" t="s">
        <v>152</v>
      </c>
      <c r="F70" s="1240">
        <v>0</v>
      </c>
      <c r="G70" s="1241">
        <v>0</v>
      </c>
      <c r="H70" s="1346" t="s">
        <v>698</v>
      </c>
      <c r="I70" s="1343"/>
      <c r="J70" s="1131"/>
      <c r="K70" s="1131"/>
      <c r="L70" s="1131"/>
      <c r="M70" s="1131"/>
    </row>
    <row r="71" spans="1:13" ht="15" customHeight="1" x14ac:dyDescent="0.35">
      <c r="A71" s="1236" t="s">
        <v>699</v>
      </c>
      <c r="B71" s="1237" t="s">
        <v>587</v>
      </c>
      <c r="C71" s="1237" t="s">
        <v>136</v>
      </c>
      <c r="D71" s="1237" t="s">
        <v>690</v>
      </c>
      <c r="E71" s="1185" t="s">
        <v>700</v>
      </c>
      <c r="F71" s="1243">
        <v>44</v>
      </c>
      <c r="G71" s="1244">
        <v>44</v>
      </c>
      <c r="H71" s="1346" t="s">
        <v>704</v>
      </c>
      <c r="I71" s="1343"/>
      <c r="J71" s="1131"/>
      <c r="K71" s="1131"/>
      <c r="L71" s="1131"/>
      <c r="M71" s="1131"/>
    </row>
    <row r="72" spans="1:13" ht="15" customHeight="1" x14ac:dyDescent="0.35">
      <c r="A72" s="1236" t="s">
        <v>699</v>
      </c>
      <c r="B72" s="1237" t="s">
        <v>460</v>
      </c>
      <c r="C72" s="1237" t="s">
        <v>136</v>
      </c>
      <c r="D72" s="1237" t="s">
        <v>137</v>
      </c>
      <c r="E72" s="1219" t="s">
        <v>701</v>
      </c>
      <c r="F72" s="1243" t="s">
        <v>139</v>
      </c>
      <c r="G72" s="1244" t="s">
        <v>139</v>
      </c>
      <c r="H72" s="1346" t="s">
        <v>705</v>
      </c>
      <c r="I72" s="1343"/>
      <c r="J72" s="1131"/>
      <c r="K72" s="1131"/>
      <c r="L72" s="1131"/>
      <c r="M72" s="1131"/>
    </row>
    <row r="73" spans="1:13" ht="15" customHeight="1" x14ac:dyDescent="0.35">
      <c r="A73" s="1236" t="s">
        <v>699</v>
      </c>
      <c r="B73" s="1237" t="s">
        <v>461</v>
      </c>
      <c r="C73" s="1237" t="s">
        <v>246</v>
      </c>
      <c r="D73" s="1237" t="s">
        <v>140</v>
      </c>
      <c r="E73" s="1219" t="s">
        <v>702</v>
      </c>
      <c r="F73" s="1243">
        <v>0</v>
      </c>
      <c r="G73" s="1244">
        <v>0</v>
      </c>
      <c r="H73" s="1346" t="s">
        <v>1457</v>
      </c>
      <c r="I73" s="1343"/>
      <c r="J73" s="1131"/>
      <c r="K73" s="1131"/>
      <c r="L73" s="1131"/>
      <c r="M73" s="1131"/>
    </row>
    <row r="74" spans="1:13" ht="15" customHeight="1" x14ac:dyDescent="0.35">
      <c r="A74" s="1236" t="s">
        <v>699</v>
      </c>
      <c r="B74" s="1237" t="s">
        <v>142</v>
      </c>
      <c r="C74" s="1237" t="s">
        <v>246</v>
      </c>
      <c r="D74" s="1237" t="s">
        <v>38</v>
      </c>
      <c r="E74" s="1219" t="s">
        <v>703</v>
      </c>
      <c r="F74" s="1243">
        <v>0</v>
      </c>
      <c r="G74" s="1244">
        <v>0</v>
      </c>
      <c r="H74" s="1346" t="s">
        <v>726</v>
      </c>
      <c r="I74" s="1343"/>
      <c r="J74" s="1131"/>
      <c r="K74" s="1131"/>
      <c r="L74" s="1131"/>
      <c r="M74" s="1131"/>
    </row>
    <row r="75" spans="1:13" ht="15" customHeight="1" x14ac:dyDescent="0.35">
      <c r="A75" s="1236" t="s">
        <v>709</v>
      </c>
      <c r="B75" s="1237" t="s">
        <v>587</v>
      </c>
      <c r="C75" s="1237" t="s">
        <v>136</v>
      </c>
      <c r="D75" s="1237" t="s">
        <v>690</v>
      </c>
      <c r="E75" s="1185" t="s">
        <v>712</v>
      </c>
      <c r="F75" s="1243">
        <v>44</v>
      </c>
      <c r="G75" s="1244">
        <v>44</v>
      </c>
      <c r="H75" s="1346" t="s">
        <v>1452</v>
      </c>
      <c r="I75" s="1343"/>
      <c r="J75" s="1131"/>
      <c r="K75" s="1131"/>
      <c r="L75" s="1131"/>
      <c r="M75" s="1131"/>
    </row>
    <row r="76" spans="1:13" ht="15" customHeight="1" x14ac:dyDescent="0.35">
      <c r="A76" s="1236" t="s">
        <v>709</v>
      </c>
      <c r="B76" s="1237" t="s">
        <v>460</v>
      </c>
      <c r="C76" s="1237" t="s">
        <v>136</v>
      </c>
      <c r="D76" s="1237" t="s">
        <v>137</v>
      </c>
      <c r="E76" s="1219" t="s">
        <v>713</v>
      </c>
      <c r="F76" s="1243" t="s">
        <v>139</v>
      </c>
      <c r="G76" s="1244" t="s">
        <v>139</v>
      </c>
      <c r="H76" s="1346" t="s">
        <v>724</v>
      </c>
      <c r="I76" s="1343"/>
      <c r="J76" s="1131"/>
      <c r="K76" s="1131"/>
      <c r="L76" s="1131"/>
      <c r="M76" s="1131"/>
    </row>
    <row r="77" spans="1:13" ht="15" customHeight="1" x14ac:dyDescent="0.35">
      <c r="A77" s="1236" t="s">
        <v>709</v>
      </c>
      <c r="B77" s="1237" t="s">
        <v>461</v>
      </c>
      <c r="C77" s="1237" t="s">
        <v>246</v>
      </c>
      <c r="D77" s="1237" t="s">
        <v>140</v>
      </c>
      <c r="E77" s="1219" t="s">
        <v>714</v>
      </c>
      <c r="F77" s="1243">
        <v>1200</v>
      </c>
      <c r="G77" s="1244">
        <v>1200</v>
      </c>
      <c r="H77" s="1346" t="s">
        <v>1453</v>
      </c>
      <c r="I77" s="1406"/>
      <c r="J77" s="1412"/>
      <c r="K77" s="1131"/>
      <c r="L77" s="1131"/>
      <c r="M77" s="1131"/>
    </row>
    <row r="78" spans="1:13" ht="15" customHeight="1" x14ac:dyDescent="0.35">
      <c r="A78" s="1236" t="s">
        <v>709</v>
      </c>
      <c r="B78" s="1237" t="s">
        <v>142</v>
      </c>
      <c r="C78" s="1237" t="s">
        <v>246</v>
      </c>
      <c r="D78" s="1237" t="s">
        <v>38</v>
      </c>
      <c r="E78" s="1219" t="s">
        <v>715</v>
      </c>
      <c r="F78" s="1243">
        <v>0</v>
      </c>
      <c r="G78" s="1244">
        <v>0</v>
      </c>
      <c r="H78" s="1346" t="s">
        <v>725</v>
      </c>
      <c r="I78" s="1406"/>
      <c r="J78" s="1412"/>
      <c r="K78" s="1131"/>
      <c r="L78" s="1131"/>
      <c r="M78" s="1131"/>
    </row>
    <row r="79" spans="1:13" ht="15" customHeight="1" x14ac:dyDescent="0.35">
      <c r="A79" s="1236" t="s">
        <v>710</v>
      </c>
      <c r="B79" s="1237" t="s">
        <v>587</v>
      </c>
      <c r="C79" s="1237" t="s">
        <v>136</v>
      </c>
      <c r="D79" s="1237" t="s">
        <v>690</v>
      </c>
      <c r="E79" s="1185" t="s">
        <v>716</v>
      </c>
      <c r="F79" s="1243">
        <v>44</v>
      </c>
      <c r="G79" s="1244">
        <v>44</v>
      </c>
      <c r="H79" s="1346" t="s">
        <v>727</v>
      </c>
      <c r="I79" s="1406"/>
      <c r="J79" s="1412"/>
      <c r="K79" s="1131"/>
      <c r="L79" s="1131"/>
      <c r="M79" s="1131"/>
    </row>
    <row r="80" spans="1:13" ht="15" customHeight="1" x14ac:dyDescent="0.35">
      <c r="A80" s="1236" t="s">
        <v>710</v>
      </c>
      <c r="B80" s="1237" t="s">
        <v>460</v>
      </c>
      <c r="C80" s="1237" t="s">
        <v>136</v>
      </c>
      <c r="D80" s="1237" t="s">
        <v>137</v>
      </c>
      <c r="E80" s="1219" t="s">
        <v>717</v>
      </c>
      <c r="F80" s="1243" t="s">
        <v>680</v>
      </c>
      <c r="G80" s="1244" t="s">
        <v>680</v>
      </c>
      <c r="H80" s="1346" t="s">
        <v>728</v>
      </c>
      <c r="I80" s="1406"/>
      <c r="J80" s="1412"/>
      <c r="K80" s="1131"/>
      <c r="L80" s="1131"/>
      <c r="M80" s="1131"/>
    </row>
    <row r="81" spans="1:14" ht="15" customHeight="1" x14ac:dyDescent="0.35">
      <c r="A81" s="1236" t="s">
        <v>710</v>
      </c>
      <c r="B81" s="1237" t="s">
        <v>461</v>
      </c>
      <c r="C81" s="1237" t="s">
        <v>246</v>
      </c>
      <c r="D81" s="1237" t="s">
        <v>140</v>
      </c>
      <c r="E81" s="1219" t="s">
        <v>718</v>
      </c>
      <c r="F81" s="1243">
        <v>0</v>
      </c>
      <c r="G81" s="1244">
        <v>0</v>
      </c>
      <c r="H81" s="1346" t="s">
        <v>1376</v>
      </c>
      <c r="I81" s="1406"/>
      <c r="J81" s="1412"/>
      <c r="K81" s="1131"/>
      <c r="L81" s="1131"/>
      <c r="M81" s="1131"/>
    </row>
    <row r="82" spans="1:14" ht="15" customHeight="1" x14ac:dyDescent="0.35">
      <c r="A82" s="1236" t="s">
        <v>710</v>
      </c>
      <c r="B82" s="1237" t="s">
        <v>142</v>
      </c>
      <c r="C82" s="1237" t="s">
        <v>246</v>
      </c>
      <c r="D82" s="1237" t="s">
        <v>38</v>
      </c>
      <c r="E82" s="1219" t="s">
        <v>719</v>
      </c>
      <c r="F82" s="1243">
        <v>0</v>
      </c>
      <c r="G82" s="1244">
        <v>0</v>
      </c>
      <c r="H82" s="1346" t="s">
        <v>729</v>
      </c>
      <c r="I82" s="1406"/>
      <c r="J82" s="1412"/>
      <c r="K82" s="1131"/>
      <c r="L82" s="1131"/>
      <c r="M82" s="1131"/>
    </row>
    <row r="83" spans="1:14" ht="15" customHeight="1" x14ac:dyDescent="0.35">
      <c r="A83" s="1236" t="s">
        <v>711</v>
      </c>
      <c r="B83" s="1237" t="s">
        <v>587</v>
      </c>
      <c r="C83" s="1237" t="s">
        <v>136</v>
      </c>
      <c r="D83" s="1237" t="s">
        <v>690</v>
      </c>
      <c r="E83" s="1185" t="s">
        <v>720</v>
      </c>
      <c r="F83" s="1243">
        <v>44</v>
      </c>
      <c r="G83" s="1244">
        <v>44</v>
      </c>
      <c r="H83" s="1346" t="s">
        <v>730</v>
      </c>
      <c r="I83" s="1406"/>
      <c r="J83" s="1412"/>
      <c r="K83" s="1131"/>
      <c r="L83" s="1131"/>
      <c r="M83" s="1131"/>
    </row>
    <row r="84" spans="1:14" ht="15" customHeight="1" x14ac:dyDescent="0.35">
      <c r="A84" s="1236" t="s">
        <v>711</v>
      </c>
      <c r="B84" s="1237" t="s">
        <v>460</v>
      </c>
      <c r="C84" s="1237" t="s">
        <v>136</v>
      </c>
      <c r="D84" s="1237" t="s">
        <v>137</v>
      </c>
      <c r="E84" s="1219" t="s">
        <v>721</v>
      </c>
      <c r="F84" s="1243" t="s">
        <v>139</v>
      </c>
      <c r="G84" s="1244" t="s">
        <v>139</v>
      </c>
      <c r="H84" s="1346" t="s">
        <v>731</v>
      </c>
      <c r="I84" s="1406"/>
      <c r="J84" s="1412"/>
      <c r="K84" s="1131"/>
      <c r="L84" s="1131"/>
      <c r="M84" s="1131"/>
    </row>
    <row r="85" spans="1:14" ht="15" customHeight="1" x14ac:dyDescent="0.35">
      <c r="A85" s="1236" t="s">
        <v>711</v>
      </c>
      <c r="B85" s="1237" t="s">
        <v>461</v>
      </c>
      <c r="C85" s="1237" t="s">
        <v>246</v>
      </c>
      <c r="D85" s="1237" t="s">
        <v>140</v>
      </c>
      <c r="E85" s="1219" t="s">
        <v>722</v>
      </c>
      <c r="F85" s="1243">
        <v>0</v>
      </c>
      <c r="G85" s="1244">
        <v>0</v>
      </c>
      <c r="H85" s="1346" t="s">
        <v>1456</v>
      </c>
      <c r="I85" s="1406"/>
      <c r="J85" s="1412"/>
      <c r="K85" s="1131"/>
      <c r="L85" s="1131"/>
      <c r="M85" s="1131"/>
    </row>
    <row r="86" spans="1:14" ht="15" customHeight="1" x14ac:dyDescent="0.35">
      <c r="A86" s="1236" t="s">
        <v>711</v>
      </c>
      <c r="B86" s="1237" t="s">
        <v>142</v>
      </c>
      <c r="C86" s="1237" t="s">
        <v>246</v>
      </c>
      <c r="D86" s="1237" t="s">
        <v>38</v>
      </c>
      <c r="E86" s="1219" t="s">
        <v>723</v>
      </c>
      <c r="F86" s="1243">
        <v>0</v>
      </c>
      <c r="G86" s="1244">
        <v>0</v>
      </c>
      <c r="H86" s="1346" t="s">
        <v>732</v>
      </c>
      <c r="I86" s="1406"/>
      <c r="J86" s="1412"/>
      <c r="K86" s="1131"/>
      <c r="L86" s="1131"/>
      <c r="M86" s="1131"/>
    </row>
    <row r="87" spans="1:14" ht="15" customHeight="1" x14ac:dyDescent="0.35">
      <c r="A87" s="1236" t="s">
        <v>738</v>
      </c>
      <c r="B87" s="1237" t="s">
        <v>587</v>
      </c>
      <c r="C87" s="1237" t="s">
        <v>136</v>
      </c>
      <c r="D87" s="1237" t="s">
        <v>690</v>
      </c>
      <c r="E87" s="1185" t="s">
        <v>741</v>
      </c>
      <c r="F87" s="1243">
        <v>44</v>
      </c>
      <c r="G87" s="1244">
        <v>44</v>
      </c>
      <c r="H87" s="1346" t="s">
        <v>753</v>
      </c>
      <c r="I87" s="1406"/>
      <c r="J87" s="1412"/>
      <c r="K87" s="1131"/>
      <c r="L87" s="1131"/>
      <c r="M87" s="1131"/>
    </row>
    <row r="88" spans="1:14" ht="15" customHeight="1" x14ac:dyDescent="0.35">
      <c r="A88" s="1236" t="s">
        <v>738</v>
      </c>
      <c r="B88" s="1237" t="s">
        <v>460</v>
      </c>
      <c r="C88" s="1237" t="s">
        <v>136</v>
      </c>
      <c r="D88" s="1237" t="s">
        <v>137</v>
      </c>
      <c r="E88" s="1219" t="s">
        <v>742</v>
      </c>
      <c r="F88" s="1243" t="s">
        <v>139</v>
      </c>
      <c r="G88" s="1244" t="s">
        <v>139</v>
      </c>
      <c r="H88" s="1346" t="s">
        <v>754</v>
      </c>
      <c r="I88" s="1406"/>
      <c r="J88" s="1412"/>
      <c r="K88" s="1131"/>
      <c r="L88" s="1131"/>
      <c r="M88" s="1131"/>
    </row>
    <row r="89" spans="1:14" ht="15" customHeight="1" x14ac:dyDescent="0.35">
      <c r="A89" s="1236" t="s">
        <v>738</v>
      </c>
      <c r="B89" s="1237" t="s">
        <v>461</v>
      </c>
      <c r="C89" s="1237" t="s">
        <v>246</v>
      </c>
      <c r="D89" s="1237" t="s">
        <v>140</v>
      </c>
      <c r="E89" s="1219" t="s">
        <v>743</v>
      </c>
      <c r="F89" s="1243">
        <v>1200</v>
      </c>
      <c r="G89" s="1244">
        <v>1200</v>
      </c>
      <c r="H89" s="1346" t="s">
        <v>1454</v>
      </c>
      <c r="I89" s="1406"/>
      <c r="J89" s="1412"/>
      <c r="K89" s="1131"/>
      <c r="L89" s="1131"/>
      <c r="M89" s="1131"/>
    </row>
    <row r="90" spans="1:14" ht="15" customHeight="1" x14ac:dyDescent="0.35">
      <c r="A90" s="1236" t="s">
        <v>738</v>
      </c>
      <c r="B90" s="1237" t="s">
        <v>142</v>
      </c>
      <c r="C90" s="1237" t="s">
        <v>246</v>
      </c>
      <c r="D90" s="1237" t="s">
        <v>38</v>
      </c>
      <c r="E90" s="1219" t="s">
        <v>744</v>
      </c>
      <c r="F90" s="1243">
        <v>0</v>
      </c>
      <c r="G90" s="1244">
        <v>0</v>
      </c>
      <c r="H90" s="1346" t="s">
        <v>755</v>
      </c>
      <c r="I90" s="1406"/>
      <c r="J90" s="1412"/>
      <c r="K90" s="1131"/>
      <c r="L90" s="1131"/>
      <c r="M90" s="1131"/>
    </row>
    <row r="91" spans="1:14" ht="15" customHeight="1" x14ac:dyDescent="0.35">
      <c r="A91" s="1236" t="s">
        <v>739</v>
      </c>
      <c r="B91" s="1237" t="s">
        <v>587</v>
      </c>
      <c r="C91" s="1237" t="s">
        <v>136</v>
      </c>
      <c r="D91" s="1237" t="s">
        <v>690</v>
      </c>
      <c r="E91" s="1185" t="s">
        <v>746</v>
      </c>
      <c r="F91" s="1243">
        <v>44</v>
      </c>
      <c r="G91" s="1244">
        <v>44</v>
      </c>
      <c r="H91" s="1346" t="s">
        <v>756</v>
      </c>
      <c r="I91" s="1406"/>
      <c r="J91" s="1412"/>
      <c r="K91" s="1131"/>
      <c r="L91" s="1131"/>
      <c r="M91" s="1131"/>
    </row>
    <row r="92" spans="1:14" ht="15" customHeight="1" x14ac:dyDescent="0.35">
      <c r="A92" s="1236" t="s">
        <v>739</v>
      </c>
      <c r="B92" s="1237" t="s">
        <v>460</v>
      </c>
      <c r="C92" s="1237" t="s">
        <v>136</v>
      </c>
      <c r="D92" s="1237" t="s">
        <v>137</v>
      </c>
      <c r="E92" s="1219" t="s">
        <v>745</v>
      </c>
      <c r="F92" s="1243" t="s">
        <v>680</v>
      </c>
      <c r="G92" s="1244" t="s">
        <v>680</v>
      </c>
      <c r="H92" s="1346" t="s">
        <v>757</v>
      </c>
      <c r="I92" s="1406"/>
      <c r="J92" s="1412"/>
      <c r="K92" s="1131"/>
      <c r="L92" s="1131"/>
      <c r="M92" s="1131"/>
    </row>
    <row r="93" spans="1:14" ht="15" customHeight="1" x14ac:dyDescent="0.35">
      <c r="A93" s="1236" t="s">
        <v>739</v>
      </c>
      <c r="B93" s="1237" t="s">
        <v>461</v>
      </c>
      <c r="C93" s="1237" t="s">
        <v>246</v>
      </c>
      <c r="D93" s="1237" t="s">
        <v>140</v>
      </c>
      <c r="E93" s="1219" t="s">
        <v>747</v>
      </c>
      <c r="F93" s="1243">
        <v>0</v>
      </c>
      <c r="G93" s="1244">
        <v>0</v>
      </c>
      <c r="H93" s="1346" t="s">
        <v>1376</v>
      </c>
      <c r="I93" s="1406"/>
      <c r="J93" s="1412"/>
      <c r="K93" s="1131"/>
      <c r="L93" s="1131"/>
      <c r="M93" s="1131"/>
    </row>
    <row r="94" spans="1:14" ht="15" customHeight="1" x14ac:dyDescent="0.35">
      <c r="A94" s="1236" t="s">
        <v>739</v>
      </c>
      <c r="B94" s="1237" t="s">
        <v>142</v>
      </c>
      <c r="C94" s="1237" t="s">
        <v>246</v>
      </c>
      <c r="D94" s="1237" t="s">
        <v>38</v>
      </c>
      <c r="E94" s="1219" t="s">
        <v>748</v>
      </c>
      <c r="F94" s="1243">
        <v>0</v>
      </c>
      <c r="G94" s="1244">
        <v>0</v>
      </c>
      <c r="H94" s="1346" t="s">
        <v>758</v>
      </c>
      <c r="I94" s="1406"/>
      <c r="J94" s="1412"/>
      <c r="K94" s="1131"/>
      <c r="L94" s="1131"/>
      <c r="M94" s="1131"/>
    </row>
    <row r="95" spans="1:14" ht="15" customHeight="1" x14ac:dyDescent="0.35">
      <c r="A95" s="1236" t="s">
        <v>740</v>
      </c>
      <c r="B95" s="1237" t="s">
        <v>587</v>
      </c>
      <c r="C95" s="1237" t="s">
        <v>136</v>
      </c>
      <c r="D95" s="1237" t="s">
        <v>690</v>
      </c>
      <c r="E95" s="1185" t="s">
        <v>749</v>
      </c>
      <c r="F95" s="1243">
        <v>44</v>
      </c>
      <c r="G95" s="1244">
        <v>44</v>
      </c>
      <c r="H95" s="1346" t="s">
        <v>759</v>
      </c>
      <c r="I95" s="1406"/>
      <c r="J95" s="1412"/>
      <c r="K95" s="1131"/>
      <c r="L95" s="1131"/>
      <c r="M95" s="1131"/>
    </row>
    <row r="96" spans="1:14" ht="15" customHeight="1" x14ac:dyDescent="0.35">
      <c r="A96" s="1236" t="s">
        <v>740</v>
      </c>
      <c r="B96" s="1237" t="s">
        <v>460</v>
      </c>
      <c r="C96" s="1237" t="s">
        <v>136</v>
      </c>
      <c r="D96" s="1237" t="s">
        <v>137</v>
      </c>
      <c r="E96" s="1219" t="s">
        <v>750</v>
      </c>
      <c r="F96" s="1243" t="s">
        <v>139</v>
      </c>
      <c r="G96" s="1244" t="s">
        <v>139</v>
      </c>
      <c r="H96" s="1346" t="s">
        <v>760</v>
      </c>
      <c r="I96" s="1406"/>
      <c r="J96" s="1412"/>
      <c r="K96" s="1131"/>
      <c r="L96" s="1131"/>
      <c r="M96" s="1131"/>
      <c r="N96" s="1196"/>
    </row>
    <row r="97" spans="1:15" ht="15" customHeight="1" x14ac:dyDescent="0.35">
      <c r="A97" s="1236" t="s">
        <v>740</v>
      </c>
      <c r="B97" s="1237" t="s">
        <v>461</v>
      </c>
      <c r="C97" s="1237" t="s">
        <v>246</v>
      </c>
      <c r="D97" s="1237" t="s">
        <v>140</v>
      </c>
      <c r="E97" s="1219" t="s">
        <v>751</v>
      </c>
      <c r="F97" s="1243">
        <v>0</v>
      </c>
      <c r="G97" s="1244">
        <v>0</v>
      </c>
      <c r="H97" s="1346" t="s">
        <v>1455</v>
      </c>
      <c r="I97" s="1406"/>
      <c r="J97" s="1412"/>
      <c r="K97" s="1131"/>
      <c r="L97" s="1131"/>
      <c r="M97" s="1131"/>
      <c r="N97" s="1196"/>
      <c r="O97" s="1245"/>
    </row>
    <row r="98" spans="1:15" s="1131" customFormat="1" ht="15" customHeight="1" thickBot="1" x14ac:dyDescent="0.4">
      <c r="A98" s="1246" t="s">
        <v>740</v>
      </c>
      <c r="B98" s="1247" t="s">
        <v>142</v>
      </c>
      <c r="C98" s="1247" t="s">
        <v>246</v>
      </c>
      <c r="D98" s="1247" t="s">
        <v>38</v>
      </c>
      <c r="E98" s="1165" t="s">
        <v>752</v>
      </c>
      <c r="F98" s="1248">
        <v>0</v>
      </c>
      <c r="G98" s="1249">
        <v>0</v>
      </c>
      <c r="H98" s="1346" t="s">
        <v>761</v>
      </c>
      <c r="I98" s="1406"/>
      <c r="J98" s="1412"/>
      <c r="N98" s="1196"/>
      <c r="O98" s="1245"/>
    </row>
    <row r="99" spans="1:15" s="1131" customFormat="1" ht="15" customHeight="1" thickBot="1" x14ac:dyDescent="0.4">
      <c r="A99" s="1250"/>
      <c r="B99" s="1250"/>
      <c r="C99" s="1250"/>
      <c r="D99" s="1250"/>
      <c r="E99" s="1251"/>
      <c r="F99" s="1252"/>
      <c r="G99" s="1252"/>
      <c r="H99" s="1347"/>
      <c r="I99" s="1407"/>
      <c r="J99" s="1412"/>
      <c r="K99" s="1110"/>
      <c r="L99" s="1110"/>
      <c r="M99" s="1110"/>
      <c r="O99" s="1196"/>
    </row>
    <row r="100" spans="1:15" s="1131" customFormat="1" ht="15" customHeight="1" thickBot="1" x14ac:dyDescent="0.4">
      <c r="A100" s="1253" t="s">
        <v>51</v>
      </c>
      <c r="B100" s="1254"/>
      <c r="C100" s="1255"/>
      <c r="D100" s="1255"/>
      <c r="E100" s="1256"/>
      <c r="F100" s="1257"/>
      <c r="G100" s="1257"/>
      <c r="H100" s="1348"/>
      <c r="I100" s="1408"/>
      <c r="J100" s="1413"/>
      <c r="K100" s="1110"/>
      <c r="L100" s="1110"/>
      <c r="M100" s="1110"/>
    </row>
    <row r="101" spans="1:15" s="1131" customFormat="1" ht="15" customHeight="1" thickBot="1" x14ac:dyDescent="0.4">
      <c r="A101" s="1258"/>
      <c r="B101" s="1259"/>
      <c r="F101" s="1112"/>
      <c r="G101" s="1112"/>
      <c r="H101" s="1349"/>
      <c r="I101" s="1409"/>
      <c r="J101" s="1413"/>
      <c r="K101" s="1110"/>
      <c r="L101" s="1110"/>
      <c r="M101" s="1110"/>
    </row>
    <row r="102" spans="1:15" ht="30" customHeight="1" x14ac:dyDescent="0.35">
      <c r="A102" s="1302" t="s">
        <v>154</v>
      </c>
      <c r="B102" s="1303" t="s">
        <v>462</v>
      </c>
      <c r="C102" s="1304" t="s">
        <v>135</v>
      </c>
      <c r="D102" s="1260" t="s">
        <v>261</v>
      </c>
      <c r="E102" s="1233" t="s">
        <v>310</v>
      </c>
      <c r="F102" s="1458">
        <v>1</v>
      </c>
      <c r="G102" s="1459">
        <v>1</v>
      </c>
      <c r="H102" s="1350" t="s">
        <v>1576</v>
      </c>
      <c r="I102" s="1409"/>
      <c r="J102" s="1413"/>
      <c r="N102" s="1131"/>
      <c r="O102" s="1131"/>
    </row>
    <row r="103" spans="1:15" ht="15" customHeight="1" x14ac:dyDescent="0.35">
      <c r="A103" s="1261" t="s">
        <v>268</v>
      </c>
      <c r="B103" s="1262" t="s">
        <v>651</v>
      </c>
      <c r="C103" s="1263" t="s">
        <v>246</v>
      </c>
      <c r="D103" s="1263"/>
      <c r="E103" s="1160" t="s">
        <v>311</v>
      </c>
      <c r="F103" s="1243">
        <v>2</v>
      </c>
      <c r="G103" s="1244">
        <v>2</v>
      </c>
      <c r="H103" s="1351"/>
      <c r="I103" s="1406"/>
      <c r="J103" s="1413"/>
      <c r="O103" s="1131"/>
    </row>
    <row r="104" spans="1:15" ht="15" customHeight="1" x14ac:dyDescent="0.35">
      <c r="A104" s="1264" t="s">
        <v>154</v>
      </c>
      <c r="B104" s="1265" t="s">
        <v>996</v>
      </c>
      <c r="C104" s="1266" t="s">
        <v>246</v>
      </c>
      <c r="D104" s="1263" t="s">
        <v>645</v>
      </c>
      <c r="E104" s="1267" t="s">
        <v>646</v>
      </c>
      <c r="F104" s="1243">
        <v>500000</v>
      </c>
      <c r="G104" s="1244">
        <v>500000</v>
      </c>
      <c r="H104" s="1351" t="s">
        <v>1033</v>
      </c>
      <c r="I104" s="1406"/>
      <c r="J104" s="1413"/>
    </row>
    <row r="105" spans="1:15" ht="15" customHeight="1" x14ac:dyDescent="0.35">
      <c r="A105" s="1264" t="s">
        <v>154</v>
      </c>
      <c r="B105" s="1265" t="s">
        <v>582</v>
      </c>
      <c r="C105" s="1266" t="s">
        <v>246</v>
      </c>
      <c r="D105" s="1263" t="s">
        <v>430</v>
      </c>
      <c r="E105" s="1267" t="s">
        <v>308</v>
      </c>
      <c r="F105" s="1240">
        <v>20</v>
      </c>
      <c r="G105" s="1241">
        <v>20</v>
      </c>
      <c r="H105" s="1351" t="s">
        <v>585</v>
      </c>
      <c r="I105" s="1406"/>
      <c r="J105" s="1413"/>
    </row>
    <row r="106" spans="1:15" ht="15" customHeight="1" x14ac:dyDescent="0.35">
      <c r="A106" s="1264" t="s">
        <v>154</v>
      </c>
      <c r="B106" s="1265" t="s">
        <v>584</v>
      </c>
      <c r="C106" s="1266" t="s">
        <v>246</v>
      </c>
      <c r="D106" s="1263" t="s">
        <v>583</v>
      </c>
      <c r="E106" s="1267" t="s">
        <v>309</v>
      </c>
      <c r="F106" s="1240">
        <v>4320</v>
      </c>
      <c r="G106" s="1241">
        <v>4320</v>
      </c>
      <c r="H106" s="1351" t="s">
        <v>1037</v>
      </c>
      <c r="I106" s="1406"/>
      <c r="J106" s="1413"/>
    </row>
    <row r="107" spans="1:15" ht="15" customHeight="1" x14ac:dyDescent="0.35">
      <c r="A107" s="1264" t="s">
        <v>88</v>
      </c>
      <c r="B107" s="1265" t="s">
        <v>650</v>
      </c>
      <c r="C107" s="1266" t="s">
        <v>156</v>
      </c>
      <c r="D107" s="1263"/>
      <c r="E107" s="1267" t="s">
        <v>312</v>
      </c>
      <c r="F107" s="1240">
        <v>80</v>
      </c>
      <c r="G107" s="1241">
        <v>80</v>
      </c>
      <c r="H107" s="1351" t="s">
        <v>269</v>
      </c>
      <c r="I107" s="1406"/>
      <c r="J107" s="1413"/>
    </row>
    <row r="108" spans="1:15" ht="15" customHeight="1" x14ac:dyDescent="0.35">
      <c r="A108" s="1268" t="s">
        <v>157</v>
      </c>
      <c r="B108" s="1263" t="s">
        <v>649</v>
      </c>
      <c r="C108" s="1269" t="s">
        <v>156</v>
      </c>
      <c r="D108" s="1263" t="s">
        <v>38</v>
      </c>
      <c r="E108" s="1270" t="s">
        <v>313</v>
      </c>
      <c r="F108" s="1243">
        <v>85</v>
      </c>
      <c r="G108" s="1244">
        <v>85</v>
      </c>
      <c r="H108" s="1351" t="s">
        <v>861</v>
      </c>
      <c r="I108" s="1406"/>
      <c r="J108" s="1413"/>
    </row>
    <row r="109" spans="1:15" ht="15.75" customHeight="1" thickBot="1" x14ac:dyDescent="0.4">
      <c r="A109" s="1305" t="s">
        <v>157</v>
      </c>
      <c r="B109" s="1271" t="s">
        <v>463</v>
      </c>
      <c r="C109" s="1306" t="s">
        <v>246</v>
      </c>
      <c r="D109" s="1272"/>
      <c r="E109" s="1165" t="s">
        <v>314</v>
      </c>
      <c r="F109" s="1248">
        <v>1</v>
      </c>
      <c r="G109" s="1249">
        <v>1</v>
      </c>
      <c r="H109" s="1460" t="s">
        <v>1606</v>
      </c>
      <c r="I109" s="1393"/>
      <c r="J109" s="1413"/>
    </row>
    <row r="110" spans="1:15" ht="15" customHeight="1" thickBot="1" x14ac:dyDescent="0.4">
      <c r="A110" s="1250"/>
      <c r="D110" s="1250"/>
      <c r="G110" s="1112"/>
      <c r="H110" s="1352"/>
      <c r="I110" s="1393"/>
      <c r="J110" s="1413"/>
    </row>
    <row r="111" spans="1:15" ht="15" customHeight="1" thickBot="1" x14ac:dyDescent="0.4">
      <c r="A111" s="1273" t="s">
        <v>270</v>
      </c>
      <c r="B111" s="1274"/>
      <c r="C111" s="1275"/>
      <c r="D111" s="1275"/>
      <c r="E111" s="1276"/>
      <c r="F111" s="1277"/>
      <c r="G111" s="1277"/>
      <c r="H111" s="1353"/>
      <c r="I111" s="1393"/>
      <c r="J111" s="1413"/>
    </row>
    <row r="112" spans="1:15" ht="15" customHeight="1" x14ac:dyDescent="0.35">
      <c r="B112" s="1278"/>
      <c r="G112" s="1112"/>
      <c r="H112" s="1354"/>
      <c r="I112" s="1393"/>
      <c r="J112" s="1413"/>
    </row>
    <row r="113" spans="1:10" ht="30.75" customHeight="1" x14ac:dyDescent="0.35">
      <c r="A113" s="1307" t="s">
        <v>154</v>
      </c>
      <c r="B113" s="1279" t="s">
        <v>1607</v>
      </c>
      <c r="C113" s="1280" t="s">
        <v>246</v>
      </c>
      <c r="D113" s="1280" t="s">
        <v>1460</v>
      </c>
      <c r="E113" s="1160" t="s">
        <v>1461</v>
      </c>
      <c r="F113" s="1243">
        <v>7.9</v>
      </c>
      <c r="G113" s="1244">
        <v>7.9</v>
      </c>
      <c r="H113" s="1356" t="s">
        <v>1608</v>
      </c>
      <c r="I113" s="1410"/>
      <c r="J113" s="1413"/>
    </row>
    <row r="114" spans="1:10" ht="15" customHeight="1" x14ac:dyDescent="0.35">
      <c r="A114" s="1307" t="s">
        <v>154</v>
      </c>
      <c r="B114" s="1279" t="s">
        <v>1609</v>
      </c>
      <c r="C114" s="1280" t="s">
        <v>246</v>
      </c>
      <c r="D114" s="1280" t="s">
        <v>38</v>
      </c>
      <c r="E114" s="1160" t="s">
        <v>1483</v>
      </c>
      <c r="F114" s="1243">
        <v>0</v>
      </c>
      <c r="G114" s="1244">
        <v>0</v>
      </c>
      <c r="H114" s="1355" t="s">
        <v>1610</v>
      </c>
      <c r="I114" s="1410"/>
      <c r="J114" s="1413"/>
    </row>
    <row r="115" spans="1:10" ht="15" customHeight="1" x14ac:dyDescent="0.35">
      <c r="A115" s="1307" t="s">
        <v>154</v>
      </c>
      <c r="B115" s="1279" t="s">
        <v>1859</v>
      </c>
      <c r="C115" s="1280" t="s">
        <v>260</v>
      </c>
      <c r="D115" s="1280" t="s">
        <v>377</v>
      </c>
      <c r="E115" s="1160" t="s">
        <v>1860</v>
      </c>
      <c r="F115" s="1467">
        <v>0</v>
      </c>
      <c r="G115" s="1468">
        <v>0</v>
      </c>
      <c r="H115" s="1355" t="s">
        <v>1861</v>
      </c>
      <c r="I115" s="1410"/>
      <c r="J115" s="1413"/>
    </row>
    <row r="116" spans="1:10" ht="45" customHeight="1" x14ac:dyDescent="0.35">
      <c r="A116" s="1307" t="s">
        <v>154</v>
      </c>
      <c r="B116" s="1279" t="s">
        <v>1963</v>
      </c>
      <c r="C116" s="1280" t="s">
        <v>246</v>
      </c>
      <c r="D116" s="1280" t="s">
        <v>1964</v>
      </c>
      <c r="E116" s="1160" t="s">
        <v>1965</v>
      </c>
      <c r="F116" s="1467">
        <v>1819</v>
      </c>
      <c r="G116" s="1468">
        <v>1819</v>
      </c>
      <c r="H116" s="1355" t="s">
        <v>1967</v>
      </c>
      <c r="I116" s="1410"/>
      <c r="J116" s="1413"/>
    </row>
    <row r="117" spans="1:10" ht="62.25" customHeight="1" x14ac:dyDescent="0.35">
      <c r="A117" s="1307" t="s">
        <v>154</v>
      </c>
      <c r="B117" s="1279" t="s">
        <v>1863</v>
      </c>
      <c r="C117" s="1280" t="s">
        <v>246</v>
      </c>
      <c r="D117" s="1280" t="s">
        <v>1460</v>
      </c>
      <c r="E117" s="1160" t="s">
        <v>1864</v>
      </c>
      <c r="F117" s="1467">
        <v>1947</v>
      </c>
      <c r="G117" s="1468">
        <v>1947</v>
      </c>
      <c r="H117" s="1451" t="s">
        <v>1966</v>
      </c>
      <c r="I117" s="1410"/>
      <c r="J117" s="1413"/>
    </row>
    <row r="118" spans="1:10" ht="15" customHeight="1" x14ac:dyDescent="0.35">
      <c r="A118" s="1307" t="s">
        <v>154</v>
      </c>
      <c r="B118" s="1279" t="s">
        <v>1870</v>
      </c>
      <c r="C118" s="1280" t="s">
        <v>246</v>
      </c>
      <c r="D118" s="1280" t="s">
        <v>1866</v>
      </c>
      <c r="E118" s="1160" t="s">
        <v>1865</v>
      </c>
      <c r="F118" s="1243">
        <v>0.7</v>
      </c>
      <c r="G118" s="1244">
        <v>0.7</v>
      </c>
      <c r="H118" s="1355" t="s">
        <v>1869</v>
      </c>
      <c r="I118" s="1410"/>
      <c r="J118" s="1413"/>
    </row>
    <row r="119" spans="1:10" ht="30.75" customHeight="1" x14ac:dyDescent="0.35">
      <c r="A119" s="1307" t="s">
        <v>154</v>
      </c>
      <c r="B119" s="1279" t="s">
        <v>1611</v>
      </c>
      <c r="C119" s="1280" t="s">
        <v>246</v>
      </c>
      <c r="D119" s="1280" t="s">
        <v>1559</v>
      </c>
      <c r="E119" s="1160" t="s">
        <v>1029</v>
      </c>
      <c r="F119" s="1403">
        <v>55.2</v>
      </c>
      <c r="G119" s="1244">
        <v>55.2</v>
      </c>
      <c r="H119" s="1356" t="s">
        <v>1612</v>
      </c>
      <c r="I119" s="1410"/>
      <c r="J119" s="1413"/>
    </row>
    <row r="120" spans="1:10" ht="43.5" customHeight="1" x14ac:dyDescent="0.35">
      <c r="A120" s="1405" t="s">
        <v>154</v>
      </c>
      <c r="B120" s="1405" t="s">
        <v>1613</v>
      </c>
      <c r="C120" s="1405" t="s">
        <v>246</v>
      </c>
      <c r="D120" s="1405" t="s">
        <v>1558</v>
      </c>
      <c r="E120" s="1160" t="s">
        <v>1554</v>
      </c>
      <c r="F120" s="1404">
        <v>159.1</v>
      </c>
      <c r="G120" s="1402">
        <v>159.1</v>
      </c>
      <c r="H120" s="1401" t="s">
        <v>1614</v>
      </c>
      <c r="I120" s="1393"/>
      <c r="J120" s="1413"/>
    </row>
    <row r="121" spans="1:10" ht="30" customHeight="1" x14ac:dyDescent="0.35">
      <c r="A121" s="1461" t="s">
        <v>154</v>
      </c>
      <c r="B121" s="1461" t="s">
        <v>1617</v>
      </c>
      <c r="C121" s="1462" t="s">
        <v>246</v>
      </c>
      <c r="D121" s="1462" t="s">
        <v>1618</v>
      </c>
      <c r="E121" s="1160" t="s">
        <v>1619</v>
      </c>
      <c r="F121" s="1403">
        <v>23.8</v>
      </c>
      <c r="G121" s="1463">
        <v>23.8</v>
      </c>
      <c r="H121" s="1464" t="s">
        <v>1640</v>
      </c>
      <c r="I121" s="1393"/>
      <c r="J121" s="1413"/>
    </row>
    <row r="122" spans="1:10" ht="18" customHeight="1" x14ac:dyDescent="0.35">
      <c r="A122" s="1461" t="s">
        <v>154</v>
      </c>
      <c r="B122" s="1461" t="s">
        <v>1620</v>
      </c>
      <c r="C122" s="1462" t="s">
        <v>246</v>
      </c>
      <c r="D122" s="1462" t="s">
        <v>1618</v>
      </c>
      <c r="E122" s="1160" t="s">
        <v>1621</v>
      </c>
      <c r="F122" s="1403">
        <v>0</v>
      </c>
      <c r="G122" s="1463">
        <v>0</v>
      </c>
      <c r="H122" s="1464" t="s">
        <v>1638</v>
      </c>
      <c r="I122" s="1393"/>
      <c r="J122" s="1413"/>
    </row>
    <row r="123" spans="1:10" ht="19.5" customHeight="1" x14ac:dyDescent="0.35">
      <c r="A123" s="1461" t="s">
        <v>154</v>
      </c>
      <c r="B123" s="1461" t="s">
        <v>1622</v>
      </c>
      <c r="C123" s="1462" t="s">
        <v>246</v>
      </c>
      <c r="D123" s="1462" t="s">
        <v>1618</v>
      </c>
      <c r="E123" s="1160" t="s">
        <v>1623</v>
      </c>
      <c r="F123" s="1403">
        <v>0</v>
      </c>
      <c r="G123" s="1463">
        <v>0</v>
      </c>
      <c r="H123" s="1464" t="s">
        <v>1639</v>
      </c>
      <c r="I123" s="1393"/>
      <c r="J123" s="1413"/>
    </row>
    <row r="124" spans="1:10" ht="31.5" customHeight="1" x14ac:dyDescent="0.35">
      <c r="A124" s="1461" t="s">
        <v>154</v>
      </c>
      <c r="B124" s="1461" t="s">
        <v>1624</v>
      </c>
      <c r="C124" s="1462" t="s">
        <v>246</v>
      </c>
      <c r="D124" s="1462" t="s">
        <v>1618</v>
      </c>
      <c r="E124" s="1160" t="s">
        <v>1625</v>
      </c>
      <c r="F124" s="1403">
        <v>14</v>
      </c>
      <c r="G124" s="1463">
        <v>14</v>
      </c>
      <c r="H124" s="1464" t="s">
        <v>1641</v>
      </c>
      <c r="I124" s="1393"/>
      <c r="J124" s="1413"/>
    </row>
    <row r="125" spans="1:10" ht="32.25" customHeight="1" x14ac:dyDescent="0.35">
      <c r="A125" s="1461" t="s">
        <v>154</v>
      </c>
      <c r="B125" s="1461" t="s">
        <v>1626</v>
      </c>
      <c r="C125" s="1462" t="s">
        <v>246</v>
      </c>
      <c r="D125" s="1462" t="s">
        <v>1618</v>
      </c>
      <c r="E125" s="1160" t="s">
        <v>1627</v>
      </c>
      <c r="F125" s="1403">
        <v>15.9</v>
      </c>
      <c r="G125" s="1463">
        <v>15.9</v>
      </c>
      <c r="H125" s="1464" t="s">
        <v>1642</v>
      </c>
      <c r="I125" s="1393"/>
      <c r="J125" s="1413"/>
    </row>
    <row r="126" spans="1:10" ht="32.25" customHeight="1" x14ac:dyDescent="0.35">
      <c r="A126" s="1461" t="s">
        <v>154</v>
      </c>
      <c r="B126" s="1461" t="s">
        <v>1628</v>
      </c>
      <c r="C126" s="1462" t="s">
        <v>246</v>
      </c>
      <c r="D126" s="1462" t="s">
        <v>1618</v>
      </c>
      <c r="E126" s="1160" t="s">
        <v>1629</v>
      </c>
      <c r="F126" s="1403">
        <v>1.7</v>
      </c>
      <c r="G126" s="1463">
        <v>1.7</v>
      </c>
      <c r="H126" s="1464" t="s">
        <v>1643</v>
      </c>
      <c r="I126" s="1393"/>
      <c r="J126" s="1413"/>
    </row>
    <row r="127" spans="1:10" ht="32.25" customHeight="1" x14ac:dyDescent="0.35">
      <c r="A127" s="1461" t="s">
        <v>154</v>
      </c>
      <c r="B127" s="1461" t="s">
        <v>1630</v>
      </c>
      <c r="C127" s="1462" t="s">
        <v>246</v>
      </c>
      <c r="D127" s="1462" t="s">
        <v>1618</v>
      </c>
      <c r="E127" s="1160" t="s">
        <v>1631</v>
      </c>
      <c r="F127" s="1403">
        <v>0.5</v>
      </c>
      <c r="G127" s="1463">
        <v>0.5</v>
      </c>
      <c r="H127" s="1464" t="s">
        <v>1644</v>
      </c>
      <c r="I127" s="1393"/>
      <c r="J127" s="1413"/>
    </row>
    <row r="128" spans="1:10" ht="30" customHeight="1" x14ac:dyDescent="0.35">
      <c r="A128" s="1461" t="s">
        <v>154</v>
      </c>
      <c r="B128" s="1461" t="s">
        <v>1632</v>
      </c>
      <c r="C128" s="1462" t="s">
        <v>246</v>
      </c>
      <c r="D128" s="1462" t="s">
        <v>1618</v>
      </c>
      <c r="E128" s="1160" t="s">
        <v>1633</v>
      </c>
      <c r="F128" s="1403">
        <v>29</v>
      </c>
      <c r="G128" s="1463">
        <v>29</v>
      </c>
      <c r="H128" s="1464" t="s">
        <v>1645</v>
      </c>
      <c r="I128" s="1393"/>
      <c r="J128" s="1413"/>
    </row>
    <row r="129" spans="1:10" ht="43.5" customHeight="1" x14ac:dyDescent="0.35">
      <c r="A129" s="1461" t="s">
        <v>154</v>
      </c>
      <c r="B129" s="1461" t="s">
        <v>1634</v>
      </c>
      <c r="C129" s="1462" t="s">
        <v>246</v>
      </c>
      <c r="D129" s="1462" t="s">
        <v>1618</v>
      </c>
      <c r="E129" s="1160" t="s">
        <v>1635</v>
      </c>
      <c r="F129" s="1403">
        <v>0.8</v>
      </c>
      <c r="G129" s="1463">
        <v>0.8</v>
      </c>
      <c r="H129" s="1464" t="s">
        <v>1646</v>
      </c>
      <c r="I129" s="1393"/>
      <c r="J129" s="1413"/>
    </row>
    <row r="130" spans="1:10" ht="43.5" customHeight="1" x14ac:dyDescent="0.35">
      <c r="A130" s="1461" t="s">
        <v>154</v>
      </c>
      <c r="B130" s="1461" t="s">
        <v>1636</v>
      </c>
      <c r="C130" s="1462" t="s">
        <v>246</v>
      </c>
      <c r="D130" s="1462" t="s">
        <v>1618</v>
      </c>
      <c r="E130" s="1160" t="s">
        <v>1637</v>
      </c>
      <c r="F130" s="1403">
        <v>0.2</v>
      </c>
      <c r="G130" s="1463">
        <v>0.2</v>
      </c>
      <c r="H130" s="1464" t="s">
        <v>1647</v>
      </c>
      <c r="I130" s="1393"/>
      <c r="J130" s="1413"/>
    </row>
    <row r="131" spans="1:10" ht="15" customHeight="1" x14ac:dyDescent="0.35">
      <c r="A131" s="1307" t="s">
        <v>154</v>
      </c>
      <c r="B131" s="1279" t="s">
        <v>1615</v>
      </c>
      <c r="C131" s="1280" t="s">
        <v>246</v>
      </c>
      <c r="D131" s="1280" t="s">
        <v>38</v>
      </c>
      <c r="E131" s="1160" t="s">
        <v>1426</v>
      </c>
      <c r="F131" s="1243">
        <v>0</v>
      </c>
      <c r="G131" s="1244">
        <v>0</v>
      </c>
      <c r="H131" s="1355" t="s">
        <v>1616</v>
      </c>
      <c r="I131" s="1410"/>
      <c r="J131" s="1413"/>
    </row>
    <row r="132" spans="1:10" ht="86.4" x14ac:dyDescent="0.35">
      <c r="A132" s="1307" t="s">
        <v>154</v>
      </c>
      <c r="B132" s="1279" t="s">
        <v>1648</v>
      </c>
      <c r="C132" s="1280" t="s">
        <v>246</v>
      </c>
      <c r="D132" s="1280" t="s">
        <v>1555</v>
      </c>
      <c r="E132" s="1160" t="s">
        <v>602</v>
      </c>
      <c r="F132" s="1416">
        <v>0.27100000000000002</v>
      </c>
      <c r="G132" s="1417">
        <v>0.27100000000000002</v>
      </c>
      <c r="H132" s="1401" t="s">
        <v>1649</v>
      </c>
      <c r="I132" s="1410" t="s">
        <v>604</v>
      </c>
      <c r="J132" s="1414"/>
    </row>
    <row r="133" spans="1:10" ht="57.6" x14ac:dyDescent="0.35">
      <c r="A133" s="1307" t="s">
        <v>154</v>
      </c>
      <c r="B133" s="1279" t="s">
        <v>1874</v>
      </c>
      <c r="C133" s="1280" t="s">
        <v>246</v>
      </c>
      <c r="D133" s="1280" t="s">
        <v>38</v>
      </c>
      <c r="E133" s="1160" t="s">
        <v>1871</v>
      </c>
      <c r="F133" s="1465">
        <v>26.4</v>
      </c>
      <c r="G133" s="1466">
        <v>26.4</v>
      </c>
      <c r="H133" s="1464" t="s">
        <v>1892</v>
      </c>
      <c r="I133" s="1410"/>
      <c r="J133" s="1414"/>
    </row>
    <row r="134" spans="1:10" ht="57.6" x14ac:dyDescent="0.35">
      <c r="A134" s="1307" t="s">
        <v>154</v>
      </c>
      <c r="B134" s="1279" t="s">
        <v>1890</v>
      </c>
      <c r="C134" s="1280" t="s">
        <v>246</v>
      </c>
      <c r="D134" s="1280" t="s">
        <v>38</v>
      </c>
      <c r="E134" s="1160" t="s">
        <v>1875</v>
      </c>
      <c r="F134" s="1465">
        <v>28.7</v>
      </c>
      <c r="G134" s="1466">
        <v>28.7</v>
      </c>
      <c r="H134" s="1464" t="s">
        <v>1894</v>
      </c>
      <c r="I134" s="1410"/>
      <c r="J134" s="1414"/>
    </row>
    <row r="135" spans="1:10" ht="57.6" x14ac:dyDescent="0.35">
      <c r="A135" s="1307" t="s">
        <v>154</v>
      </c>
      <c r="B135" s="1279" t="s">
        <v>1891</v>
      </c>
      <c r="C135" s="1280" t="s">
        <v>246</v>
      </c>
      <c r="D135" s="1280" t="s">
        <v>38</v>
      </c>
      <c r="E135" s="1160" t="s">
        <v>1876</v>
      </c>
      <c r="F135" s="1465">
        <v>34.5</v>
      </c>
      <c r="G135" s="1466">
        <v>34.5</v>
      </c>
      <c r="H135" s="1464" t="s">
        <v>1893</v>
      </c>
      <c r="I135" s="1410"/>
      <c r="J135" s="1414"/>
    </row>
    <row r="136" spans="1:10" ht="14.4" x14ac:dyDescent="0.35">
      <c r="A136" s="1307" t="s">
        <v>154</v>
      </c>
      <c r="B136" s="1279" t="s">
        <v>1651</v>
      </c>
      <c r="C136" s="1280" t="s">
        <v>246</v>
      </c>
      <c r="D136" s="1280" t="s">
        <v>38</v>
      </c>
      <c r="E136" s="1160" t="s">
        <v>1652</v>
      </c>
      <c r="F136" s="1465">
        <v>11.7</v>
      </c>
      <c r="G136" s="1466">
        <v>11.7</v>
      </c>
      <c r="H136" s="1464" t="s">
        <v>1653</v>
      </c>
      <c r="I136" s="1410"/>
      <c r="J136" s="1414"/>
    </row>
    <row r="137" spans="1:10" ht="15" customHeight="1" x14ac:dyDescent="0.35">
      <c r="A137" s="1307" t="s">
        <v>154</v>
      </c>
      <c r="B137" s="1279" t="s">
        <v>1654</v>
      </c>
      <c r="C137" s="1280" t="s">
        <v>246</v>
      </c>
      <c r="D137" s="1280" t="s">
        <v>1557</v>
      </c>
      <c r="E137" s="1160" t="s">
        <v>596</v>
      </c>
      <c r="F137" s="1416">
        <v>0</v>
      </c>
      <c r="G137" s="1417">
        <v>0</v>
      </c>
      <c r="H137" s="1401" t="s">
        <v>1655</v>
      </c>
      <c r="I137" s="1410" t="s">
        <v>1020</v>
      </c>
      <c r="J137" s="1419"/>
    </row>
    <row r="138" spans="1:10" ht="61.5" customHeight="1" x14ac:dyDescent="0.35">
      <c r="A138" s="1307" t="s">
        <v>154</v>
      </c>
      <c r="B138" s="1279" t="s">
        <v>1656</v>
      </c>
      <c r="C138" s="1280" t="s">
        <v>246</v>
      </c>
      <c r="D138" s="1280" t="s">
        <v>1560</v>
      </c>
      <c r="E138" s="1160" t="s">
        <v>597</v>
      </c>
      <c r="F138" s="1416">
        <v>0.20749999999999999</v>
      </c>
      <c r="G138" s="1417">
        <v>0.20749999999999999</v>
      </c>
      <c r="H138" s="1401" t="s">
        <v>1657</v>
      </c>
      <c r="I138" s="1410" t="s">
        <v>598</v>
      </c>
      <c r="J138" s="1418"/>
    </row>
    <row r="139" spans="1:10" ht="61.5" customHeight="1" x14ac:dyDescent="0.35">
      <c r="A139" s="1307" t="s">
        <v>154</v>
      </c>
      <c r="B139" s="1279" t="s">
        <v>1886</v>
      </c>
      <c r="C139" s="1280" t="s">
        <v>246</v>
      </c>
      <c r="D139" s="1280" t="s">
        <v>38</v>
      </c>
      <c r="E139" s="1160" t="s">
        <v>1887</v>
      </c>
      <c r="F139" s="1465">
        <v>-20.6</v>
      </c>
      <c r="G139" s="1466">
        <v>-20.6</v>
      </c>
      <c r="H139" s="1464" t="s">
        <v>1888</v>
      </c>
      <c r="I139" s="1410"/>
      <c r="J139" s="1418"/>
    </row>
    <row r="140" spans="1:10" ht="61.5" customHeight="1" x14ac:dyDescent="0.35">
      <c r="A140" s="1307" t="s">
        <v>154</v>
      </c>
      <c r="B140" s="1279" t="s">
        <v>1889</v>
      </c>
      <c r="C140" s="1280" t="s">
        <v>246</v>
      </c>
      <c r="D140" s="1280" t="s">
        <v>38</v>
      </c>
      <c r="E140" s="1160" t="s">
        <v>1896</v>
      </c>
      <c r="F140" s="1465">
        <v>10.7</v>
      </c>
      <c r="G140" s="1466">
        <v>10.7</v>
      </c>
      <c r="H140" s="1464" t="s">
        <v>1895</v>
      </c>
      <c r="I140" s="1410"/>
      <c r="J140" s="1418"/>
    </row>
    <row r="141" spans="1:10" ht="61.5" customHeight="1" x14ac:dyDescent="0.35">
      <c r="A141" s="1307" t="s">
        <v>154</v>
      </c>
      <c r="B141" s="1279" t="s">
        <v>1897</v>
      </c>
      <c r="C141" s="1280" t="s">
        <v>246</v>
      </c>
      <c r="D141" s="1280" t="s">
        <v>38</v>
      </c>
      <c r="E141" s="1160" t="s">
        <v>1898</v>
      </c>
      <c r="F141" s="1465">
        <v>9.9</v>
      </c>
      <c r="G141" s="1466">
        <v>9.9</v>
      </c>
      <c r="H141" s="1464" t="s">
        <v>1899</v>
      </c>
      <c r="I141" s="1410"/>
      <c r="J141" s="1418"/>
    </row>
    <row r="142" spans="1:10" ht="16.5" customHeight="1" x14ac:dyDescent="0.35">
      <c r="A142" s="1307" t="s">
        <v>154</v>
      </c>
      <c r="B142" s="1279" t="s">
        <v>1658</v>
      </c>
      <c r="C142" s="1280" t="s">
        <v>246</v>
      </c>
      <c r="D142" s="1280" t="s">
        <v>1659</v>
      </c>
      <c r="E142" s="1160" t="s">
        <v>1660</v>
      </c>
      <c r="F142" s="1465">
        <v>87.9</v>
      </c>
      <c r="G142" s="1466">
        <v>87.9</v>
      </c>
      <c r="H142" s="1469" t="s">
        <v>1661</v>
      </c>
      <c r="I142" s="1410"/>
      <c r="J142" s="1418"/>
    </row>
    <row r="143" spans="1:10" ht="15" customHeight="1" x14ac:dyDescent="0.35">
      <c r="A143" s="1307" t="s">
        <v>154</v>
      </c>
      <c r="B143" s="1279" t="s">
        <v>599</v>
      </c>
      <c r="C143" s="1280" t="s">
        <v>260</v>
      </c>
      <c r="D143" s="1280" t="s">
        <v>377</v>
      </c>
      <c r="E143" s="1160" t="s">
        <v>600</v>
      </c>
      <c r="F143" s="1467">
        <v>1</v>
      </c>
      <c r="G143" s="1468">
        <v>1</v>
      </c>
      <c r="H143" s="1357" t="s">
        <v>601</v>
      </c>
      <c r="I143" s="1410"/>
      <c r="J143" s="1418"/>
    </row>
    <row r="144" spans="1:10" ht="28.8" x14ac:dyDescent="0.35">
      <c r="A144" s="1424" t="s">
        <v>154</v>
      </c>
      <c r="B144" s="1422" t="s">
        <v>1662</v>
      </c>
      <c r="C144" s="1422" t="s">
        <v>246</v>
      </c>
      <c r="D144" s="1422" t="s">
        <v>38</v>
      </c>
      <c r="E144" s="1219" t="s">
        <v>1031</v>
      </c>
      <c r="F144" s="1470">
        <v>87.9</v>
      </c>
      <c r="G144" s="1471">
        <v>87.9</v>
      </c>
      <c r="H144" s="1357" t="s">
        <v>1663</v>
      </c>
      <c r="I144" s="1410"/>
      <c r="J144" s="1418"/>
    </row>
    <row r="145" spans="1:15" ht="13.5" customHeight="1" x14ac:dyDescent="0.35">
      <c r="A145" s="1423" t="s">
        <v>154</v>
      </c>
      <c r="B145" s="1421" t="s">
        <v>570</v>
      </c>
      <c r="C145" s="1421" t="s">
        <v>246</v>
      </c>
      <c r="D145" s="1421" t="s">
        <v>571</v>
      </c>
      <c r="E145" s="1420" t="s">
        <v>288</v>
      </c>
      <c r="F145" s="1368">
        <v>0</v>
      </c>
      <c r="G145" s="1298">
        <v>0</v>
      </c>
      <c r="H145" s="1452" t="s">
        <v>1599</v>
      </c>
      <c r="I145" s="1410"/>
      <c r="J145" s="1413"/>
    </row>
    <row r="146" spans="1:15" ht="14.25" customHeight="1" x14ac:dyDescent="0.35">
      <c r="A146" s="1307" t="s">
        <v>154</v>
      </c>
      <c r="B146" s="1279" t="s">
        <v>569</v>
      </c>
      <c r="C146" s="1279" t="s">
        <v>246</v>
      </c>
      <c r="D146" s="1279" t="s">
        <v>765</v>
      </c>
      <c r="E146" s="1267" t="s">
        <v>289</v>
      </c>
      <c r="F146" s="1240">
        <v>12</v>
      </c>
      <c r="G146" s="1241">
        <v>12</v>
      </c>
      <c r="H146" s="1356" t="s">
        <v>1600</v>
      </c>
      <c r="I146" s="1410"/>
      <c r="J146" s="1413"/>
    </row>
    <row r="147" spans="1:15" ht="15" customHeight="1" x14ac:dyDescent="0.35">
      <c r="A147" s="1307" t="s">
        <v>154</v>
      </c>
      <c r="B147" s="1279" t="s">
        <v>449</v>
      </c>
      <c r="C147" s="1279" t="s">
        <v>246</v>
      </c>
      <c r="D147" s="1279" t="s">
        <v>1590</v>
      </c>
      <c r="E147" s="1267" t="s">
        <v>397</v>
      </c>
      <c r="F147" s="1240">
        <v>50.8</v>
      </c>
      <c r="G147" s="1241">
        <v>50.8</v>
      </c>
      <c r="H147" s="1355" t="s">
        <v>1591</v>
      </c>
      <c r="I147" s="1410"/>
      <c r="J147" s="1413"/>
    </row>
    <row r="148" spans="1:15" ht="31.5" customHeight="1" x14ac:dyDescent="0.35">
      <c r="A148" s="1307" t="s">
        <v>154</v>
      </c>
      <c r="B148" s="1279" t="s">
        <v>1581</v>
      </c>
      <c r="C148" s="1279" t="s">
        <v>246</v>
      </c>
      <c r="D148" s="1279" t="s">
        <v>1582</v>
      </c>
      <c r="E148" s="1267" t="s">
        <v>1584</v>
      </c>
      <c r="F148" s="1449">
        <v>0.48299999999999998</v>
      </c>
      <c r="G148" s="1450">
        <v>0.48299999999999998</v>
      </c>
      <c r="H148" s="1451" t="s">
        <v>1583</v>
      </c>
      <c r="I148" s="1410"/>
      <c r="J148" s="1413"/>
      <c r="L148" s="1176"/>
      <c r="M148" s="1176"/>
    </row>
    <row r="149" spans="1:15" ht="15.75" customHeight="1" x14ac:dyDescent="0.35">
      <c r="A149" s="1307" t="s">
        <v>154</v>
      </c>
      <c r="B149" s="1279" t="s">
        <v>904</v>
      </c>
      <c r="C149" s="1280" t="s">
        <v>260</v>
      </c>
      <c r="D149" s="1280" t="s">
        <v>377</v>
      </c>
      <c r="E149" s="1267" t="s">
        <v>406</v>
      </c>
      <c r="F149" s="1240">
        <v>0</v>
      </c>
      <c r="G149" s="1241">
        <v>0</v>
      </c>
      <c r="H149" s="1355" t="s">
        <v>1862</v>
      </c>
      <c r="I149" s="1410"/>
      <c r="J149" s="1413"/>
      <c r="O149" s="1176"/>
    </row>
    <row r="150" spans="1:15" ht="17.25" customHeight="1" x14ac:dyDescent="0.35">
      <c r="A150" s="1307" t="s">
        <v>154</v>
      </c>
      <c r="B150" s="1279" t="s">
        <v>464</v>
      </c>
      <c r="C150" s="1279" t="s">
        <v>246</v>
      </c>
      <c r="D150" s="1279" t="s">
        <v>1597</v>
      </c>
      <c r="E150" s="1270" t="s">
        <v>290</v>
      </c>
      <c r="F150" s="1449">
        <v>0.876</v>
      </c>
      <c r="G150" s="1450">
        <v>0.876</v>
      </c>
      <c r="H150" s="1356" t="s">
        <v>1598</v>
      </c>
      <c r="I150" s="1406"/>
      <c r="J150" s="1413"/>
    </row>
    <row r="151" spans="1:15" ht="15" customHeight="1" x14ac:dyDescent="0.35">
      <c r="A151" s="1307" t="s">
        <v>153</v>
      </c>
      <c r="B151" s="1279" t="s">
        <v>1561</v>
      </c>
      <c r="C151" s="1279" t="s">
        <v>246</v>
      </c>
      <c r="D151" s="1279" t="s">
        <v>38</v>
      </c>
      <c r="E151" s="1267" t="s">
        <v>318</v>
      </c>
      <c r="F151" s="1240">
        <v>0</v>
      </c>
      <c r="G151" s="1241">
        <v>0</v>
      </c>
      <c r="H151" s="1355" t="s">
        <v>589</v>
      </c>
      <c r="I151" s="1393"/>
      <c r="J151" s="1413"/>
    </row>
    <row r="152" spans="1:15" ht="15" customHeight="1" x14ac:dyDescent="0.35">
      <c r="A152" s="1307" t="s">
        <v>154</v>
      </c>
      <c r="B152" s="1279" t="s">
        <v>1664</v>
      </c>
      <c r="C152" s="1279" t="s">
        <v>246</v>
      </c>
      <c r="D152" s="1279" t="s">
        <v>38</v>
      </c>
      <c r="E152" s="1267" t="s">
        <v>398</v>
      </c>
      <c r="F152" s="1472">
        <v>10</v>
      </c>
      <c r="G152" s="1473">
        <v>10</v>
      </c>
      <c r="H152" s="1355" t="s">
        <v>616</v>
      </c>
      <c r="I152" s="1410"/>
      <c r="J152" s="1413"/>
    </row>
    <row r="153" spans="1:15" ht="15" customHeight="1" x14ac:dyDescent="0.35">
      <c r="A153" s="1307" t="s">
        <v>154</v>
      </c>
      <c r="B153" s="1279" t="s">
        <v>1665</v>
      </c>
      <c r="C153" s="1279" t="s">
        <v>246</v>
      </c>
      <c r="D153" s="1279" t="s">
        <v>38</v>
      </c>
      <c r="E153" s="1267" t="s">
        <v>399</v>
      </c>
      <c r="F153" s="1472">
        <v>85</v>
      </c>
      <c r="G153" s="1473">
        <v>85</v>
      </c>
      <c r="H153" s="1355" t="s">
        <v>617</v>
      </c>
      <c r="I153" s="1410"/>
      <c r="J153" s="1413"/>
    </row>
    <row r="154" spans="1:15" ht="30.75" customHeight="1" x14ac:dyDescent="0.35">
      <c r="A154" s="1307" t="s">
        <v>154</v>
      </c>
      <c r="B154" s="1279" t="s">
        <v>1666</v>
      </c>
      <c r="C154" s="1280" t="s">
        <v>246</v>
      </c>
      <c r="D154" s="1280" t="s">
        <v>1562</v>
      </c>
      <c r="E154" s="1267" t="s">
        <v>315</v>
      </c>
      <c r="F154" s="1472">
        <v>2724</v>
      </c>
      <c r="G154" s="1473">
        <v>2724</v>
      </c>
      <c r="H154" s="1355" t="s">
        <v>1667</v>
      </c>
      <c r="I154" s="1410"/>
      <c r="J154" s="1413"/>
    </row>
    <row r="155" spans="1:15" ht="30" customHeight="1" x14ac:dyDescent="0.35">
      <c r="A155" s="1307" t="s">
        <v>154</v>
      </c>
      <c r="B155" s="1279" t="s">
        <v>1668</v>
      </c>
      <c r="C155" s="1279" t="s">
        <v>246</v>
      </c>
      <c r="D155" s="1279" t="s">
        <v>765</v>
      </c>
      <c r="E155" s="1267" t="s">
        <v>316</v>
      </c>
      <c r="F155" s="1470">
        <v>93.4</v>
      </c>
      <c r="G155" s="1471">
        <v>93.4</v>
      </c>
      <c r="H155" s="1355" t="s">
        <v>1669</v>
      </c>
      <c r="I155" s="1410"/>
      <c r="J155" s="1413"/>
    </row>
    <row r="156" spans="1:15" ht="14.25" customHeight="1" x14ac:dyDescent="0.35">
      <c r="A156" s="1307" t="s">
        <v>154</v>
      </c>
      <c r="B156" s="1279" t="s">
        <v>1670</v>
      </c>
      <c r="C156" s="1279" t="s">
        <v>246</v>
      </c>
      <c r="D156" s="1279" t="s">
        <v>38</v>
      </c>
      <c r="E156" s="1267" t="s">
        <v>319</v>
      </c>
      <c r="F156" s="1240">
        <v>0.6</v>
      </c>
      <c r="G156" s="1241">
        <v>0.6</v>
      </c>
      <c r="H156" s="1355" t="s">
        <v>1671</v>
      </c>
      <c r="I156" s="1410"/>
      <c r="J156" s="1413"/>
    </row>
    <row r="157" spans="1:15" ht="28.5" customHeight="1" x14ac:dyDescent="0.35">
      <c r="A157" s="1307" t="s">
        <v>154</v>
      </c>
      <c r="B157" s="1279" t="s">
        <v>1672</v>
      </c>
      <c r="C157" s="1279" t="s">
        <v>246</v>
      </c>
      <c r="D157" s="1279" t="s">
        <v>765</v>
      </c>
      <c r="E157" s="1267" t="s">
        <v>1673</v>
      </c>
      <c r="F157" s="1472">
        <v>150.4</v>
      </c>
      <c r="G157" s="1473">
        <v>150.4</v>
      </c>
      <c r="H157" s="1355" t="s">
        <v>1835</v>
      </c>
      <c r="I157" s="1410"/>
      <c r="J157" s="1413"/>
    </row>
    <row r="158" spans="1:15" ht="28.5" customHeight="1" x14ac:dyDescent="0.35">
      <c r="A158" s="1307" t="s">
        <v>154</v>
      </c>
      <c r="B158" s="1279" t="s">
        <v>1674</v>
      </c>
      <c r="C158" s="1279" t="s">
        <v>246</v>
      </c>
      <c r="D158" s="1279" t="s">
        <v>1675</v>
      </c>
      <c r="E158" s="1267" t="s">
        <v>291</v>
      </c>
      <c r="F158" s="1240">
        <v>0</v>
      </c>
      <c r="G158" s="1241">
        <v>0</v>
      </c>
      <c r="H158" s="1355" t="s">
        <v>1676</v>
      </c>
      <c r="I158" s="1410"/>
      <c r="J158" s="1413"/>
    </row>
    <row r="159" spans="1:15" ht="30.75" customHeight="1" x14ac:dyDescent="0.35">
      <c r="A159" s="1307" t="s">
        <v>154</v>
      </c>
      <c r="B159" s="1279" t="s">
        <v>1677</v>
      </c>
      <c r="C159" s="1279" t="s">
        <v>246</v>
      </c>
      <c r="D159" s="1279" t="s">
        <v>1678</v>
      </c>
      <c r="E159" s="1267" t="s">
        <v>292</v>
      </c>
      <c r="F159" s="1474">
        <v>3.5100000000000001E-3</v>
      </c>
      <c r="G159" s="1475">
        <v>3.5100000000000001E-3</v>
      </c>
      <c r="H159" s="1355" t="s">
        <v>1679</v>
      </c>
      <c r="I159" s="1410"/>
      <c r="J159" s="1413"/>
    </row>
    <row r="160" spans="1:15" ht="29.25" customHeight="1" x14ac:dyDescent="0.35">
      <c r="A160" s="1307" t="s">
        <v>154</v>
      </c>
      <c r="B160" s="1279" t="s">
        <v>1680</v>
      </c>
      <c r="C160" s="1279" t="s">
        <v>246</v>
      </c>
      <c r="D160" s="1279" t="s">
        <v>38</v>
      </c>
      <c r="E160" s="1267" t="s">
        <v>400</v>
      </c>
      <c r="F160" s="1470">
        <v>55.6</v>
      </c>
      <c r="G160" s="1471">
        <v>55.6</v>
      </c>
      <c r="H160" s="1355" t="s">
        <v>1681</v>
      </c>
      <c r="I160" s="1410"/>
      <c r="J160" s="1413"/>
      <c r="K160" s="1169"/>
    </row>
    <row r="161" spans="1:10" ht="15" customHeight="1" thickBot="1" x14ac:dyDescent="0.4">
      <c r="A161" s="1308" t="s">
        <v>154</v>
      </c>
      <c r="B161" s="1281" t="s">
        <v>567</v>
      </c>
      <c r="C161" s="1281" t="s">
        <v>246</v>
      </c>
      <c r="D161" s="1425" t="s">
        <v>303</v>
      </c>
      <c r="E161" s="1426" t="s">
        <v>304</v>
      </c>
      <c r="F161" s="1248">
        <v>2.73</v>
      </c>
      <c r="G161" s="1249">
        <v>2.73</v>
      </c>
      <c r="H161" s="1358" t="s">
        <v>568</v>
      </c>
      <c r="I161" s="1393"/>
      <c r="J161" s="1413"/>
    </row>
    <row r="162" spans="1:10" thickBot="1" x14ac:dyDescent="0.4">
      <c r="A162" s="1250"/>
      <c r="B162" s="1250"/>
      <c r="C162" s="1250"/>
      <c r="D162" s="1250"/>
      <c r="G162" s="1112"/>
      <c r="H162" s="1352"/>
      <c r="I162" s="1393"/>
      <c r="J162" s="1413"/>
    </row>
    <row r="163" spans="1:10" thickBot="1" x14ac:dyDescent="0.4">
      <c r="A163" s="1282" t="s">
        <v>295</v>
      </c>
      <c r="B163" s="1283"/>
      <c r="C163" s="1284"/>
      <c r="D163" s="1284"/>
      <c r="E163" s="1285"/>
      <c r="F163" s="1286"/>
      <c r="G163" s="1286"/>
      <c r="H163" s="1359"/>
      <c r="I163" s="1393"/>
      <c r="J163" s="1413"/>
    </row>
    <row r="164" spans="1:10" thickBot="1" x14ac:dyDescent="0.4">
      <c r="G164" s="1112"/>
      <c r="H164" s="1354"/>
      <c r="I164" s="1393"/>
      <c r="J164" s="1413"/>
    </row>
    <row r="165" spans="1:10" ht="14.4" x14ac:dyDescent="0.35">
      <c r="A165" s="1309" t="s">
        <v>273</v>
      </c>
      <c r="B165" s="1310" t="s">
        <v>1682</v>
      </c>
      <c r="C165" s="1310" t="s">
        <v>246</v>
      </c>
      <c r="D165" s="1287" t="s">
        <v>1683</v>
      </c>
      <c r="E165" s="1138" t="s">
        <v>392</v>
      </c>
      <c r="F165" s="1234">
        <v>12.5</v>
      </c>
      <c r="G165" s="1235">
        <v>12.5</v>
      </c>
      <c r="H165" s="1360" t="s">
        <v>1684</v>
      </c>
      <c r="I165" s="1406"/>
      <c r="J165" s="1413"/>
    </row>
    <row r="166" spans="1:10" ht="15.6" x14ac:dyDescent="0.35">
      <c r="A166" s="1311" t="s">
        <v>273</v>
      </c>
      <c r="B166" s="1289" t="s">
        <v>1685</v>
      </c>
      <c r="C166" s="1289" t="s">
        <v>246</v>
      </c>
      <c r="D166" s="1476" t="s">
        <v>1687</v>
      </c>
      <c r="E166" s="1267" t="s">
        <v>279</v>
      </c>
      <c r="F166" s="1240">
        <v>69000</v>
      </c>
      <c r="G166" s="1241">
        <v>69000</v>
      </c>
      <c r="H166" s="1361" t="s">
        <v>1474</v>
      </c>
      <c r="I166" s="1406"/>
      <c r="J166" s="1413"/>
    </row>
    <row r="167" spans="1:10" ht="14.4" x14ac:dyDescent="0.35">
      <c r="A167" s="1311" t="s">
        <v>273</v>
      </c>
      <c r="B167" s="1289" t="s">
        <v>1686</v>
      </c>
      <c r="C167" s="1289" t="s">
        <v>246</v>
      </c>
      <c r="D167" s="1476" t="s">
        <v>1688</v>
      </c>
      <c r="E167" s="1267" t="s">
        <v>299</v>
      </c>
      <c r="F167" s="1240">
        <v>63000</v>
      </c>
      <c r="G167" s="1241">
        <v>63000</v>
      </c>
      <c r="H167" s="1361" t="s">
        <v>622</v>
      </c>
      <c r="I167" s="1406"/>
      <c r="J167" s="1413"/>
    </row>
    <row r="168" spans="1:10" ht="28.8" x14ac:dyDescent="0.35">
      <c r="A168" s="1311" t="s">
        <v>273</v>
      </c>
      <c r="B168" s="1289" t="s">
        <v>623</v>
      </c>
      <c r="C168" s="1289" t="s">
        <v>246</v>
      </c>
      <c r="D168" s="1288" t="s">
        <v>1689</v>
      </c>
      <c r="E168" s="1267" t="s">
        <v>277</v>
      </c>
      <c r="F168" s="1470">
        <v>17.899999999999999</v>
      </c>
      <c r="G168" s="1471">
        <v>17.899999999999999</v>
      </c>
      <c r="H168" s="1361" t="s">
        <v>1690</v>
      </c>
      <c r="I168" s="1406"/>
      <c r="J168" s="1413"/>
    </row>
    <row r="169" spans="1:10" ht="28.8" x14ac:dyDescent="0.35">
      <c r="A169" s="1311" t="s">
        <v>273</v>
      </c>
      <c r="B169" s="1289" t="s">
        <v>1691</v>
      </c>
      <c r="C169" s="1289" t="s">
        <v>246</v>
      </c>
      <c r="D169" s="1288" t="s">
        <v>1692</v>
      </c>
      <c r="E169" s="1267" t="s">
        <v>1693</v>
      </c>
      <c r="F169" s="1240">
        <v>5.0999999999999996</v>
      </c>
      <c r="G169" s="1241">
        <v>5.0999999999999996</v>
      </c>
      <c r="H169" s="1361" t="s">
        <v>1694</v>
      </c>
      <c r="I169" s="1406"/>
      <c r="J169" s="1413"/>
    </row>
    <row r="170" spans="1:10" ht="14.4" x14ac:dyDescent="0.35">
      <c r="A170" s="1311" t="s">
        <v>273</v>
      </c>
      <c r="B170" s="1289" t="s">
        <v>1695</v>
      </c>
      <c r="C170" s="1289" t="s">
        <v>246</v>
      </c>
      <c r="D170" s="1288" t="s">
        <v>38</v>
      </c>
      <c r="E170" s="1267" t="s">
        <v>278</v>
      </c>
      <c r="F170" s="1240">
        <v>0</v>
      </c>
      <c r="G170" s="1241">
        <v>0</v>
      </c>
      <c r="H170" s="1361" t="s">
        <v>1698</v>
      </c>
      <c r="I170" s="1406"/>
      <c r="J170" s="1413"/>
    </row>
    <row r="171" spans="1:10" ht="28.8" x14ac:dyDescent="0.35">
      <c r="A171" s="1312" t="s">
        <v>273</v>
      </c>
      <c r="B171" s="1289" t="s">
        <v>1696</v>
      </c>
      <c r="C171" s="1289" t="s">
        <v>246</v>
      </c>
      <c r="D171" s="1289" t="s">
        <v>1697</v>
      </c>
      <c r="E171" s="1219" t="s">
        <v>275</v>
      </c>
      <c r="F171" s="1240">
        <v>400</v>
      </c>
      <c r="G171" s="1241">
        <v>400</v>
      </c>
      <c r="H171" s="1361" t="s">
        <v>1699</v>
      </c>
      <c r="I171" s="1406"/>
      <c r="J171" s="1413"/>
    </row>
    <row r="172" spans="1:10" ht="14.4" x14ac:dyDescent="0.35">
      <c r="A172" s="1311" t="s">
        <v>273</v>
      </c>
      <c r="B172" s="1289" t="s">
        <v>465</v>
      </c>
      <c r="C172" s="1289" t="s">
        <v>246</v>
      </c>
      <c r="D172" s="1288" t="s">
        <v>38</v>
      </c>
      <c r="E172" s="1219" t="s">
        <v>276</v>
      </c>
      <c r="F172" s="1240">
        <v>78.2</v>
      </c>
      <c r="G172" s="1241">
        <v>78.2</v>
      </c>
      <c r="H172" s="1361" t="s">
        <v>628</v>
      </c>
      <c r="I172" s="1406"/>
      <c r="J172" s="1413"/>
    </row>
    <row r="173" spans="1:10" ht="16.8" thickBot="1" x14ac:dyDescent="0.4">
      <c r="A173" s="1313" t="s">
        <v>273</v>
      </c>
      <c r="B173" s="1314" t="s">
        <v>627</v>
      </c>
      <c r="C173" s="1314" t="s">
        <v>246</v>
      </c>
      <c r="D173" s="1290" t="s">
        <v>1475</v>
      </c>
      <c r="E173" s="1165" t="s">
        <v>302</v>
      </c>
      <c r="F173" s="1248">
        <v>33.950000000000003</v>
      </c>
      <c r="G173" s="1249">
        <v>33.950000000000003</v>
      </c>
      <c r="H173" s="1362" t="s">
        <v>1476</v>
      </c>
      <c r="I173" s="1406"/>
      <c r="J173" s="1413"/>
    </row>
    <row r="174" spans="1:10" thickBot="1" x14ac:dyDescent="0.4">
      <c r="G174" s="1112"/>
      <c r="H174" s="1354"/>
      <c r="I174" s="1393"/>
      <c r="J174" s="1413"/>
    </row>
    <row r="175" spans="1:10" thickBot="1" x14ac:dyDescent="0.4">
      <c r="A175" s="1291" t="s">
        <v>264</v>
      </c>
      <c r="B175" s="1292"/>
      <c r="C175" s="1293"/>
      <c r="D175" s="1293"/>
      <c r="E175" s="1294"/>
      <c r="F175" s="1295"/>
      <c r="G175" s="1295"/>
      <c r="H175" s="1363"/>
      <c r="I175" s="1393"/>
      <c r="J175" s="1413"/>
    </row>
    <row r="176" spans="1:10" ht="14.4" x14ac:dyDescent="0.35">
      <c r="G176" s="1112"/>
      <c r="H176" s="1354"/>
      <c r="I176" s="1393"/>
      <c r="J176" s="1413"/>
    </row>
    <row r="177" spans="1:15" thickBot="1" x14ac:dyDescent="0.4">
      <c r="A177" s="1250"/>
      <c r="B177" s="1250"/>
      <c r="C177" s="1250"/>
      <c r="D177" s="1250"/>
      <c r="E177" s="1369"/>
      <c r="F177" s="1370"/>
      <c r="G177" s="1370"/>
      <c r="H177" s="1352"/>
      <c r="I177" s="1393"/>
      <c r="J177" s="1413"/>
    </row>
    <row r="178" spans="1:15" ht="28.8" x14ac:dyDescent="0.35">
      <c r="A178" s="1366" t="s">
        <v>271</v>
      </c>
      <c r="B178" s="1297" t="s">
        <v>997</v>
      </c>
      <c r="C178" s="1297" t="s">
        <v>246</v>
      </c>
      <c r="D178" s="1297" t="s">
        <v>231</v>
      </c>
      <c r="E178" s="1367" t="s">
        <v>1028</v>
      </c>
      <c r="F178" s="1529">
        <v>10.34</v>
      </c>
      <c r="G178" s="1530">
        <v>10.34</v>
      </c>
      <c r="H178" s="1365" t="s">
        <v>1035</v>
      </c>
      <c r="I178" s="1406"/>
      <c r="J178" s="1413"/>
    </row>
    <row r="179" spans="1:15" ht="28.8" x14ac:dyDescent="0.35">
      <c r="A179" s="1315" t="s">
        <v>271</v>
      </c>
      <c r="B179" s="1296" t="s">
        <v>1386</v>
      </c>
      <c r="C179" s="1296" t="s">
        <v>246</v>
      </c>
      <c r="D179" s="1296" t="s">
        <v>231</v>
      </c>
      <c r="E179" s="1219" t="s">
        <v>1385</v>
      </c>
      <c r="F179" s="1470">
        <v>19</v>
      </c>
      <c r="G179" s="1471">
        <v>19</v>
      </c>
      <c r="H179" s="1364" t="s">
        <v>1384</v>
      </c>
      <c r="I179" s="1406"/>
      <c r="J179" s="1413"/>
    </row>
    <row r="180" spans="1:15" ht="28.8" x14ac:dyDescent="0.35">
      <c r="A180" s="1315" t="s">
        <v>271</v>
      </c>
      <c r="B180" s="1296" t="s">
        <v>938</v>
      </c>
      <c r="C180" s="1296" t="s">
        <v>246</v>
      </c>
      <c r="D180" s="1296" t="s">
        <v>231</v>
      </c>
      <c r="E180" s="1219" t="s">
        <v>939</v>
      </c>
      <c r="F180" s="1470">
        <v>50</v>
      </c>
      <c r="G180" s="1471">
        <v>50</v>
      </c>
      <c r="H180" s="1364" t="s">
        <v>943</v>
      </c>
      <c r="I180" s="1406"/>
      <c r="J180" s="1413"/>
    </row>
    <row r="181" spans="1:15" s="1111" customFormat="1" ht="28.8" x14ac:dyDescent="0.35">
      <c r="A181" s="1315" t="s">
        <v>271</v>
      </c>
      <c r="B181" s="1296" t="s">
        <v>944</v>
      </c>
      <c r="C181" s="1296" t="s">
        <v>246</v>
      </c>
      <c r="D181" s="1296" t="s">
        <v>231</v>
      </c>
      <c r="E181" s="1219" t="s">
        <v>940</v>
      </c>
      <c r="F181" s="1470">
        <v>19</v>
      </c>
      <c r="G181" s="1471">
        <v>19</v>
      </c>
      <c r="H181" s="1364" t="s">
        <v>946</v>
      </c>
      <c r="I181" s="1406"/>
      <c r="J181" s="1415"/>
      <c r="N181" s="1110"/>
      <c r="O181" s="1110"/>
    </row>
    <row r="182" spans="1:15" s="1111" customFormat="1" ht="14.4" x14ac:dyDescent="0.35">
      <c r="A182" s="1315" t="s">
        <v>271</v>
      </c>
      <c r="B182" s="1296" t="s">
        <v>1914</v>
      </c>
      <c r="C182" s="1296" t="s">
        <v>246</v>
      </c>
      <c r="D182" s="1296" t="s">
        <v>231</v>
      </c>
      <c r="E182" s="1219" t="s">
        <v>1915</v>
      </c>
      <c r="F182" s="1472">
        <v>8000</v>
      </c>
      <c r="G182" s="1473">
        <v>8000</v>
      </c>
      <c r="H182" s="1364" t="s">
        <v>1916</v>
      </c>
      <c r="I182" s="1406"/>
      <c r="J182" s="1415"/>
      <c r="N182" s="1110"/>
      <c r="O182" s="1110"/>
    </row>
    <row r="183" spans="1:15" ht="43.2" x14ac:dyDescent="0.35">
      <c r="A183" s="1315" t="s">
        <v>271</v>
      </c>
      <c r="B183" s="1296" t="s">
        <v>362</v>
      </c>
      <c r="C183" s="1296" t="s">
        <v>246</v>
      </c>
      <c r="D183" s="1296" t="s">
        <v>231</v>
      </c>
      <c r="E183" s="1219" t="s">
        <v>363</v>
      </c>
      <c r="F183" s="1470">
        <v>43.31</v>
      </c>
      <c r="G183" s="1471">
        <v>43.31</v>
      </c>
      <c r="H183" s="1364" t="s">
        <v>367</v>
      </c>
      <c r="I183" s="1406"/>
      <c r="J183" s="1413"/>
      <c r="O183" s="1111"/>
    </row>
    <row r="184" spans="1:15" ht="14.4" x14ac:dyDescent="0.35">
      <c r="A184" s="1315" t="s">
        <v>271</v>
      </c>
      <c r="B184" s="1296" t="s">
        <v>466</v>
      </c>
      <c r="C184" s="1296" t="s">
        <v>246</v>
      </c>
      <c r="D184" s="1296" t="s">
        <v>231</v>
      </c>
      <c r="E184" s="1219" t="s">
        <v>320</v>
      </c>
      <c r="F184" s="1472">
        <v>494</v>
      </c>
      <c r="G184" s="1473">
        <v>494</v>
      </c>
      <c r="H184" s="1364" t="s">
        <v>317</v>
      </c>
      <c r="I184" s="1406"/>
      <c r="J184" s="1413"/>
    </row>
    <row r="185" spans="1:15" ht="16.2" x14ac:dyDescent="0.35">
      <c r="A185" s="1315" t="s">
        <v>467</v>
      </c>
      <c r="B185" s="1296" t="s">
        <v>621</v>
      </c>
      <c r="C185" s="1296" t="s">
        <v>246</v>
      </c>
      <c r="D185" s="1296" t="s">
        <v>1475</v>
      </c>
      <c r="E185" s="1267" t="s">
        <v>297</v>
      </c>
      <c r="F185" s="1240">
        <v>23</v>
      </c>
      <c r="G185" s="1241">
        <v>23</v>
      </c>
      <c r="H185" s="1364" t="s">
        <v>1477</v>
      </c>
      <c r="I185" s="1406"/>
      <c r="J185" s="1413"/>
    </row>
    <row r="186" spans="1:15" ht="14.4" x14ac:dyDescent="0.35">
      <c r="A186" s="1315" t="s">
        <v>467</v>
      </c>
      <c r="B186" s="1296" t="s">
        <v>854</v>
      </c>
      <c r="C186" s="1296" t="s">
        <v>246</v>
      </c>
      <c r="D186" s="1296" t="s">
        <v>183</v>
      </c>
      <c r="E186" s="1219" t="s">
        <v>321</v>
      </c>
      <c r="F186" s="1472">
        <v>26700</v>
      </c>
      <c r="G186" s="1473">
        <v>26700</v>
      </c>
      <c r="H186" s="1364" t="s">
        <v>323</v>
      </c>
      <c r="I186" s="1406"/>
      <c r="J186" s="1413"/>
    </row>
    <row r="187" spans="1:15" ht="43.2" x14ac:dyDescent="0.35">
      <c r="A187" s="1315" t="s">
        <v>467</v>
      </c>
      <c r="B187" s="1296" t="s">
        <v>998</v>
      </c>
      <c r="C187" s="1296" t="s">
        <v>246</v>
      </c>
      <c r="D187" s="1296" t="s">
        <v>183</v>
      </c>
      <c r="E187" s="1219" t="s">
        <v>1017</v>
      </c>
      <c r="F187" s="1472">
        <v>17000</v>
      </c>
      <c r="G187" s="1473">
        <v>17000</v>
      </c>
      <c r="H187" s="1364" t="s">
        <v>1019</v>
      </c>
      <c r="I187" s="1406"/>
      <c r="J187" s="1413"/>
    </row>
    <row r="188" spans="1:15" ht="28.8" x14ac:dyDescent="0.35">
      <c r="A188" s="1315"/>
      <c r="B188" s="1296" t="s">
        <v>1382</v>
      </c>
      <c r="C188" s="1296" t="s">
        <v>246</v>
      </c>
      <c r="D188" s="1296" t="s">
        <v>183</v>
      </c>
      <c r="E188" s="1267" t="s">
        <v>1383</v>
      </c>
      <c r="F188" s="1472">
        <v>1488</v>
      </c>
      <c r="G188" s="1473">
        <v>1488</v>
      </c>
      <c r="H188" s="1364" t="s">
        <v>1388</v>
      </c>
      <c r="I188" s="1411"/>
      <c r="J188" s="1413"/>
    </row>
    <row r="189" spans="1:15" ht="14.4" x14ac:dyDescent="0.35">
      <c r="A189" s="1315" t="s">
        <v>467</v>
      </c>
      <c r="B189" s="1296" t="s">
        <v>855</v>
      </c>
      <c r="C189" s="1296" t="s">
        <v>246</v>
      </c>
      <c r="D189" s="1296" t="s">
        <v>183</v>
      </c>
      <c r="E189" s="1267" t="s">
        <v>641</v>
      </c>
      <c r="F189" s="1472">
        <v>12360</v>
      </c>
      <c r="G189" s="1473">
        <v>12360</v>
      </c>
      <c r="H189" s="1364" t="s">
        <v>857</v>
      </c>
      <c r="I189" s="1406"/>
      <c r="J189" s="1413"/>
    </row>
    <row r="190" spans="1:15" ht="28.8" x14ac:dyDescent="0.35">
      <c r="A190" s="1315" t="s">
        <v>467</v>
      </c>
      <c r="B190" s="1296" t="s">
        <v>945</v>
      </c>
      <c r="C190" s="1296" t="s">
        <v>246</v>
      </c>
      <c r="D190" s="1296" t="s">
        <v>183</v>
      </c>
      <c r="E190" s="1267" t="s">
        <v>856</v>
      </c>
      <c r="F190" s="1472">
        <v>1519</v>
      </c>
      <c r="G190" s="1473">
        <v>1519</v>
      </c>
      <c r="H190" s="1364" t="s">
        <v>1387</v>
      </c>
      <c r="I190" s="1406"/>
      <c r="J190" s="1413"/>
    </row>
    <row r="191" spans="1:15" ht="14.4" x14ac:dyDescent="0.35">
      <c r="A191" s="1315" t="s">
        <v>467</v>
      </c>
      <c r="B191" s="1296" t="s">
        <v>1025</v>
      </c>
      <c r="C191" s="1296" t="s">
        <v>246</v>
      </c>
      <c r="D191" s="1296" t="s">
        <v>183</v>
      </c>
      <c r="E191" s="1267" t="s">
        <v>401</v>
      </c>
      <c r="F191" s="1472">
        <v>6700</v>
      </c>
      <c r="G191" s="1473">
        <v>6700</v>
      </c>
      <c r="H191" s="1364" t="s">
        <v>859</v>
      </c>
      <c r="I191" s="1406"/>
      <c r="J191" s="1413"/>
    </row>
    <row r="192" spans="1:15" ht="43.2" x14ac:dyDescent="0.35">
      <c r="A192" s="1315" t="s">
        <v>467</v>
      </c>
      <c r="B192" s="1296" t="s">
        <v>1918</v>
      </c>
      <c r="C192" s="1296" t="s">
        <v>246</v>
      </c>
      <c r="D192" s="1296" t="s">
        <v>183</v>
      </c>
      <c r="E192" s="1267" t="s">
        <v>1919</v>
      </c>
      <c r="F192" s="1472">
        <v>40000</v>
      </c>
      <c r="G192" s="1473">
        <v>40000</v>
      </c>
      <c r="H192" s="1364" t="s">
        <v>1920</v>
      </c>
      <c r="I192" s="1406"/>
      <c r="J192" s="1413"/>
    </row>
    <row r="193" spans="1:15" ht="30" x14ac:dyDescent="0.35">
      <c r="A193" s="1315" t="s">
        <v>272</v>
      </c>
      <c r="B193" s="1296" t="s">
        <v>949</v>
      </c>
      <c r="C193" s="1296" t="s">
        <v>246</v>
      </c>
      <c r="D193" s="1296" t="s">
        <v>1478</v>
      </c>
      <c r="E193" s="1267" t="s">
        <v>950</v>
      </c>
      <c r="F193" s="1240">
        <v>1.0900000000000001</v>
      </c>
      <c r="G193" s="1241">
        <v>1.0900000000000001</v>
      </c>
      <c r="H193" s="1364" t="s">
        <v>1479</v>
      </c>
      <c r="I193" s="1406"/>
      <c r="J193" s="1413"/>
    </row>
    <row r="194" spans="1:15" ht="28.8" x14ac:dyDescent="0.35">
      <c r="A194" s="1315" t="s">
        <v>272</v>
      </c>
      <c r="B194" s="1296" t="s">
        <v>957</v>
      </c>
      <c r="C194" s="1296" t="s">
        <v>246</v>
      </c>
      <c r="D194" s="1296" t="s">
        <v>1478</v>
      </c>
      <c r="E194" s="1267" t="s">
        <v>958</v>
      </c>
      <c r="F194" s="1470">
        <v>63.1</v>
      </c>
      <c r="G194" s="1471">
        <v>63.1</v>
      </c>
      <c r="H194" s="1364" t="s">
        <v>1036</v>
      </c>
      <c r="I194" s="1406"/>
      <c r="J194" s="1413"/>
    </row>
    <row r="195" spans="1:15" ht="45.6" x14ac:dyDescent="0.35">
      <c r="A195" s="1315" t="s">
        <v>272</v>
      </c>
      <c r="B195" s="1296" t="s">
        <v>1922</v>
      </c>
      <c r="C195" s="1296" t="s">
        <v>246</v>
      </c>
      <c r="D195" s="1296" t="s">
        <v>1478</v>
      </c>
      <c r="E195" s="1267" t="s">
        <v>1923</v>
      </c>
      <c r="F195" s="1472">
        <v>4780</v>
      </c>
      <c r="G195" s="1473">
        <v>4780</v>
      </c>
      <c r="H195" s="1364" t="s">
        <v>1924</v>
      </c>
      <c r="I195" s="1406"/>
      <c r="J195" s="1413"/>
    </row>
    <row r="196" spans="1:15" ht="44.4" x14ac:dyDescent="0.35">
      <c r="A196" s="1315" t="s">
        <v>272</v>
      </c>
      <c r="B196" s="1296" t="s">
        <v>612</v>
      </c>
      <c r="C196" s="1296" t="s">
        <v>246</v>
      </c>
      <c r="D196" s="1296" t="s">
        <v>1478</v>
      </c>
      <c r="E196" s="1267" t="s">
        <v>410</v>
      </c>
      <c r="F196" s="1472">
        <v>3932</v>
      </c>
      <c r="G196" s="1473">
        <v>3932</v>
      </c>
      <c r="H196" s="1364" t="s">
        <v>1480</v>
      </c>
      <c r="I196" s="1406"/>
      <c r="J196" s="1413"/>
    </row>
    <row r="197" spans="1:15" s="1131" customFormat="1" ht="15" customHeight="1" x14ac:dyDescent="0.35">
      <c r="A197" s="1110"/>
      <c r="B197" s="1110"/>
      <c r="C197" s="1110"/>
      <c r="D197" s="1110"/>
      <c r="E197" s="1110"/>
      <c r="F197" s="1299"/>
      <c r="G197" s="1300"/>
      <c r="H197" s="1316"/>
      <c r="I197" s="1110"/>
      <c r="N197" s="1110"/>
      <c r="O197" s="1110"/>
    </row>
    <row r="198" spans="1:15" s="1131" customFormat="1" ht="15" customHeight="1" x14ac:dyDescent="0.35">
      <c r="A198" s="1110"/>
      <c r="B198" s="1110"/>
      <c r="C198" s="1110"/>
      <c r="D198" s="1110"/>
      <c r="E198" s="1110"/>
      <c r="F198" s="1299"/>
      <c r="G198" s="1299"/>
      <c r="H198" s="1316"/>
      <c r="I198" s="1110"/>
      <c r="O198" s="1110"/>
    </row>
    <row r="199" spans="1:15" s="1131" customFormat="1" ht="15" customHeight="1" x14ac:dyDescent="0.35">
      <c r="A199" s="1110"/>
      <c r="B199" s="1110"/>
      <c r="C199" s="1110"/>
      <c r="D199" s="1110"/>
      <c r="E199" s="1110"/>
      <c r="F199" s="1299"/>
      <c r="G199" s="1299"/>
      <c r="H199" s="1316"/>
      <c r="I199" s="1110"/>
      <c r="K199" s="1110"/>
    </row>
    <row r="200" spans="1:15" s="1131" customFormat="1" ht="15" customHeight="1" x14ac:dyDescent="0.35">
      <c r="A200" s="1110"/>
      <c r="B200" s="1110"/>
      <c r="C200" s="1110"/>
      <c r="D200" s="1110"/>
      <c r="E200" s="1111"/>
      <c r="F200" s="1112"/>
      <c r="G200" s="1112"/>
      <c r="H200" s="1316"/>
      <c r="I200" s="1110"/>
      <c r="K200" s="1110"/>
      <c r="L200" s="1110"/>
      <c r="M200" s="1110"/>
    </row>
    <row r="201" spans="1:15" s="1131" customFormat="1" ht="15" customHeight="1" x14ac:dyDescent="0.35">
      <c r="A201" s="1110"/>
      <c r="B201" s="1110"/>
      <c r="C201" s="1110"/>
      <c r="D201" s="1110"/>
      <c r="E201" s="1111"/>
      <c r="F201" s="1112"/>
      <c r="G201" s="1112"/>
      <c r="H201" s="1316"/>
      <c r="I201" s="1110"/>
      <c r="J201" s="1110"/>
      <c r="K201" s="1110"/>
      <c r="L201" s="1110"/>
      <c r="M201" s="1110"/>
    </row>
    <row r="202" spans="1:15" s="1131" customFormat="1" ht="15" customHeight="1" x14ac:dyDescent="0.35">
      <c r="A202" s="1110"/>
      <c r="B202" s="1110"/>
      <c r="C202" s="1110"/>
      <c r="D202" s="1110"/>
      <c r="E202" s="1111"/>
      <c r="F202" s="1112"/>
      <c r="G202" s="1112"/>
      <c r="H202" s="1316"/>
      <c r="I202" s="1110"/>
      <c r="J202" s="1110"/>
      <c r="K202" s="1110"/>
      <c r="L202" s="1110"/>
      <c r="M202" s="1110"/>
    </row>
    <row r="203" spans="1:15" ht="15" customHeight="1" x14ac:dyDescent="0.35">
      <c r="G203" s="1112"/>
      <c r="N203" s="1131"/>
      <c r="O203" s="1131"/>
    </row>
    <row r="204" spans="1:15" ht="15" customHeight="1" x14ac:dyDescent="0.35">
      <c r="G204" s="1112"/>
      <c r="O204" s="1131"/>
    </row>
    <row r="205" spans="1:15" ht="15" customHeight="1" x14ac:dyDescent="0.35">
      <c r="G205" s="1112"/>
    </row>
    <row r="206" spans="1:15" ht="15" customHeight="1" x14ac:dyDescent="0.35">
      <c r="G206" s="1112"/>
    </row>
    <row r="207" spans="1:15" ht="15" customHeight="1" x14ac:dyDescent="0.35">
      <c r="G207" s="1112"/>
    </row>
    <row r="208" spans="1:15" ht="15" customHeight="1" x14ac:dyDescent="0.35">
      <c r="G208" s="1112"/>
    </row>
    <row r="209" spans="7:7" ht="15" customHeight="1" x14ac:dyDescent="0.35">
      <c r="G209" s="1112"/>
    </row>
    <row r="210" spans="7:7" ht="15" customHeight="1" x14ac:dyDescent="0.35">
      <c r="G210" s="1112"/>
    </row>
    <row r="211" spans="7:7" ht="15" customHeight="1" x14ac:dyDescent="0.35">
      <c r="G211" s="1112"/>
    </row>
    <row r="212" spans="7:7" ht="15" customHeight="1" x14ac:dyDescent="0.35">
      <c r="G212" s="1112"/>
    </row>
    <row r="213" spans="7:7" ht="15" customHeight="1" x14ac:dyDescent="0.35">
      <c r="G213" s="1112"/>
    </row>
    <row r="214" spans="7:7" ht="15" customHeight="1" x14ac:dyDescent="0.35">
      <c r="G214" s="1112"/>
    </row>
    <row r="215" spans="7:7" ht="15" customHeight="1" x14ac:dyDescent="0.35">
      <c r="G215" s="1112"/>
    </row>
    <row r="216" spans="7:7" ht="15" customHeight="1" x14ac:dyDescent="0.35">
      <c r="G216" s="1112"/>
    </row>
    <row r="217" spans="7:7" ht="15" customHeight="1" x14ac:dyDescent="0.35">
      <c r="G217" s="1112"/>
    </row>
    <row r="218" spans="7:7" ht="15" customHeight="1" x14ac:dyDescent="0.35">
      <c r="G218" s="1112"/>
    </row>
    <row r="219" spans="7:7" ht="15" customHeight="1" x14ac:dyDescent="0.35">
      <c r="G219" s="1112"/>
    </row>
    <row r="220" spans="7:7" ht="15" customHeight="1" x14ac:dyDescent="0.35">
      <c r="G220" s="1112"/>
    </row>
    <row r="221" spans="7:7" ht="15" customHeight="1" x14ac:dyDescent="0.35">
      <c r="G221" s="1112"/>
    </row>
    <row r="222" spans="7:7" ht="15" customHeight="1" x14ac:dyDescent="0.35">
      <c r="G222" s="1112"/>
    </row>
    <row r="223" spans="7:7" ht="15" customHeight="1" x14ac:dyDescent="0.35">
      <c r="G223" s="1112"/>
    </row>
    <row r="224" spans="7:7" ht="15" customHeight="1" x14ac:dyDescent="0.35">
      <c r="G224" s="1112"/>
    </row>
    <row r="225" spans="7:7" ht="15" customHeight="1" x14ac:dyDescent="0.35">
      <c r="G225" s="1112"/>
    </row>
    <row r="226" spans="7:7" ht="15" customHeight="1" x14ac:dyDescent="0.35">
      <c r="G226" s="1112"/>
    </row>
    <row r="227" spans="7:7" ht="15" customHeight="1" x14ac:dyDescent="0.35">
      <c r="G227" s="1112"/>
    </row>
    <row r="228" spans="7:7" ht="15" customHeight="1" x14ac:dyDescent="0.35">
      <c r="G228" s="1112"/>
    </row>
    <row r="229" spans="7:7" ht="15" customHeight="1" x14ac:dyDescent="0.35">
      <c r="G229" s="1112"/>
    </row>
    <row r="230" spans="7:7" ht="15" customHeight="1" x14ac:dyDescent="0.35">
      <c r="G230" s="1112"/>
    </row>
    <row r="231" spans="7:7" ht="15" customHeight="1" x14ac:dyDescent="0.35">
      <c r="G231" s="1112"/>
    </row>
    <row r="232" spans="7:7" ht="15" customHeight="1" x14ac:dyDescent="0.35">
      <c r="G232" s="1112"/>
    </row>
    <row r="233" spans="7:7" ht="15" customHeight="1" x14ac:dyDescent="0.35">
      <c r="G233" s="1112"/>
    </row>
    <row r="234" spans="7:7" ht="15" customHeight="1" x14ac:dyDescent="0.35">
      <c r="G234" s="1112"/>
    </row>
    <row r="235" spans="7:7" ht="15" customHeight="1" x14ac:dyDescent="0.35">
      <c r="G235" s="1112"/>
    </row>
    <row r="236" spans="7:7" ht="15" customHeight="1" x14ac:dyDescent="0.35">
      <c r="G236" s="1112"/>
    </row>
    <row r="237" spans="7:7" ht="15" customHeight="1" x14ac:dyDescent="0.35">
      <c r="G237" s="1112"/>
    </row>
    <row r="238" spans="7:7" ht="15" customHeight="1" x14ac:dyDescent="0.35">
      <c r="G238" s="1112"/>
    </row>
    <row r="239" spans="7:7" ht="15" customHeight="1" x14ac:dyDescent="0.35">
      <c r="G239" s="1112"/>
    </row>
    <row r="240" spans="7:7" ht="15" customHeight="1" x14ac:dyDescent="0.35">
      <c r="G240" s="1112"/>
    </row>
    <row r="241" spans="7:7" ht="15" customHeight="1" x14ac:dyDescent="0.35">
      <c r="G241" s="1112"/>
    </row>
    <row r="242" spans="7:7" ht="15" customHeight="1" x14ac:dyDescent="0.35">
      <c r="G242" s="1112"/>
    </row>
    <row r="243" spans="7:7" ht="15" customHeight="1" x14ac:dyDescent="0.35">
      <c r="G243" s="1112"/>
    </row>
    <row r="244" spans="7:7" ht="15" customHeight="1" x14ac:dyDescent="0.35">
      <c r="G244" s="1112"/>
    </row>
    <row r="245" spans="7:7" ht="15" customHeight="1" x14ac:dyDescent="0.35">
      <c r="G245" s="1112"/>
    </row>
    <row r="246" spans="7:7" ht="15" customHeight="1" x14ac:dyDescent="0.35">
      <c r="G246" s="1112"/>
    </row>
    <row r="247" spans="7:7" ht="15" customHeight="1" x14ac:dyDescent="0.35">
      <c r="G247" s="1112"/>
    </row>
    <row r="248" spans="7:7" ht="15" customHeight="1" x14ac:dyDescent="0.35">
      <c r="G248" s="1112"/>
    </row>
    <row r="249" spans="7:7" ht="15" customHeight="1" x14ac:dyDescent="0.35">
      <c r="G249" s="1112"/>
    </row>
    <row r="250" spans="7:7" ht="15" customHeight="1" x14ac:dyDescent="0.35">
      <c r="G250" s="1112"/>
    </row>
    <row r="251" spans="7:7" ht="15" customHeight="1" x14ac:dyDescent="0.35">
      <c r="G251" s="1112"/>
    </row>
    <row r="252" spans="7:7" ht="15" customHeight="1" x14ac:dyDescent="0.35">
      <c r="G252" s="1112"/>
    </row>
    <row r="253" spans="7:7" ht="15" customHeight="1" x14ac:dyDescent="0.35">
      <c r="G253" s="1112"/>
    </row>
    <row r="254" spans="7:7" ht="15" customHeight="1" x14ac:dyDescent="0.35">
      <c r="G254" s="1112"/>
    </row>
    <row r="255" spans="7:7" ht="15" customHeight="1" x14ac:dyDescent="0.35">
      <c r="G255" s="1112"/>
    </row>
    <row r="256" spans="7:7" ht="15" customHeight="1" x14ac:dyDescent="0.35">
      <c r="G256" s="1112"/>
    </row>
    <row r="257" spans="7:7" ht="15" customHeight="1" x14ac:dyDescent="0.35">
      <c r="G257" s="1112"/>
    </row>
    <row r="258" spans="7:7" ht="15" customHeight="1" x14ac:dyDescent="0.35">
      <c r="G258" s="1112"/>
    </row>
    <row r="259" spans="7:7" ht="15" customHeight="1" x14ac:dyDescent="0.35">
      <c r="G259" s="1112"/>
    </row>
    <row r="260" spans="7:7" ht="15" customHeight="1" x14ac:dyDescent="0.35">
      <c r="G260" s="1112"/>
    </row>
    <row r="261" spans="7:7" ht="15" customHeight="1" x14ac:dyDescent="0.35">
      <c r="G261" s="1112"/>
    </row>
    <row r="262" spans="7:7" ht="15" customHeight="1" x14ac:dyDescent="0.35">
      <c r="G262" s="1112"/>
    </row>
    <row r="263" spans="7:7" ht="15" customHeight="1" x14ac:dyDescent="0.35">
      <c r="G263" s="1112"/>
    </row>
    <row r="264" spans="7:7" ht="15" customHeight="1" x14ac:dyDescent="0.35">
      <c r="G264" s="1112"/>
    </row>
    <row r="265" spans="7:7" ht="15" customHeight="1" x14ac:dyDescent="0.35">
      <c r="G265" s="1112"/>
    </row>
    <row r="266" spans="7:7" ht="15" customHeight="1" x14ac:dyDescent="0.35">
      <c r="G266" s="1112"/>
    </row>
    <row r="267" spans="7:7" ht="15" customHeight="1" x14ac:dyDescent="0.35">
      <c r="G267" s="1112"/>
    </row>
    <row r="268" spans="7:7" ht="15" customHeight="1" x14ac:dyDescent="0.35">
      <c r="G268" s="1112"/>
    </row>
    <row r="269" spans="7:7" ht="15" customHeight="1" x14ac:dyDescent="0.35">
      <c r="G269" s="1112"/>
    </row>
    <row r="270" spans="7:7" ht="15" customHeight="1" x14ac:dyDescent="0.35">
      <c r="G270" s="1112"/>
    </row>
    <row r="271" spans="7:7" ht="15" customHeight="1" x14ac:dyDescent="0.35">
      <c r="G271" s="1112"/>
    </row>
  </sheetData>
  <dataValidations count="15">
    <dataValidation type="list" allowBlank="1" showInputMessage="1" showErrorMessage="1" sqref="F8:G8">
      <formula1>$K$6:$K$7</formula1>
    </dataValidation>
    <dataValidation type="list" allowBlank="1" showInputMessage="1" showErrorMessage="1" sqref="F12:G12">
      <formula1>$M$10:$M$12</formula1>
    </dataValidation>
    <dataValidation type="list" allowBlank="1" showInputMessage="1" showErrorMessage="1" sqref="F28:G28">
      <formula1>$T$26:$T$27</formula1>
    </dataValidation>
    <dataValidation type="list" allowBlank="1" showInputMessage="1" showErrorMessage="1" sqref="F27:G27">
      <formula1>$Q$25:$Q$26</formula1>
    </dataValidation>
    <dataValidation type="list" allowBlank="1" showInputMessage="1" showErrorMessage="1" sqref="F26:G26">
      <formula1>$O$24:$O$25</formula1>
    </dataValidation>
    <dataValidation type="list" allowBlank="1" showInputMessage="1" showErrorMessage="1" sqref="F25:G25">
      <formula1>$M$23:$M$24</formula1>
    </dataValidation>
    <dataValidation type="list" allowBlank="1" showInputMessage="1" showErrorMessage="1" sqref="F58 F54">
      <formula1>$K$53:$K$54</formula1>
    </dataValidation>
    <dataValidation type="list" allowBlank="1" showInputMessage="1" showErrorMessage="1" sqref="F71 F67 F63 F95 F91 F87 F83 F79 F75">
      <formula1>$K$60:$K$63</formula1>
    </dataValidation>
    <dataValidation type="list" allowBlank="1" showInputMessage="1" showErrorMessage="1" sqref="F64 F68 F55 F96 F92 F88 F84 F80 F76 F72 F59">
      <formula1>$M$52:$M$55</formula1>
    </dataValidation>
    <dataValidation type="list" allowBlank="1" showInputMessage="1" showErrorMessage="1" sqref="F24:G24">
      <formula1>$K$20:$K$23</formula1>
    </dataValidation>
    <dataValidation type="list" allowBlank="1" showInputMessage="1" showErrorMessage="1" sqref="F34:G34">
      <formula1>$K$34:$K$35</formula1>
    </dataValidation>
    <dataValidation type="list" allowBlank="1" showInputMessage="1" showErrorMessage="1" sqref="F33:G33">
      <formula1>$M$31:$M$33</formula1>
    </dataValidation>
    <dataValidation type="list" allowBlank="1" showInputMessage="1" showErrorMessage="1" sqref="F31:G31">
      <formula1>$M$31:$M$34</formula1>
    </dataValidation>
    <dataValidation type="list" allowBlank="1" showInputMessage="1" showErrorMessage="1" sqref="F29:G29">
      <formula1>$O$29:$O$33</formula1>
    </dataValidation>
    <dataValidation type="list" allowBlank="1" showInputMessage="1" showErrorMessage="1" sqref="F17">
      <formula1>$K$15:$K$17</formula1>
    </dataValidation>
  </dataValidations>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C943"/>
  <sheetViews>
    <sheetView zoomScaleNormal="100" workbookViewId="0"/>
  </sheetViews>
  <sheetFormatPr defaultRowHeight="13.2" x14ac:dyDescent="0.25"/>
  <cols>
    <col min="1" max="2" width="29.5546875" customWidth="1"/>
    <col min="3" max="3" width="53.33203125" customWidth="1"/>
    <col min="4" max="4" width="8.44140625" customWidth="1"/>
    <col min="5" max="5" width="9.6640625" customWidth="1"/>
    <col min="6" max="6" width="7.6640625" customWidth="1"/>
    <col min="7" max="7" width="8.109375" customWidth="1"/>
    <col min="8" max="8" width="35.109375" customWidth="1"/>
    <col min="9" max="9" width="60.33203125" customWidth="1"/>
    <col min="10" max="10" width="16.33203125" customWidth="1"/>
    <col min="11" max="11" width="16.109375" customWidth="1"/>
    <col min="12" max="12" width="27" customWidth="1"/>
    <col min="13" max="13" width="34.88671875" customWidth="1"/>
    <col min="14" max="14" width="8.88671875" customWidth="1"/>
    <col min="15" max="15" width="42.88671875" customWidth="1"/>
    <col min="16" max="16" width="11.33203125" customWidth="1"/>
    <col min="17" max="17" width="23.6640625" customWidth="1"/>
    <col min="18" max="18" width="18.109375" customWidth="1"/>
    <col min="19" max="19" width="24.88671875" customWidth="1"/>
    <col min="20" max="20" width="29.44140625" customWidth="1"/>
    <col min="21" max="21" width="10.88671875" customWidth="1"/>
    <col min="22" max="22" width="35.109375" customWidth="1"/>
    <col min="23" max="23" width="11.44140625" customWidth="1"/>
    <col min="24" max="24" width="47.109375" customWidth="1"/>
    <col min="25" max="25" width="8.33203125" customWidth="1"/>
    <col min="26" max="26" width="31.6640625" customWidth="1"/>
    <col min="27" max="27" width="11.44140625" customWidth="1"/>
    <col min="28" max="28" width="25.6640625" customWidth="1"/>
    <col min="29" max="29" width="16" customWidth="1"/>
    <col min="30" max="30" width="62.33203125" customWidth="1"/>
    <col min="31" max="31" width="23.5546875" customWidth="1"/>
    <col min="32" max="32" width="61.6640625" customWidth="1"/>
    <col min="33" max="33" width="16.88671875" customWidth="1"/>
    <col min="34" max="34" width="39.44140625" customWidth="1"/>
    <col min="35" max="35" width="29.44140625" customWidth="1"/>
    <col min="36" max="36" width="16.44140625" customWidth="1"/>
    <col min="37" max="37" width="30.109375" customWidth="1"/>
    <col min="38" max="38" width="13.6640625" customWidth="1"/>
    <col min="39" max="39" width="31.44140625" customWidth="1"/>
    <col min="40" max="40" width="29.5546875" customWidth="1"/>
    <col min="41" max="41" width="29.33203125" customWidth="1"/>
    <col min="42" max="42" width="31.33203125" customWidth="1"/>
    <col min="43" max="43" width="27.33203125" customWidth="1"/>
    <col min="44" max="44" width="15.33203125" customWidth="1"/>
    <col min="45" max="45" width="23.5546875" customWidth="1"/>
    <col min="46" max="46" width="18.6640625" customWidth="1"/>
    <col min="47" max="47" width="23.5546875" customWidth="1"/>
    <col min="48" max="48" width="31.88671875" customWidth="1"/>
    <col min="49" max="49" width="11.6640625" customWidth="1"/>
    <col min="50" max="50" width="18" customWidth="1"/>
    <col min="51" max="51" width="18.88671875" customWidth="1"/>
    <col min="52" max="52" width="20.44140625" customWidth="1"/>
    <col min="53" max="53" width="35.88671875" customWidth="1"/>
    <col min="54" max="54" width="33.109375" customWidth="1"/>
    <col min="55" max="55" width="11.5546875" style="46" customWidth="1"/>
    <col min="56" max="56" width="13.109375" style="46" customWidth="1"/>
    <col min="57" max="57" width="18.6640625" style="46" customWidth="1"/>
    <col min="58" max="59" width="9.109375" style="46"/>
    <col min="60" max="60" width="14.44140625" style="46" customWidth="1"/>
    <col min="61" max="61" width="13.6640625" style="46" customWidth="1"/>
    <col min="62" max="66" width="9.109375" style="46"/>
  </cols>
  <sheetData>
    <row r="1" spans="1:66" x14ac:dyDescent="0.25">
      <c r="A1" s="101" t="s">
        <v>238</v>
      </c>
      <c r="B1" s="1063" t="s">
        <v>1533</v>
      </c>
      <c r="C1" s="46"/>
      <c r="D1" s="46"/>
      <c r="E1" s="46"/>
      <c r="F1" s="46"/>
      <c r="G1" s="46"/>
      <c r="H1" s="46"/>
      <c r="I1" s="101"/>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c r="BD1"/>
      <c r="BE1"/>
      <c r="BF1"/>
      <c r="BG1"/>
      <c r="BH1"/>
      <c r="BI1"/>
      <c r="BJ1"/>
      <c r="BK1"/>
      <c r="BL1"/>
      <c r="BM1"/>
      <c r="BN1"/>
    </row>
    <row r="2" spans="1:66" x14ac:dyDescent="0.25">
      <c r="A2" s="101" t="s">
        <v>241</v>
      </c>
      <c r="B2" s="279" t="s">
        <v>455</v>
      </c>
      <c r="C2" s="46"/>
      <c r="D2" s="46"/>
      <c r="E2" s="46"/>
      <c r="F2" s="46"/>
      <c r="G2" s="46"/>
      <c r="H2" s="46"/>
      <c r="I2" s="101"/>
      <c r="J2" s="46"/>
      <c r="K2" s="46"/>
      <c r="L2" s="46"/>
      <c r="M2" s="46"/>
      <c r="N2" s="46"/>
      <c r="O2" s="46"/>
      <c r="P2" s="46"/>
      <c r="Q2" s="46"/>
      <c r="R2" s="46"/>
      <c r="S2" s="46"/>
      <c r="T2" s="46"/>
      <c r="U2" s="46"/>
      <c r="V2" s="46"/>
      <c r="W2" s="46"/>
      <c r="X2" s="46"/>
      <c r="Y2" s="46"/>
      <c r="Z2" s="46"/>
      <c r="AA2" s="46"/>
      <c r="AB2" s="46"/>
      <c r="AC2" s="46"/>
      <c r="AD2" s="46"/>
      <c r="AE2" s="46"/>
      <c r="AF2" s="46"/>
      <c r="AG2" s="46"/>
      <c r="AH2" s="46"/>
      <c r="AI2" s="46"/>
      <c r="AJ2" s="46"/>
      <c r="AK2" s="46"/>
      <c r="AL2" s="46"/>
      <c r="AM2" s="46"/>
      <c r="AN2" s="46"/>
      <c r="AO2" s="46"/>
      <c r="AP2" s="46"/>
      <c r="AQ2" s="46"/>
      <c r="AR2" s="46"/>
      <c r="AS2" s="46"/>
      <c r="AT2" s="46"/>
      <c r="AU2" s="46"/>
      <c r="AV2" s="46"/>
      <c r="AW2" s="46"/>
      <c r="AX2" s="46"/>
      <c r="AY2" s="46"/>
      <c r="AZ2" s="46"/>
      <c r="BA2" s="46"/>
      <c r="BB2" s="46"/>
      <c r="BC2"/>
      <c r="BD2"/>
      <c r="BE2"/>
      <c r="BF2"/>
      <c r="BG2"/>
      <c r="BH2"/>
      <c r="BI2"/>
      <c r="BJ2"/>
      <c r="BK2"/>
      <c r="BL2"/>
      <c r="BM2"/>
      <c r="BN2"/>
    </row>
    <row r="3" spans="1:66" x14ac:dyDescent="0.25">
      <c r="A3" s="101" t="s">
        <v>239</v>
      </c>
      <c r="B3" s="1063" t="s">
        <v>1422</v>
      </c>
      <c r="C3" s="46"/>
      <c r="D3" s="46"/>
      <c r="E3" s="46"/>
      <c r="F3" s="46"/>
      <c r="G3" s="46"/>
      <c r="H3" s="46"/>
      <c r="I3" s="101"/>
      <c r="J3" s="46"/>
      <c r="K3" s="46"/>
      <c r="L3" s="46"/>
      <c r="M3" s="46"/>
      <c r="N3" s="46"/>
      <c r="O3" s="46"/>
      <c r="P3" s="46"/>
      <c r="Q3" s="46"/>
      <c r="R3" s="46"/>
      <c r="S3" s="46"/>
      <c r="T3" s="46"/>
      <c r="U3" s="46"/>
      <c r="V3" s="46"/>
      <c r="W3" s="46"/>
      <c r="X3" s="46"/>
      <c r="Y3" s="46"/>
      <c r="Z3" s="46"/>
      <c r="AA3" s="46"/>
      <c r="AB3" s="46"/>
      <c r="AC3" s="46"/>
      <c r="AD3" s="46"/>
      <c r="AE3" s="46"/>
      <c r="AF3" s="46"/>
      <c r="AG3" s="46"/>
      <c r="AH3" s="46"/>
      <c r="AI3" s="46"/>
      <c r="AJ3" s="46"/>
      <c r="AK3" s="46"/>
      <c r="AL3" s="46"/>
      <c r="AM3" s="46"/>
      <c r="AN3" s="46"/>
      <c r="AO3" s="46"/>
      <c r="AP3" s="46"/>
      <c r="AQ3" s="46"/>
      <c r="AR3" s="46"/>
      <c r="AS3" s="46"/>
      <c r="AT3" s="46"/>
      <c r="AU3" s="46"/>
      <c r="AV3" s="46"/>
      <c r="AW3" s="46"/>
      <c r="AX3" s="46"/>
      <c r="AY3" s="46"/>
      <c r="AZ3" s="46"/>
      <c r="BA3" s="46"/>
      <c r="BB3" s="46"/>
      <c r="BC3"/>
      <c r="BD3"/>
      <c r="BE3"/>
      <c r="BF3"/>
      <c r="BG3"/>
      <c r="BH3"/>
      <c r="BI3"/>
      <c r="BJ3"/>
      <c r="BK3"/>
      <c r="BL3"/>
      <c r="BM3"/>
      <c r="BN3"/>
    </row>
    <row r="4" spans="1:66" x14ac:dyDescent="0.25">
      <c r="A4" s="101" t="s">
        <v>240</v>
      </c>
      <c r="B4" s="1102">
        <v>2010</v>
      </c>
      <c r="C4" s="47"/>
      <c r="D4" s="47"/>
      <c r="E4" s="47"/>
      <c r="F4" s="47"/>
      <c r="G4" s="47"/>
      <c r="H4" s="47"/>
      <c r="I4" s="101"/>
      <c r="J4" s="46"/>
      <c r="K4" s="47"/>
      <c r="L4" s="47"/>
      <c r="M4" s="47"/>
      <c r="N4" s="47"/>
      <c r="O4" s="59"/>
      <c r="P4" s="48"/>
      <c r="Q4" s="48"/>
      <c r="R4" s="48"/>
      <c r="S4" s="48"/>
      <c r="T4" s="48"/>
      <c r="U4" s="49"/>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c r="BD4"/>
      <c r="BE4"/>
      <c r="BF4"/>
      <c r="BG4"/>
      <c r="BH4"/>
      <c r="BI4"/>
      <c r="BJ4"/>
      <c r="BK4"/>
      <c r="BL4"/>
      <c r="BM4"/>
      <c r="BN4"/>
    </row>
    <row r="5" spans="1:66" x14ac:dyDescent="0.25">
      <c r="A5" s="101"/>
      <c r="B5" s="1102"/>
      <c r="C5" s="47"/>
      <c r="D5" s="47"/>
      <c r="E5" s="47"/>
      <c r="F5" s="47"/>
      <c r="G5" s="47"/>
      <c r="H5" s="47"/>
      <c r="I5" s="101"/>
      <c r="J5" s="46"/>
      <c r="K5" s="47"/>
      <c r="L5" s="47"/>
      <c r="M5" s="47"/>
      <c r="N5" s="47"/>
      <c r="O5" s="59"/>
      <c r="P5" s="51"/>
      <c r="Q5" s="51"/>
      <c r="R5" s="1500" t="s">
        <v>1908</v>
      </c>
      <c r="S5" s="1525" t="str">
        <f>misc_type</f>
        <v>Generic</v>
      </c>
      <c r="T5" s="51"/>
      <c r="U5" s="53"/>
      <c r="V5" s="46"/>
      <c r="W5" s="46"/>
      <c r="X5" s="46"/>
      <c r="Y5" s="46"/>
      <c r="Z5" s="46"/>
      <c r="AA5" s="46"/>
      <c r="AB5" s="46"/>
      <c r="AC5" s="46"/>
      <c r="AD5" s="46"/>
      <c r="AE5" s="46"/>
      <c r="AF5" s="46"/>
      <c r="AG5" s="46"/>
      <c r="AH5" s="46"/>
      <c r="AI5" s="46"/>
      <c r="AJ5" s="46"/>
      <c r="AK5" s="46"/>
      <c r="AL5" s="46"/>
      <c r="AM5" s="46"/>
      <c r="AN5" s="46"/>
      <c r="AO5" s="46"/>
      <c r="AP5" s="46"/>
      <c r="AQ5" s="46"/>
      <c r="AR5" s="46"/>
      <c r="AS5" s="46"/>
      <c r="AT5" s="46"/>
      <c r="AU5" s="46"/>
      <c r="AV5" s="46"/>
      <c r="AW5" s="46"/>
      <c r="AX5" s="46"/>
      <c r="AY5" s="46"/>
      <c r="AZ5" s="46"/>
      <c r="BA5" s="46"/>
      <c r="BB5" s="46"/>
      <c r="BC5"/>
      <c r="BD5"/>
      <c r="BE5"/>
      <c r="BF5"/>
      <c r="BG5"/>
      <c r="BH5"/>
      <c r="BI5"/>
      <c r="BJ5"/>
      <c r="BK5"/>
      <c r="BL5"/>
      <c r="BM5"/>
      <c r="BN5"/>
    </row>
    <row r="6" spans="1:66" x14ac:dyDescent="0.25">
      <c r="A6" s="101"/>
      <c r="B6" s="1102"/>
      <c r="C6" s="47"/>
      <c r="D6" s="47"/>
      <c r="E6" s="47"/>
      <c r="F6" s="47"/>
      <c r="G6" s="47"/>
      <c r="H6" s="47"/>
      <c r="I6" s="101"/>
      <c r="J6" s="46"/>
      <c r="K6" s="47"/>
      <c r="L6" s="47"/>
      <c r="M6" s="47"/>
      <c r="N6" s="47"/>
      <c r="O6" s="59"/>
      <c r="P6" s="51"/>
      <c r="Q6" s="51"/>
      <c r="R6" s="51"/>
      <c r="S6" s="48"/>
      <c r="T6" s="51"/>
      <c r="U6" s="53"/>
      <c r="V6" s="46"/>
      <c r="W6" s="46"/>
      <c r="X6" s="46"/>
      <c r="Y6" s="46"/>
      <c r="Z6" s="46"/>
      <c r="AA6" s="46"/>
      <c r="AB6" s="46"/>
      <c r="AC6" s="46"/>
      <c r="AD6" s="46"/>
      <c r="AE6" s="46"/>
      <c r="AF6" s="46"/>
      <c r="AG6" s="46"/>
      <c r="AH6" s="46"/>
      <c r="AI6" s="46"/>
      <c r="AJ6" s="46"/>
      <c r="AK6" s="46"/>
      <c r="AL6" s="46"/>
      <c r="AM6" s="46"/>
      <c r="AN6" s="46"/>
      <c r="AO6" s="46"/>
      <c r="AP6" s="46"/>
      <c r="AQ6" s="46"/>
      <c r="AR6" s="46"/>
      <c r="AS6" s="46"/>
      <c r="AT6" s="46"/>
      <c r="AU6" s="46"/>
      <c r="AV6" s="46"/>
      <c r="AW6" s="46"/>
      <c r="AX6" s="46"/>
      <c r="AY6" s="46"/>
      <c r="AZ6" s="46"/>
      <c r="BA6" s="46"/>
      <c r="BB6" s="46"/>
      <c r="BC6"/>
      <c r="BD6"/>
      <c r="BE6"/>
      <c r="BF6"/>
      <c r="BG6"/>
      <c r="BH6"/>
      <c r="BI6"/>
      <c r="BJ6"/>
      <c r="BK6"/>
      <c r="BL6"/>
      <c r="BM6"/>
      <c r="BN6"/>
    </row>
    <row r="7" spans="1:66" x14ac:dyDescent="0.25">
      <c r="A7" s="46"/>
      <c r="B7" s="46"/>
      <c r="C7" s="46"/>
      <c r="D7" s="46"/>
      <c r="E7" s="46"/>
      <c r="F7" s="46"/>
      <c r="G7" s="46"/>
      <c r="H7" s="46"/>
      <c r="I7" s="46"/>
      <c r="J7" s="46"/>
      <c r="K7" s="46"/>
      <c r="L7" s="46"/>
      <c r="M7" s="46"/>
      <c r="N7" s="46"/>
      <c r="O7" s="59"/>
      <c r="P7" s="51"/>
      <c r="Q7" s="51"/>
      <c r="R7" s="844" t="s">
        <v>1534</v>
      </c>
      <c r="S7" s="1547">
        <f>plant_dens</f>
        <v>20000</v>
      </c>
      <c r="T7" s="51" t="s">
        <v>1536</v>
      </c>
      <c r="U7" s="53"/>
      <c r="V7" s="46"/>
      <c r="W7" s="46"/>
      <c r="X7" s="46"/>
      <c r="Y7" s="46"/>
      <c r="Z7" s="46"/>
      <c r="AA7" s="46"/>
      <c r="AB7" s="46"/>
      <c r="AC7" s="46"/>
      <c r="AD7" s="46"/>
      <c r="AE7" s="46"/>
      <c r="AF7" s="46"/>
      <c r="AG7" s="46"/>
      <c r="AH7" s="46"/>
      <c r="AI7" s="46"/>
      <c r="AJ7" s="46"/>
      <c r="AK7" s="46"/>
      <c r="AL7" s="46"/>
      <c r="AM7" s="46"/>
      <c r="AN7" s="46"/>
      <c r="AO7" s="46"/>
      <c r="AP7" s="46"/>
      <c r="AQ7" s="46"/>
      <c r="AR7" s="46"/>
      <c r="AS7" s="46"/>
      <c r="AT7" s="46"/>
      <c r="AU7" s="46"/>
      <c r="AV7" s="46"/>
      <c r="AW7" s="46"/>
      <c r="AX7" s="46"/>
      <c r="AY7" s="46"/>
      <c r="AZ7" s="46"/>
      <c r="BA7" s="46"/>
      <c r="BB7" s="46"/>
      <c r="BC7"/>
      <c r="BD7"/>
      <c r="BE7"/>
      <c r="BF7"/>
      <c r="BG7"/>
      <c r="BH7"/>
      <c r="BI7"/>
      <c r="BJ7"/>
      <c r="BK7"/>
      <c r="BL7"/>
      <c r="BM7"/>
      <c r="BN7"/>
    </row>
    <row r="8" spans="1:66" x14ac:dyDescent="0.25">
      <c r="A8" s="46"/>
      <c r="B8" s="46"/>
      <c r="C8" s="46"/>
      <c r="D8" s="46"/>
      <c r="E8" s="46"/>
      <c r="F8" s="46"/>
      <c r="G8" s="46"/>
      <c r="H8" s="46"/>
      <c r="I8" s="46"/>
      <c r="J8" s="46"/>
      <c r="K8" s="46"/>
      <c r="L8" s="46"/>
      <c r="M8" s="46"/>
      <c r="N8" s="46"/>
      <c r="O8" s="59"/>
      <c r="P8" s="51"/>
      <c r="Q8" s="51"/>
      <c r="R8" s="51"/>
      <c r="S8" s="48"/>
      <c r="T8" s="51"/>
      <c r="U8" s="53"/>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c r="BD8"/>
      <c r="BE8"/>
      <c r="BF8"/>
      <c r="BG8"/>
      <c r="BH8"/>
      <c r="BI8"/>
      <c r="BJ8"/>
      <c r="BK8"/>
      <c r="BL8"/>
      <c r="BM8"/>
      <c r="BN8"/>
    </row>
    <row r="9" spans="1:66" x14ac:dyDescent="0.25">
      <c r="A9" s="46"/>
      <c r="B9" s="46"/>
      <c r="C9" s="46"/>
      <c r="D9" s="46"/>
      <c r="E9" s="46"/>
      <c r="F9" s="46"/>
      <c r="G9" s="46"/>
      <c r="H9" s="46"/>
      <c r="I9" s="46"/>
      <c r="J9" s="46"/>
      <c r="K9" s="46"/>
      <c r="L9" s="46"/>
      <c r="M9" s="46"/>
      <c r="N9" s="46"/>
      <c r="O9" s="59"/>
      <c r="P9" s="51"/>
      <c r="Q9" s="51"/>
      <c r="R9" s="844" t="s">
        <v>1011</v>
      </c>
      <c r="S9" s="88">
        <f>prod_cyc_length</f>
        <v>15</v>
      </c>
      <c r="T9" s="51" t="s">
        <v>428</v>
      </c>
      <c r="U9" s="53"/>
      <c r="V9" s="46"/>
      <c r="W9" s="46"/>
      <c r="X9" s="46"/>
      <c r="Y9" s="46"/>
      <c r="Z9" s="46"/>
      <c r="AA9" s="46"/>
      <c r="AB9" s="46"/>
      <c r="AC9" s="46"/>
      <c r="AD9" s="46"/>
      <c r="AE9" s="46"/>
      <c r="AF9" s="46"/>
      <c r="AG9" s="46"/>
      <c r="AH9" s="46"/>
      <c r="AI9" s="46"/>
      <c r="AJ9" s="46"/>
      <c r="AK9" s="46"/>
      <c r="AL9" s="46"/>
      <c r="AM9" s="46"/>
      <c r="AN9" s="46"/>
      <c r="AO9" s="46"/>
      <c r="AP9" s="46"/>
      <c r="AQ9" s="46"/>
      <c r="AR9" s="46"/>
      <c r="AS9" s="46"/>
      <c r="AT9" s="46"/>
      <c r="AU9" s="46"/>
      <c r="AV9" s="46"/>
      <c r="AW9" s="46"/>
      <c r="AX9" s="46"/>
      <c r="AY9" s="46"/>
      <c r="AZ9" s="46"/>
      <c r="BA9" s="46"/>
      <c r="BB9" s="46"/>
      <c r="BC9"/>
      <c r="BD9"/>
      <c r="BE9"/>
      <c r="BF9"/>
      <c r="BG9"/>
      <c r="BH9"/>
      <c r="BI9"/>
      <c r="BJ9"/>
      <c r="BK9"/>
      <c r="BL9"/>
      <c r="BM9"/>
      <c r="BN9"/>
    </row>
    <row r="10" spans="1:66" x14ac:dyDescent="0.25">
      <c r="A10" s="46"/>
      <c r="B10" s="46"/>
      <c r="C10" s="46"/>
      <c r="D10" s="46"/>
      <c r="E10" s="46"/>
      <c r="F10" s="46"/>
      <c r="G10" s="46"/>
      <c r="H10" s="46"/>
      <c r="I10" s="46"/>
      <c r="J10" s="46"/>
      <c r="K10" s="46"/>
      <c r="L10" s="46"/>
      <c r="M10" s="46"/>
      <c r="N10" s="46"/>
      <c r="O10" s="59"/>
      <c r="P10" s="51"/>
      <c r="Q10" s="51"/>
      <c r="R10" s="51"/>
      <c r="S10" s="48"/>
      <c r="T10" s="51"/>
      <c r="U10" s="53"/>
      <c r="V10" s="46"/>
      <c r="W10" s="46"/>
      <c r="X10" s="46"/>
      <c r="Y10" s="46"/>
      <c r="Z10" s="46"/>
      <c r="AA10" s="46"/>
      <c r="AB10" s="46"/>
      <c r="AC10" s="46"/>
      <c r="AD10" s="46"/>
      <c r="AE10" s="46"/>
      <c r="AF10" s="46"/>
      <c r="AG10" s="46"/>
      <c r="AH10" s="46"/>
      <c r="AI10" s="46"/>
      <c r="AJ10" s="46"/>
      <c r="AK10" s="46"/>
      <c r="AL10" s="46"/>
      <c r="AM10" s="46"/>
      <c r="AN10" s="46"/>
      <c r="AO10" s="46"/>
      <c r="AP10" s="46"/>
      <c r="AQ10" s="46"/>
      <c r="AR10" s="46"/>
      <c r="AS10" s="46"/>
      <c r="AT10" s="46"/>
      <c r="AU10" s="46"/>
      <c r="AV10" s="46"/>
      <c r="AW10" s="46"/>
      <c r="AX10" s="46"/>
      <c r="AY10" s="46"/>
      <c r="AZ10" s="46"/>
      <c r="BA10" s="46"/>
      <c r="BB10" s="46"/>
      <c r="BC10"/>
      <c r="BD10"/>
      <c r="BE10"/>
      <c r="BF10"/>
      <c r="BG10"/>
      <c r="BH10"/>
      <c r="BI10"/>
      <c r="BJ10"/>
      <c r="BK10"/>
      <c r="BL10"/>
      <c r="BM10"/>
      <c r="BN10"/>
    </row>
    <row r="11" spans="1:66" x14ac:dyDescent="0.25">
      <c r="A11" s="46"/>
      <c r="B11" s="46"/>
      <c r="C11" s="46"/>
      <c r="D11" s="46"/>
      <c r="E11" s="46"/>
      <c r="F11" s="46"/>
      <c r="G11" s="46"/>
      <c r="H11" s="46"/>
      <c r="I11" s="46"/>
      <c r="J11" s="46"/>
      <c r="K11" s="46"/>
      <c r="L11" s="46"/>
      <c r="M11" s="46"/>
      <c r="N11" s="46"/>
      <c r="O11" s="59"/>
      <c r="P11" s="853"/>
      <c r="Q11" s="844"/>
      <c r="R11" s="844" t="s">
        <v>1535</v>
      </c>
      <c r="S11" s="112">
        <f>(S7/S9)</f>
        <v>1333.3333333333333</v>
      </c>
      <c r="T11" s="51" t="s">
        <v>1537</v>
      </c>
      <c r="U11" s="53"/>
      <c r="V11" s="46"/>
      <c r="W11" s="46"/>
      <c r="X11" s="46"/>
      <c r="Y11" s="46"/>
      <c r="Z11" s="46"/>
      <c r="AA11" s="46"/>
      <c r="AB11" s="46"/>
      <c r="AC11" s="46"/>
      <c r="AD11" s="46"/>
      <c r="AE11" s="46"/>
      <c r="AF11" s="46"/>
      <c r="AG11" s="46"/>
      <c r="AH11" s="46"/>
      <c r="AI11" s="46"/>
      <c r="AJ11" s="46"/>
      <c r="AK11" s="46"/>
      <c r="AL11" s="46"/>
      <c r="AM11" s="46"/>
      <c r="AN11" s="46"/>
      <c r="AO11" s="46"/>
      <c r="AP11" s="46"/>
      <c r="AQ11" s="46"/>
      <c r="AR11" s="46"/>
      <c r="AS11" s="46"/>
      <c r="AT11" s="46"/>
      <c r="AU11" s="46"/>
      <c r="AV11" s="46"/>
      <c r="AW11" s="46"/>
      <c r="AX11" s="46"/>
      <c r="AY11" s="46"/>
      <c r="AZ11" s="46"/>
      <c r="BA11" s="46"/>
      <c r="BB11" s="46"/>
      <c r="BC11"/>
      <c r="BD11"/>
      <c r="BE11"/>
      <c r="BF11"/>
      <c r="BG11"/>
      <c r="BH11"/>
      <c r="BI11"/>
      <c r="BJ11"/>
      <c r="BK11"/>
      <c r="BL11"/>
      <c r="BM11"/>
      <c r="BN11"/>
    </row>
    <row r="12" spans="1:66" x14ac:dyDescent="0.25">
      <c r="A12" s="46"/>
      <c r="B12" s="46"/>
      <c r="C12" s="46"/>
      <c r="D12" s="46"/>
      <c r="E12" s="46"/>
      <c r="F12" s="46"/>
      <c r="G12" s="46"/>
      <c r="H12" s="46"/>
      <c r="I12" s="46"/>
      <c r="J12" s="46"/>
      <c r="K12" s="46"/>
      <c r="L12" s="46"/>
      <c r="M12" s="46"/>
      <c r="N12" s="46"/>
      <c r="O12" s="59"/>
      <c r="P12" s="54"/>
      <c r="Q12" s="847"/>
      <c r="R12" s="847"/>
      <c r="S12" s="54"/>
      <c r="T12" s="57"/>
      <c r="U12" s="58"/>
      <c r="V12" s="46"/>
      <c r="W12" s="46"/>
      <c r="X12" s="46"/>
      <c r="Y12" s="46"/>
      <c r="Z12" s="46"/>
      <c r="AA12" s="46"/>
      <c r="AB12" s="46"/>
      <c r="AC12" s="46"/>
      <c r="AD12" s="46"/>
      <c r="AE12" s="46"/>
      <c r="AF12" s="46"/>
      <c r="AG12" s="46"/>
      <c r="AH12" s="46"/>
      <c r="AI12" s="46"/>
      <c r="AJ12" s="46"/>
      <c r="AK12" s="46"/>
      <c r="AL12" s="46"/>
      <c r="AM12" s="46"/>
      <c r="AN12" s="46"/>
      <c r="AO12" s="46"/>
      <c r="AP12" s="46"/>
      <c r="AQ12" s="46"/>
      <c r="AR12" s="46"/>
      <c r="AS12" s="46"/>
      <c r="AT12" s="46"/>
      <c r="AU12" s="46"/>
      <c r="AV12" s="46"/>
      <c r="AW12" s="46"/>
      <c r="AX12" s="46"/>
      <c r="AY12" s="46"/>
      <c r="AZ12" s="46"/>
      <c r="BA12" s="46"/>
      <c r="BB12" s="46"/>
      <c r="BC12"/>
      <c r="BD12"/>
      <c r="BE12"/>
      <c r="BF12"/>
      <c r="BG12"/>
      <c r="BH12"/>
      <c r="BI12"/>
      <c r="BJ12"/>
      <c r="BK12"/>
      <c r="BL12"/>
      <c r="BM12"/>
      <c r="BN12"/>
    </row>
    <row r="13" spans="1:66" ht="13.8" thickBot="1" x14ac:dyDescent="0.3">
      <c r="A13" s="46"/>
      <c r="B13" s="46"/>
      <c r="C13" s="46"/>
      <c r="D13" s="46"/>
      <c r="E13" s="46"/>
      <c r="F13" s="46"/>
      <c r="G13" s="46"/>
      <c r="H13" s="46"/>
      <c r="I13" s="46"/>
      <c r="J13" s="46"/>
      <c r="K13" s="46"/>
      <c r="L13" s="46"/>
      <c r="M13" s="46"/>
      <c r="N13" s="46"/>
      <c r="O13" s="47"/>
      <c r="P13" s="46"/>
      <c r="Q13" s="46"/>
      <c r="R13" s="59"/>
      <c r="S13" s="46"/>
      <c r="T13" s="46"/>
      <c r="U13" s="46"/>
      <c r="V13" s="46"/>
      <c r="W13" s="46"/>
      <c r="X13" s="72"/>
      <c r="Y13" s="72"/>
      <c r="Z13" s="72"/>
      <c r="AA13" s="72"/>
      <c r="AB13" s="72"/>
      <c r="AC13" s="46"/>
      <c r="AD13" s="46"/>
      <c r="AE13" s="46"/>
      <c r="AF13" s="46"/>
      <c r="AG13" s="46"/>
      <c r="AH13" s="46"/>
      <c r="AI13" s="46"/>
      <c r="AJ13" s="46"/>
      <c r="AK13" s="46"/>
      <c r="AL13" s="46"/>
      <c r="AM13" s="46"/>
      <c r="AN13" s="46"/>
      <c r="AO13" s="46"/>
      <c r="AP13" s="46"/>
      <c r="AQ13" s="46"/>
      <c r="AR13" s="46"/>
      <c r="AS13" s="46"/>
      <c r="AT13" s="46"/>
      <c r="AU13" s="46"/>
      <c r="AV13" s="46"/>
      <c r="AW13" s="46"/>
      <c r="AX13" s="46"/>
      <c r="AY13" s="46"/>
      <c r="AZ13" s="46"/>
      <c r="BA13" s="46"/>
      <c r="BB13" s="46"/>
      <c r="BC13"/>
      <c r="BD13"/>
      <c r="BE13"/>
      <c r="BF13"/>
      <c r="BG13"/>
      <c r="BH13"/>
      <c r="BI13"/>
      <c r="BJ13"/>
      <c r="BK13"/>
      <c r="BL13"/>
      <c r="BM13"/>
      <c r="BN13"/>
    </row>
    <row r="14" spans="1:66" x14ac:dyDescent="0.25">
      <c r="A14" s="46"/>
      <c r="B14" s="46"/>
      <c r="C14" s="46"/>
      <c r="D14" s="46"/>
      <c r="E14" s="46"/>
      <c r="F14" s="46"/>
      <c r="G14" s="46"/>
      <c r="H14" s="46"/>
      <c r="I14" s="46"/>
      <c r="J14" s="46"/>
      <c r="K14" s="46"/>
      <c r="L14" s="46"/>
      <c r="M14" s="46"/>
      <c r="N14" s="46"/>
      <c r="O14" s="46"/>
      <c r="P14" s="281"/>
      <c r="Q14" s="60"/>
      <c r="R14" s="60"/>
      <c r="S14" s="60"/>
      <c r="T14" s="60"/>
      <c r="U14" s="61"/>
      <c r="V14" s="46"/>
      <c r="W14" s="46"/>
      <c r="X14" s="72"/>
      <c r="Y14" s="72"/>
      <c r="Z14" s="72"/>
      <c r="AA14" s="72"/>
      <c r="AB14" s="72"/>
      <c r="AC14" s="46"/>
      <c r="AD14" s="46"/>
      <c r="AE14" s="46"/>
      <c r="AF14" s="46"/>
      <c r="AG14" s="46"/>
      <c r="AH14" s="46"/>
      <c r="AI14" s="46"/>
      <c r="AJ14" s="46"/>
      <c r="AK14" s="46"/>
      <c r="AL14" s="46"/>
      <c r="AM14" s="46"/>
      <c r="AN14" s="46"/>
      <c r="AO14" s="46"/>
      <c r="AP14" s="46"/>
      <c r="AQ14" s="46"/>
      <c r="AR14" s="46"/>
      <c r="AS14" s="46"/>
      <c r="AT14" s="46"/>
      <c r="AU14" s="46"/>
      <c r="AV14" s="46"/>
      <c r="AW14" s="46"/>
      <c r="AX14" s="46"/>
      <c r="AY14" s="46"/>
      <c r="AZ14" s="46"/>
      <c r="BA14" s="46"/>
      <c r="BB14" s="46"/>
      <c r="BC14"/>
      <c r="BD14"/>
      <c r="BE14"/>
      <c r="BF14"/>
      <c r="BG14"/>
      <c r="BH14"/>
      <c r="BI14"/>
      <c r="BJ14"/>
      <c r="BK14"/>
      <c r="BL14"/>
      <c r="BM14"/>
      <c r="BN14"/>
    </row>
    <row r="15" spans="1:66" x14ac:dyDescent="0.25">
      <c r="A15" s="46"/>
      <c r="B15" s="46"/>
      <c r="C15" s="46"/>
      <c r="D15" s="46"/>
      <c r="E15" s="46"/>
      <c r="F15" s="46"/>
      <c r="G15" s="46"/>
      <c r="H15" s="46"/>
      <c r="I15" s="46"/>
      <c r="J15" s="46"/>
      <c r="K15" s="46"/>
      <c r="L15" s="46"/>
      <c r="M15" s="46"/>
      <c r="N15" s="46"/>
      <c r="O15" s="46"/>
      <c r="P15" s="62"/>
      <c r="Q15" s="1552" t="s">
        <v>20</v>
      </c>
      <c r="R15" s="1552"/>
      <c r="S15" s="1552"/>
      <c r="T15" s="1552"/>
      <c r="U15" s="64"/>
      <c r="V15" s="46"/>
      <c r="W15" s="46"/>
      <c r="X15" s="72"/>
      <c r="Y15" s="72"/>
      <c r="Z15" s="72"/>
      <c r="AA15" s="72"/>
      <c r="AB15" s="72"/>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c r="BD15"/>
      <c r="BE15"/>
      <c r="BF15"/>
      <c r="BG15"/>
      <c r="BH15"/>
      <c r="BI15"/>
      <c r="BJ15"/>
      <c r="BK15"/>
      <c r="BL15"/>
      <c r="BM15"/>
      <c r="BN15"/>
    </row>
    <row r="16" spans="1:66" x14ac:dyDescent="0.25">
      <c r="A16" s="46"/>
      <c r="B16" s="46"/>
      <c r="C16" s="46"/>
      <c r="D16" s="46"/>
      <c r="E16" s="46"/>
      <c r="F16" s="46"/>
      <c r="G16" s="46"/>
      <c r="H16" s="46"/>
      <c r="I16" s="46"/>
      <c r="J16" s="46"/>
      <c r="K16" s="46"/>
      <c r="L16" s="46"/>
      <c r="M16" s="46"/>
      <c r="N16" s="46"/>
      <c r="O16" s="46"/>
      <c r="P16" s="62"/>
      <c r="Q16" s="438"/>
      <c r="R16" s="442"/>
      <c r="S16" s="442"/>
      <c r="T16" s="442"/>
      <c r="U16" s="64"/>
      <c r="V16" s="46"/>
      <c r="W16" s="46"/>
      <c r="X16" s="72"/>
      <c r="Y16" s="72"/>
      <c r="Z16" s="72"/>
      <c r="AA16" s="72"/>
      <c r="AB16" s="72"/>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c r="BD16"/>
      <c r="BE16"/>
      <c r="BF16"/>
      <c r="BG16"/>
      <c r="BH16"/>
      <c r="BI16"/>
      <c r="BJ16"/>
      <c r="BK16"/>
      <c r="BL16"/>
      <c r="BM16"/>
      <c r="BN16"/>
    </row>
    <row r="17" spans="1:66" x14ac:dyDescent="0.25">
      <c r="A17" s="46"/>
      <c r="B17" s="46"/>
      <c r="C17" s="46"/>
      <c r="D17" s="46"/>
      <c r="E17" s="46"/>
      <c r="F17" s="46"/>
      <c r="G17" s="46"/>
      <c r="H17" s="46"/>
      <c r="I17" s="46"/>
      <c r="J17" s="46"/>
      <c r="K17" s="46"/>
      <c r="L17" s="46"/>
      <c r="M17" s="46"/>
      <c r="N17" s="46"/>
      <c r="O17" s="46"/>
      <c r="P17" s="1554" t="s">
        <v>1012</v>
      </c>
      <c r="Q17" s="1555"/>
      <c r="R17" s="1556"/>
      <c r="S17" s="1397">
        <f>S28/S21</f>
        <v>5.5555555555555559E-2</v>
      </c>
      <c r="T17" s="232" t="s">
        <v>588</v>
      </c>
      <c r="U17" s="64" t="s">
        <v>161</v>
      </c>
      <c r="V17" s="46"/>
      <c r="W17" s="46"/>
      <c r="X17" s="72"/>
      <c r="Y17" s="72"/>
      <c r="Z17" s="72"/>
      <c r="AA17" s="72"/>
      <c r="AB17" s="72"/>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c r="BD17"/>
      <c r="BE17"/>
      <c r="BF17"/>
      <c r="BG17"/>
      <c r="BH17"/>
      <c r="BI17"/>
      <c r="BJ17"/>
      <c r="BK17"/>
      <c r="BL17"/>
      <c r="BM17"/>
      <c r="BN17"/>
    </row>
    <row r="18" spans="1:66" x14ac:dyDescent="0.25">
      <c r="A18" s="46"/>
      <c r="B18" s="46"/>
      <c r="C18" s="46"/>
      <c r="D18" s="46"/>
      <c r="E18" s="46"/>
      <c r="F18" s="46"/>
      <c r="G18" s="46"/>
      <c r="H18" s="46"/>
      <c r="I18" s="46"/>
      <c r="J18" s="46"/>
      <c r="K18" s="46"/>
      <c r="L18" s="46"/>
      <c r="M18" s="46"/>
      <c r="N18" s="46"/>
      <c r="O18" s="46"/>
      <c r="P18" s="440"/>
      <c r="Q18" s="439"/>
      <c r="R18" s="66"/>
      <c r="S18" s="66"/>
      <c r="T18" s="232"/>
      <c r="U18" s="64"/>
      <c r="V18" s="46"/>
      <c r="W18" s="46"/>
      <c r="X18" s="72"/>
      <c r="Y18" s="72"/>
      <c r="Z18" s="72"/>
      <c r="AA18" s="72"/>
      <c r="AB18" s="72"/>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c r="BD18"/>
      <c r="BE18"/>
      <c r="BF18"/>
      <c r="BG18"/>
      <c r="BH18"/>
      <c r="BI18"/>
      <c r="BJ18"/>
      <c r="BK18"/>
      <c r="BL18"/>
      <c r="BM18"/>
      <c r="BN18"/>
    </row>
    <row r="19" spans="1:66" x14ac:dyDescent="0.25">
      <c r="A19" s="46"/>
      <c r="B19" s="46"/>
      <c r="C19" s="46"/>
      <c r="D19" s="46"/>
      <c r="E19" s="46"/>
      <c r="F19" s="46"/>
      <c r="G19" s="46"/>
      <c r="H19" s="46"/>
      <c r="I19" s="46"/>
      <c r="J19" s="46"/>
      <c r="K19" s="46"/>
      <c r="L19" s="46"/>
      <c r="M19" s="46"/>
      <c r="N19" s="46"/>
      <c r="O19" s="46"/>
      <c r="P19" s="440"/>
      <c r="Q19" s="439"/>
      <c r="R19" s="441" t="s">
        <v>1013</v>
      </c>
      <c r="S19" s="446">
        <f>yield</f>
        <v>15</v>
      </c>
      <c r="T19" s="1090" t="s">
        <v>1538</v>
      </c>
      <c r="U19" s="64"/>
      <c r="V19" s="46"/>
      <c r="W19" s="46"/>
      <c r="X19" s="72"/>
      <c r="Y19" s="72"/>
      <c r="Z19" s="72"/>
      <c r="AA19" s="72"/>
      <c r="AB19" s="72"/>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c r="BD19"/>
      <c r="BE19"/>
      <c r="BF19"/>
      <c r="BG19"/>
      <c r="BH19"/>
      <c r="BI19"/>
      <c r="BJ19"/>
      <c r="BK19"/>
      <c r="BL19"/>
      <c r="BM19"/>
      <c r="BN19"/>
    </row>
    <row r="20" spans="1:66" x14ac:dyDescent="0.25">
      <c r="A20" s="46"/>
      <c r="B20" s="46"/>
      <c r="C20" s="46"/>
      <c r="D20" s="46"/>
      <c r="E20" s="46"/>
      <c r="F20" s="46"/>
      <c r="G20" s="46"/>
      <c r="H20" s="46"/>
      <c r="I20" s="46"/>
      <c r="J20" s="46"/>
      <c r="K20" s="46"/>
      <c r="L20" s="46"/>
      <c r="M20" s="46"/>
      <c r="N20" s="46"/>
      <c r="O20" s="46"/>
      <c r="P20" s="849"/>
      <c r="Q20" s="848"/>
      <c r="R20" s="850"/>
      <c r="S20" s="66"/>
      <c r="T20" s="232"/>
      <c r="U20" s="64"/>
      <c r="V20" s="46"/>
      <c r="W20" s="46"/>
      <c r="X20" s="72"/>
      <c r="Y20" s="72"/>
      <c r="Z20" s="72"/>
      <c r="AA20" s="72"/>
      <c r="AB20" s="72"/>
      <c r="AC20" s="46"/>
      <c r="AD20" s="46"/>
      <c r="AE20" s="46"/>
      <c r="AF20" s="46"/>
      <c r="AG20" s="46"/>
      <c r="AH20" s="46"/>
      <c r="AI20" s="46"/>
      <c r="AJ20" s="46"/>
      <c r="AK20" s="46"/>
      <c r="AL20" s="46"/>
      <c r="AM20" s="46"/>
      <c r="AN20" s="46"/>
      <c r="AO20" s="46"/>
      <c r="AP20" s="46"/>
      <c r="AQ20" s="46"/>
      <c r="AR20" s="46"/>
      <c r="AS20" s="46"/>
      <c r="AT20" s="46"/>
      <c r="AU20" s="46"/>
      <c r="AV20" s="46"/>
      <c r="AW20" s="46"/>
      <c r="AX20" s="46"/>
      <c r="AY20" s="46"/>
      <c r="AZ20" s="46"/>
      <c r="BA20" s="46"/>
      <c r="BB20" s="46"/>
      <c r="BC20"/>
      <c r="BD20"/>
      <c r="BE20"/>
      <c r="BF20"/>
      <c r="BG20"/>
      <c r="BH20"/>
      <c r="BI20"/>
      <c r="BJ20"/>
      <c r="BK20"/>
      <c r="BL20"/>
      <c r="BM20"/>
      <c r="BN20"/>
    </row>
    <row r="21" spans="1:66" x14ac:dyDescent="0.25">
      <c r="A21" s="46"/>
      <c r="B21" s="46"/>
      <c r="C21" s="46"/>
      <c r="D21" s="46"/>
      <c r="E21" s="46"/>
      <c r="F21" s="46"/>
      <c r="G21" s="46"/>
      <c r="H21" s="46"/>
      <c r="I21" s="46"/>
      <c r="J21" s="46"/>
      <c r="K21" s="46"/>
      <c r="L21" s="46"/>
      <c r="M21" s="46"/>
      <c r="N21" s="46"/>
      <c r="O21" s="46"/>
      <c r="P21" s="849"/>
      <c r="Q21" s="848"/>
      <c r="R21" s="1072" t="s">
        <v>1539</v>
      </c>
      <c r="S21" s="445">
        <f>S19*100/(100-S30)</f>
        <v>20</v>
      </c>
      <c r="T21" s="1090" t="s">
        <v>1550</v>
      </c>
      <c r="U21" s="64"/>
      <c r="V21" s="46"/>
      <c r="W21" s="46"/>
      <c r="X21" s="72"/>
      <c r="Y21" s="72"/>
      <c r="Z21" s="72"/>
      <c r="AA21" s="72"/>
      <c r="AB21" s="72"/>
      <c r="AC21" s="46"/>
      <c r="AD21" s="46"/>
      <c r="AE21" s="46"/>
      <c r="AF21" s="46"/>
      <c r="AG21" s="46"/>
      <c r="AH21" s="46"/>
      <c r="AI21" s="46"/>
      <c r="AJ21" s="46"/>
      <c r="AK21" s="46"/>
      <c r="AL21" s="46"/>
      <c r="AM21" s="46"/>
      <c r="AN21" s="46"/>
      <c r="AO21" s="46"/>
      <c r="AP21" s="46"/>
      <c r="AQ21" s="46"/>
      <c r="AR21" s="46"/>
      <c r="AS21" s="46"/>
      <c r="AT21" s="46"/>
      <c r="AU21" s="46"/>
      <c r="AV21" s="46"/>
      <c r="AW21" s="46"/>
      <c r="AX21" s="46"/>
      <c r="AY21" s="46"/>
      <c r="AZ21" s="46"/>
      <c r="BA21" s="46"/>
      <c r="BB21" s="46"/>
      <c r="BC21"/>
      <c r="BD21"/>
      <c r="BE21"/>
      <c r="BF21"/>
      <c r="BG21"/>
      <c r="BH21"/>
      <c r="BI21"/>
      <c r="BJ21"/>
      <c r="BK21"/>
      <c r="BL21"/>
      <c r="BM21"/>
      <c r="BN21"/>
    </row>
    <row r="22" spans="1:66" x14ac:dyDescent="0.25">
      <c r="A22" s="46"/>
      <c r="B22" s="46"/>
      <c r="C22" s="46"/>
      <c r="D22" s="46"/>
      <c r="E22" s="46"/>
      <c r="F22" s="46"/>
      <c r="G22" s="46"/>
      <c r="H22" s="46"/>
      <c r="I22" s="46"/>
      <c r="J22" s="46"/>
      <c r="K22" s="46"/>
      <c r="L22" s="46"/>
      <c r="M22" s="46"/>
      <c r="N22" s="46"/>
      <c r="O22" s="46"/>
      <c r="P22" s="440"/>
      <c r="Q22" s="439"/>
      <c r="R22" s="66"/>
      <c r="S22" s="66"/>
      <c r="T22" s="232"/>
      <c r="U22" s="64"/>
      <c r="V22" s="46"/>
      <c r="W22" s="46"/>
      <c r="X22" s="72"/>
      <c r="Y22" s="72"/>
      <c r="Z22" s="72"/>
      <c r="AA22" s="72"/>
      <c r="AB22" s="72"/>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c r="BD22"/>
      <c r="BE22"/>
      <c r="BF22"/>
      <c r="BG22"/>
      <c r="BH22"/>
      <c r="BI22"/>
      <c r="BJ22"/>
      <c r="BK22"/>
      <c r="BL22"/>
      <c r="BM22"/>
      <c r="BN22"/>
    </row>
    <row r="23" spans="1:66" x14ac:dyDescent="0.25">
      <c r="A23" s="46"/>
      <c r="B23" s="46"/>
      <c r="C23" s="46"/>
      <c r="D23" s="46"/>
      <c r="E23" s="46"/>
      <c r="F23" s="46"/>
      <c r="G23" s="46"/>
      <c r="H23" s="46"/>
      <c r="I23" s="46"/>
      <c r="J23" s="46"/>
      <c r="K23" s="46"/>
      <c r="L23" s="46"/>
      <c r="M23" s="46"/>
      <c r="N23" s="46"/>
      <c r="O23" s="46"/>
      <c r="P23" s="440"/>
      <c r="Q23" s="439"/>
      <c r="R23" s="66" t="s">
        <v>1541</v>
      </c>
      <c r="S23" s="446">
        <f>n_fert</f>
        <v>73.5</v>
      </c>
      <c r="T23" s="1090" t="s">
        <v>1540</v>
      </c>
      <c r="U23" s="64"/>
      <c r="V23" s="46"/>
      <c r="W23" s="46"/>
      <c r="X23" s="443"/>
      <c r="Y23" s="443"/>
      <c r="Z23" s="443"/>
      <c r="AA23" s="443"/>
      <c r="AB23" s="443"/>
      <c r="AC23" s="46"/>
      <c r="AD23" s="46"/>
      <c r="AE23" s="46"/>
      <c r="AF23" s="46"/>
      <c r="AG23" s="46"/>
      <c r="AH23" s="46"/>
      <c r="AI23" s="46"/>
      <c r="AJ23" s="46"/>
      <c r="AK23" s="46"/>
      <c r="AL23" s="46"/>
      <c r="AM23" s="46"/>
      <c r="AN23" s="46"/>
      <c r="AO23" s="46"/>
      <c r="AP23" s="46"/>
      <c r="AQ23" s="46"/>
      <c r="AR23" s="46"/>
      <c r="AS23" s="46"/>
      <c r="AT23" s="46"/>
      <c r="AU23" s="46"/>
      <c r="AV23" s="46"/>
      <c r="AW23" s="46"/>
      <c r="AX23" s="46"/>
      <c r="AY23" s="46"/>
      <c r="AZ23" s="46"/>
      <c r="BA23" s="46"/>
      <c r="BB23" s="46"/>
      <c r="BC23"/>
      <c r="BD23"/>
      <c r="BE23"/>
      <c r="BF23"/>
      <c r="BG23"/>
      <c r="BH23"/>
      <c r="BI23"/>
      <c r="BJ23"/>
      <c r="BK23"/>
      <c r="BL23"/>
      <c r="BM23"/>
      <c r="BN23"/>
    </row>
    <row r="24" spans="1:66" x14ac:dyDescent="0.25">
      <c r="A24" s="46"/>
      <c r="B24" s="46"/>
      <c r="C24" s="46"/>
      <c r="D24" s="46"/>
      <c r="E24" s="46"/>
      <c r="F24" s="46"/>
      <c r="G24" s="46"/>
      <c r="H24" s="46"/>
      <c r="I24" s="46"/>
      <c r="J24" s="46"/>
      <c r="K24" s="46"/>
      <c r="L24" s="46"/>
      <c r="M24" s="46"/>
      <c r="N24" s="46"/>
      <c r="O24" s="46"/>
      <c r="P24" s="440"/>
      <c r="Q24" s="439"/>
      <c r="R24" s="66"/>
      <c r="S24" s="66"/>
      <c r="T24" s="232"/>
      <c r="U24" s="64"/>
      <c r="V24" s="706"/>
      <c r="W24" s="72"/>
      <c r="X24" s="72"/>
      <c r="Y24" s="72"/>
      <c r="Z24" s="72"/>
      <c r="AA24" s="72"/>
      <c r="AB24" s="72"/>
      <c r="AC24" s="46"/>
      <c r="AD24" s="46"/>
      <c r="AE24" s="46"/>
      <c r="AF24" s="46"/>
      <c r="AG24" s="46"/>
      <c r="AH24" s="46"/>
      <c r="AI24" s="46"/>
      <c r="AJ24" s="46"/>
      <c r="AK24" s="46"/>
      <c r="AL24" s="46"/>
      <c r="AM24" s="46"/>
      <c r="AN24" s="46"/>
      <c r="AO24" s="46"/>
      <c r="AP24" s="46"/>
      <c r="AQ24" s="46"/>
      <c r="AR24" s="46"/>
      <c r="AS24" s="46"/>
      <c r="AT24" s="46"/>
      <c r="AU24" s="46"/>
      <c r="AV24" s="46"/>
      <c r="AW24" s="46"/>
      <c r="AX24" s="46"/>
      <c r="AY24" s="46"/>
      <c r="AZ24" s="46"/>
      <c r="BA24" s="46"/>
      <c r="BB24" s="46"/>
      <c r="BC24"/>
      <c r="BD24"/>
      <c r="BE24"/>
      <c r="BF24"/>
      <c r="BG24"/>
      <c r="BH24"/>
      <c r="BI24"/>
      <c r="BJ24"/>
      <c r="BK24"/>
      <c r="BL24"/>
      <c r="BM24"/>
      <c r="BN24"/>
    </row>
    <row r="25" spans="1:66" ht="13.8" thickBot="1" x14ac:dyDescent="0.3">
      <c r="A25" s="46"/>
      <c r="B25" s="46"/>
      <c r="C25" s="46"/>
      <c r="D25" s="46"/>
      <c r="E25" s="46"/>
      <c r="F25" s="46"/>
      <c r="G25" s="46"/>
      <c r="H25" s="46"/>
      <c r="I25" s="46"/>
      <c r="J25" s="46"/>
      <c r="K25" s="46"/>
      <c r="L25" s="46"/>
      <c r="M25" s="46"/>
      <c r="N25" s="46"/>
      <c r="O25" s="46"/>
      <c r="P25" s="440"/>
      <c r="Q25" s="439"/>
      <c r="R25" s="441"/>
      <c r="S25" s="232"/>
      <c r="T25" s="232"/>
      <c r="U25" s="64"/>
      <c r="V25" s="706"/>
      <c r="W25" s="72"/>
      <c r="X25" s="72"/>
      <c r="Y25" s="72"/>
      <c r="Z25" s="72"/>
      <c r="AA25" s="72"/>
      <c r="AB25" s="72"/>
      <c r="AC25" s="46"/>
      <c r="AD25" s="46"/>
      <c r="AE25" s="46"/>
      <c r="AF25" s="46"/>
      <c r="AG25" s="46"/>
      <c r="AH25" s="46"/>
      <c r="AI25" s="46"/>
      <c r="AJ25" s="46"/>
      <c r="AK25" s="46"/>
      <c r="AL25" s="46"/>
      <c r="AM25" s="46"/>
      <c r="AN25" s="46"/>
      <c r="AO25" s="46"/>
      <c r="AP25" s="46"/>
      <c r="AQ25" s="46"/>
      <c r="AR25" s="46"/>
      <c r="AS25" s="46"/>
      <c r="AT25" s="46"/>
      <c r="AU25" s="46"/>
      <c r="AV25" s="46"/>
      <c r="AW25" s="46"/>
      <c r="AX25" s="46"/>
      <c r="AY25" s="46"/>
      <c r="AZ25" s="46"/>
      <c r="BA25" s="46"/>
      <c r="BB25" s="46"/>
      <c r="BC25"/>
      <c r="BD25"/>
      <c r="BE25"/>
      <c r="BF25"/>
      <c r="BG25"/>
      <c r="BH25"/>
      <c r="BI25"/>
      <c r="BJ25"/>
      <c r="BK25"/>
      <c r="BL25"/>
      <c r="BM25"/>
      <c r="BN25"/>
    </row>
    <row r="26" spans="1:66" x14ac:dyDescent="0.25">
      <c r="A26" s="46"/>
      <c r="B26" s="46"/>
      <c r="C26" s="46"/>
      <c r="D26" s="46"/>
      <c r="E26" s="46"/>
      <c r="F26" s="46"/>
      <c r="G26" s="46"/>
      <c r="H26" s="46"/>
      <c r="I26" s="46"/>
      <c r="J26" s="46"/>
      <c r="K26" s="46"/>
      <c r="L26" s="46"/>
      <c r="M26" s="46"/>
      <c r="N26" s="46"/>
      <c r="O26" s="46"/>
      <c r="P26" s="73"/>
      <c r="Q26" s="73"/>
      <c r="R26" s="93"/>
      <c r="S26" s="73"/>
      <c r="T26" s="73"/>
      <c r="U26" s="73"/>
      <c r="V26" s="46"/>
      <c r="W26" s="46"/>
      <c r="X26" s="72"/>
      <c r="Y26" s="72"/>
      <c r="Z26" s="72"/>
      <c r="AA26" s="72"/>
      <c r="AB26" s="72"/>
      <c r="AC26" s="72"/>
      <c r="AD26" s="72"/>
      <c r="AE26" s="46"/>
      <c r="AF26" s="46"/>
      <c r="AG26" s="46"/>
      <c r="AH26" s="46"/>
      <c r="AI26" s="46"/>
      <c r="AJ26" s="46"/>
      <c r="AK26" s="46"/>
      <c r="AL26" s="46"/>
      <c r="AM26" s="46"/>
      <c r="AN26" s="46"/>
      <c r="AO26" s="46"/>
      <c r="AP26" s="46"/>
      <c r="AQ26" s="46"/>
      <c r="AR26" s="46"/>
      <c r="AS26" s="46"/>
      <c r="AT26" s="46"/>
      <c r="AU26" s="46"/>
      <c r="AV26" s="46"/>
      <c r="AW26" s="46"/>
      <c r="AX26" s="46"/>
      <c r="AY26" s="46"/>
      <c r="AZ26" s="46"/>
      <c r="BA26" s="46"/>
      <c r="BB26" s="46"/>
      <c r="BC26"/>
      <c r="BD26"/>
      <c r="BE26"/>
      <c r="BF26"/>
      <c r="BG26"/>
      <c r="BH26"/>
      <c r="BI26"/>
      <c r="BJ26"/>
      <c r="BK26"/>
      <c r="BL26"/>
      <c r="BM26"/>
      <c r="BN26"/>
    </row>
    <row r="27" spans="1:66" x14ac:dyDescent="0.25">
      <c r="A27" s="46"/>
      <c r="B27" s="46"/>
      <c r="C27" s="46"/>
      <c r="D27" s="46"/>
      <c r="E27" s="46"/>
      <c r="F27" s="46"/>
      <c r="G27" s="46"/>
      <c r="H27" s="46"/>
      <c r="I27" s="46"/>
      <c r="J27" s="46"/>
      <c r="K27" s="46"/>
      <c r="L27" s="46"/>
      <c r="M27" s="46"/>
      <c r="N27" s="46"/>
      <c r="O27" s="59"/>
      <c r="P27" s="48"/>
      <c r="Q27" s="48"/>
      <c r="R27" s="48"/>
      <c r="S27" s="48"/>
      <c r="T27" s="48"/>
      <c r="U27" s="49"/>
      <c r="V27" s="46"/>
      <c r="W27" s="72"/>
      <c r="X27" s="72"/>
      <c r="Y27" s="72"/>
      <c r="Z27" s="72"/>
      <c r="AA27" s="72"/>
      <c r="AB27" s="72"/>
      <c r="AC27" s="72"/>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c r="BD27"/>
      <c r="BE27"/>
      <c r="BF27"/>
      <c r="BG27"/>
      <c r="BH27"/>
      <c r="BI27"/>
      <c r="BJ27"/>
      <c r="BK27"/>
      <c r="BL27"/>
      <c r="BM27"/>
      <c r="BN27"/>
    </row>
    <row r="28" spans="1:66" x14ac:dyDescent="0.25">
      <c r="A28" s="46"/>
      <c r="B28" s="46"/>
      <c r="C28" s="46"/>
      <c r="D28" s="46"/>
      <c r="E28" s="46"/>
      <c r="F28" s="46"/>
      <c r="G28" s="46"/>
      <c r="H28" s="46"/>
      <c r="I28" s="46"/>
      <c r="J28" s="46"/>
      <c r="K28" s="46"/>
      <c r="L28" s="46"/>
      <c r="M28" s="46"/>
      <c r="N28" s="46"/>
      <c r="O28" s="59"/>
      <c r="P28" s="51"/>
      <c r="Q28" s="1571" t="s">
        <v>1542</v>
      </c>
      <c r="R28" s="1558"/>
      <c r="S28" s="80">
        <f>S41*100/(100-S37)</f>
        <v>1.1111111111111112</v>
      </c>
      <c r="T28" s="51" t="s">
        <v>1548</v>
      </c>
      <c r="U28" s="53"/>
      <c r="V28" s="46"/>
      <c r="W28" s="72"/>
      <c r="X28" s="72"/>
      <c r="Y28" s="72"/>
      <c r="Z28" s="72"/>
      <c r="AA28" s="72"/>
      <c r="AB28" s="72"/>
      <c r="AC28" s="72"/>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c r="BD28"/>
      <c r="BE28"/>
      <c r="BF28"/>
      <c r="BG28"/>
      <c r="BH28"/>
      <c r="BI28"/>
      <c r="BJ28"/>
      <c r="BK28"/>
      <c r="BL28"/>
      <c r="BM28"/>
      <c r="BN28"/>
    </row>
    <row r="29" spans="1:66" x14ac:dyDescent="0.25">
      <c r="A29" s="46"/>
      <c r="B29" s="46"/>
      <c r="C29" s="46"/>
      <c r="D29" s="46"/>
      <c r="E29" s="46"/>
      <c r="F29" s="46"/>
      <c r="G29" s="46"/>
      <c r="H29" s="46"/>
      <c r="I29" s="46"/>
      <c r="J29" s="46"/>
      <c r="K29" s="46"/>
      <c r="L29" s="46"/>
      <c r="M29" s="46"/>
      <c r="N29" s="46"/>
      <c r="O29" s="59"/>
      <c r="P29" s="51"/>
      <c r="Q29" s="51"/>
      <c r="R29" s="51"/>
      <c r="S29" s="51"/>
      <c r="T29" s="51"/>
      <c r="U29" s="53"/>
      <c r="V29" s="46"/>
      <c r="W29" s="72"/>
      <c r="X29" s="72"/>
      <c r="Y29" s="72"/>
      <c r="Z29" s="72"/>
      <c r="AA29" s="72"/>
      <c r="AB29" s="72"/>
      <c r="AC29" s="72"/>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c r="BD29"/>
      <c r="BE29"/>
      <c r="BF29"/>
      <c r="BG29"/>
      <c r="BH29"/>
      <c r="BI29"/>
      <c r="BJ29"/>
      <c r="BK29"/>
      <c r="BL29"/>
      <c r="BM29"/>
      <c r="BN29"/>
    </row>
    <row r="30" spans="1:66" x14ac:dyDescent="0.25">
      <c r="A30" s="46"/>
      <c r="B30" s="46"/>
      <c r="C30" s="46"/>
      <c r="D30" s="46"/>
      <c r="E30" s="46"/>
      <c r="F30" s="46"/>
      <c r="G30" s="46"/>
      <c r="H30" s="46"/>
      <c r="I30" s="46"/>
      <c r="J30" s="46"/>
      <c r="K30" s="46"/>
      <c r="L30" s="46"/>
      <c r="M30" s="46"/>
      <c r="N30" s="46"/>
      <c r="O30" s="59"/>
      <c r="P30" s="51"/>
      <c r="Q30" s="1557" t="s">
        <v>1543</v>
      </c>
      <c r="R30" s="1558"/>
      <c r="S30" s="88">
        <f>moist_feedstock</f>
        <v>25</v>
      </c>
      <c r="T30" s="51" t="s">
        <v>283</v>
      </c>
      <c r="U30" s="53"/>
      <c r="V30" s="46"/>
      <c r="W30" s="72"/>
      <c r="X30" s="72"/>
      <c r="Y30" s="72"/>
      <c r="Z30" s="72"/>
      <c r="AA30" s="72"/>
      <c r="AB30" s="72"/>
      <c r="AC30" s="72"/>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6"/>
      <c r="BB30" s="46"/>
      <c r="BC30"/>
      <c r="BD30"/>
      <c r="BE30"/>
      <c r="BF30"/>
      <c r="BG30"/>
      <c r="BH30"/>
      <c r="BI30"/>
      <c r="BJ30"/>
      <c r="BK30"/>
      <c r="BL30"/>
      <c r="BM30"/>
      <c r="BN30"/>
    </row>
    <row r="31" spans="1:66" x14ac:dyDescent="0.25">
      <c r="A31" s="46"/>
      <c r="B31" s="46"/>
      <c r="C31" s="46"/>
      <c r="D31" s="46"/>
      <c r="E31" s="46"/>
      <c r="F31" s="46"/>
      <c r="G31" s="46"/>
      <c r="H31" s="46"/>
      <c r="I31" s="46"/>
      <c r="J31" s="46"/>
      <c r="K31" s="46"/>
      <c r="L31" s="46"/>
      <c r="M31" s="46"/>
      <c r="N31" s="46"/>
      <c r="O31" s="59"/>
      <c r="P31" s="57"/>
      <c r="Q31" s="57"/>
      <c r="R31" s="57"/>
      <c r="S31" s="57"/>
      <c r="T31" s="57"/>
      <c r="U31" s="58"/>
      <c r="V31" s="46"/>
      <c r="W31" s="72"/>
      <c r="X31" s="72"/>
      <c r="Y31" s="72"/>
      <c r="Z31" s="72"/>
      <c r="AA31" s="72"/>
      <c r="AB31" s="72"/>
      <c r="AC31" s="72"/>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c r="BD31"/>
      <c r="BE31"/>
      <c r="BF31"/>
      <c r="BG31"/>
      <c r="BH31"/>
      <c r="BI31"/>
      <c r="BJ31"/>
      <c r="BK31"/>
      <c r="BL31"/>
      <c r="BM31"/>
      <c r="BN31"/>
    </row>
    <row r="32" spans="1:66" x14ac:dyDescent="0.25">
      <c r="A32" s="46"/>
      <c r="B32" s="46"/>
      <c r="C32" s="46"/>
      <c r="D32" s="46"/>
      <c r="E32" s="46"/>
      <c r="F32" s="46"/>
      <c r="G32" s="46"/>
      <c r="H32" s="46"/>
      <c r="I32" s="46"/>
      <c r="J32" s="46"/>
      <c r="K32" s="46"/>
      <c r="L32" s="46"/>
      <c r="M32" s="46"/>
      <c r="N32" s="46"/>
      <c r="O32" s="46"/>
      <c r="P32" s="72"/>
      <c r="Q32" s="72"/>
      <c r="R32" s="77"/>
      <c r="S32" s="72"/>
      <c r="T32" s="72"/>
      <c r="U32" s="72"/>
      <c r="V32" s="46"/>
      <c r="W32" s="46"/>
      <c r="X32" s="72"/>
      <c r="Y32" s="72"/>
      <c r="Z32" s="72"/>
      <c r="AA32" s="72"/>
      <c r="AB32" s="72"/>
      <c r="AC32" s="72"/>
      <c r="AD32" s="72"/>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c r="BD32"/>
      <c r="BE32"/>
      <c r="BF32"/>
      <c r="BG32"/>
      <c r="BH32"/>
      <c r="BI32"/>
      <c r="BJ32"/>
      <c r="BK32"/>
      <c r="BL32"/>
      <c r="BM32"/>
      <c r="BN32"/>
    </row>
    <row r="33" spans="1:66" x14ac:dyDescent="0.25">
      <c r="A33" s="46"/>
      <c r="B33" s="46"/>
      <c r="C33" s="46"/>
      <c r="D33" s="46"/>
      <c r="E33" s="46"/>
      <c r="F33" s="46"/>
      <c r="G33" s="46"/>
      <c r="H33" s="46"/>
      <c r="I33" s="46"/>
      <c r="J33" s="46"/>
      <c r="K33" s="46"/>
      <c r="L33" s="46"/>
      <c r="M33" s="46"/>
      <c r="N33" s="46"/>
      <c r="O33" s="46"/>
      <c r="P33" s="72"/>
      <c r="Q33" s="72"/>
      <c r="R33" s="90"/>
      <c r="S33" s="72"/>
      <c r="T33" s="72"/>
      <c r="U33" s="72"/>
      <c r="V33" s="46"/>
      <c r="W33" s="46"/>
      <c r="X33" s="72"/>
      <c r="Y33" s="72"/>
      <c r="Z33" s="72"/>
      <c r="AA33" s="72"/>
      <c r="AB33" s="72"/>
      <c r="AC33" s="72"/>
      <c r="AD33" s="72"/>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c r="BD33"/>
      <c r="BE33"/>
      <c r="BF33"/>
      <c r="BG33"/>
      <c r="BH33"/>
      <c r="BI33"/>
      <c r="BJ33"/>
      <c r="BK33"/>
      <c r="BL33"/>
      <c r="BM33"/>
      <c r="BN33"/>
    </row>
    <row r="34" spans="1:66" x14ac:dyDescent="0.25">
      <c r="A34" s="46"/>
      <c r="B34" s="46"/>
      <c r="C34" s="46"/>
      <c r="D34" s="46"/>
      <c r="E34" s="46"/>
      <c r="F34" s="46"/>
      <c r="G34" s="46"/>
      <c r="H34" s="46"/>
      <c r="I34" s="46"/>
      <c r="J34" s="46"/>
      <c r="K34" s="46"/>
      <c r="L34" s="46"/>
      <c r="M34" s="46"/>
      <c r="N34" s="46"/>
      <c r="O34" s="46"/>
      <c r="P34" s="861"/>
      <c r="Q34" s="854"/>
      <c r="R34" s="854"/>
      <c r="S34" s="854"/>
      <c r="T34" s="854"/>
      <c r="U34" s="855"/>
      <c r="V34" s="46"/>
      <c r="W34" s="72"/>
      <c r="X34" s="72"/>
      <c r="Y34" s="72"/>
      <c r="Z34" s="72"/>
      <c r="AA34" s="72"/>
      <c r="AB34" s="72"/>
      <c r="AC34" s="72"/>
      <c r="AD34" s="46"/>
      <c r="AE34" s="46"/>
      <c r="AF34" s="46"/>
      <c r="AG34" s="46"/>
      <c r="AH34" s="46"/>
      <c r="AI34" s="46"/>
      <c r="AJ34" s="46"/>
      <c r="AK34" s="46"/>
      <c r="AL34" s="46"/>
      <c r="AM34" s="46"/>
      <c r="AN34" s="46"/>
      <c r="AO34" s="46"/>
      <c r="AP34" s="46"/>
      <c r="AQ34" s="46"/>
      <c r="AR34" s="46"/>
      <c r="AS34" s="46"/>
      <c r="AT34" s="46"/>
      <c r="AU34" s="46"/>
      <c r="AV34" s="46"/>
      <c r="AW34" s="46"/>
      <c r="AX34" s="46"/>
      <c r="AY34" s="46"/>
      <c r="AZ34" s="46"/>
      <c r="BA34" s="46"/>
      <c r="BB34" s="46"/>
      <c r="BC34"/>
      <c r="BD34"/>
      <c r="BE34"/>
      <c r="BF34"/>
      <c r="BG34"/>
      <c r="BH34"/>
      <c r="BI34"/>
      <c r="BJ34"/>
      <c r="BK34"/>
      <c r="BL34"/>
      <c r="BM34"/>
      <c r="BN34"/>
    </row>
    <row r="35" spans="1:66" x14ac:dyDescent="0.25">
      <c r="A35" s="46"/>
      <c r="B35" s="46"/>
      <c r="C35" s="46"/>
      <c r="D35" s="46"/>
      <c r="E35" s="46"/>
      <c r="F35" s="46"/>
      <c r="G35" s="46"/>
      <c r="H35" s="46"/>
      <c r="I35" s="46"/>
      <c r="J35" s="46"/>
      <c r="K35" s="46"/>
      <c r="L35" s="46"/>
      <c r="M35" s="46"/>
      <c r="N35" s="46"/>
      <c r="O35" s="46"/>
      <c r="P35" s="862"/>
      <c r="Q35" s="1570" t="s">
        <v>1145</v>
      </c>
      <c r="R35" s="1570"/>
      <c r="S35" s="1570"/>
      <c r="T35" s="1570"/>
      <c r="U35" s="370"/>
      <c r="V35" s="867"/>
      <c r="W35" s="72"/>
      <c r="X35" s="72"/>
      <c r="Y35" s="72"/>
      <c r="Z35" s="72"/>
      <c r="AA35" s="72"/>
      <c r="AB35" s="72"/>
      <c r="AC35" s="72"/>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c r="BD35"/>
      <c r="BE35"/>
      <c r="BF35"/>
      <c r="BG35"/>
      <c r="BH35"/>
      <c r="BI35"/>
      <c r="BJ35"/>
      <c r="BK35"/>
      <c r="BL35"/>
      <c r="BM35"/>
      <c r="BN35"/>
    </row>
    <row r="36" spans="1:66" x14ac:dyDescent="0.25">
      <c r="A36" s="46"/>
      <c r="B36" s="46"/>
      <c r="C36" s="46"/>
      <c r="D36" s="46"/>
      <c r="E36" s="46"/>
      <c r="F36" s="46"/>
      <c r="G36" s="46"/>
      <c r="H36" s="46"/>
      <c r="I36" s="46"/>
      <c r="J36" s="46"/>
      <c r="K36" s="46"/>
      <c r="L36" s="46"/>
      <c r="M36" s="46"/>
      <c r="N36" s="46"/>
      <c r="O36" s="46"/>
      <c r="P36" s="862"/>
      <c r="Q36" s="856"/>
      <c r="R36" s="857"/>
      <c r="S36" s="857"/>
      <c r="T36" s="857"/>
      <c r="U36" s="370"/>
      <c r="V36" s="46"/>
      <c r="W36" s="72"/>
      <c r="X36" s="72"/>
      <c r="Y36" s="72"/>
      <c r="Z36" s="72"/>
      <c r="AA36" s="72"/>
      <c r="AB36" s="72"/>
      <c r="AC36" s="72"/>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c r="BD36"/>
      <c r="BE36"/>
      <c r="BF36"/>
      <c r="BG36"/>
      <c r="BH36"/>
      <c r="BI36"/>
      <c r="BJ36"/>
      <c r="BK36"/>
      <c r="BL36"/>
      <c r="BM36"/>
      <c r="BN36"/>
    </row>
    <row r="37" spans="1:66" x14ac:dyDescent="0.25">
      <c r="A37" s="46"/>
      <c r="B37" s="46"/>
      <c r="C37" s="46"/>
      <c r="D37" s="46"/>
      <c r="E37" s="46"/>
      <c r="F37" s="46"/>
      <c r="G37" s="46"/>
      <c r="H37" s="46"/>
      <c r="I37" s="46"/>
      <c r="J37" s="46"/>
      <c r="K37" s="46"/>
      <c r="L37" s="46"/>
      <c r="M37" s="46"/>
      <c r="N37" s="46"/>
      <c r="O37" s="46"/>
      <c r="P37" s="862"/>
      <c r="Q37" s="856"/>
      <c r="R37" s="1073" t="s">
        <v>364</v>
      </c>
      <c r="S37" s="858">
        <f>harvest_chip_loss</f>
        <v>10</v>
      </c>
      <c r="T37" s="859" t="s">
        <v>38</v>
      </c>
      <c r="U37" s="370"/>
      <c r="V37" s="867"/>
      <c r="W37" s="72"/>
      <c r="X37" s="72"/>
      <c r="Y37" s="72"/>
      <c r="Z37" s="72"/>
      <c r="AA37" s="72"/>
      <c r="AB37" s="72"/>
      <c r="AC37" s="72"/>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c r="BD37"/>
      <c r="BE37"/>
      <c r="BF37"/>
      <c r="BG37"/>
      <c r="BH37"/>
      <c r="BI37"/>
      <c r="BJ37"/>
      <c r="BK37"/>
      <c r="BL37"/>
      <c r="BM37"/>
      <c r="BN37"/>
    </row>
    <row r="38" spans="1:66" x14ac:dyDescent="0.25">
      <c r="A38" s="46"/>
      <c r="B38" s="46"/>
      <c r="C38" s="46"/>
      <c r="D38" s="46"/>
      <c r="E38" s="46"/>
      <c r="F38" s="46"/>
      <c r="G38" s="46"/>
      <c r="H38" s="46"/>
      <c r="I38" s="46"/>
      <c r="J38" s="46"/>
      <c r="K38" s="46"/>
      <c r="L38" s="46"/>
      <c r="M38" s="46"/>
      <c r="N38" s="46"/>
      <c r="O38" s="46"/>
      <c r="P38" s="863"/>
      <c r="Q38" s="145"/>
      <c r="R38" s="145"/>
      <c r="S38" s="145"/>
      <c r="T38" s="145"/>
      <c r="U38" s="860"/>
      <c r="V38" s="46"/>
      <c r="W38" s="72"/>
      <c r="X38" s="72"/>
      <c r="Y38" s="72"/>
      <c r="Z38" s="72"/>
      <c r="AA38" s="72"/>
      <c r="AB38" s="72"/>
      <c r="AC38" s="72"/>
      <c r="AD38" s="72"/>
      <c r="AE38" s="72"/>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c r="BD38"/>
      <c r="BE38"/>
      <c r="BF38"/>
      <c r="BG38"/>
      <c r="BH38"/>
      <c r="BI38"/>
      <c r="BJ38"/>
      <c r="BK38"/>
      <c r="BL38"/>
      <c r="BM38"/>
      <c r="BN38"/>
    </row>
    <row r="39" spans="1:66" x14ac:dyDescent="0.25">
      <c r="A39" s="46"/>
      <c r="B39" s="46"/>
      <c r="C39" s="46"/>
      <c r="D39" s="46"/>
      <c r="E39" s="46"/>
      <c r="F39" s="46"/>
      <c r="G39" s="46"/>
      <c r="H39" s="46"/>
      <c r="I39" s="46"/>
      <c r="J39" s="46"/>
      <c r="K39" s="46"/>
      <c r="L39" s="46"/>
      <c r="M39" s="46"/>
      <c r="N39" s="46"/>
      <c r="O39" s="46"/>
      <c r="P39" s="46"/>
      <c r="Q39" s="46"/>
      <c r="R39" s="59"/>
      <c r="S39" s="75"/>
      <c r="T39" s="76"/>
      <c r="U39" s="76"/>
      <c r="V39" s="72"/>
      <c r="W39" s="72"/>
      <c r="X39" s="72"/>
      <c r="Y39" s="72"/>
      <c r="Z39" s="72"/>
      <c r="AA39" s="72"/>
      <c r="AB39" s="72"/>
      <c r="AC39" s="72"/>
      <c r="AD39" s="72"/>
      <c r="AE39" s="72"/>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c r="BD39"/>
      <c r="BE39"/>
      <c r="BF39"/>
      <c r="BG39"/>
      <c r="BH39"/>
      <c r="BI39"/>
      <c r="BJ39"/>
      <c r="BK39"/>
      <c r="BL39"/>
      <c r="BM39"/>
      <c r="BN39"/>
    </row>
    <row r="40" spans="1:66" x14ac:dyDescent="0.25">
      <c r="A40" s="46"/>
      <c r="B40" s="46"/>
      <c r="C40" s="46"/>
      <c r="D40" s="46"/>
      <c r="E40" s="46"/>
      <c r="F40" s="46"/>
      <c r="G40" s="46"/>
      <c r="H40" s="46"/>
      <c r="I40" s="46"/>
      <c r="J40" s="46"/>
      <c r="K40" s="46"/>
      <c r="L40" s="46"/>
      <c r="M40" s="46"/>
      <c r="N40" s="46"/>
      <c r="O40" s="46"/>
      <c r="P40" s="289"/>
      <c r="Q40" s="48"/>
      <c r="R40" s="48"/>
      <c r="S40" s="48"/>
      <c r="T40" s="48"/>
      <c r="U40" s="49"/>
      <c r="V40" s="46"/>
      <c r="W40" s="72"/>
      <c r="X40" s="72"/>
      <c r="Y40" s="72"/>
      <c r="Z40" s="72"/>
      <c r="AA40" s="72"/>
      <c r="AB40" s="72"/>
      <c r="AC40" s="72"/>
      <c r="AD40" s="72"/>
      <c r="AE40" s="72"/>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c r="BD40"/>
      <c r="BE40"/>
      <c r="BF40"/>
      <c r="BG40"/>
      <c r="BH40"/>
      <c r="BI40"/>
      <c r="BJ40"/>
      <c r="BK40"/>
      <c r="BL40"/>
      <c r="BM40"/>
      <c r="BN40"/>
    </row>
    <row r="41" spans="1:66" x14ac:dyDescent="0.25">
      <c r="A41" s="46"/>
      <c r="B41" s="46"/>
      <c r="C41" s="46"/>
      <c r="D41" s="46"/>
      <c r="E41" s="46"/>
      <c r="F41" s="46"/>
      <c r="G41" s="46"/>
      <c r="H41" s="46"/>
      <c r="I41" s="46"/>
      <c r="J41" s="46"/>
      <c r="K41" s="46"/>
      <c r="L41" s="46"/>
      <c r="M41" s="46"/>
      <c r="N41" s="46"/>
      <c r="O41" s="46"/>
      <c r="P41" s="1566" t="s">
        <v>1142</v>
      </c>
      <c r="Q41" s="1557"/>
      <c r="R41" s="1557"/>
      <c r="S41" s="80">
        <f>IF((S52+S54+S56+S58)&gt;0,S64*(100/(100-S60)),S64)</f>
        <v>1</v>
      </c>
      <c r="T41" s="1100" t="s">
        <v>1548</v>
      </c>
      <c r="U41" s="53" t="s">
        <v>161</v>
      </c>
      <c r="V41" s="46"/>
      <c r="W41" s="72"/>
      <c r="X41" s="72"/>
      <c r="Y41" s="72"/>
      <c r="Z41" s="72"/>
      <c r="AA41" s="72"/>
      <c r="AB41" s="72"/>
      <c r="AC41" s="72"/>
      <c r="AD41" s="72"/>
      <c r="AE41" s="72"/>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c r="BD41"/>
      <c r="BE41"/>
      <c r="BF41"/>
      <c r="BG41"/>
      <c r="BH41"/>
      <c r="BI41"/>
      <c r="BJ41"/>
      <c r="BK41"/>
      <c r="BL41"/>
      <c r="BM41"/>
      <c r="BN41"/>
    </row>
    <row r="42" spans="1:66" x14ac:dyDescent="0.25">
      <c r="A42" s="46"/>
      <c r="B42" s="46"/>
      <c r="C42" s="46"/>
      <c r="D42" s="46"/>
      <c r="E42" s="46"/>
      <c r="F42" s="46"/>
      <c r="G42" s="46"/>
      <c r="H42" s="46"/>
      <c r="I42" s="46"/>
      <c r="J42" s="46"/>
      <c r="K42" s="46"/>
      <c r="L42" s="46"/>
      <c r="M42" s="46"/>
      <c r="N42" s="46"/>
      <c r="O42" s="46"/>
      <c r="P42" s="78"/>
      <c r="Q42" s="79"/>
      <c r="R42" s="79"/>
      <c r="S42" s="54"/>
      <c r="T42" s="51"/>
      <c r="U42" s="53"/>
      <c r="V42" s="46"/>
      <c r="W42" s="72"/>
      <c r="X42" s="72"/>
      <c r="Y42" s="72"/>
      <c r="Z42" s="72"/>
      <c r="AA42" s="72"/>
      <c r="AB42" s="72"/>
      <c r="AC42" s="72"/>
      <c r="AD42" s="72"/>
      <c r="AE42" s="72"/>
      <c r="AF42" s="46"/>
      <c r="AG42" s="46"/>
      <c r="AH42" s="46"/>
      <c r="AI42" s="46"/>
      <c r="AJ42" s="46"/>
      <c r="AK42" s="46"/>
      <c r="AL42" s="46"/>
      <c r="AM42" s="46"/>
      <c r="AN42" s="46"/>
      <c r="AO42" s="46"/>
      <c r="AP42" s="46"/>
      <c r="AQ42" s="46"/>
      <c r="AR42" s="46"/>
      <c r="AS42" s="46"/>
      <c r="AT42" s="46"/>
      <c r="AU42" s="46"/>
      <c r="AV42" s="46"/>
      <c r="AW42" s="46"/>
      <c r="AX42" s="46"/>
      <c r="AY42" s="46"/>
      <c r="AZ42" s="46"/>
      <c r="BA42" s="46"/>
      <c r="BB42" s="46"/>
      <c r="BC42"/>
      <c r="BD42"/>
      <c r="BE42"/>
      <c r="BF42"/>
      <c r="BG42"/>
      <c r="BH42"/>
      <c r="BI42"/>
      <c r="BJ42"/>
      <c r="BK42"/>
      <c r="BL42"/>
      <c r="BM42"/>
      <c r="BN42"/>
    </row>
    <row r="43" spans="1:66" x14ac:dyDescent="0.25">
      <c r="A43" s="46"/>
      <c r="B43" s="46"/>
      <c r="C43" s="46"/>
      <c r="D43" s="46"/>
      <c r="E43" s="46"/>
      <c r="F43" s="46"/>
      <c r="G43" s="46"/>
      <c r="H43" s="46"/>
      <c r="I43" s="46"/>
      <c r="J43" s="46"/>
      <c r="K43" s="46"/>
      <c r="L43" s="46"/>
      <c r="M43" s="46"/>
      <c r="N43" s="46"/>
      <c r="O43" s="46"/>
      <c r="P43" s="78"/>
      <c r="Q43" s="79"/>
      <c r="R43" s="1074" t="s">
        <v>1427</v>
      </c>
      <c r="S43" s="420">
        <f>CV_misc</f>
        <v>17000</v>
      </c>
      <c r="T43" s="227" t="s">
        <v>431</v>
      </c>
      <c r="U43" s="53"/>
      <c r="V43" s="46"/>
      <c r="W43" s="72"/>
      <c r="X43" s="72"/>
      <c r="Y43" s="72"/>
      <c r="Z43" s="72"/>
      <c r="AA43" s="72"/>
      <c r="AB43" s="72"/>
      <c r="AC43" s="72"/>
      <c r="AD43" s="72"/>
      <c r="AE43" s="72"/>
      <c r="AF43" s="46"/>
      <c r="AG43" s="46"/>
      <c r="AH43" s="46"/>
      <c r="AI43" s="46"/>
      <c r="AJ43" s="46"/>
      <c r="AK43" s="46"/>
      <c r="AL43" s="46"/>
      <c r="AM43" s="46"/>
      <c r="AN43" s="46"/>
      <c r="AO43" s="46"/>
      <c r="AP43" s="46"/>
      <c r="AQ43" s="46"/>
      <c r="AR43" s="46"/>
      <c r="AS43" s="46"/>
      <c r="AT43" s="46"/>
      <c r="AU43" s="46"/>
      <c r="AV43" s="46"/>
      <c r="AW43" s="46"/>
      <c r="AX43" s="46"/>
      <c r="AY43" s="46"/>
      <c r="AZ43" s="46"/>
      <c r="BA43" s="46"/>
      <c r="BB43" s="46"/>
      <c r="BC43"/>
      <c r="BD43"/>
      <c r="BE43"/>
      <c r="BF43"/>
      <c r="BG43"/>
      <c r="BH43"/>
      <c r="BI43"/>
      <c r="BJ43"/>
      <c r="BK43"/>
      <c r="BL43"/>
      <c r="BM43"/>
      <c r="BN43"/>
    </row>
    <row r="44" spans="1:66" x14ac:dyDescent="0.25">
      <c r="A44" s="46"/>
      <c r="B44" s="46"/>
      <c r="C44" s="46"/>
      <c r="D44" s="46"/>
      <c r="E44" s="46"/>
      <c r="F44" s="46"/>
      <c r="G44" s="46"/>
      <c r="H44" s="46"/>
      <c r="I44" s="46"/>
      <c r="J44" s="46"/>
      <c r="K44" s="46"/>
      <c r="L44" s="46"/>
      <c r="M44" s="46"/>
      <c r="N44" s="46"/>
      <c r="O44" s="46"/>
      <c r="P44" s="56"/>
      <c r="Q44" s="57"/>
      <c r="R44" s="57"/>
      <c r="S44" s="57"/>
      <c r="T44" s="57"/>
      <c r="U44" s="58"/>
      <c r="V44" s="46"/>
      <c r="W44" s="72"/>
      <c r="X44" s="72"/>
      <c r="Y44" s="72"/>
      <c r="Z44" s="72"/>
      <c r="AA44" s="72"/>
      <c r="AB44" s="72"/>
      <c r="AC44" s="72"/>
      <c r="AD44" s="72"/>
      <c r="AE44" s="72"/>
      <c r="AF44" s="46"/>
      <c r="AG44" s="46"/>
      <c r="AH44" s="46"/>
      <c r="AI44" s="46"/>
      <c r="AJ44" s="46"/>
      <c r="AK44" s="46"/>
      <c r="AL44" s="46"/>
      <c r="AM44" s="46"/>
      <c r="AN44" s="46"/>
      <c r="AO44" s="46"/>
      <c r="AP44" s="46"/>
      <c r="AQ44" s="46"/>
      <c r="AR44" s="46"/>
      <c r="AS44" s="46"/>
      <c r="AT44" s="46"/>
      <c r="AU44" s="46"/>
      <c r="AV44" s="46"/>
      <c r="AW44" s="46"/>
      <c r="AX44" s="46"/>
      <c r="AY44" s="46"/>
      <c r="AZ44" s="46"/>
      <c r="BA44" s="46"/>
      <c r="BB44" s="46"/>
      <c r="BC44"/>
      <c r="BD44"/>
      <c r="BE44"/>
      <c r="BF44"/>
      <c r="BG44"/>
      <c r="BH44"/>
      <c r="BI44"/>
      <c r="BJ44"/>
      <c r="BK44"/>
      <c r="BL44"/>
      <c r="BM44"/>
      <c r="BN44"/>
    </row>
    <row r="45" spans="1:66" ht="13.8" thickBot="1" x14ac:dyDescent="0.3">
      <c r="A45" s="46"/>
      <c r="B45" s="46"/>
      <c r="C45" s="46"/>
      <c r="D45" s="46"/>
      <c r="E45" s="46"/>
      <c r="F45" s="46"/>
      <c r="G45" s="46"/>
      <c r="H45" s="46"/>
      <c r="I45" s="46"/>
      <c r="J45" s="46"/>
      <c r="K45" s="46"/>
      <c r="L45" s="46"/>
      <c r="M45" s="46"/>
      <c r="N45" s="46"/>
      <c r="O45" s="46"/>
      <c r="P45" s="46"/>
      <c r="Q45" s="46"/>
      <c r="R45" s="59"/>
      <c r="S45" s="46"/>
      <c r="T45" s="46"/>
      <c r="U45" s="46"/>
      <c r="V45" s="46"/>
      <c r="W45" s="72"/>
      <c r="X45" s="72"/>
      <c r="Y45" s="72"/>
      <c r="Z45" s="72"/>
      <c r="AA45" s="72"/>
      <c r="AB45" s="72"/>
      <c r="AC45" s="72"/>
      <c r="AD45" s="72"/>
      <c r="AE45" s="72"/>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c r="BD45"/>
      <c r="BE45"/>
      <c r="BF45"/>
      <c r="BG45"/>
      <c r="BH45"/>
      <c r="BI45"/>
      <c r="BJ45"/>
      <c r="BK45"/>
      <c r="BL45"/>
      <c r="BM45"/>
      <c r="BN45"/>
    </row>
    <row r="46" spans="1:66" x14ac:dyDescent="0.25">
      <c r="A46" s="46"/>
      <c r="B46" s="46"/>
      <c r="C46" s="46"/>
      <c r="D46" s="46"/>
      <c r="E46" s="46"/>
      <c r="F46" s="46"/>
      <c r="G46" s="46"/>
      <c r="H46" s="46"/>
      <c r="I46" s="46"/>
      <c r="J46" s="46"/>
      <c r="K46" s="46"/>
      <c r="L46" s="46"/>
      <c r="M46" s="46"/>
      <c r="N46" s="46"/>
      <c r="O46" s="46"/>
      <c r="P46" s="281"/>
      <c r="Q46" s="60"/>
      <c r="R46" s="60"/>
      <c r="S46" s="60"/>
      <c r="T46" s="60"/>
      <c r="U46" s="61"/>
      <c r="V46" s="46"/>
      <c r="W46" s="72"/>
      <c r="X46" s="72"/>
      <c r="Y46" s="72"/>
      <c r="Z46" s="72"/>
      <c r="AA46" s="72"/>
      <c r="AB46" s="72"/>
      <c r="AC46" s="72"/>
      <c r="AD46" s="72"/>
      <c r="AE46" s="72"/>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c r="BD46"/>
      <c r="BE46"/>
      <c r="BF46"/>
      <c r="BG46"/>
      <c r="BH46"/>
      <c r="BI46"/>
      <c r="BJ46"/>
      <c r="BK46"/>
      <c r="BL46"/>
      <c r="BM46"/>
      <c r="BN46"/>
    </row>
    <row r="47" spans="1:66" x14ac:dyDescent="0.25">
      <c r="A47" s="46"/>
      <c r="B47" s="46"/>
      <c r="C47" s="46"/>
      <c r="D47" s="46"/>
      <c r="E47" s="46"/>
      <c r="F47" s="46"/>
      <c r="G47" s="46"/>
      <c r="H47" s="46"/>
      <c r="I47" s="46"/>
      <c r="J47" s="46"/>
      <c r="K47" s="46"/>
      <c r="L47" s="46"/>
      <c r="M47" s="46"/>
      <c r="N47" s="46"/>
      <c r="O47" s="46"/>
      <c r="P47" s="1551" t="s">
        <v>163</v>
      </c>
      <c r="Q47" s="1552"/>
      <c r="R47" s="1552"/>
      <c r="S47" s="1552"/>
      <c r="T47" s="1552"/>
      <c r="U47" s="1553"/>
      <c r="V47" s="46"/>
      <c r="W47" s="72"/>
      <c r="X47" s="72"/>
      <c r="Y47" s="72"/>
      <c r="Z47" s="72"/>
      <c r="AA47" s="72"/>
      <c r="AB47" s="72"/>
      <c r="AC47" s="72"/>
      <c r="AD47" s="72"/>
      <c r="AE47" s="72"/>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c r="BD47"/>
      <c r="BE47"/>
      <c r="BF47"/>
      <c r="BG47"/>
      <c r="BH47"/>
      <c r="BI47"/>
      <c r="BJ47"/>
      <c r="BK47"/>
      <c r="BL47"/>
      <c r="BM47"/>
      <c r="BN47"/>
    </row>
    <row r="48" spans="1:66" x14ac:dyDescent="0.25">
      <c r="A48" s="46"/>
      <c r="B48" s="46"/>
      <c r="C48" s="46"/>
      <c r="D48" s="46"/>
      <c r="E48" s="46"/>
      <c r="F48" s="46"/>
      <c r="G48" s="46"/>
      <c r="H48" s="46"/>
      <c r="I48" s="46"/>
      <c r="J48" s="46"/>
      <c r="K48" s="46"/>
      <c r="L48" s="46"/>
      <c r="M48" s="46"/>
      <c r="N48" s="46"/>
      <c r="O48" s="46"/>
      <c r="P48" s="1548" t="s">
        <v>164</v>
      </c>
      <c r="Q48" s="1549"/>
      <c r="R48" s="1549"/>
      <c r="S48" s="1549"/>
      <c r="T48" s="1549"/>
      <c r="U48" s="1550"/>
      <c r="V48" s="46"/>
      <c r="W48" s="72"/>
      <c r="X48" s="72"/>
      <c r="Y48" s="72"/>
      <c r="Z48" s="72"/>
      <c r="AA48" s="72"/>
      <c r="AB48" s="72"/>
      <c r="AC48" s="72"/>
      <c r="AD48" s="72"/>
      <c r="AE48" s="72"/>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c r="BD48"/>
      <c r="BE48"/>
      <c r="BF48"/>
      <c r="BG48"/>
      <c r="BH48"/>
      <c r="BI48"/>
      <c r="BJ48"/>
      <c r="BK48"/>
      <c r="BL48"/>
      <c r="BM48"/>
      <c r="BN48"/>
    </row>
    <row r="49" spans="1:66" x14ac:dyDescent="0.25">
      <c r="A49" s="46"/>
      <c r="B49" s="46"/>
      <c r="C49" s="46"/>
      <c r="D49" s="46"/>
      <c r="E49" s="46"/>
      <c r="F49" s="46"/>
      <c r="G49" s="46"/>
      <c r="H49" s="46"/>
      <c r="I49" s="46"/>
      <c r="J49" s="46"/>
      <c r="K49" s="46"/>
      <c r="L49" s="46"/>
      <c r="M49" s="46"/>
      <c r="N49" s="46"/>
      <c r="O49" s="46"/>
      <c r="P49" s="62"/>
      <c r="Q49" s="63"/>
      <c r="R49" s="65"/>
      <c r="S49" s="65"/>
      <c r="T49" s="65"/>
      <c r="U49" s="64"/>
      <c r="V49" s="46"/>
      <c r="W49" s="72"/>
      <c r="X49" s="72"/>
      <c r="Y49" s="72"/>
      <c r="Z49" s="72"/>
      <c r="AA49" s="72"/>
      <c r="AB49" s="72"/>
      <c r="AC49" s="72"/>
      <c r="AD49" s="72"/>
      <c r="AE49" s="72"/>
      <c r="AF49" s="46"/>
      <c r="AG49" s="46"/>
      <c r="AH49" s="46"/>
      <c r="AI49" s="46"/>
      <c r="AJ49" s="46"/>
      <c r="AK49" s="46"/>
      <c r="AL49" s="46"/>
      <c r="AM49" s="46"/>
      <c r="AN49" s="46"/>
      <c r="AO49" s="46"/>
      <c r="AP49" s="46"/>
      <c r="AQ49" s="46"/>
      <c r="AR49" s="46"/>
      <c r="AS49" s="46"/>
      <c r="AT49" s="46"/>
      <c r="AU49" s="46"/>
      <c r="AV49" s="46"/>
      <c r="AW49" s="46"/>
      <c r="AX49" s="46"/>
      <c r="AY49" s="46"/>
      <c r="AZ49" s="46"/>
      <c r="BA49" s="46"/>
      <c r="BB49" s="46"/>
      <c r="BC49"/>
      <c r="BD49"/>
      <c r="BE49"/>
      <c r="BF49"/>
      <c r="BG49"/>
      <c r="BH49"/>
      <c r="BI49"/>
      <c r="BJ49"/>
      <c r="BK49"/>
      <c r="BL49"/>
      <c r="BM49"/>
      <c r="BN49"/>
    </row>
    <row r="50" spans="1:66" x14ac:dyDescent="0.25">
      <c r="A50" s="46"/>
      <c r="B50" s="46"/>
      <c r="C50" s="46"/>
      <c r="D50" s="46"/>
      <c r="E50" s="46"/>
      <c r="F50" s="46"/>
      <c r="G50" s="46"/>
      <c r="H50" s="46"/>
      <c r="I50" s="46"/>
      <c r="J50" s="46"/>
      <c r="K50" s="46"/>
      <c r="L50" s="46"/>
      <c r="M50" s="46"/>
      <c r="N50" s="46"/>
      <c r="O50" s="46"/>
      <c r="P50" s="62"/>
      <c r="Q50" s="1567" t="s">
        <v>677</v>
      </c>
      <c r="R50" s="1568"/>
      <c r="S50" s="67">
        <f>tr_f_pl_1_truck</f>
        <v>44</v>
      </c>
      <c r="T50" s="232" t="s">
        <v>586</v>
      </c>
      <c r="U50" s="64"/>
      <c r="V50" s="46"/>
      <c r="W50" s="72"/>
      <c r="X50" s="72"/>
      <c r="Y50" s="72"/>
      <c r="Z50" s="72"/>
      <c r="AA50" s="72"/>
      <c r="AB50" s="72"/>
      <c r="AC50" s="72"/>
      <c r="AD50" s="72"/>
      <c r="AE50" s="72"/>
      <c r="AF50" s="46"/>
      <c r="AG50" s="46"/>
      <c r="AH50" s="46"/>
      <c r="AI50" s="46"/>
      <c r="AJ50" s="46"/>
      <c r="AK50" s="46"/>
      <c r="AL50" s="46"/>
      <c r="AM50" s="46"/>
      <c r="AN50" s="46"/>
      <c r="AO50" s="46"/>
      <c r="AP50" s="46"/>
      <c r="AQ50" s="46"/>
      <c r="AR50" s="46"/>
      <c r="AS50" s="46"/>
      <c r="AT50" s="46"/>
      <c r="AU50" s="46"/>
      <c r="AV50" s="46"/>
      <c r="AW50" s="46"/>
      <c r="AX50" s="46"/>
      <c r="AY50" s="46"/>
      <c r="AZ50" s="46"/>
      <c r="BA50" s="46"/>
      <c r="BB50" s="46"/>
      <c r="BC50"/>
      <c r="BD50"/>
      <c r="BE50"/>
      <c r="BF50"/>
      <c r="BG50"/>
      <c r="BH50"/>
      <c r="BI50"/>
      <c r="BJ50"/>
      <c r="BK50"/>
      <c r="BL50"/>
      <c r="BM50"/>
      <c r="BN50"/>
    </row>
    <row r="51" spans="1:66" x14ac:dyDescent="0.25">
      <c r="A51" s="46"/>
      <c r="B51" s="46"/>
      <c r="C51" s="46"/>
      <c r="D51" s="46"/>
      <c r="E51" s="46"/>
      <c r="F51" s="46"/>
      <c r="G51" s="46"/>
      <c r="H51" s="46"/>
      <c r="I51" s="46"/>
      <c r="J51" s="46"/>
      <c r="K51" s="46"/>
      <c r="L51" s="46"/>
      <c r="M51" s="46"/>
      <c r="N51" s="46"/>
      <c r="O51" s="46"/>
      <c r="P51" s="62"/>
      <c r="Q51" s="66"/>
      <c r="R51" s="66"/>
      <c r="S51" s="84"/>
      <c r="T51" s="82"/>
      <c r="U51" s="64"/>
      <c r="V51" s="46"/>
      <c r="W51" s="72"/>
      <c r="X51" s="72"/>
      <c r="Y51" s="72"/>
      <c r="Z51" s="72"/>
      <c r="AA51" s="72"/>
      <c r="AB51" s="72"/>
      <c r="AC51" s="72"/>
      <c r="AD51" s="72"/>
      <c r="AE51" s="72"/>
      <c r="AF51" s="46"/>
      <c r="AG51" s="46"/>
      <c r="AH51" s="46"/>
      <c r="AI51" s="46"/>
      <c r="AJ51" s="46"/>
      <c r="AK51" s="46"/>
      <c r="AL51" s="46"/>
      <c r="AM51" s="46"/>
      <c r="AN51" s="46"/>
      <c r="AO51" s="46"/>
      <c r="AP51" s="46"/>
      <c r="AQ51" s="46"/>
      <c r="AR51" s="46"/>
      <c r="AS51" s="46"/>
      <c r="AT51" s="46"/>
      <c r="AU51" s="46"/>
      <c r="AV51" s="46"/>
      <c r="AW51" s="46"/>
      <c r="AX51" s="46"/>
      <c r="AY51" s="46"/>
      <c r="AZ51" s="46"/>
      <c r="BA51" s="46"/>
      <c r="BB51" s="46"/>
      <c r="BC51"/>
      <c r="BD51"/>
      <c r="BE51"/>
      <c r="BF51"/>
      <c r="BG51"/>
      <c r="BH51"/>
      <c r="BI51"/>
      <c r="BJ51"/>
      <c r="BK51"/>
      <c r="BL51"/>
      <c r="BM51"/>
      <c r="BN51"/>
    </row>
    <row r="52" spans="1:66" x14ac:dyDescent="0.25">
      <c r="A52" s="46"/>
      <c r="B52" s="46"/>
      <c r="C52" s="46"/>
      <c r="D52" s="46"/>
      <c r="E52" s="46"/>
      <c r="F52" s="46"/>
      <c r="G52" s="46"/>
      <c r="H52" s="46"/>
      <c r="I52" s="46"/>
      <c r="J52" s="46"/>
      <c r="K52" s="46"/>
      <c r="L52" s="46"/>
      <c r="M52" s="46"/>
      <c r="N52" s="46"/>
      <c r="O52" s="46"/>
      <c r="P52" s="1569" t="s">
        <v>733</v>
      </c>
      <c r="Q52" s="1555"/>
      <c r="R52" s="1556"/>
      <c r="S52" s="67">
        <f>IF(tr_f_pl_1_mode="road",tr_f_pl_1_km,0)</f>
        <v>40</v>
      </c>
      <c r="T52" s="232" t="s">
        <v>436</v>
      </c>
      <c r="U52" s="85"/>
      <c r="V52" s="46"/>
      <c r="W52" s="72"/>
      <c r="X52" s="72"/>
      <c r="Y52" s="72"/>
      <c r="Z52" s="72"/>
      <c r="AA52" s="72"/>
      <c r="AB52" s="72"/>
      <c r="AC52" s="72"/>
      <c r="AD52" s="72"/>
      <c r="AE52" s="72"/>
      <c r="AF52" s="46"/>
      <c r="AG52" s="46"/>
      <c r="AH52" s="46"/>
      <c r="AI52" s="46"/>
      <c r="AJ52" s="46"/>
      <c r="AK52" s="46"/>
      <c r="AL52" s="46"/>
      <c r="AM52" s="46"/>
      <c r="AN52" s="46"/>
      <c r="AO52" s="46"/>
      <c r="AP52" s="46"/>
      <c r="AQ52" s="46"/>
      <c r="AR52" s="46"/>
      <c r="AS52" s="46"/>
      <c r="AT52" s="46"/>
      <c r="AU52" s="46"/>
      <c r="AV52" s="46"/>
      <c r="AW52" s="46"/>
      <c r="AX52" s="46"/>
      <c r="AY52" s="46"/>
      <c r="AZ52" s="46"/>
      <c r="BA52" s="46"/>
      <c r="BB52" s="46"/>
      <c r="BC52"/>
      <c r="BD52"/>
      <c r="BE52"/>
      <c r="BF52"/>
      <c r="BG52"/>
      <c r="BH52"/>
      <c r="BI52"/>
      <c r="BJ52"/>
      <c r="BK52"/>
      <c r="BL52"/>
      <c r="BM52"/>
      <c r="BN52"/>
    </row>
    <row r="53" spans="1:66" x14ac:dyDescent="0.25">
      <c r="A53" s="46"/>
      <c r="B53" s="46"/>
      <c r="C53" s="46"/>
      <c r="D53" s="46"/>
      <c r="E53" s="46"/>
      <c r="F53" s="46"/>
      <c r="G53" s="46"/>
      <c r="H53" s="46"/>
      <c r="I53" s="46"/>
      <c r="J53" s="46"/>
      <c r="K53" s="46"/>
      <c r="L53" s="46"/>
      <c r="M53" s="46"/>
      <c r="N53" s="46"/>
      <c r="O53" s="46"/>
      <c r="P53" s="62"/>
      <c r="Q53" s="66"/>
      <c r="R53" s="66"/>
      <c r="S53" s="84"/>
      <c r="T53" s="82"/>
      <c r="U53" s="64"/>
      <c r="V53" s="46"/>
      <c r="W53" s="72"/>
      <c r="X53" s="72"/>
      <c r="Y53" s="72"/>
      <c r="Z53" s="72"/>
      <c r="AA53" s="72"/>
      <c r="AB53" s="72"/>
      <c r="AC53" s="72"/>
      <c r="AD53" s="72"/>
      <c r="AE53" s="72"/>
      <c r="AF53" s="46"/>
      <c r="AG53" s="46"/>
      <c r="AH53" s="46"/>
      <c r="AI53" s="46"/>
      <c r="AJ53" s="46"/>
      <c r="AK53" s="46"/>
      <c r="AL53" s="46"/>
      <c r="AM53" s="46"/>
      <c r="AN53" s="46"/>
      <c r="AO53" s="46"/>
      <c r="AP53" s="46"/>
      <c r="AQ53" s="46"/>
      <c r="AR53" s="46"/>
      <c r="AS53" s="46"/>
      <c r="AT53" s="46"/>
      <c r="AU53" s="46"/>
      <c r="AV53" s="46"/>
      <c r="AW53" s="46"/>
      <c r="AX53" s="46"/>
      <c r="AY53" s="46"/>
      <c r="AZ53" s="46"/>
      <c r="BA53" s="46"/>
      <c r="BB53" s="46"/>
      <c r="BC53"/>
      <c r="BD53"/>
      <c r="BE53"/>
      <c r="BF53"/>
      <c r="BG53"/>
      <c r="BH53"/>
      <c r="BI53"/>
      <c r="BJ53"/>
      <c r="BK53"/>
      <c r="BL53"/>
      <c r="BM53"/>
      <c r="BN53"/>
    </row>
    <row r="54" spans="1:66" x14ac:dyDescent="0.25">
      <c r="A54" s="46"/>
      <c r="B54" s="46"/>
      <c r="C54" s="46"/>
      <c r="D54" s="46"/>
      <c r="E54" s="46"/>
      <c r="F54" s="46"/>
      <c r="G54" s="46"/>
      <c r="H54" s="46"/>
      <c r="I54" s="46"/>
      <c r="J54" s="46"/>
      <c r="K54" s="46"/>
      <c r="L54" s="46"/>
      <c r="M54" s="46"/>
      <c r="N54" s="46"/>
      <c r="O54" s="46"/>
      <c r="P54" s="1569" t="s">
        <v>734</v>
      </c>
      <c r="Q54" s="1555"/>
      <c r="R54" s="1556"/>
      <c r="S54" s="67">
        <f>IF(tr_f_pl_1_mode="rail",tr_f_pl_1_km,0)</f>
        <v>0</v>
      </c>
      <c r="T54" s="232" t="s">
        <v>436</v>
      </c>
      <c r="U54" s="85"/>
      <c r="V54" s="46"/>
      <c r="W54" s="72"/>
      <c r="X54" s="72"/>
      <c r="Y54" s="72"/>
      <c r="Z54" s="72"/>
      <c r="AA54" s="72"/>
      <c r="AB54" s="72"/>
      <c r="AC54" s="72"/>
      <c r="AD54" s="72"/>
      <c r="AE54" s="72"/>
      <c r="AF54" s="46"/>
      <c r="AG54" s="46"/>
      <c r="AH54" s="46"/>
      <c r="AI54" s="46"/>
      <c r="AJ54" s="46"/>
      <c r="AK54" s="46"/>
      <c r="AL54" s="46"/>
      <c r="AM54" s="46"/>
      <c r="AN54" s="46"/>
      <c r="AO54" s="46"/>
      <c r="AP54" s="46"/>
      <c r="AQ54" s="46"/>
      <c r="AR54" s="46"/>
      <c r="AS54" s="46"/>
      <c r="AT54" s="46"/>
      <c r="AU54" s="46"/>
      <c r="AV54" s="46"/>
      <c r="AW54" s="46"/>
      <c r="AX54" s="46"/>
      <c r="AY54" s="46"/>
      <c r="AZ54" s="46"/>
      <c r="BA54" s="46"/>
      <c r="BB54" s="46"/>
      <c r="BC54"/>
      <c r="BD54"/>
      <c r="BE54"/>
      <c r="BF54"/>
      <c r="BG54"/>
      <c r="BH54"/>
      <c r="BI54"/>
      <c r="BJ54"/>
      <c r="BK54"/>
      <c r="BL54"/>
      <c r="BM54"/>
      <c r="BN54"/>
    </row>
    <row r="55" spans="1:66" x14ac:dyDescent="0.25">
      <c r="A55" s="46"/>
      <c r="B55" s="46"/>
      <c r="C55" s="46"/>
      <c r="D55" s="46"/>
      <c r="E55" s="46"/>
      <c r="F55" s="46"/>
      <c r="G55" s="46"/>
      <c r="H55" s="46"/>
      <c r="I55" s="46"/>
      <c r="J55" s="46"/>
      <c r="K55" s="46"/>
      <c r="L55" s="46"/>
      <c r="M55" s="46"/>
      <c r="N55" s="46"/>
      <c r="O55" s="46"/>
      <c r="P55" s="62"/>
      <c r="Q55" s="66"/>
      <c r="R55" s="66"/>
      <c r="S55" s="84"/>
      <c r="T55" s="82"/>
      <c r="U55" s="64"/>
      <c r="V55" s="46"/>
      <c r="W55" s="72"/>
      <c r="X55" s="72"/>
      <c r="Y55" s="72"/>
      <c r="Z55" s="72"/>
      <c r="AA55" s="72"/>
      <c r="AB55" s="72"/>
      <c r="AC55" s="72"/>
      <c r="AD55" s="72"/>
      <c r="AE55" s="72"/>
      <c r="AF55" s="46"/>
      <c r="AG55" s="46"/>
      <c r="AH55" s="46"/>
      <c r="AI55" s="46"/>
      <c r="AJ55" s="46"/>
      <c r="AK55" s="46"/>
      <c r="AL55" s="46"/>
      <c r="AM55" s="46"/>
      <c r="AN55" s="46"/>
      <c r="AO55" s="46"/>
      <c r="AP55" s="46"/>
      <c r="AQ55" s="46"/>
      <c r="AR55" s="46"/>
      <c r="AS55" s="46"/>
      <c r="AT55" s="46"/>
      <c r="AU55" s="46"/>
      <c r="AV55" s="46"/>
      <c r="AW55" s="46"/>
      <c r="AX55" s="46"/>
      <c r="AY55" s="46"/>
      <c r="AZ55" s="46"/>
      <c r="BA55" s="46"/>
      <c r="BB55" s="46"/>
      <c r="BC55"/>
      <c r="BD55"/>
      <c r="BE55"/>
      <c r="BF55"/>
      <c r="BG55"/>
      <c r="BH55"/>
      <c r="BI55"/>
      <c r="BJ55"/>
      <c r="BK55"/>
      <c r="BL55"/>
      <c r="BM55"/>
      <c r="BN55"/>
    </row>
    <row r="56" spans="1:66" x14ac:dyDescent="0.25">
      <c r="A56" s="46"/>
      <c r="B56" s="46"/>
      <c r="C56" s="46"/>
      <c r="D56" s="46"/>
      <c r="E56" s="46"/>
      <c r="F56" s="46"/>
      <c r="G56" s="46"/>
      <c r="H56" s="46"/>
      <c r="I56" s="46"/>
      <c r="J56" s="46"/>
      <c r="K56" s="46"/>
      <c r="L56" s="46"/>
      <c r="M56" s="46"/>
      <c r="N56" s="46"/>
      <c r="O56" s="46"/>
      <c r="P56" s="1569" t="s">
        <v>735</v>
      </c>
      <c r="Q56" s="1555"/>
      <c r="R56" s="1556"/>
      <c r="S56" s="67">
        <f>IF(tr_f_pl_1_mode="barge",tr_f_pl_1_km,0)</f>
        <v>0</v>
      </c>
      <c r="T56" s="232" t="s">
        <v>436</v>
      </c>
      <c r="U56" s="64"/>
      <c r="V56" s="46"/>
      <c r="W56" s="46"/>
      <c r="X56" s="46"/>
      <c r="Y56" s="46"/>
      <c r="Z56" s="46"/>
      <c r="AA56" s="46"/>
      <c r="AB56" s="46"/>
      <c r="AC56" s="46"/>
      <c r="AD56" s="46"/>
      <c r="AE56" s="46"/>
      <c r="AF56" s="46"/>
      <c r="AG56" s="46"/>
      <c r="AH56" s="46"/>
      <c r="AI56" s="46"/>
      <c r="AJ56" s="46"/>
      <c r="AK56" s="46"/>
      <c r="AL56" s="46"/>
      <c r="AM56" s="46"/>
      <c r="AN56" s="46"/>
      <c r="AO56" s="46"/>
      <c r="AP56" s="46"/>
      <c r="AQ56" s="46"/>
      <c r="AR56" s="46"/>
      <c r="AS56" s="46"/>
      <c r="AT56" s="46"/>
      <c r="AU56" s="46"/>
      <c r="AV56" s="46"/>
      <c r="AW56" s="46"/>
      <c r="AX56" s="46"/>
      <c r="AY56" s="46"/>
      <c r="AZ56" s="46"/>
      <c r="BA56" s="46"/>
      <c r="BB56" s="46"/>
      <c r="BC56"/>
      <c r="BD56"/>
      <c r="BE56"/>
      <c r="BF56"/>
      <c r="BG56"/>
      <c r="BH56"/>
      <c r="BI56"/>
      <c r="BJ56"/>
      <c r="BK56"/>
      <c r="BL56"/>
      <c r="BM56"/>
      <c r="BN56"/>
    </row>
    <row r="57" spans="1:66" x14ac:dyDescent="0.25">
      <c r="A57" s="46"/>
      <c r="B57" s="46"/>
      <c r="C57" s="46"/>
      <c r="D57" s="46"/>
      <c r="E57" s="46"/>
      <c r="F57" s="46"/>
      <c r="G57" s="46"/>
      <c r="H57" s="46"/>
      <c r="I57" s="46"/>
      <c r="J57" s="46"/>
      <c r="K57" s="46"/>
      <c r="L57" s="46"/>
      <c r="M57" s="46"/>
      <c r="N57" s="46"/>
      <c r="O57" s="46"/>
      <c r="P57" s="62"/>
      <c r="Q57" s="66"/>
      <c r="R57" s="66"/>
      <c r="S57" s="84"/>
      <c r="T57" s="82"/>
      <c r="U57" s="64"/>
      <c r="V57" s="46"/>
      <c r="W57" s="46"/>
      <c r="X57" s="46"/>
      <c r="Y57" s="46"/>
      <c r="Z57" s="46"/>
      <c r="AA57" s="46"/>
      <c r="AB57" s="46"/>
      <c r="AC57" s="46"/>
      <c r="AD57" s="46"/>
      <c r="AE57" s="46"/>
      <c r="AF57" s="46"/>
      <c r="AG57" s="46"/>
      <c r="AH57" s="46"/>
      <c r="AI57" s="46"/>
      <c r="AJ57" s="46"/>
      <c r="AK57" s="46"/>
      <c r="AL57" s="46"/>
      <c r="AM57" s="46"/>
      <c r="AN57" s="46"/>
      <c r="AO57" s="46"/>
      <c r="AP57" s="46"/>
      <c r="AQ57" s="46"/>
      <c r="AR57" s="46"/>
      <c r="AS57" s="46"/>
      <c r="AT57" s="46"/>
      <c r="AU57" s="46"/>
      <c r="AV57" s="46"/>
      <c r="AW57" s="46"/>
      <c r="AX57" s="46"/>
      <c r="AY57" s="46"/>
      <c r="AZ57" s="46"/>
      <c r="BA57" s="46"/>
      <c r="BB57" s="46"/>
      <c r="BC57"/>
      <c r="BD57"/>
      <c r="BE57"/>
      <c r="BF57"/>
      <c r="BG57"/>
      <c r="BH57"/>
      <c r="BI57"/>
      <c r="BJ57"/>
      <c r="BK57"/>
      <c r="BL57"/>
      <c r="BM57"/>
      <c r="BN57"/>
    </row>
    <row r="58" spans="1:66" x14ac:dyDescent="0.25">
      <c r="A58" s="46"/>
      <c r="B58" s="46"/>
      <c r="C58" s="46"/>
      <c r="D58" s="46"/>
      <c r="E58" s="46"/>
      <c r="F58" s="46"/>
      <c r="G58" s="46"/>
      <c r="H58" s="46"/>
      <c r="I58" s="46"/>
      <c r="J58" s="46"/>
      <c r="K58" s="46"/>
      <c r="L58" s="46"/>
      <c r="M58" s="46"/>
      <c r="N58" s="46"/>
      <c r="O58" s="46"/>
      <c r="P58" s="1569" t="s">
        <v>736</v>
      </c>
      <c r="Q58" s="1555"/>
      <c r="R58" s="1556"/>
      <c r="S58" s="67">
        <f>IF(tr_f_pl_1_mode="ship",tr_f_pl_1_km,0)</f>
        <v>0</v>
      </c>
      <c r="T58" s="232" t="s">
        <v>436</v>
      </c>
      <c r="U58" s="64"/>
      <c r="V58" s="46"/>
      <c r="W58" s="46"/>
      <c r="X58" s="46"/>
      <c r="Y58" s="46"/>
      <c r="Z58" s="46"/>
      <c r="AA58" s="46"/>
      <c r="AB58" s="46"/>
      <c r="AC58" s="46"/>
      <c r="AD58" s="46"/>
      <c r="AE58" s="46"/>
      <c r="AF58" s="46"/>
      <c r="AG58" s="46"/>
      <c r="AH58" s="46"/>
      <c r="AI58" s="46"/>
      <c r="AJ58" s="46"/>
      <c r="AK58" s="46"/>
      <c r="AL58" s="46"/>
      <c r="AM58" s="46"/>
      <c r="AN58" s="46"/>
      <c r="AO58" s="46"/>
      <c r="AP58" s="46"/>
      <c r="AQ58" s="46"/>
      <c r="AR58" s="46"/>
      <c r="AS58" s="46"/>
      <c r="AT58" s="46"/>
      <c r="AU58" s="46"/>
      <c r="AV58" s="46"/>
      <c r="AW58" s="46"/>
      <c r="AX58" s="46"/>
      <c r="AY58" s="46"/>
      <c r="AZ58" s="46"/>
      <c r="BA58" s="46"/>
      <c r="BB58" s="46"/>
      <c r="BC58"/>
      <c r="BD58"/>
      <c r="BE58"/>
      <c r="BF58"/>
      <c r="BG58"/>
      <c r="BH58"/>
      <c r="BI58"/>
      <c r="BJ58"/>
      <c r="BK58"/>
      <c r="BL58"/>
      <c r="BM58"/>
      <c r="BN58"/>
    </row>
    <row r="59" spans="1:66" x14ac:dyDescent="0.25">
      <c r="A59" s="46"/>
      <c r="B59" s="46"/>
      <c r="C59" s="46"/>
      <c r="D59" s="46"/>
      <c r="E59" s="46"/>
      <c r="F59" s="46"/>
      <c r="G59" s="46"/>
      <c r="H59" s="46"/>
      <c r="I59" s="46"/>
      <c r="J59" s="46"/>
      <c r="K59" s="46"/>
      <c r="L59" s="46"/>
      <c r="M59" s="46"/>
      <c r="N59" s="46"/>
      <c r="O59" s="46"/>
      <c r="P59" s="62"/>
      <c r="Q59" s="82"/>
      <c r="S59" s="34"/>
      <c r="U59" s="64"/>
      <c r="V59" s="46"/>
      <c r="W59" s="46"/>
      <c r="X59" s="46"/>
      <c r="Y59" s="46"/>
      <c r="Z59" s="46"/>
      <c r="AA59" s="46"/>
      <c r="AB59" s="46"/>
      <c r="AC59" s="46"/>
      <c r="AD59" s="46"/>
      <c r="AE59" s="46"/>
      <c r="AF59" s="46"/>
      <c r="AG59" s="46"/>
      <c r="AH59" s="46"/>
      <c r="AI59" s="46"/>
      <c r="AJ59" s="46"/>
      <c r="AK59" s="46"/>
      <c r="AL59" s="46"/>
      <c r="AM59" s="46"/>
      <c r="AN59" s="46"/>
      <c r="AO59" s="46"/>
      <c r="AP59" s="46"/>
      <c r="AQ59" s="46"/>
      <c r="AR59" s="46"/>
      <c r="AS59" s="46"/>
      <c r="AT59" s="46"/>
      <c r="AU59" s="46"/>
      <c r="AV59" s="46"/>
      <c r="AW59" s="46"/>
      <c r="AX59" s="46"/>
      <c r="AY59" s="46"/>
      <c r="AZ59" s="46"/>
      <c r="BA59" s="46"/>
      <c r="BB59" s="46"/>
      <c r="BC59"/>
      <c r="BD59"/>
      <c r="BE59"/>
      <c r="BF59"/>
      <c r="BG59"/>
      <c r="BH59"/>
      <c r="BI59"/>
      <c r="BJ59"/>
      <c r="BK59"/>
      <c r="BL59"/>
      <c r="BM59"/>
      <c r="BN59"/>
    </row>
    <row r="60" spans="1:66" x14ac:dyDescent="0.25">
      <c r="A60" s="46"/>
      <c r="B60" s="46"/>
      <c r="C60" s="46"/>
      <c r="D60" s="46"/>
      <c r="E60" s="46"/>
      <c r="F60" s="46"/>
      <c r="G60" s="46"/>
      <c r="H60" s="46"/>
      <c r="I60" s="46"/>
      <c r="J60" s="46"/>
      <c r="K60" s="46"/>
      <c r="L60" s="46"/>
      <c r="M60" s="46"/>
      <c r="N60" s="46"/>
      <c r="O60" s="46"/>
      <c r="P60" s="62"/>
      <c r="Q60" s="82"/>
      <c r="R60" s="66" t="s">
        <v>364</v>
      </c>
      <c r="S60" s="83">
        <f>tr_f_pl_1_loss</f>
        <v>0</v>
      </c>
      <c r="T60" s="82" t="s">
        <v>283</v>
      </c>
      <c r="U60" s="64"/>
      <c r="V60" s="46"/>
      <c r="W60" s="46"/>
      <c r="X60" s="46"/>
      <c r="Y60" s="46"/>
      <c r="Z60" s="46"/>
      <c r="AA60" s="46"/>
      <c r="AB60" s="46"/>
      <c r="AC60" s="46"/>
      <c r="AD60" s="46"/>
      <c r="AE60" s="46"/>
      <c r="AF60" s="46"/>
      <c r="AG60" s="46"/>
      <c r="AH60" s="46"/>
      <c r="AI60" s="46"/>
      <c r="AJ60" s="46"/>
      <c r="AK60" s="46"/>
      <c r="AL60" s="46"/>
      <c r="AM60" s="46"/>
      <c r="AN60" s="46"/>
      <c r="AO60" s="46"/>
      <c r="AP60" s="46"/>
      <c r="AQ60" s="46"/>
      <c r="AR60" s="46"/>
      <c r="AS60" s="46"/>
      <c r="AT60" s="46"/>
      <c r="AU60" s="46"/>
      <c r="AV60" s="46"/>
      <c r="AW60" s="46"/>
      <c r="AX60" s="46"/>
      <c r="AY60" s="46"/>
      <c r="AZ60" s="46"/>
      <c r="BA60" s="46"/>
      <c r="BB60" s="46"/>
      <c r="BC60"/>
      <c r="BD60"/>
      <c r="BE60"/>
      <c r="BF60"/>
      <c r="BG60"/>
      <c r="BH60"/>
      <c r="BI60"/>
      <c r="BJ60"/>
      <c r="BK60"/>
      <c r="BL60"/>
      <c r="BM60"/>
      <c r="BN60"/>
    </row>
    <row r="61" spans="1:66" ht="13.8" thickBot="1" x14ac:dyDescent="0.3">
      <c r="A61" s="46"/>
      <c r="B61" s="46"/>
      <c r="C61" s="46"/>
      <c r="D61" s="46"/>
      <c r="E61" s="46"/>
      <c r="F61" s="46"/>
      <c r="G61" s="46"/>
      <c r="H61" s="46"/>
      <c r="I61" s="46"/>
      <c r="J61" s="46"/>
      <c r="K61" s="46"/>
      <c r="L61" s="46"/>
      <c r="M61" s="46"/>
      <c r="N61" s="46"/>
      <c r="O61" s="46"/>
      <c r="P61" s="69"/>
      <c r="Q61" s="86"/>
      <c r="R61" s="86"/>
      <c r="S61" s="87"/>
      <c r="T61" s="70"/>
      <c r="U61" s="71"/>
      <c r="V61" s="46"/>
      <c r="W61" s="46"/>
      <c r="X61" s="46"/>
      <c r="Y61" s="46"/>
      <c r="Z61" s="46"/>
      <c r="AA61" s="46"/>
      <c r="AB61" s="46"/>
      <c r="AC61" s="46"/>
      <c r="AD61" s="46"/>
      <c r="AE61" s="46"/>
      <c r="AF61" s="46"/>
      <c r="AG61" s="46"/>
      <c r="AH61" s="46"/>
      <c r="AI61" s="46"/>
      <c r="AJ61" s="46"/>
      <c r="AK61" s="46"/>
      <c r="AL61" s="46"/>
      <c r="AM61" s="46"/>
      <c r="AN61" s="46"/>
      <c r="AO61" s="46"/>
      <c r="AP61" s="46"/>
      <c r="AQ61" s="46"/>
      <c r="AR61" s="46"/>
      <c r="AS61" s="46"/>
      <c r="AT61" s="46"/>
      <c r="AU61" s="46"/>
      <c r="AV61" s="46"/>
      <c r="AW61" s="46"/>
      <c r="AX61" s="46"/>
      <c r="AY61" s="46"/>
      <c r="AZ61" s="46"/>
      <c r="BA61" s="46"/>
      <c r="BB61" s="46"/>
      <c r="BC61"/>
      <c r="BD61"/>
      <c r="BE61"/>
      <c r="BF61"/>
      <c r="BG61"/>
      <c r="BH61"/>
      <c r="BI61"/>
      <c r="BJ61"/>
      <c r="BK61"/>
      <c r="BL61"/>
      <c r="BM61"/>
      <c r="BN61"/>
    </row>
    <row r="62" spans="1:66" x14ac:dyDescent="0.25">
      <c r="A62" s="46"/>
      <c r="B62" s="46"/>
      <c r="C62" s="46"/>
      <c r="D62" s="46"/>
      <c r="E62" s="46"/>
      <c r="F62" s="46"/>
      <c r="G62" s="46"/>
      <c r="H62" s="46"/>
      <c r="I62" s="46"/>
      <c r="J62" s="46"/>
      <c r="K62" s="46"/>
      <c r="L62" s="46"/>
      <c r="M62" s="46"/>
      <c r="N62" s="46"/>
      <c r="O62" s="46"/>
      <c r="P62" s="72"/>
      <c r="Q62" s="219"/>
      <c r="R62" s="220"/>
      <c r="S62" s="137"/>
      <c r="T62" s="72"/>
      <c r="U62" s="72"/>
      <c r="V62" s="46"/>
      <c r="W62" s="46"/>
      <c r="X62" s="46"/>
      <c r="Y62" s="46"/>
      <c r="Z62" s="46"/>
      <c r="AA62" s="46"/>
      <c r="AB62" s="46"/>
      <c r="AC62" s="46"/>
      <c r="AD62" s="46"/>
      <c r="AE62" s="46"/>
      <c r="AF62" s="46"/>
      <c r="AG62" s="46"/>
      <c r="AH62" s="46"/>
      <c r="AI62" s="46"/>
      <c r="AJ62" s="46"/>
      <c r="AK62" s="46"/>
      <c r="AL62" s="46"/>
      <c r="AM62" s="46"/>
      <c r="AN62" s="46"/>
      <c r="AO62" s="46"/>
      <c r="AP62" s="46"/>
      <c r="AQ62" s="46"/>
      <c r="AR62" s="46"/>
      <c r="AS62" s="46"/>
      <c r="AT62" s="46"/>
      <c r="AU62" s="46"/>
      <c r="AV62" s="46"/>
      <c r="AW62" s="46"/>
      <c r="AX62" s="46"/>
      <c r="AY62" s="46"/>
      <c r="AZ62" s="46"/>
      <c r="BA62" s="46"/>
      <c r="BB62" s="46"/>
      <c r="BC62"/>
      <c r="BD62"/>
      <c r="BE62"/>
      <c r="BF62"/>
      <c r="BG62"/>
      <c r="BH62"/>
      <c r="BI62"/>
      <c r="BJ62"/>
      <c r="BK62"/>
      <c r="BL62"/>
      <c r="BM62"/>
      <c r="BN62"/>
    </row>
    <row r="63" spans="1:66" x14ac:dyDescent="0.25">
      <c r="A63" s="46"/>
      <c r="B63" s="46"/>
      <c r="C63" s="46"/>
      <c r="D63" s="46"/>
      <c r="E63" s="46"/>
      <c r="F63" s="46"/>
      <c r="G63" s="46"/>
      <c r="H63" s="46"/>
      <c r="I63" s="46"/>
      <c r="J63" s="46"/>
      <c r="K63" s="46"/>
      <c r="L63" s="46"/>
      <c r="M63" s="46"/>
      <c r="N63" s="46"/>
      <c r="O63" s="46"/>
      <c r="P63" s="289"/>
      <c r="Q63" s="48"/>
      <c r="R63" s="51"/>
      <c r="S63" s="48"/>
      <c r="T63" s="48"/>
      <c r="U63" s="49"/>
      <c r="V63" s="46"/>
      <c r="W63" s="46"/>
      <c r="X63" s="46"/>
      <c r="Y63" s="46"/>
      <c r="Z63" s="46"/>
      <c r="AA63" s="46"/>
      <c r="AB63" s="46"/>
      <c r="AC63" s="46"/>
      <c r="AD63" s="46"/>
      <c r="AE63" s="46"/>
      <c r="AF63" s="46"/>
      <c r="AG63" s="46"/>
      <c r="AH63" s="46"/>
      <c r="AI63" s="46"/>
      <c r="AJ63" s="46"/>
      <c r="AK63" s="46"/>
      <c r="AL63" s="46"/>
      <c r="AM63" s="46"/>
      <c r="AN63" s="46"/>
      <c r="AO63" s="46"/>
      <c r="AP63" s="46"/>
      <c r="AQ63" s="46"/>
      <c r="AR63" s="46"/>
      <c r="AS63" s="46"/>
      <c r="AT63" s="46"/>
      <c r="AU63" s="46"/>
      <c r="AV63" s="46"/>
      <c r="AW63" s="46"/>
      <c r="AX63" s="46"/>
      <c r="AY63" s="46"/>
      <c r="AZ63" s="46"/>
      <c r="BA63" s="46"/>
      <c r="BB63" s="46"/>
      <c r="BC63"/>
      <c r="BD63"/>
      <c r="BE63"/>
      <c r="BF63"/>
      <c r="BG63"/>
      <c r="BH63"/>
      <c r="BI63"/>
      <c r="BJ63"/>
      <c r="BK63"/>
      <c r="BL63"/>
      <c r="BM63"/>
      <c r="BN63"/>
    </row>
    <row r="64" spans="1:66" x14ac:dyDescent="0.25">
      <c r="A64" s="46"/>
      <c r="B64" s="46"/>
      <c r="C64" s="46"/>
      <c r="D64" s="46"/>
      <c r="E64" s="46"/>
      <c r="F64" s="46"/>
      <c r="G64" s="46"/>
      <c r="H64" s="46"/>
      <c r="I64" s="46"/>
      <c r="J64" s="46"/>
      <c r="K64" s="46"/>
      <c r="L64" s="46"/>
      <c r="M64" s="46"/>
      <c r="N64" s="46"/>
      <c r="O64" s="46"/>
      <c r="P64" s="1566" t="s">
        <v>1143</v>
      </c>
      <c r="Q64" s="1557"/>
      <c r="R64" s="1558"/>
      <c r="S64" s="80">
        <f>IF((S73+S75+S77+S79)&gt;0,S85*(100/(100-S81)),S85)</f>
        <v>1</v>
      </c>
      <c r="T64" s="1100" t="s">
        <v>1548</v>
      </c>
      <c r="U64" s="53" t="s">
        <v>161</v>
      </c>
      <c r="V64" s="46"/>
      <c r="W64" s="46"/>
      <c r="X64" s="46"/>
      <c r="Y64" s="46"/>
      <c r="Z64" s="46"/>
      <c r="AA64" s="46"/>
      <c r="AB64" s="46"/>
      <c r="AC64" s="46"/>
      <c r="AD64" s="46"/>
      <c r="AE64" s="46"/>
      <c r="AF64" s="46"/>
      <c r="AG64" s="46"/>
      <c r="AH64" s="46"/>
      <c r="AI64" s="46"/>
      <c r="AJ64" s="46"/>
      <c r="AK64" s="46"/>
      <c r="AL64" s="46"/>
      <c r="AM64" s="46"/>
      <c r="AN64" s="46"/>
      <c r="AO64" s="46"/>
      <c r="AP64" s="46"/>
      <c r="AQ64" s="46"/>
      <c r="AR64" s="46"/>
      <c r="AS64" s="46"/>
      <c r="AT64" s="46"/>
      <c r="AU64" s="46"/>
      <c r="AV64" s="46"/>
      <c r="AW64" s="46"/>
      <c r="AX64" s="46"/>
      <c r="AY64" s="46"/>
      <c r="AZ64" s="46"/>
      <c r="BA64" s="46"/>
      <c r="BB64" s="46"/>
      <c r="BC64"/>
      <c r="BD64"/>
      <c r="BE64"/>
      <c r="BF64"/>
      <c r="BG64"/>
      <c r="BH64"/>
      <c r="BI64"/>
      <c r="BJ64"/>
      <c r="BK64"/>
      <c r="BL64"/>
      <c r="BM64"/>
      <c r="BN64"/>
    </row>
    <row r="65" spans="1:66" x14ac:dyDescent="0.25">
      <c r="A65" s="46"/>
      <c r="B65" s="46"/>
      <c r="C65" s="46"/>
      <c r="D65" s="46"/>
      <c r="E65" s="46"/>
      <c r="F65" s="46"/>
      <c r="G65" s="46"/>
      <c r="H65" s="46"/>
      <c r="I65" s="46"/>
      <c r="J65" s="46"/>
      <c r="K65" s="46"/>
      <c r="L65" s="46"/>
      <c r="M65" s="46"/>
      <c r="N65" s="46"/>
      <c r="O65" s="46"/>
      <c r="P65" s="56"/>
      <c r="Q65" s="57"/>
      <c r="R65" s="57"/>
      <c r="S65" s="57"/>
      <c r="T65" s="57"/>
      <c r="U65" s="58"/>
      <c r="V65" s="46"/>
      <c r="W65" s="46"/>
      <c r="X65" s="46"/>
      <c r="Y65" s="46"/>
      <c r="Z65" s="46"/>
      <c r="AA65" s="46"/>
      <c r="AB65" s="46"/>
      <c r="AC65" s="46"/>
      <c r="AD65" s="46"/>
      <c r="AE65" s="46"/>
      <c r="AF65" s="46"/>
      <c r="AG65" s="46"/>
      <c r="AH65" s="46"/>
      <c r="AI65" s="46"/>
      <c r="AJ65" s="46"/>
      <c r="AK65" s="46"/>
      <c r="AL65" s="46"/>
      <c r="AM65" s="46"/>
      <c r="AN65" s="46"/>
      <c r="AO65" s="46"/>
      <c r="AP65" s="46"/>
      <c r="AQ65" s="46"/>
      <c r="AR65" s="46"/>
      <c r="AS65" s="46"/>
      <c r="AT65" s="46"/>
      <c r="AU65" s="46"/>
      <c r="AV65" s="46"/>
      <c r="AW65" s="46"/>
      <c r="AX65" s="46"/>
      <c r="AY65" s="46"/>
      <c r="AZ65" s="46"/>
      <c r="BA65" s="46"/>
      <c r="BB65" s="46"/>
      <c r="BC65"/>
      <c r="BD65"/>
      <c r="BE65"/>
      <c r="BF65"/>
      <c r="BG65"/>
      <c r="BH65"/>
      <c r="BI65"/>
      <c r="BJ65"/>
      <c r="BK65"/>
      <c r="BL65"/>
      <c r="BM65"/>
      <c r="BN65"/>
    </row>
    <row r="66" spans="1:66" ht="13.8" thickBot="1" x14ac:dyDescent="0.3">
      <c r="A66" s="46"/>
      <c r="B66" s="46"/>
      <c r="C66" s="46"/>
      <c r="D66" s="46"/>
      <c r="E66" s="46"/>
      <c r="F66" s="46"/>
      <c r="G66" s="46"/>
      <c r="H66" s="46"/>
      <c r="I66" s="46"/>
      <c r="J66" s="46"/>
      <c r="K66" s="46"/>
      <c r="L66" s="46"/>
      <c r="M66" s="46"/>
      <c r="N66" s="46"/>
      <c r="O66" s="46"/>
      <c r="P66" s="72"/>
      <c r="Q66" s="219"/>
      <c r="R66" s="221"/>
      <c r="S66" s="137"/>
      <c r="T66" s="72"/>
      <c r="U66" s="72"/>
      <c r="V66" s="46"/>
      <c r="W66" s="46"/>
      <c r="X66" s="46"/>
      <c r="Y66" s="46"/>
      <c r="Z66" s="46"/>
      <c r="AA66" s="46"/>
      <c r="AB66" s="46"/>
      <c r="AC66" s="46"/>
      <c r="AD66" s="46"/>
      <c r="AE66" s="46"/>
      <c r="AF66" s="46"/>
      <c r="AG66" s="46"/>
      <c r="AH66" s="46"/>
      <c r="AI66" s="46"/>
      <c r="AJ66" s="46"/>
      <c r="AK66" s="46"/>
      <c r="AL66" s="46"/>
      <c r="AM66" s="46"/>
      <c r="AN66" s="46"/>
      <c r="AO66" s="46"/>
      <c r="AP66" s="46"/>
      <c r="AQ66" s="46"/>
      <c r="AR66" s="46"/>
      <c r="AS66" s="46"/>
      <c r="AT66" s="46"/>
      <c r="AU66" s="46"/>
      <c r="AV66" s="46"/>
      <c r="AW66" s="46"/>
      <c r="AX66" s="46"/>
      <c r="AY66" s="46"/>
      <c r="AZ66" s="46"/>
      <c r="BA66" s="46"/>
      <c r="BB66" s="46"/>
      <c r="BC66"/>
      <c r="BD66"/>
      <c r="BE66"/>
      <c r="BF66"/>
      <c r="BG66"/>
      <c r="BH66"/>
      <c r="BI66"/>
      <c r="BJ66"/>
      <c r="BK66"/>
      <c r="BL66"/>
      <c r="BM66"/>
      <c r="BN66"/>
    </row>
    <row r="67" spans="1:66" x14ac:dyDescent="0.25">
      <c r="A67" s="46"/>
      <c r="B67" s="46"/>
      <c r="C67" s="46"/>
      <c r="D67" s="46"/>
      <c r="E67" s="46"/>
      <c r="F67" s="46"/>
      <c r="G67" s="46"/>
      <c r="H67" s="46"/>
      <c r="I67" s="46"/>
      <c r="J67" s="46"/>
      <c r="K67" s="46"/>
      <c r="L67" s="46"/>
      <c r="M67" s="46"/>
      <c r="N67" s="46"/>
      <c r="O67" s="46"/>
      <c r="P67" s="281"/>
      <c r="Q67" s="60"/>
      <c r="R67" s="60"/>
      <c r="S67" s="60"/>
      <c r="T67" s="60"/>
      <c r="U67" s="61"/>
      <c r="V67" s="46"/>
      <c r="W67" s="46"/>
      <c r="X67" s="46"/>
      <c r="Y67" s="46"/>
      <c r="Z67" s="46"/>
      <c r="AA67" s="46"/>
      <c r="AB67" s="46"/>
      <c r="AC67" s="46"/>
      <c r="AD67" s="46"/>
      <c r="AE67" s="46"/>
      <c r="AF67" s="1063"/>
      <c r="AG67" s="46"/>
      <c r="AH67" s="46"/>
      <c r="AI67" s="46"/>
      <c r="AJ67" s="46"/>
      <c r="AK67" s="46"/>
      <c r="AL67" s="46"/>
      <c r="AM67" s="46"/>
      <c r="AN67" s="46"/>
      <c r="AO67" s="46"/>
      <c r="AP67" s="46"/>
      <c r="AQ67" s="46"/>
      <c r="AR67" s="46"/>
      <c r="AS67" s="46"/>
      <c r="AT67" s="46"/>
      <c r="AU67" s="46"/>
      <c r="AV67" s="46"/>
      <c r="AW67" s="46"/>
      <c r="AX67" s="46"/>
      <c r="AY67" s="46"/>
      <c r="AZ67" s="46"/>
      <c r="BA67" s="46"/>
      <c r="BB67" s="46"/>
      <c r="BC67"/>
      <c r="BD67"/>
      <c r="BE67"/>
      <c r="BF67"/>
      <c r="BG67"/>
      <c r="BH67"/>
      <c r="BI67"/>
      <c r="BJ67"/>
      <c r="BK67"/>
      <c r="BL67"/>
      <c r="BM67"/>
      <c r="BN67"/>
    </row>
    <row r="68" spans="1:66" x14ac:dyDescent="0.25">
      <c r="A68" s="46"/>
      <c r="B68" s="46"/>
      <c r="C68" s="46"/>
      <c r="D68" s="46"/>
      <c r="E68" s="46"/>
      <c r="F68" s="46"/>
      <c r="G68" s="46"/>
      <c r="H68" s="46"/>
      <c r="I68" s="46"/>
      <c r="J68" s="46"/>
      <c r="K68" s="46"/>
      <c r="L68" s="46"/>
      <c r="M68" s="46"/>
      <c r="N68" s="46"/>
      <c r="O68" s="46"/>
      <c r="P68" s="1551" t="s">
        <v>42</v>
      </c>
      <c r="Q68" s="1552"/>
      <c r="R68" s="1552"/>
      <c r="S68" s="1552"/>
      <c r="T68" s="1552"/>
      <c r="U68" s="1553"/>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c r="BD68"/>
      <c r="BE68"/>
      <c r="BF68"/>
      <c r="BG68"/>
      <c r="BH68"/>
      <c r="BI68"/>
      <c r="BJ68"/>
      <c r="BK68"/>
      <c r="BL68"/>
      <c r="BM68"/>
      <c r="BN68"/>
    </row>
    <row r="69" spans="1:66" x14ac:dyDescent="0.25">
      <c r="A69" s="46"/>
      <c r="B69" s="46"/>
      <c r="C69" s="46"/>
      <c r="D69" s="46"/>
      <c r="E69" s="46"/>
      <c r="F69" s="46"/>
      <c r="G69" s="46"/>
      <c r="H69" s="46"/>
      <c r="I69" s="46"/>
      <c r="J69" s="46"/>
      <c r="K69" s="46"/>
      <c r="L69" s="46"/>
      <c r="M69" s="46"/>
      <c r="N69" s="46"/>
      <c r="O69" s="46"/>
      <c r="P69" s="1548" t="s">
        <v>164</v>
      </c>
      <c r="Q69" s="1549"/>
      <c r="R69" s="1549"/>
      <c r="S69" s="1549"/>
      <c r="T69" s="1549"/>
      <c r="U69" s="1550"/>
      <c r="V69" s="46"/>
      <c r="W69" s="46"/>
      <c r="X69" s="46"/>
      <c r="Y69" s="46"/>
      <c r="Z69" s="46"/>
      <c r="AA69" s="46"/>
      <c r="AB69" s="46"/>
      <c r="AC69" s="46"/>
      <c r="AD69" s="46"/>
      <c r="AE69" s="1107"/>
      <c r="AF69" s="1063"/>
      <c r="AG69" s="46"/>
      <c r="AH69" s="46"/>
      <c r="AI69" s="46"/>
      <c r="AJ69" s="46"/>
      <c r="AK69" s="46"/>
      <c r="AL69" s="46"/>
      <c r="AM69" s="46"/>
      <c r="AN69" s="46"/>
      <c r="AO69" s="46"/>
      <c r="AP69" s="46"/>
      <c r="AQ69" s="46"/>
      <c r="AR69" s="46"/>
      <c r="AS69" s="46"/>
      <c r="AT69" s="46"/>
      <c r="AU69" s="46"/>
      <c r="AV69" s="46"/>
      <c r="AW69" s="46"/>
      <c r="AX69" s="46"/>
      <c r="AY69" s="46"/>
      <c r="AZ69" s="46"/>
      <c r="BA69" s="46"/>
      <c r="BB69" s="46"/>
      <c r="BC69"/>
      <c r="BD69"/>
      <c r="BE69"/>
      <c r="BF69"/>
      <c r="BG69"/>
      <c r="BH69"/>
      <c r="BI69"/>
      <c r="BJ69"/>
      <c r="BK69"/>
      <c r="BL69"/>
      <c r="BM69"/>
      <c r="BN69"/>
    </row>
    <row r="70" spans="1:66" x14ac:dyDescent="0.25">
      <c r="A70" s="46"/>
      <c r="B70" s="46"/>
      <c r="C70" s="46"/>
      <c r="D70" s="46"/>
      <c r="E70" s="46"/>
      <c r="F70" s="46"/>
      <c r="G70" s="46"/>
      <c r="H70" s="46"/>
      <c r="I70" s="46"/>
      <c r="J70" s="46"/>
      <c r="K70" s="46"/>
      <c r="L70" s="46"/>
      <c r="M70" s="46"/>
      <c r="N70" s="46"/>
      <c r="O70" s="46"/>
      <c r="P70" s="81"/>
      <c r="Q70" s="82"/>
      <c r="R70" s="65"/>
      <c r="S70" s="65"/>
      <c r="T70" s="65"/>
      <c r="U70" s="64"/>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c r="BD70"/>
      <c r="BE70"/>
      <c r="BF70"/>
      <c r="BG70"/>
      <c r="BH70"/>
      <c r="BI70"/>
      <c r="BJ70"/>
      <c r="BK70"/>
      <c r="BL70"/>
      <c r="BM70"/>
      <c r="BN70"/>
    </row>
    <row r="71" spans="1:66" x14ac:dyDescent="0.25">
      <c r="A71" s="46"/>
      <c r="B71" s="46"/>
      <c r="C71" s="46"/>
      <c r="D71" s="46"/>
      <c r="E71" s="46"/>
      <c r="F71" s="46"/>
      <c r="G71" s="46"/>
      <c r="H71" s="46"/>
      <c r="I71" s="46"/>
      <c r="J71" s="46"/>
      <c r="K71" s="46"/>
      <c r="L71" s="46"/>
      <c r="M71" s="46"/>
      <c r="N71" s="46"/>
      <c r="O71" s="46"/>
      <c r="P71" s="81"/>
      <c r="Q71" s="1567" t="s">
        <v>677</v>
      </c>
      <c r="R71" s="1568"/>
      <c r="S71" s="67">
        <f>tr_f_pl_2_truck</f>
        <v>44</v>
      </c>
      <c r="T71" s="253" t="s">
        <v>586</v>
      </c>
      <c r="U71" s="64"/>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c r="BD71"/>
      <c r="BE71"/>
      <c r="BF71"/>
      <c r="BG71"/>
      <c r="BH71"/>
      <c r="BI71"/>
      <c r="BJ71"/>
      <c r="BK71"/>
      <c r="BL71"/>
      <c r="BM71"/>
      <c r="BN71"/>
    </row>
    <row r="72" spans="1:66" x14ac:dyDescent="0.25">
      <c r="A72" s="46"/>
      <c r="B72" s="46"/>
      <c r="C72" s="46"/>
      <c r="D72" s="46"/>
      <c r="E72" s="46"/>
      <c r="F72" s="46"/>
      <c r="G72" s="46"/>
      <c r="H72" s="46"/>
      <c r="I72" s="46"/>
      <c r="J72" s="46"/>
      <c r="K72" s="46"/>
      <c r="L72" s="46"/>
      <c r="M72" s="46"/>
      <c r="N72" s="46"/>
      <c r="O72" s="46"/>
      <c r="P72" s="62"/>
      <c r="Q72" s="63"/>
      <c r="R72" s="65"/>
      <c r="S72" s="65"/>
      <c r="T72" s="65"/>
      <c r="U72" s="64"/>
      <c r="V72" s="46"/>
      <c r="W72" s="46"/>
      <c r="X72" s="46"/>
      <c r="Y72" s="46"/>
      <c r="Z72" s="46"/>
      <c r="AA72" s="46"/>
      <c r="AB72" s="46"/>
      <c r="AC72" s="46"/>
      <c r="AD72" s="1104"/>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c r="BD72"/>
      <c r="BE72"/>
      <c r="BF72"/>
      <c r="BG72"/>
      <c r="BH72"/>
      <c r="BI72"/>
      <c r="BJ72"/>
      <c r="BK72"/>
      <c r="BL72"/>
      <c r="BM72"/>
      <c r="BN72"/>
    </row>
    <row r="73" spans="1:66" x14ac:dyDescent="0.25">
      <c r="A73" s="46"/>
      <c r="B73" s="46"/>
      <c r="C73" s="46"/>
      <c r="D73" s="46"/>
      <c r="E73" s="46"/>
      <c r="F73" s="46"/>
      <c r="G73" s="46"/>
      <c r="H73" s="46"/>
      <c r="I73" s="46"/>
      <c r="J73" s="46"/>
      <c r="K73" s="46"/>
      <c r="L73" s="46"/>
      <c r="M73" s="46"/>
      <c r="N73" s="46"/>
      <c r="O73" s="46"/>
      <c r="P73" s="1569" t="s">
        <v>733</v>
      </c>
      <c r="Q73" s="1555"/>
      <c r="R73" s="1556"/>
      <c r="S73" s="67">
        <f>IF(tr_f_pl_2_mode="road",tr_f_pl_2_km,0)</f>
        <v>0</v>
      </c>
      <c r="T73" s="232" t="s">
        <v>436</v>
      </c>
      <c r="U73" s="85"/>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c r="BD73"/>
      <c r="BE73"/>
      <c r="BF73"/>
      <c r="BG73"/>
      <c r="BH73"/>
      <c r="BI73"/>
      <c r="BJ73"/>
      <c r="BK73"/>
      <c r="BL73"/>
      <c r="BM73"/>
      <c r="BN73"/>
    </row>
    <row r="74" spans="1:66" x14ac:dyDescent="0.25">
      <c r="A74" s="46"/>
      <c r="B74" s="46"/>
      <c r="C74" s="46"/>
      <c r="D74" s="46"/>
      <c r="E74" s="46"/>
      <c r="F74" s="46"/>
      <c r="G74" s="46"/>
      <c r="H74" s="46"/>
      <c r="I74" s="46"/>
      <c r="J74" s="46"/>
      <c r="K74" s="46"/>
      <c r="L74" s="46"/>
      <c r="M74" s="46"/>
      <c r="N74" s="46"/>
      <c r="O74" s="46"/>
      <c r="P74" s="62"/>
      <c r="Q74" s="66"/>
      <c r="R74" s="66"/>
      <c r="S74" s="84"/>
      <c r="T74" s="82"/>
      <c r="U74" s="64"/>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c r="BD74"/>
      <c r="BE74"/>
      <c r="BF74"/>
      <c r="BG74"/>
      <c r="BH74"/>
      <c r="BI74"/>
      <c r="BJ74"/>
      <c r="BK74"/>
      <c r="BL74"/>
      <c r="BM74"/>
      <c r="BN74"/>
    </row>
    <row r="75" spans="1:66" x14ac:dyDescent="0.25">
      <c r="A75" s="46"/>
      <c r="B75" s="46"/>
      <c r="C75" s="46"/>
      <c r="D75" s="46"/>
      <c r="E75" s="46"/>
      <c r="F75" s="46"/>
      <c r="G75" s="46"/>
      <c r="H75" s="46"/>
      <c r="I75" s="46"/>
      <c r="J75" s="46"/>
      <c r="K75" s="46"/>
      <c r="L75" s="46"/>
      <c r="M75" s="46"/>
      <c r="N75" s="46"/>
      <c r="O75" s="46"/>
      <c r="P75" s="1569" t="s">
        <v>734</v>
      </c>
      <c r="Q75" s="1555"/>
      <c r="R75" s="1556"/>
      <c r="S75" s="67">
        <f>IF(tr_f_pl_2_mode="rail",tr_f_pl_2_km,0)</f>
        <v>0</v>
      </c>
      <c r="T75" s="232" t="s">
        <v>436</v>
      </c>
      <c r="U75" s="85"/>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c r="BD75"/>
      <c r="BE75"/>
      <c r="BF75"/>
      <c r="BG75"/>
      <c r="BH75"/>
      <c r="BI75"/>
      <c r="BJ75"/>
      <c r="BK75"/>
      <c r="BL75"/>
      <c r="BM75"/>
      <c r="BN75"/>
    </row>
    <row r="76" spans="1:66" x14ac:dyDescent="0.25">
      <c r="A76" s="46"/>
      <c r="B76" s="46"/>
      <c r="C76" s="46"/>
      <c r="D76" s="46"/>
      <c r="E76" s="46"/>
      <c r="F76" s="46"/>
      <c r="G76" s="46"/>
      <c r="H76" s="46"/>
      <c r="I76" s="46"/>
      <c r="J76" s="46"/>
      <c r="K76" s="46"/>
      <c r="L76" s="46"/>
      <c r="M76" s="46"/>
      <c r="N76" s="46"/>
      <c r="O76" s="46"/>
      <c r="P76" s="62"/>
      <c r="Q76" s="66"/>
      <c r="R76" s="66"/>
      <c r="S76" s="84"/>
      <c r="T76" s="82"/>
      <c r="U76" s="64"/>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c r="BD76"/>
      <c r="BE76"/>
      <c r="BF76"/>
      <c r="BG76"/>
      <c r="BH76"/>
      <c r="BI76"/>
      <c r="BJ76"/>
      <c r="BK76"/>
      <c r="BL76"/>
      <c r="BM76"/>
      <c r="BN76"/>
    </row>
    <row r="77" spans="1:66" x14ac:dyDescent="0.25">
      <c r="A77" s="46"/>
      <c r="B77" s="46"/>
      <c r="C77" s="46"/>
      <c r="D77" s="46"/>
      <c r="E77" s="46"/>
      <c r="F77" s="46"/>
      <c r="G77" s="46"/>
      <c r="H77" s="46"/>
      <c r="I77" s="46"/>
      <c r="J77" s="46"/>
      <c r="K77" s="46"/>
      <c r="L77" s="46"/>
      <c r="M77" s="46"/>
      <c r="N77" s="46"/>
      <c r="O77" s="46"/>
      <c r="P77" s="1569" t="s">
        <v>735</v>
      </c>
      <c r="Q77" s="1555"/>
      <c r="R77" s="1556"/>
      <c r="S77" s="67">
        <f>IF(tr_f_pl_2_mode="barge",tr_f_pl_2_km,0)</f>
        <v>0</v>
      </c>
      <c r="T77" s="232" t="s">
        <v>436</v>
      </c>
      <c r="U77" s="64"/>
      <c r="V77" s="46"/>
      <c r="W77" s="46"/>
      <c r="X77" s="46"/>
      <c r="Y77" s="46"/>
      <c r="Z77" s="46"/>
      <c r="AA77" s="46"/>
      <c r="AB77" s="46"/>
      <c r="AC77" s="46"/>
      <c r="AD77" s="46"/>
      <c r="AE77" s="75"/>
      <c r="AF77" s="76"/>
      <c r="AG77" s="76"/>
      <c r="AH77" s="76"/>
      <c r="AI77" s="76"/>
      <c r="AJ77" s="76"/>
      <c r="AK77" s="76"/>
      <c r="AL77" s="76"/>
      <c r="AM77" s="76"/>
      <c r="AN77" s="76"/>
      <c r="AO77" s="77"/>
      <c r="AP77" s="46"/>
      <c r="AQ77" s="46"/>
      <c r="AR77" s="46"/>
      <c r="AS77" s="46"/>
      <c r="AT77" s="46"/>
      <c r="AU77" s="46"/>
      <c r="AV77" s="46"/>
      <c r="AW77" s="46"/>
      <c r="AX77" s="46"/>
      <c r="AY77" s="46"/>
      <c r="AZ77" s="46"/>
      <c r="BA77" s="46"/>
      <c r="BB77" s="46"/>
      <c r="BC77"/>
      <c r="BD77"/>
      <c r="BE77"/>
      <c r="BF77"/>
      <c r="BG77"/>
      <c r="BH77"/>
      <c r="BI77"/>
      <c r="BJ77"/>
      <c r="BK77"/>
      <c r="BL77"/>
      <c r="BM77"/>
      <c r="BN77"/>
    </row>
    <row r="78" spans="1:66" ht="13.8" thickBot="1" x14ac:dyDescent="0.3">
      <c r="A78" s="46"/>
      <c r="B78" s="46"/>
      <c r="C78" s="46"/>
      <c r="D78" s="46"/>
      <c r="E78" s="46"/>
      <c r="F78" s="46"/>
      <c r="G78" s="46"/>
      <c r="H78" s="46"/>
      <c r="I78" s="46"/>
      <c r="J78" s="46"/>
      <c r="K78" s="46"/>
      <c r="L78" s="46"/>
      <c r="M78" s="46"/>
      <c r="N78" s="46"/>
      <c r="O78" s="46"/>
      <c r="P78" s="62"/>
      <c r="Q78" s="66"/>
      <c r="R78" s="66"/>
      <c r="S78" s="84"/>
      <c r="T78" s="82"/>
      <c r="U78" s="64"/>
      <c r="V78" s="46"/>
      <c r="W78" s="46"/>
      <c r="X78" s="46"/>
      <c r="Y78" s="46"/>
      <c r="Z78" s="46"/>
      <c r="AA78" s="46"/>
      <c r="AB78" s="46"/>
      <c r="AC78" s="141"/>
      <c r="AD78" s="46"/>
      <c r="AE78" s="96"/>
      <c r="AF78" s="72"/>
      <c r="AG78" s="72"/>
      <c r="AH78" s="72"/>
      <c r="AI78" s="72"/>
      <c r="AJ78" s="72"/>
      <c r="AK78" s="72"/>
      <c r="AL78" s="72"/>
      <c r="AM78" s="72"/>
      <c r="AN78" s="72"/>
      <c r="AO78" s="59"/>
      <c r="AP78" s="46"/>
      <c r="AQ78" s="46"/>
      <c r="AR78" s="46"/>
      <c r="AS78" s="46"/>
      <c r="AT78" s="46"/>
      <c r="AU78" s="46"/>
      <c r="AV78" s="46"/>
      <c r="AW78" s="46"/>
      <c r="AX78" s="46"/>
      <c r="AY78" s="46"/>
      <c r="AZ78" s="46"/>
      <c r="BA78" s="46"/>
      <c r="BB78" s="46"/>
      <c r="BC78"/>
      <c r="BD78"/>
      <c r="BE78"/>
      <c r="BF78"/>
      <c r="BG78"/>
      <c r="BH78"/>
      <c r="BI78"/>
      <c r="BJ78"/>
      <c r="BK78"/>
      <c r="BL78"/>
      <c r="BM78"/>
      <c r="BN78"/>
    </row>
    <row r="79" spans="1:66" x14ac:dyDescent="0.25">
      <c r="A79" s="46"/>
      <c r="B79" s="46"/>
      <c r="C79" s="46"/>
      <c r="D79" s="46"/>
      <c r="E79" s="46"/>
      <c r="F79" s="46"/>
      <c r="G79" s="46"/>
      <c r="H79" s="46"/>
      <c r="I79" s="46"/>
      <c r="J79" s="46"/>
      <c r="K79" s="46"/>
      <c r="L79" s="46"/>
      <c r="M79" s="46"/>
      <c r="N79" s="46"/>
      <c r="O79" s="46"/>
      <c r="P79" s="1569" t="s">
        <v>736</v>
      </c>
      <c r="Q79" s="1573"/>
      <c r="R79" s="1574"/>
      <c r="S79" s="67">
        <f>IF(tr_f_pl_2_mode="ship",tr_f_pl_2_km,0)</f>
        <v>0</v>
      </c>
      <c r="T79" s="232" t="s">
        <v>436</v>
      </c>
      <c r="U79" s="64"/>
      <c r="V79" s="46"/>
      <c r="W79" s="46"/>
      <c r="X79" s="46"/>
      <c r="Y79" s="46"/>
      <c r="Z79" s="46"/>
      <c r="AA79" s="46"/>
      <c r="AB79" s="46"/>
      <c r="AC79" s="126"/>
      <c r="AD79" s="566" t="s">
        <v>1577</v>
      </c>
      <c r="AE79" s="128"/>
      <c r="AF79" s="128"/>
      <c r="AG79" s="121"/>
      <c r="AH79" s="46"/>
      <c r="AI79" s="46"/>
      <c r="AJ79" s="46"/>
      <c r="AK79" s="46"/>
      <c r="AL79" s="46"/>
      <c r="AM79" s="46"/>
      <c r="AN79" s="46"/>
      <c r="AO79" s="59"/>
      <c r="AP79" s="46"/>
      <c r="AQ79" s="46"/>
      <c r="AR79" s="46"/>
      <c r="AS79" s="46"/>
      <c r="AT79" s="46"/>
      <c r="AU79" s="46"/>
      <c r="AV79" s="46"/>
      <c r="AW79" s="46"/>
      <c r="AX79" s="46"/>
      <c r="AY79" s="46"/>
      <c r="AZ79" s="46"/>
      <c r="BA79" s="46"/>
      <c r="BB79" s="46"/>
      <c r="BC79"/>
      <c r="BD79"/>
      <c r="BE79"/>
      <c r="BF79"/>
      <c r="BG79"/>
      <c r="BH79"/>
      <c r="BI79"/>
      <c r="BJ79"/>
      <c r="BK79"/>
      <c r="BL79"/>
      <c r="BM79"/>
      <c r="BN79"/>
    </row>
    <row r="80" spans="1:66" x14ac:dyDescent="0.25">
      <c r="A80" s="46"/>
      <c r="B80" s="46"/>
      <c r="C80" s="46"/>
      <c r="D80" s="46"/>
      <c r="E80" s="46"/>
      <c r="F80" s="46"/>
      <c r="G80" s="46"/>
      <c r="H80" s="46"/>
      <c r="I80" s="46"/>
      <c r="J80" s="46"/>
      <c r="K80" s="46"/>
      <c r="L80" s="46"/>
      <c r="M80" s="46"/>
      <c r="N80" s="46"/>
      <c r="O80" s="46"/>
      <c r="P80" s="62"/>
      <c r="Q80" s="82"/>
      <c r="S80" s="34"/>
      <c r="U80" s="64"/>
      <c r="V80" s="46"/>
      <c r="W80" s="46"/>
      <c r="X80" s="46"/>
      <c r="Y80" s="46"/>
      <c r="Z80" s="46"/>
      <c r="AA80" s="46"/>
      <c r="AB80" s="46"/>
      <c r="AC80" s="123"/>
      <c r="AD80" s="90"/>
      <c r="AE80" s="72"/>
      <c r="AF80" s="72"/>
      <c r="AG80" s="122"/>
      <c r="AH80" s="46"/>
      <c r="AI80" s="46"/>
      <c r="AJ80" s="46"/>
      <c r="AK80" s="46"/>
      <c r="AL80" s="46"/>
      <c r="AM80" s="46"/>
      <c r="AN80" s="46"/>
      <c r="AO80" s="59"/>
      <c r="AP80" s="46"/>
      <c r="AQ80" s="46"/>
      <c r="AR80" s="46"/>
      <c r="AS80" s="46"/>
      <c r="AT80" s="46"/>
      <c r="AU80" s="46"/>
      <c r="AV80" s="46"/>
      <c r="AW80" s="46"/>
      <c r="AX80" s="46"/>
      <c r="AY80" s="46"/>
      <c r="AZ80" s="46"/>
      <c r="BA80" s="46"/>
      <c r="BB80" s="46"/>
      <c r="BC80"/>
      <c r="BD80"/>
      <c r="BE80"/>
      <c r="BF80"/>
      <c r="BG80"/>
      <c r="BH80"/>
      <c r="BI80"/>
      <c r="BJ80"/>
      <c r="BK80"/>
      <c r="BL80"/>
      <c r="BM80"/>
      <c r="BN80"/>
    </row>
    <row r="81" spans="1:66" x14ac:dyDescent="0.25">
      <c r="A81" s="46"/>
      <c r="B81" s="46"/>
      <c r="C81" s="46"/>
      <c r="D81" s="46"/>
      <c r="E81" s="46"/>
      <c r="F81" s="46"/>
      <c r="G81" s="46"/>
      <c r="H81" s="46"/>
      <c r="I81" s="46"/>
      <c r="J81" s="46"/>
      <c r="K81" s="46"/>
      <c r="L81" s="46"/>
      <c r="M81" s="46"/>
      <c r="N81" s="46"/>
      <c r="O81" s="46"/>
      <c r="P81" s="62"/>
      <c r="Q81" s="82"/>
      <c r="R81" s="66" t="s">
        <v>364</v>
      </c>
      <c r="S81" s="83">
        <f>tr_f_pl_2_loss</f>
        <v>0</v>
      </c>
      <c r="T81" s="82" t="s">
        <v>283</v>
      </c>
      <c r="U81" s="64"/>
      <c r="V81" s="46"/>
      <c r="W81" s="46"/>
      <c r="X81" s="46"/>
      <c r="Y81" s="46"/>
      <c r="Z81" s="46"/>
      <c r="AA81" s="46"/>
      <c r="AB81" s="46"/>
      <c r="AC81" s="123"/>
      <c r="AD81" s="258"/>
      <c r="AE81" s="48"/>
      <c r="AF81" s="49"/>
      <c r="AG81" s="124"/>
      <c r="AH81" s="46"/>
      <c r="AI81" s="46"/>
      <c r="AJ81" s="46"/>
      <c r="AK81" s="46"/>
      <c r="AL81" s="46"/>
      <c r="AM81" s="46"/>
      <c r="AN81" s="46"/>
      <c r="AO81" s="59"/>
      <c r="AP81" s="46"/>
      <c r="AQ81" s="46"/>
      <c r="AR81" s="46"/>
      <c r="AS81" s="46"/>
      <c r="AT81" s="46"/>
      <c r="AU81" s="46"/>
      <c r="AV81" s="46"/>
      <c r="AW81" s="46"/>
      <c r="AX81" s="46"/>
      <c r="AY81" s="46"/>
      <c r="AZ81" s="46"/>
      <c r="BA81" s="46"/>
      <c r="BB81" s="46"/>
      <c r="BC81"/>
      <c r="BD81"/>
      <c r="BE81"/>
      <c r="BF81"/>
      <c r="BG81"/>
      <c r="BH81"/>
      <c r="BI81"/>
      <c r="BJ81"/>
      <c r="BK81"/>
      <c r="BL81"/>
      <c r="BM81"/>
      <c r="BN81"/>
    </row>
    <row r="82" spans="1:66" ht="13.8" thickBot="1" x14ac:dyDescent="0.3">
      <c r="A82" s="46"/>
      <c r="B82" s="46"/>
      <c r="C82" s="46"/>
      <c r="D82" s="46"/>
      <c r="E82" s="46"/>
      <c r="F82" s="46"/>
      <c r="G82" s="46"/>
      <c r="H82" s="46"/>
      <c r="I82" s="46"/>
      <c r="J82" s="46"/>
      <c r="K82" s="46"/>
      <c r="L82" s="46"/>
      <c r="M82" s="46"/>
      <c r="N82" s="46"/>
      <c r="O82" s="46"/>
      <c r="P82" s="69"/>
      <c r="Q82" s="86"/>
      <c r="R82" s="86"/>
      <c r="S82" s="87"/>
      <c r="T82" s="70"/>
      <c r="U82" s="71"/>
      <c r="V82" s="46"/>
      <c r="W82" s="46"/>
      <c r="X82" s="46"/>
      <c r="Y82" s="46"/>
      <c r="Z82" s="46"/>
      <c r="AA82" s="46"/>
      <c r="AB82" s="46"/>
      <c r="AC82" s="123"/>
      <c r="AD82" s="1083" t="s">
        <v>1435</v>
      </c>
      <c r="AE82" s="239">
        <f>IF(AO107&gt;(S150*100/AE92),0,(S150*100/AE92)-AO107)</f>
        <v>0</v>
      </c>
      <c r="AF82" s="53" t="s">
        <v>446</v>
      </c>
      <c r="AG82" s="124"/>
      <c r="AH82" s="46"/>
      <c r="AI82" s="46"/>
      <c r="AJ82" s="46"/>
      <c r="AK82" s="46"/>
      <c r="AL82" s="46"/>
      <c r="AM82" s="46"/>
      <c r="AN82" s="46"/>
      <c r="AO82" s="59"/>
      <c r="AP82" s="46"/>
      <c r="AQ82" s="46"/>
      <c r="AR82" s="46"/>
      <c r="AS82" s="46"/>
      <c r="AT82" s="46"/>
      <c r="AU82" s="46"/>
      <c r="AV82" s="46"/>
      <c r="AW82" s="46"/>
      <c r="AX82" s="46"/>
      <c r="AY82" s="46"/>
      <c r="AZ82" s="46"/>
      <c r="BA82" s="46"/>
      <c r="BB82" s="46"/>
      <c r="BC82"/>
      <c r="BD82"/>
      <c r="BE82"/>
      <c r="BF82"/>
      <c r="BG82"/>
      <c r="BH82"/>
      <c r="BI82"/>
      <c r="BJ82"/>
      <c r="BK82"/>
      <c r="BL82"/>
      <c r="BM82"/>
      <c r="BN82"/>
    </row>
    <row r="83" spans="1:66" x14ac:dyDescent="0.25">
      <c r="A83" s="46"/>
      <c r="B83" s="46"/>
      <c r="C83" s="46"/>
      <c r="D83" s="46"/>
      <c r="E83" s="46"/>
      <c r="F83" s="46"/>
      <c r="G83" s="46"/>
      <c r="H83" s="46"/>
      <c r="I83" s="46"/>
      <c r="J83" s="46"/>
      <c r="K83" s="46"/>
      <c r="L83" s="46"/>
      <c r="M83" s="46"/>
      <c r="N83" s="46"/>
      <c r="O83" s="46"/>
      <c r="P83" s="72"/>
      <c r="Q83" s="72"/>
      <c r="R83" s="90"/>
      <c r="S83" s="72"/>
      <c r="T83" s="72"/>
      <c r="U83" s="72"/>
      <c r="V83" s="46"/>
      <c r="W83" s="46"/>
      <c r="X83" s="72"/>
      <c r="Y83" s="72"/>
      <c r="Z83" s="72"/>
      <c r="AA83" s="72"/>
      <c r="AB83" s="72"/>
      <c r="AC83" s="123"/>
      <c r="AD83" s="571"/>
      <c r="AE83" s="569"/>
      <c r="AF83" s="53"/>
      <c r="AG83" s="124"/>
      <c r="AH83" s="46"/>
      <c r="AI83" s="46"/>
      <c r="AJ83" s="46"/>
      <c r="AK83" s="46"/>
      <c r="AL83" s="46"/>
      <c r="AM83" s="46"/>
      <c r="AN83" s="46"/>
      <c r="AO83" s="59"/>
      <c r="AP83" s="46"/>
      <c r="AQ83" s="46"/>
      <c r="AR83" s="46"/>
      <c r="AS83" s="46"/>
      <c r="AT83" s="46"/>
      <c r="AU83" s="46"/>
      <c r="AV83" s="46"/>
      <c r="AW83" s="46"/>
      <c r="AX83" s="46"/>
      <c r="AY83" s="46"/>
      <c r="AZ83" s="46"/>
      <c r="BA83" s="46"/>
      <c r="BB83" s="46"/>
      <c r="BC83"/>
      <c r="BD83"/>
      <c r="BE83"/>
      <c r="BF83"/>
      <c r="BG83"/>
      <c r="BH83"/>
      <c r="BI83"/>
      <c r="BJ83"/>
      <c r="BK83"/>
      <c r="BL83"/>
      <c r="BM83"/>
      <c r="BN83"/>
    </row>
    <row r="84" spans="1:66" x14ac:dyDescent="0.25">
      <c r="A84" s="46"/>
      <c r="B84" s="46"/>
      <c r="C84" s="46"/>
      <c r="D84" s="46"/>
      <c r="E84" s="46"/>
      <c r="F84" s="46"/>
      <c r="G84" s="46"/>
      <c r="H84" s="46"/>
      <c r="I84" s="46"/>
      <c r="J84" s="46"/>
      <c r="K84" s="46"/>
      <c r="L84" s="72"/>
      <c r="M84" s="72"/>
      <c r="N84" s="72"/>
      <c r="O84" s="72"/>
      <c r="P84" s="289"/>
      <c r="Q84" s="48"/>
      <c r="R84" s="51"/>
      <c r="S84" s="48"/>
      <c r="T84" s="48"/>
      <c r="U84" s="49"/>
      <c r="V84" s="46"/>
      <c r="W84" s="72"/>
      <c r="X84" s="72"/>
      <c r="Y84" s="72"/>
      <c r="Z84" s="72"/>
      <c r="AA84" s="72"/>
      <c r="AB84" s="72"/>
      <c r="AC84" s="123"/>
      <c r="AD84" s="571" t="s">
        <v>648</v>
      </c>
      <c r="AE84" s="112">
        <f>IF(AO107&gt;(S150*100/AE92),(S150*100/AE92),AO107)</f>
        <v>10743.451198333914</v>
      </c>
      <c r="AF84" s="53" t="s">
        <v>446</v>
      </c>
      <c r="AG84" s="124"/>
      <c r="AH84" s="46"/>
      <c r="AI84" s="46"/>
      <c r="AJ84" s="46"/>
      <c r="AK84" s="46"/>
      <c r="AL84" s="46"/>
      <c r="AM84" s="46"/>
      <c r="AN84" s="46"/>
      <c r="AO84" s="59"/>
      <c r="AP84" s="46"/>
      <c r="AQ84" s="46"/>
      <c r="AR84" s="46"/>
      <c r="AS84" s="46"/>
      <c r="AT84" s="46"/>
      <c r="AU84" s="46"/>
      <c r="AV84" s="46"/>
      <c r="AW84" s="46"/>
      <c r="AX84" s="46"/>
      <c r="AY84" s="46"/>
      <c r="AZ84" s="46"/>
      <c r="BA84" s="46"/>
      <c r="BB84" s="46"/>
      <c r="BC84"/>
      <c r="BD84"/>
      <c r="BE84"/>
      <c r="BF84"/>
      <c r="BG84"/>
      <c r="BH84"/>
      <c r="BI84"/>
      <c r="BJ84"/>
      <c r="BK84"/>
      <c r="BL84"/>
      <c r="BM84"/>
      <c r="BN84"/>
    </row>
    <row r="85" spans="1:66" x14ac:dyDescent="0.25">
      <c r="A85" s="46"/>
      <c r="B85" s="46"/>
      <c r="C85" s="46"/>
      <c r="D85" s="46"/>
      <c r="E85" s="46"/>
      <c r="F85" s="46"/>
      <c r="G85" s="46"/>
      <c r="H85" s="46"/>
      <c r="I85" s="46"/>
      <c r="J85" s="46"/>
      <c r="K85" s="46"/>
      <c r="L85" s="72"/>
      <c r="M85" s="72"/>
      <c r="N85" s="72"/>
      <c r="O85" s="72"/>
      <c r="P85" s="1566" t="s">
        <v>1144</v>
      </c>
      <c r="Q85" s="1557"/>
      <c r="R85" s="1558"/>
      <c r="S85" s="80">
        <f>S164</f>
        <v>1</v>
      </c>
      <c r="T85" s="1100" t="s">
        <v>1548</v>
      </c>
      <c r="U85" s="53" t="s">
        <v>161</v>
      </c>
      <c r="V85" s="46"/>
      <c r="W85" s="72"/>
      <c r="X85" s="72"/>
      <c r="Y85" s="72"/>
      <c r="Z85" s="72"/>
      <c r="AA85" s="72"/>
      <c r="AB85" s="72"/>
      <c r="AC85" s="123"/>
      <c r="AD85" s="572"/>
      <c r="AE85" s="57"/>
      <c r="AF85" s="58"/>
      <c r="AG85" s="124"/>
      <c r="AH85" s="46"/>
      <c r="AI85" s="46"/>
      <c r="AJ85" s="46"/>
      <c r="AK85" s="46"/>
      <c r="AL85" s="46"/>
      <c r="AM85" s="46"/>
      <c r="AN85" s="46"/>
      <c r="AO85" s="59"/>
      <c r="AP85" s="46"/>
      <c r="AQ85" s="46"/>
      <c r="AR85" s="46"/>
      <c r="AS85" s="46"/>
      <c r="AT85" s="46"/>
      <c r="AU85" s="46"/>
      <c r="AV85" s="46"/>
      <c r="AW85" s="46"/>
      <c r="AX85" s="46"/>
      <c r="AY85" s="46"/>
      <c r="AZ85" s="46"/>
      <c r="BA85" s="46"/>
      <c r="BB85" s="46"/>
      <c r="BC85"/>
      <c r="BD85"/>
      <c r="BE85"/>
      <c r="BF85"/>
      <c r="BG85"/>
      <c r="BH85"/>
      <c r="BI85"/>
      <c r="BJ85"/>
      <c r="BK85"/>
      <c r="BL85"/>
      <c r="BM85"/>
      <c r="BN85"/>
    </row>
    <row r="86" spans="1:66" ht="13.8" thickBot="1" x14ac:dyDescent="0.3">
      <c r="A86" s="46"/>
      <c r="B86" s="46"/>
      <c r="C86" s="46"/>
      <c r="D86" s="46"/>
      <c r="E86" s="46"/>
      <c r="F86" s="46"/>
      <c r="G86" s="46"/>
      <c r="H86" s="46"/>
      <c r="I86" s="46"/>
      <c r="J86" s="46"/>
      <c r="K86" s="46"/>
      <c r="L86" s="72"/>
      <c r="M86" s="72"/>
      <c r="N86" s="72"/>
      <c r="O86" s="72"/>
      <c r="P86" s="56"/>
      <c r="Q86" s="57"/>
      <c r="R86" s="57"/>
      <c r="S86" s="57"/>
      <c r="T86" s="57"/>
      <c r="U86" s="58"/>
      <c r="V86" s="46"/>
      <c r="W86" s="72"/>
      <c r="X86" s="72"/>
      <c r="Y86" s="72"/>
      <c r="Z86" s="72"/>
      <c r="AA86" s="72"/>
      <c r="AB86" s="72"/>
      <c r="AC86" s="123"/>
      <c r="AD86" s="59"/>
      <c r="AE86" s="72"/>
      <c r="AF86" s="72"/>
      <c r="AG86" s="122"/>
      <c r="AH86" s="46"/>
      <c r="AI86" s="46"/>
      <c r="AJ86" s="46"/>
      <c r="AK86" s="46"/>
      <c r="AL86" s="46"/>
      <c r="AM86" s="46"/>
      <c r="AN86" s="46"/>
      <c r="AO86" s="59"/>
      <c r="AP86" s="46"/>
      <c r="AQ86" s="46"/>
      <c r="AR86" s="46"/>
      <c r="AS86" s="46"/>
      <c r="AT86" s="46"/>
      <c r="AU86" s="46"/>
      <c r="AV86" s="46"/>
      <c r="AW86" s="46"/>
      <c r="AX86" s="46"/>
      <c r="AY86" s="46"/>
      <c r="AZ86" s="46"/>
      <c r="BA86" s="46"/>
      <c r="BB86" s="46"/>
      <c r="BC86"/>
      <c r="BD86"/>
      <c r="BE86"/>
      <c r="BF86"/>
      <c r="BG86"/>
      <c r="BH86"/>
      <c r="BI86"/>
      <c r="BJ86"/>
      <c r="BK86"/>
      <c r="BL86"/>
      <c r="BM86"/>
      <c r="BN86"/>
    </row>
    <row r="87" spans="1:66" x14ac:dyDescent="0.25">
      <c r="A87" s="46"/>
      <c r="B87" s="46"/>
      <c r="C87" s="46"/>
      <c r="D87" s="46"/>
      <c r="E87" s="46"/>
      <c r="F87" s="46"/>
      <c r="G87" s="46"/>
      <c r="H87" s="46"/>
      <c r="I87" s="46"/>
      <c r="J87" s="46"/>
      <c r="K87" s="46"/>
      <c r="L87" s="72"/>
      <c r="M87" s="72"/>
      <c r="N87" s="72"/>
      <c r="O87" s="72"/>
      <c r="P87" s="46"/>
      <c r="Q87" s="46"/>
      <c r="R87" s="46"/>
      <c r="S87" s="75"/>
      <c r="T87" s="46"/>
      <c r="U87" s="46"/>
      <c r="V87" s="46"/>
      <c r="W87" s="72"/>
      <c r="X87" s="72"/>
      <c r="Y87" s="72"/>
      <c r="Z87" s="72"/>
      <c r="AA87" s="72"/>
      <c r="AB87" s="72"/>
      <c r="AC87" s="123"/>
      <c r="AD87" s="302"/>
      <c r="AE87" s="60"/>
      <c r="AF87" s="61"/>
      <c r="AG87" s="129"/>
      <c r="AH87" s="46"/>
      <c r="AI87" s="46"/>
      <c r="AJ87" s="46"/>
      <c r="AK87" s="46"/>
      <c r="AL87" s="46"/>
      <c r="AM87" s="46"/>
      <c r="AN87" s="46"/>
      <c r="AO87" s="59"/>
      <c r="AP87" s="46"/>
      <c r="AQ87" s="46"/>
      <c r="AR87" s="46"/>
      <c r="AS87" s="46"/>
      <c r="AT87" s="46"/>
      <c r="AU87" s="46"/>
      <c r="AV87" s="46"/>
      <c r="AW87" s="46"/>
      <c r="AX87" s="46"/>
      <c r="AY87" s="46"/>
      <c r="AZ87" s="46"/>
      <c r="BA87" s="46"/>
      <c r="BB87" s="46"/>
      <c r="BC87"/>
      <c r="BD87"/>
      <c r="BE87"/>
      <c r="BF87"/>
      <c r="BG87"/>
      <c r="BH87"/>
      <c r="BI87"/>
      <c r="BJ87"/>
      <c r="BK87"/>
      <c r="BL87"/>
      <c r="BM87"/>
      <c r="BN87"/>
    </row>
    <row r="88" spans="1:66" x14ac:dyDescent="0.25">
      <c r="A88" s="46"/>
      <c r="B88" s="46"/>
      <c r="C88" s="46"/>
      <c r="D88" s="46"/>
      <c r="E88" s="46"/>
      <c r="F88" s="46"/>
      <c r="G88" s="46"/>
      <c r="H88" s="46"/>
      <c r="I88" s="46"/>
      <c r="J88" s="46"/>
      <c r="K88" s="46"/>
      <c r="L88" s="72"/>
      <c r="M88" s="72"/>
      <c r="N88" s="72"/>
      <c r="O88" s="72"/>
      <c r="P88" s="46"/>
      <c r="Q88" s="46"/>
      <c r="R88" s="46"/>
      <c r="S88" s="96"/>
      <c r="T88" s="46"/>
      <c r="U88" s="46"/>
      <c r="V88" s="46"/>
      <c r="W88" s="72"/>
      <c r="X88" s="72"/>
      <c r="Y88" s="72"/>
      <c r="Z88" s="72"/>
      <c r="AA88" s="72"/>
      <c r="AB88" s="72"/>
      <c r="AC88" s="123"/>
      <c r="AD88" s="1551" t="s">
        <v>1578</v>
      </c>
      <c r="AE88" s="1552"/>
      <c r="AF88" s="1553"/>
      <c r="AG88" s="129"/>
      <c r="AH88" s="46"/>
      <c r="AI88" s="46"/>
      <c r="AJ88" s="46"/>
      <c r="AK88" s="46"/>
      <c r="AL88" s="46"/>
      <c r="AM88" s="46"/>
      <c r="AN88" s="46"/>
      <c r="AO88" s="59"/>
      <c r="AP88" s="46"/>
      <c r="AQ88" s="46"/>
      <c r="AR88" s="46"/>
      <c r="AS88" s="46"/>
      <c r="AT88" s="46"/>
      <c r="AU88" s="46"/>
      <c r="AV88" s="46"/>
      <c r="AW88" s="46"/>
      <c r="AX88" s="46"/>
      <c r="AY88" s="46"/>
      <c r="AZ88" s="46"/>
      <c r="BA88" s="46"/>
      <c r="BB88" s="46"/>
      <c r="BC88"/>
      <c r="BD88"/>
      <c r="BE88"/>
      <c r="BF88"/>
      <c r="BG88"/>
      <c r="BH88"/>
      <c r="BI88"/>
      <c r="BJ88"/>
      <c r="BK88"/>
      <c r="BL88"/>
      <c r="BM88"/>
      <c r="BN88"/>
    </row>
    <row r="89" spans="1:66" x14ac:dyDescent="0.25">
      <c r="A89" s="46"/>
      <c r="B89" s="46"/>
      <c r="C89" s="46"/>
      <c r="D89" s="46"/>
      <c r="E89" s="46"/>
      <c r="F89" s="46"/>
      <c r="G89" s="46"/>
      <c r="H89" s="46"/>
      <c r="I89" s="46"/>
      <c r="J89" s="46"/>
      <c r="K89" s="46"/>
      <c r="L89" s="72"/>
      <c r="M89" s="72"/>
      <c r="N89" s="72"/>
      <c r="O89" s="72"/>
      <c r="P89" s="46"/>
      <c r="Q89" s="46"/>
      <c r="R89" s="46"/>
      <c r="S89" s="96"/>
      <c r="T89" s="46"/>
      <c r="U89" s="46"/>
      <c r="V89" s="46"/>
      <c r="W89" s="72"/>
      <c r="X89" s="72"/>
      <c r="Y89" s="72"/>
      <c r="Z89" s="72"/>
      <c r="AA89" s="72"/>
      <c r="AB89" s="72"/>
      <c r="AC89" s="123"/>
      <c r="AD89" s="62"/>
      <c r="AE89" s="82"/>
      <c r="AF89" s="64"/>
      <c r="AG89" s="129"/>
      <c r="AH89" s="46"/>
      <c r="AI89" s="46"/>
      <c r="AJ89" s="46"/>
      <c r="AK89" s="46"/>
      <c r="AL89" s="46"/>
      <c r="AM89" s="46"/>
      <c r="AN89" s="46"/>
      <c r="AO89" s="59"/>
      <c r="AP89" s="46"/>
      <c r="AQ89" s="46"/>
      <c r="AR89" s="46"/>
      <c r="AS89" s="46"/>
      <c r="AT89" s="46"/>
      <c r="AU89" s="46"/>
      <c r="AV89" s="46"/>
      <c r="AW89" s="46"/>
      <c r="AX89" s="46"/>
      <c r="AY89" s="46"/>
      <c r="AZ89" s="46"/>
      <c r="BA89" s="46"/>
      <c r="BB89" s="46"/>
      <c r="BC89"/>
      <c r="BD89"/>
      <c r="BE89"/>
      <c r="BF89"/>
      <c r="BG89"/>
      <c r="BH89"/>
      <c r="BI89"/>
      <c r="BJ89"/>
      <c r="BK89"/>
      <c r="BL89"/>
      <c r="BM89"/>
      <c r="BN89"/>
    </row>
    <row r="90" spans="1:66" x14ac:dyDescent="0.25">
      <c r="A90" s="46"/>
      <c r="B90" s="46"/>
      <c r="C90" s="46"/>
      <c r="D90" s="46"/>
      <c r="E90" s="46"/>
      <c r="F90" s="46"/>
      <c r="G90" s="46"/>
      <c r="H90" s="46"/>
      <c r="I90" s="46"/>
      <c r="J90" s="46"/>
      <c r="K90" s="46"/>
      <c r="L90" s="72"/>
      <c r="M90" s="72"/>
      <c r="N90" s="72"/>
      <c r="O90" s="72"/>
      <c r="P90" s="46"/>
      <c r="Q90" s="46"/>
      <c r="R90" s="46"/>
      <c r="S90" s="96"/>
      <c r="T90" s="46"/>
      <c r="U90" s="46"/>
      <c r="V90" s="46"/>
      <c r="W90" s="72"/>
      <c r="X90" s="72"/>
      <c r="Y90" s="72"/>
      <c r="Z90" s="72"/>
      <c r="AA90" s="72"/>
      <c r="AB90" s="72"/>
      <c r="AC90" s="123"/>
      <c r="AD90" s="568" t="s">
        <v>125</v>
      </c>
      <c r="AE90" s="112">
        <f>($AE$94*100)/$AE$92</f>
        <v>33.704791241254341</v>
      </c>
      <c r="AF90" s="64" t="s">
        <v>647</v>
      </c>
      <c r="AG90" s="129"/>
      <c r="AH90" s="46"/>
      <c r="AI90" s="46"/>
      <c r="AJ90" s="46"/>
      <c r="AK90" s="46"/>
      <c r="AL90" s="46"/>
      <c r="AM90" s="46"/>
      <c r="AN90" s="46"/>
      <c r="AO90" s="59"/>
      <c r="AP90" s="46"/>
      <c r="AQ90" s="46"/>
      <c r="AR90" s="46"/>
      <c r="AS90" s="46"/>
      <c r="AT90" s="46"/>
      <c r="AU90" s="46"/>
      <c r="AV90" s="46"/>
      <c r="AW90" s="46"/>
      <c r="AX90" s="46"/>
      <c r="AY90" s="46"/>
      <c r="AZ90" s="46"/>
      <c r="BA90" s="46"/>
      <c r="BB90" s="46"/>
      <c r="BC90"/>
      <c r="BD90"/>
      <c r="BE90"/>
      <c r="BF90"/>
      <c r="BG90"/>
      <c r="BH90"/>
      <c r="BI90"/>
      <c r="BJ90"/>
      <c r="BK90"/>
      <c r="BL90"/>
      <c r="BM90"/>
      <c r="BN90"/>
    </row>
    <row r="91" spans="1:66" x14ac:dyDescent="0.25">
      <c r="A91" s="46"/>
      <c r="B91" s="46"/>
      <c r="C91" s="46"/>
      <c r="D91" s="46"/>
      <c r="E91" s="46"/>
      <c r="F91" s="46"/>
      <c r="G91" s="46"/>
      <c r="H91" s="46"/>
      <c r="I91" s="46"/>
      <c r="J91" s="46"/>
      <c r="K91" s="46"/>
      <c r="L91" s="72"/>
      <c r="M91" s="72"/>
      <c r="N91" s="72"/>
      <c r="O91" s="72"/>
      <c r="P91" s="46"/>
      <c r="Q91" s="46"/>
      <c r="R91" s="46"/>
      <c r="S91" s="96"/>
      <c r="T91" s="46"/>
      <c r="U91" s="46"/>
      <c r="V91" s="46"/>
      <c r="W91" s="72"/>
      <c r="X91" s="72"/>
      <c r="Y91" s="72"/>
      <c r="Z91" s="72"/>
      <c r="AA91" s="72"/>
      <c r="AB91" s="72"/>
      <c r="AC91" s="123"/>
      <c r="AD91" s="568"/>
      <c r="AE91" s="82"/>
      <c r="AF91" s="64"/>
      <c r="AG91" s="129"/>
      <c r="AH91" s="46"/>
      <c r="AI91" s="46"/>
      <c r="AJ91" s="46"/>
      <c r="AK91" s="46"/>
      <c r="AL91" s="46"/>
      <c r="AM91" s="46"/>
      <c r="AN91" s="46"/>
      <c r="AO91" s="59"/>
      <c r="AP91" s="46"/>
      <c r="AQ91" s="46"/>
      <c r="AR91" s="46"/>
      <c r="AS91" s="46"/>
      <c r="AT91" s="46"/>
      <c r="AU91" s="46"/>
      <c r="AV91" s="46"/>
      <c r="AW91" s="46"/>
      <c r="AX91" s="46"/>
      <c r="AY91" s="46"/>
      <c r="AZ91" s="46"/>
      <c r="BA91" s="46"/>
      <c r="BB91" s="46"/>
      <c r="BC91"/>
      <c r="BD91"/>
      <c r="BE91"/>
      <c r="BF91"/>
      <c r="BG91"/>
      <c r="BH91"/>
      <c r="BI91"/>
      <c r="BJ91"/>
      <c r="BK91"/>
      <c r="BL91"/>
      <c r="BM91"/>
      <c r="BN91"/>
    </row>
    <row r="92" spans="1:66" x14ac:dyDescent="0.25">
      <c r="A92" s="46"/>
      <c r="B92" s="46"/>
      <c r="C92" s="46"/>
      <c r="D92" s="46"/>
      <c r="E92" s="46"/>
      <c r="F92" s="46"/>
      <c r="G92" s="46"/>
      <c r="H92" s="46"/>
      <c r="I92" s="46"/>
      <c r="J92" s="46"/>
      <c r="K92" s="46"/>
      <c r="L92" s="72"/>
      <c r="M92" s="72"/>
      <c r="N92" s="72"/>
      <c r="O92" s="72"/>
      <c r="P92" s="46"/>
      <c r="Q92" s="46"/>
      <c r="R92" s="46"/>
      <c r="S92" s="96"/>
      <c r="T92" s="46"/>
      <c r="U92" s="46"/>
      <c r="V92" s="46"/>
      <c r="W92" s="72"/>
      <c r="X92" s="72"/>
      <c r="Y92" s="72"/>
      <c r="Z92" s="72"/>
      <c r="AA92" s="72"/>
      <c r="AB92" s="72"/>
      <c r="AC92" s="123"/>
      <c r="AD92" s="568" t="s">
        <v>126</v>
      </c>
      <c r="AE92" s="130">
        <f>boiler_eff_sc</f>
        <v>80</v>
      </c>
      <c r="AF92" s="64" t="s">
        <v>283</v>
      </c>
      <c r="AG92" s="129"/>
      <c r="AH92" s="46"/>
      <c r="AI92" s="46"/>
      <c r="AJ92" s="46"/>
      <c r="AK92" s="46"/>
      <c r="AL92" s="46"/>
      <c r="AM92" s="46"/>
      <c r="AN92" s="46"/>
      <c r="AO92" s="59"/>
      <c r="AP92" s="46"/>
      <c r="AQ92" s="46"/>
      <c r="AR92" s="46"/>
      <c r="AS92" s="46"/>
      <c r="AT92" s="46"/>
      <c r="AU92" s="46"/>
      <c r="AV92" s="46"/>
      <c r="AW92" s="46"/>
      <c r="AX92" s="46"/>
      <c r="AY92" s="46"/>
      <c r="AZ92" s="46"/>
      <c r="BA92" s="46"/>
      <c r="BB92" s="46"/>
      <c r="BC92"/>
      <c r="BD92"/>
      <c r="BE92"/>
      <c r="BF92"/>
      <c r="BG92"/>
      <c r="BH92"/>
      <c r="BI92"/>
      <c r="BJ92"/>
      <c r="BK92"/>
      <c r="BL92"/>
      <c r="BM92"/>
      <c r="BN92"/>
    </row>
    <row r="93" spans="1:66" x14ac:dyDescent="0.25">
      <c r="A93" s="46"/>
      <c r="B93" s="46"/>
      <c r="C93" s="46"/>
      <c r="D93" s="46"/>
      <c r="E93" s="46"/>
      <c r="F93" s="46"/>
      <c r="G93" s="46"/>
      <c r="H93" s="46"/>
      <c r="I93" s="46"/>
      <c r="J93" s="46"/>
      <c r="K93" s="46"/>
      <c r="L93" s="72"/>
      <c r="M93" s="72"/>
      <c r="N93" s="72"/>
      <c r="O93" s="72"/>
      <c r="P93" s="46"/>
      <c r="Q93" s="46"/>
      <c r="R93" s="46"/>
      <c r="S93" s="96"/>
      <c r="T93" s="46"/>
      <c r="U93" s="46"/>
      <c r="V93" s="46"/>
      <c r="W93" s="72"/>
      <c r="X93" s="89"/>
      <c r="Y93" s="89"/>
      <c r="Z93" s="89"/>
      <c r="AA93" s="89"/>
      <c r="AB93" s="89"/>
      <c r="AC93" s="866"/>
      <c r="AD93" s="568"/>
      <c r="AE93" s="82"/>
      <c r="AF93" s="64"/>
      <c r="AG93" s="129"/>
      <c r="AH93" s="46"/>
      <c r="AI93" s="46"/>
      <c r="AJ93" s="46"/>
      <c r="AK93" s="46"/>
      <c r="AL93" s="46"/>
      <c r="AM93" s="46"/>
      <c r="AN93" s="46"/>
      <c r="AO93" s="59"/>
      <c r="AP93" s="46"/>
      <c r="AQ93" s="46"/>
      <c r="AR93" s="46"/>
      <c r="AS93" s="46"/>
      <c r="AT93" s="46"/>
      <c r="AU93" s="46"/>
      <c r="AV93" s="46"/>
      <c r="AW93" s="46"/>
      <c r="AX93" s="46"/>
      <c r="AY93" s="46"/>
      <c r="AZ93" s="46"/>
      <c r="BA93" s="46"/>
      <c r="BB93" s="46"/>
      <c r="BC93"/>
      <c r="BD93"/>
      <c r="BE93"/>
      <c r="BF93"/>
      <c r="BG93"/>
      <c r="BH93"/>
      <c r="BI93"/>
      <c r="BJ93"/>
      <c r="BK93"/>
      <c r="BL93"/>
      <c r="BM93"/>
      <c r="BN93"/>
    </row>
    <row r="94" spans="1:66" x14ac:dyDescent="0.25">
      <c r="A94" s="46"/>
      <c r="B94" s="46"/>
      <c r="C94" s="46"/>
      <c r="D94" s="46"/>
      <c r="E94" s="46"/>
      <c r="F94" s="46"/>
      <c r="G94" s="46"/>
      <c r="H94" s="46"/>
      <c r="I94" s="46"/>
      <c r="J94" s="46"/>
      <c r="K94" s="46"/>
      <c r="L94" s="72"/>
      <c r="M94" s="72"/>
      <c r="N94" s="72"/>
      <c r="O94" s="72"/>
      <c r="P94" s="46"/>
      <c r="Q94" s="46"/>
      <c r="R94" s="46"/>
      <c r="S94" s="96"/>
      <c r="T94" s="46"/>
      <c r="U94" s="46"/>
      <c r="V94" s="46"/>
      <c r="W94" s="59"/>
      <c r="X94" s="72"/>
      <c r="Y94" s="72"/>
      <c r="Z94" s="72"/>
      <c r="AA94" s="72"/>
      <c r="AB94" s="72"/>
      <c r="AC94" s="123"/>
      <c r="AD94" s="568" t="s">
        <v>158</v>
      </c>
      <c r="AE94" s="112">
        <f>(S150*S114*(S320/S164))/(S118*60*60)</f>
        <v>26.963832993003475</v>
      </c>
      <c r="AF94" s="64" t="s">
        <v>647</v>
      </c>
      <c r="AG94" s="129"/>
      <c r="AH94" s="46"/>
      <c r="AI94" s="46"/>
      <c r="AJ94" s="46"/>
      <c r="AK94" s="46"/>
      <c r="AL94" s="46"/>
      <c r="AM94" s="46"/>
      <c r="AN94" s="46"/>
      <c r="AO94" s="59"/>
      <c r="AP94" s="46"/>
      <c r="AQ94" s="46"/>
      <c r="AR94" s="46"/>
      <c r="AS94" s="46"/>
      <c r="AT94" s="46"/>
      <c r="AU94" s="46"/>
      <c r="AV94" s="46"/>
      <c r="AW94" s="46"/>
      <c r="AX94" s="46"/>
      <c r="AY94" s="46"/>
      <c r="AZ94" s="46"/>
      <c r="BA94" s="46"/>
      <c r="BB94" s="46"/>
      <c r="BC94"/>
      <c r="BD94"/>
      <c r="BE94"/>
      <c r="BF94"/>
      <c r="BG94"/>
      <c r="BH94"/>
      <c r="BI94"/>
      <c r="BJ94"/>
      <c r="BK94"/>
      <c r="BL94"/>
      <c r="BM94"/>
      <c r="BN94"/>
    </row>
    <row r="95" spans="1:66" x14ac:dyDescent="0.25">
      <c r="A95" s="46"/>
      <c r="B95" s="46"/>
      <c r="C95" s="46"/>
      <c r="D95" s="46"/>
      <c r="E95" s="46"/>
      <c r="F95" s="46"/>
      <c r="G95" s="46"/>
      <c r="H95" s="46"/>
      <c r="I95" s="46"/>
      <c r="J95" s="46"/>
      <c r="K95" s="46"/>
      <c r="L95" s="72"/>
      <c r="M95" s="72"/>
      <c r="N95" s="72"/>
      <c r="O95" s="72"/>
      <c r="P95" s="46"/>
      <c r="Q95" s="46"/>
      <c r="R95" s="46"/>
      <c r="S95" s="96"/>
      <c r="T95" s="46"/>
      <c r="U95" s="46"/>
      <c r="V95" s="46"/>
      <c r="W95" s="59"/>
      <c r="X95" s="72"/>
      <c r="Y95" s="72"/>
      <c r="Z95" s="72"/>
      <c r="AA95" s="72"/>
      <c r="AB95" s="72"/>
      <c r="AC95" s="123"/>
      <c r="AD95" s="568"/>
      <c r="AE95" s="82"/>
      <c r="AF95" s="64"/>
      <c r="AG95" s="129"/>
      <c r="AH95" s="46"/>
      <c r="AI95" s="46"/>
      <c r="AJ95" s="46"/>
      <c r="AK95" s="46"/>
      <c r="AL95" s="46"/>
      <c r="AM95" s="46"/>
      <c r="AN95" s="46"/>
      <c r="AO95" s="59"/>
      <c r="AP95" s="46"/>
      <c r="AQ95" s="46"/>
      <c r="AR95" s="46"/>
      <c r="AS95" s="46"/>
      <c r="AT95" s="46"/>
      <c r="AU95" s="46"/>
      <c r="AV95" s="46"/>
      <c r="AW95" s="46"/>
      <c r="AX95" s="46"/>
      <c r="AY95" s="46"/>
      <c r="AZ95" s="46"/>
      <c r="BA95" s="46"/>
      <c r="BB95" s="46"/>
      <c r="BC95"/>
      <c r="BD95"/>
      <c r="BE95"/>
      <c r="BF95"/>
      <c r="BG95"/>
      <c r="BH95"/>
      <c r="BI95"/>
      <c r="BJ95"/>
      <c r="BK95"/>
      <c r="BL95"/>
      <c r="BM95"/>
      <c r="BN95"/>
    </row>
    <row r="96" spans="1:66" x14ac:dyDescent="0.25">
      <c r="A96" s="46"/>
      <c r="B96" s="46"/>
      <c r="C96" s="46"/>
      <c r="D96" s="46"/>
      <c r="E96" s="46"/>
      <c r="F96" s="46"/>
      <c r="G96" s="46"/>
      <c r="H96" s="46"/>
      <c r="I96" s="46"/>
      <c r="J96" s="46"/>
      <c r="K96" s="46"/>
      <c r="L96" s="72"/>
      <c r="M96" s="72"/>
      <c r="N96" s="72"/>
      <c r="O96" s="72"/>
      <c r="P96" s="46"/>
      <c r="Q96" s="46"/>
      <c r="R96" s="46"/>
      <c r="S96" s="96"/>
      <c r="T96" s="46"/>
      <c r="U96" s="46"/>
      <c r="V96" s="46"/>
      <c r="W96" s="59"/>
      <c r="X96" s="72"/>
      <c r="Y96" s="72"/>
      <c r="Z96" s="72"/>
      <c r="AA96" s="72"/>
      <c r="AB96" s="72"/>
      <c r="AC96" s="123"/>
      <c r="AD96" s="568" t="s">
        <v>127</v>
      </c>
      <c r="AE96" s="133">
        <f>($S$118*100)/8760</f>
        <v>49.315068493150683</v>
      </c>
      <c r="AF96" s="64" t="s">
        <v>283</v>
      </c>
      <c r="AG96" s="129"/>
      <c r="AH96" s="46"/>
      <c r="AI96" s="46"/>
      <c r="AJ96" s="46"/>
      <c r="AK96" s="46"/>
      <c r="AL96" s="46"/>
      <c r="AM96" s="46"/>
      <c r="AN96" s="46"/>
      <c r="AO96" s="59"/>
      <c r="AP96" s="46"/>
      <c r="AQ96" s="46"/>
      <c r="AR96" s="46"/>
      <c r="AS96" s="46"/>
      <c r="AT96" s="46"/>
      <c r="AU96" s="46"/>
      <c r="AV96" s="46"/>
      <c r="AW96" s="46"/>
      <c r="AX96" s="46"/>
      <c r="AY96" s="46"/>
      <c r="AZ96" s="46"/>
      <c r="BA96" s="46"/>
      <c r="BB96" s="46"/>
      <c r="BC96"/>
      <c r="BD96"/>
      <c r="BE96"/>
      <c r="BF96"/>
      <c r="BG96"/>
      <c r="BH96"/>
      <c r="BI96"/>
      <c r="BJ96"/>
      <c r="BK96"/>
      <c r="BL96"/>
      <c r="BM96"/>
      <c r="BN96"/>
    </row>
    <row r="97" spans="1:133" x14ac:dyDescent="0.25">
      <c r="A97" s="46"/>
      <c r="B97" s="46"/>
      <c r="C97" s="46"/>
      <c r="D97" s="46"/>
      <c r="E97" s="46"/>
      <c r="F97" s="46"/>
      <c r="G97" s="46"/>
      <c r="H97" s="46"/>
      <c r="I97" s="46"/>
      <c r="J97" s="46"/>
      <c r="K97" s="46"/>
      <c r="L97" s="72"/>
      <c r="M97" s="72"/>
      <c r="N97" s="72"/>
      <c r="O97" s="72"/>
      <c r="P97" s="46"/>
      <c r="Q97" s="46"/>
      <c r="R97" s="46"/>
      <c r="S97" s="96"/>
      <c r="T97" s="46"/>
      <c r="U97" s="46"/>
      <c r="V97" s="46"/>
      <c r="W97" s="46"/>
      <c r="X97" s="96"/>
      <c r="Y97" s="72"/>
      <c r="Z97" s="72"/>
      <c r="AA97" s="72"/>
      <c r="AB97" s="72"/>
      <c r="AC97" s="123"/>
      <c r="AD97" s="568"/>
      <c r="AE97" s="82"/>
      <c r="AF97" s="64"/>
      <c r="AG97" s="129"/>
      <c r="AH97" s="46"/>
      <c r="AI97" s="46"/>
      <c r="AJ97" s="46"/>
      <c r="AK97" s="46"/>
      <c r="AL97" s="46"/>
      <c r="AM97" s="46"/>
      <c r="AN97" s="46"/>
      <c r="AO97" s="59"/>
      <c r="AP97" s="46"/>
      <c r="AQ97" s="46"/>
      <c r="AR97" s="46"/>
      <c r="AS97" s="46"/>
      <c r="AT97" s="46"/>
      <c r="AU97" s="46"/>
      <c r="AV97" s="46"/>
      <c r="AW97" s="46"/>
      <c r="AX97" s="46"/>
      <c r="AY97" s="46"/>
      <c r="AZ97" s="46"/>
      <c r="BA97" s="46"/>
      <c r="BB97" s="46"/>
      <c r="BC97"/>
      <c r="BD97"/>
      <c r="BE97"/>
      <c r="BF97"/>
      <c r="BG97"/>
      <c r="BH97"/>
      <c r="BI97"/>
      <c r="BJ97"/>
      <c r="BK97"/>
      <c r="BL97"/>
      <c r="BM97"/>
      <c r="BN97"/>
    </row>
    <row r="98" spans="1:133" x14ac:dyDescent="0.25">
      <c r="A98" s="46"/>
      <c r="B98" s="46"/>
      <c r="C98" s="46"/>
      <c r="D98" s="46"/>
      <c r="E98" s="46"/>
      <c r="F98" s="46"/>
      <c r="G98" s="46"/>
      <c r="H98" s="46"/>
      <c r="I98" s="46"/>
      <c r="J98" s="46"/>
      <c r="K98" s="46"/>
      <c r="L98" s="72"/>
      <c r="M98" s="72"/>
      <c r="N98" s="72"/>
      <c r="O98" s="72"/>
      <c r="P98" s="46"/>
      <c r="Q98" s="46"/>
      <c r="R98" s="46"/>
      <c r="S98" s="96"/>
      <c r="T98" s="46"/>
      <c r="U98" s="46"/>
      <c r="V98" s="46"/>
      <c r="W98" s="46"/>
      <c r="X98" s="96"/>
      <c r="Y98" s="72"/>
      <c r="Z98" s="72"/>
      <c r="AA98" s="72"/>
      <c r="AB98" s="72"/>
      <c r="AC98" s="123"/>
      <c r="AD98" s="568" t="s">
        <v>128</v>
      </c>
      <c r="AE98" s="136">
        <f>$S$116</f>
        <v>20</v>
      </c>
      <c r="AF98" s="64" t="s">
        <v>428</v>
      </c>
      <c r="AG98" s="129"/>
      <c r="AH98" s="46"/>
      <c r="AI98" s="46"/>
      <c r="AJ98" s="46"/>
      <c r="AK98" s="46"/>
      <c r="AL98" s="46"/>
      <c r="AM98" s="46"/>
      <c r="AN98" s="46"/>
      <c r="AO98" s="59"/>
      <c r="AP98" s="46"/>
      <c r="AQ98" s="46"/>
      <c r="AR98" s="46"/>
      <c r="AS98" s="46"/>
      <c r="AT98" s="46"/>
      <c r="AU98" s="46"/>
      <c r="AV98" s="46"/>
      <c r="AW98" s="46"/>
      <c r="AX98" s="46"/>
      <c r="AY98" s="46"/>
      <c r="AZ98" s="46"/>
      <c r="BA98" s="46"/>
      <c r="BB98" s="46"/>
      <c r="BC98"/>
      <c r="BD98"/>
      <c r="BE98"/>
      <c r="BF98"/>
      <c r="BG98"/>
      <c r="BH98"/>
      <c r="BI98"/>
      <c r="BJ98"/>
      <c r="BK98"/>
      <c r="BL98"/>
      <c r="BM98"/>
      <c r="BN98"/>
    </row>
    <row r="99" spans="1:133" ht="13.8" thickBot="1" x14ac:dyDescent="0.3">
      <c r="A99" s="46"/>
      <c r="B99" s="46"/>
      <c r="C99" s="46"/>
      <c r="D99" s="46"/>
      <c r="E99" s="46"/>
      <c r="F99" s="46"/>
      <c r="G99" s="46"/>
      <c r="H99" s="46"/>
      <c r="I99" s="46"/>
      <c r="J99" s="46"/>
      <c r="K99" s="46"/>
      <c r="L99" s="72"/>
      <c r="M99" s="72"/>
      <c r="N99" s="72"/>
      <c r="O99" s="72"/>
      <c r="P99" s="46"/>
      <c r="Q99" s="46"/>
      <c r="R99" s="46"/>
      <c r="S99" s="96"/>
      <c r="T99" s="46"/>
      <c r="U99" s="46"/>
      <c r="V99" s="46"/>
      <c r="W99" s="46"/>
      <c r="X99" s="96"/>
      <c r="Y99" s="72"/>
      <c r="Z99" s="72"/>
      <c r="AA99" s="72"/>
      <c r="AB99" s="72"/>
      <c r="AC99" s="123"/>
      <c r="AD99" s="69"/>
      <c r="AE99" s="70"/>
      <c r="AF99" s="71"/>
      <c r="AG99" s="129"/>
      <c r="AH99" s="46"/>
      <c r="AI99" s="46"/>
      <c r="AJ99" s="46"/>
      <c r="AK99" s="46"/>
      <c r="AL99" s="46"/>
      <c r="AM99" s="46"/>
      <c r="AN99" s="46"/>
      <c r="AO99" s="59"/>
      <c r="AP99" s="46"/>
      <c r="AQ99" s="46"/>
      <c r="AR99" s="46"/>
      <c r="AS99" s="46"/>
      <c r="AT99" s="46"/>
      <c r="AU99" s="46"/>
      <c r="AV99" s="46"/>
      <c r="AW99" s="46"/>
      <c r="AX99" s="46"/>
      <c r="AY99" s="46"/>
      <c r="AZ99" s="46"/>
      <c r="BA99" s="46"/>
      <c r="BB99" s="46"/>
      <c r="BC99"/>
      <c r="BD99"/>
      <c r="BE99"/>
      <c r="BF99"/>
      <c r="BG99"/>
      <c r="BH99"/>
      <c r="BI99"/>
      <c r="BJ99"/>
      <c r="BK99"/>
      <c r="BL99"/>
      <c r="BM99"/>
      <c r="BN99"/>
    </row>
    <row r="100" spans="1:133" x14ac:dyDescent="0.25">
      <c r="A100" s="46"/>
      <c r="B100" s="46"/>
      <c r="C100" s="46"/>
      <c r="D100" s="46"/>
      <c r="E100" s="46"/>
      <c r="F100" s="46"/>
      <c r="G100" s="46"/>
      <c r="H100" s="46"/>
      <c r="I100" s="46"/>
      <c r="J100" s="46"/>
      <c r="K100" s="46"/>
      <c r="L100" s="72"/>
      <c r="M100" s="72"/>
      <c r="N100" s="72"/>
      <c r="O100" s="72"/>
      <c r="P100" s="46"/>
      <c r="Q100" s="46"/>
      <c r="R100" s="46"/>
      <c r="S100" s="96"/>
      <c r="T100" s="46"/>
      <c r="U100" s="46"/>
      <c r="V100" s="46"/>
      <c r="W100" s="46"/>
      <c r="X100" s="96"/>
      <c r="Y100" s="72"/>
      <c r="Z100" s="72"/>
      <c r="AA100" s="72"/>
      <c r="AB100" s="72"/>
      <c r="AC100" s="123"/>
      <c r="AD100" s="72"/>
      <c r="AE100" s="231"/>
      <c r="AF100" s="73"/>
      <c r="AG100" s="122"/>
      <c r="AH100" s="46"/>
      <c r="AI100" s="46"/>
      <c r="AJ100" s="46"/>
      <c r="AK100" s="46"/>
      <c r="AL100" s="46"/>
      <c r="AM100" s="46"/>
      <c r="AN100" s="46"/>
      <c r="AO100" s="59"/>
      <c r="AP100" s="46"/>
      <c r="AQ100" s="46"/>
      <c r="AR100" s="46"/>
      <c r="AS100" s="46"/>
      <c r="AT100" s="46"/>
      <c r="AU100" s="46"/>
      <c r="AV100" s="46"/>
      <c r="AW100" s="46"/>
      <c r="AX100" s="46"/>
      <c r="AY100" s="46"/>
      <c r="AZ100" s="46"/>
      <c r="BA100" s="46"/>
      <c r="BB100" s="46"/>
      <c r="BC100"/>
      <c r="BD100"/>
      <c r="BE100"/>
      <c r="BF100"/>
      <c r="BG100"/>
      <c r="BH100"/>
      <c r="BI100"/>
      <c r="BJ100"/>
      <c r="BK100"/>
      <c r="BL100"/>
      <c r="BM100"/>
      <c r="BN100"/>
    </row>
    <row r="101" spans="1:133" x14ac:dyDescent="0.25">
      <c r="A101" s="46"/>
      <c r="B101" s="46"/>
      <c r="C101" s="46"/>
      <c r="D101" s="46"/>
      <c r="E101" s="46"/>
      <c r="F101" s="46"/>
      <c r="G101" s="46"/>
      <c r="H101" s="46"/>
      <c r="I101" s="46"/>
      <c r="J101" s="46"/>
      <c r="K101" s="46"/>
      <c r="L101" s="72"/>
      <c r="M101" s="72"/>
      <c r="N101" s="72"/>
      <c r="O101" s="72"/>
      <c r="P101" s="46"/>
      <c r="Q101" s="46"/>
      <c r="R101" s="46"/>
      <c r="S101" s="96"/>
      <c r="T101" s="46"/>
      <c r="U101" s="46"/>
      <c r="V101" s="46"/>
      <c r="W101" s="46"/>
      <c r="X101" s="96"/>
      <c r="Y101" s="72"/>
      <c r="Z101" s="72"/>
      <c r="AA101" s="72"/>
      <c r="AB101" s="72"/>
      <c r="AC101" s="123"/>
      <c r="AD101" s="72"/>
      <c r="AE101" s="96"/>
      <c r="AF101" s="72"/>
      <c r="AG101" s="122"/>
      <c r="AH101" s="46"/>
      <c r="AI101" s="46"/>
      <c r="AJ101" s="46"/>
      <c r="AK101" s="46"/>
      <c r="AL101" s="46"/>
      <c r="AM101" s="46"/>
      <c r="AN101" s="46"/>
      <c r="AO101" s="59"/>
      <c r="AP101" s="46"/>
      <c r="AQ101" s="46"/>
      <c r="AR101" s="46"/>
      <c r="AS101" s="46"/>
      <c r="AT101" s="46"/>
      <c r="AU101" s="46"/>
      <c r="AV101" s="46"/>
      <c r="AW101" s="46"/>
      <c r="AX101" s="46"/>
      <c r="AY101" s="46"/>
      <c r="AZ101" s="46"/>
      <c r="BA101" s="46"/>
      <c r="BB101" s="46"/>
      <c r="BC101"/>
      <c r="BD101"/>
      <c r="BE101"/>
      <c r="BF101"/>
      <c r="BG101"/>
      <c r="BH101"/>
      <c r="BI101"/>
      <c r="BJ101"/>
      <c r="BK101"/>
      <c r="BL101"/>
      <c r="BM101"/>
      <c r="BN101"/>
    </row>
    <row r="102" spans="1:133" x14ac:dyDescent="0.25">
      <c r="A102" s="46"/>
      <c r="B102" s="46"/>
      <c r="C102" s="46"/>
      <c r="D102" s="46"/>
      <c r="E102" s="46"/>
      <c r="F102" s="46"/>
      <c r="G102" s="46"/>
      <c r="H102" s="46"/>
      <c r="I102" s="46"/>
      <c r="J102" s="46"/>
      <c r="K102" s="46"/>
      <c r="L102" s="72"/>
      <c r="M102" s="72"/>
      <c r="N102" s="72"/>
      <c r="O102" s="72"/>
      <c r="P102" s="46"/>
      <c r="Q102" s="46"/>
      <c r="R102" s="46"/>
      <c r="S102" s="96"/>
      <c r="T102" s="46"/>
      <c r="U102" s="46"/>
      <c r="V102" s="46"/>
      <c r="W102" s="46"/>
      <c r="X102" s="96"/>
      <c r="Y102" s="72"/>
      <c r="Z102" s="72"/>
      <c r="AA102" s="72"/>
      <c r="AB102" s="72"/>
      <c r="AC102" s="123"/>
      <c r="AD102" s="72"/>
      <c r="AE102" s="94"/>
      <c r="AF102" s="72"/>
      <c r="AG102" s="122"/>
      <c r="AH102" s="46"/>
      <c r="AI102" s="46"/>
      <c r="AJ102" s="46"/>
      <c r="AK102" s="46"/>
      <c r="AL102" s="46"/>
      <c r="AM102" s="46"/>
      <c r="AN102" s="46"/>
      <c r="AO102" s="59"/>
      <c r="AP102" s="46"/>
      <c r="AQ102" s="46"/>
      <c r="AR102" s="46"/>
      <c r="AS102" s="46"/>
      <c r="AT102" s="46"/>
      <c r="AU102" s="46"/>
      <c r="AV102" s="46"/>
      <c r="AW102" s="46"/>
      <c r="AX102" s="46"/>
      <c r="AY102" s="46"/>
      <c r="AZ102" s="46"/>
      <c r="BA102" s="46"/>
      <c r="BB102" s="46"/>
      <c r="BC102"/>
      <c r="BD102"/>
      <c r="BE102"/>
      <c r="BF102"/>
      <c r="BG102"/>
      <c r="BH102"/>
      <c r="BI102"/>
      <c r="BJ102"/>
      <c r="BK102"/>
      <c r="BL102"/>
      <c r="BM102"/>
      <c r="BN102"/>
    </row>
    <row r="103" spans="1:133" x14ac:dyDescent="0.25">
      <c r="A103" s="46"/>
      <c r="B103" s="46"/>
      <c r="C103" s="46"/>
      <c r="D103" s="46"/>
      <c r="E103" s="46"/>
      <c r="F103" s="46"/>
      <c r="G103" s="46"/>
      <c r="H103" s="46"/>
      <c r="I103" s="46"/>
      <c r="J103" s="46"/>
      <c r="K103" s="46"/>
      <c r="L103" s="72"/>
      <c r="M103" s="72"/>
      <c r="N103" s="72"/>
      <c r="O103" s="72"/>
      <c r="P103" s="46"/>
      <c r="Q103" s="46"/>
      <c r="R103" s="46"/>
      <c r="S103" s="96"/>
      <c r="T103" s="46"/>
      <c r="U103" s="46"/>
      <c r="V103" s="46"/>
      <c r="W103" s="46"/>
      <c r="X103" s="96"/>
      <c r="Y103" s="72"/>
      <c r="Z103" s="72"/>
      <c r="AA103" s="72"/>
      <c r="AB103" s="72"/>
      <c r="AC103" s="123"/>
      <c r="AD103" s="95"/>
      <c r="AE103" s="48"/>
      <c r="AF103" s="49"/>
      <c r="AG103" s="124"/>
      <c r="AH103" s="46"/>
      <c r="AI103" s="46"/>
      <c r="AJ103" s="46"/>
      <c r="AK103" s="46"/>
      <c r="AL103" s="46"/>
      <c r="AM103" s="46"/>
      <c r="AN103" s="46"/>
      <c r="AO103" s="1105"/>
      <c r="AP103" s="1106"/>
      <c r="AQ103" s="1063"/>
      <c r="AR103" s="46"/>
      <c r="AS103" s="46"/>
      <c r="AT103" s="46"/>
      <c r="AU103" s="46"/>
      <c r="AV103" s="46"/>
      <c r="AW103" s="46"/>
      <c r="AX103" s="46"/>
      <c r="AY103" s="46"/>
      <c r="AZ103" s="46"/>
      <c r="BA103" s="46"/>
      <c r="BB103" s="46"/>
      <c r="BC103"/>
      <c r="BD103"/>
      <c r="BE103"/>
      <c r="BF103"/>
      <c r="BG103"/>
      <c r="BH103"/>
      <c r="BI103"/>
      <c r="BJ103"/>
      <c r="BK103"/>
      <c r="BL103"/>
      <c r="BM103"/>
      <c r="BN103"/>
    </row>
    <row r="104" spans="1:133" x14ac:dyDescent="0.25">
      <c r="A104" s="46"/>
      <c r="B104" s="46"/>
      <c r="C104" s="46"/>
      <c r="D104" s="46"/>
      <c r="E104" s="46"/>
      <c r="F104" s="46"/>
      <c r="G104" s="46"/>
      <c r="H104" s="46"/>
      <c r="I104" s="46"/>
      <c r="J104" s="46"/>
      <c r="K104" s="46"/>
      <c r="L104" s="72"/>
      <c r="M104" s="72"/>
      <c r="N104" s="72"/>
      <c r="O104" s="72"/>
      <c r="P104" s="46"/>
      <c r="Q104" s="46"/>
      <c r="R104" s="46"/>
      <c r="S104" s="96"/>
      <c r="T104" s="46"/>
      <c r="U104" s="46"/>
      <c r="V104" s="46"/>
      <c r="W104" s="46"/>
      <c r="X104" s="96"/>
      <c r="Y104" s="72"/>
      <c r="Z104" s="72"/>
      <c r="AA104" s="72"/>
      <c r="AB104" s="72"/>
      <c r="AC104" s="123"/>
      <c r="AD104" s="567" t="s">
        <v>668</v>
      </c>
      <c r="AE104" s="112">
        <f>$S$152</f>
        <v>1872.5299203305694</v>
      </c>
      <c r="AF104" s="53" t="s">
        <v>565</v>
      </c>
      <c r="AG104" s="124"/>
      <c r="AH104" s="46"/>
      <c r="AI104" s="46"/>
      <c r="AJ104" s="46"/>
      <c r="AK104" s="46"/>
      <c r="AL104" s="46"/>
      <c r="AM104" s="46"/>
      <c r="AN104" s="46"/>
      <c r="AO104" s="59"/>
      <c r="AP104" s="46"/>
      <c r="AQ104" s="46"/>
      <c r="AR104" s="46"/>
      <c r="AS104" s="46"/>
      <c r="AT104" s="46"/>
      <c r="AU104" s="46"/>
      <c r="AV104" s="46"/>
      <c r="AW104" s="46"/>
      <c r="AX104" s="46"/>
      <c r="AY104" s="46"/>
      <c r="AZ104" s="46"/>
      <c r="BA104" s="46"/>
      <c r="BB104" s="46"/>
      <c r="BC104"/>
      <c r="BD104"/>
      <c r="BE104"/>
      <c r="BF104"/>
      <c r="BG104"/>
      <c r="BH104"/>
      <c r="BI104"/>
      <c r="BJ104"/>
      <c r="BK104"/>
      <c r="BL104"/>
      <c r="BM104"/>
      <c r="BN104"/>
    </row>
    <row r="105" spans="1:133" x14ac:dyDescent="0.25">
      <c r="A105" s="46"/>
      <c r="B105" s="46"/>
      <c r="C105" s="46"/>
      <c r="D105" s="46"/>
      <c r="E105" s="46"/>
      <c r="F105" s="46"/>
      <c r="G105" s="46"/>
      <c r="H105" s="46"/>
      <c r="I105" s="46"/>
      <c r="J105" s="46"/>
      <c r="K105" s="46"/>
      <c r="L105" s="72"/>
      <c r="M105" s="72"/>
      <c r="N105" s="72"/>
      <c r="O105" s="72"/>
      <c r="P105" s="46"/>
      <c r="Q105" s="46"/>
      <c r="R105" s="46"/>
      <c r="S105" s="96"/>
      <c r="T105" s="46"/>
      <c r="U105" s="46"/>
      <c r="V105" s="46"/>
      <c r="W105" s="46"/>
      <c r="X105" s="96"/>
      <c r="Y105" s="72"/>
      <c r="Z105" s="72"/>
      <c r="AA105" s="72"/>
      <c r="AB105" s="72"/>
      <c r="AC105" s="123"/>
      <c r="AD105" s="56"/>
      <c r="AE105" s="57"/>
      <c r="AF105" s="58"/>
      <c r="AG105" s="124"/>
      <c r="AH105" s="46"/>
      <c r="AI105" s="46"/>
      <c r="AJ105" s="46"/>
      <c r="AK105" s="46"/>
      <c r="AL105" s="46"/>
      <c r="AM105" s="46"/>
      <c r="AN105" s="46"/>
      <c r="AO105" s="59"/>
      <c r="AP105" s="46"/>
      <c r="AQ105" s="46"/>
      <c r="AR105" s="46"/>
      <c r="AS105" s="46"/>
      <c r="AT105" s="46"/>
      <c r="AU105" s="46"/>
      <c r="AV105" s="46"/>
      <c r="AW105" s="46"/>
      <c r="AX105" s="46"/>
      <c r="AY105" s="46"/>
      <c r="AZ105" s="46"/>
      <c r="BA105" s="46"/>
      <c r="BB105" s="46"/>
      <c r="BC105"/>
      <c r="BD105"/>
      <c r="BE105"/>
      <c r="BF105"/>
      <c r="BG105"/>
      <c r="BH105"/>
      <c r="BI105"/>
      <c r="BJ105"/>
      <c r="BK105"/>
      <c r="BL105"/>
      <c r="BM105"/>
      <c r="BN105"/>
    </row>
    <row r="106" spans="1:133" ht="13.8" thickBot="1" x14ac:dyDescent="0.3">
      <c r="A106" s="46"/>
      <c r="B106" s="46"/>
      <c r="C106" s="46"/>
      <c r="D106" s="46"/>
      <c r="E106" s="46"/>
      <c r="F106" s="46"/>
      <c r="G106" s="46"/>
      <c r="H106" s="46"/>
      <c r="I106" s="46"/>
      <c r="J106" s="46"/>
      <c r="K106" s="46"/>
      <c r="L106" s="72"/>
      <c r="M106" s="72"/>
      <c r="N106" s="72"/>
      <c r="O106" s="72"/>
      <c r="P106" s="46"/>
      <c r="Q106" s="46"/>
      <c r="R106" s="46"/>
      <c r="S106" s="96"/>
      <c r="T106" s="46"/>
      <c r="U106" s="46"/>
      <c r="V106" s="46"/>
      <c r="W106" s="46"/>
      <c r="X106" s="96"/>
      <c r="Y106" s="72"/>
      <c r="Z106" s="72"/>
      <c r="AA106" s="72"/>
      <c r="AB106" s="72"/>
      <c r="AC106" s="140"/>
      <c r="AD106" s="141"/>
      <c r="AE106" s="141"/>
      <c r="AF106" s="141"/>
      <c r="AG106" s="143"/>
      <c r="AH106" s="46"/>
      <c r="AI106" s="46"/>
      <c r="AJ106" s="46"/>
      <c r="AK106" s="46"/>
      <c r="AL106" s="46"/>
      <c r="AM106" s="95"/>
      <c r="AN106" s="48"/>
      <c r="AO106" s="48"/>
      <c r="AP106" s="48"/>
      <c r="AQ106" s="48"/>
      <c r="AR106" s="49"/>
      <c r="AS106" s="46"/>
      <c r="AT106" s="46"/>
      <c r="AU106" s="46"/>
      <c r="AV106" s="46"/>
      <c r="AW106" s="46"/>
      <c r="AX106" s="46"/>
      <c r="AY106" s="46"/>
      <c r="AZ106" s="46"/>
      <c r="BA106" s="46"/>
      <c r="BB106" s="46"/>
      <c r="BC106"/>
      <c r="BD106"/>
      <c r="BE106"/>
      <c r="BF106"/>
      <c r="BG106"/>
      <c r="BH106"/>
      <c r="BI106"/>
      <c r="BJ106"/>
      <c r="BK106"/>
      <c r="BL106"/>
      <c r="BM106"/>
      <c r="BN106"/>
    </row>
    <row r="107" spans="1:133" x14ac:dyDescent="0.25">
      <c r="A107" s="46"/>
      <c r="B107" s="46"/>
      <c r="C107" s="46"/>
      <c r="D107" s="46"/>
      <c r="E107" s="46"/>
      <c r="F107" s="46"/>
      <c r="G107" s="46"/>
      <c r="H107" s="46"/>
      <c r="I107" s="46"/>
      <c r="J107" s="46"/>
      <c r="K107" s="46"/>
      <c r="L107" s="72"/>
      <c r="M107" s="72"/>
      <c r="N107" s="72"/>
      <c r="O107" s="72"/>
      <c r="P107" s="46"/>
      <c r="Q107" s="46"/>
      <c r="R107" s="46"/>
      <c r="S107" s="96"/>
      <c r="T107" s="46"/>
      <c r="U107" s="46"/>
      <c r="V107" s="46"/>
      <c r="W107" s="46"/>
      <c r="X107" s="96"/>
      <c r="Y107" s="72"/>
      <c r="Z107" s="72"/>
      <c r="AA107" s="72"/>
      <c r="AB107" s="72"/>
      <c r="AC107" s="46"/>
      <c r="AD107" s="46"/>
      <c r="AE107" s="46"/>
      <c r="AF107" s="46"/>
      <c r="AG107" s="46"/>
      <c r="AH107" s="46"/>
      <c r="AI107" s="46"/>
      <c r="AJ107" s="46"/>
      <c r="AK107" s="46"/>
      <c r="AL107" s="46"/>
      <c r="AM107" s="1561" t="s">
        <v>1568</v>
      </c>
      <c r="AN107" s="1572"/>
      <c r="AO107" s="112">
        <f>AG307+AG349</f>
        <v>73329.929324190409</v>
      </c>
      <c r="AP107" s="229" t="s">
        <v>446</v>
      </c>
      <c r="AQ107" s="51"/>
      <c r="AR107" s="53"/>
      <c r="AS107" s="46"/>
      <c r="AT107" s="46"/>
      <c r="AU107" s="46"/>
      <c r="AV107" s="46"/>
      <c r="AW107" s="46"/>
      <c r="AX107" s="46"/>
      <c r="AY107" s="46"/>
      <c r="AZ107" s="46"/>
      <c r="BA107" s="46"/>
      <c r="BB107" s="46"/>
      <c r="BC107"/>
      <c r="BD107"/>
      <c r="BE107"/>
      <c r="BF107"/>
      <c r="BG107"/>
      <c r="BH107"/>
      <c r="BI107"/>
      <c r="BJ107"/>
      <c r="BK107"/>
      <c r="BL107"/>
      <c r="BM107"/>
      <c r="BN107"/>
    </row>
    <row r="108" spans="1:133" x14ac:dyDescent="0.25">
      <c r="A108" s="46"/>
      <c r="B108" s="46"/>
      <c r="C108" s="46"/>
      <c r="D108" s="46"/>
      <c r="E108" s="46"/>
      <c r="F108" s="46"/>
      <c r="G108" s="46"/>
      <c r="H108" s="46"/>
      <c r="I108" s="46"/>
      <c r="J108" s="46"/>
      <c r="K108" s="46"/>
      <c r="L108" s="72"/>
      <c r="M108" s="72"/>
      <c r="N108" s="72"/>
      <c r="O108" s="72"/>
      <c r="P108" s="46"/>
      <c r="Q108" s="46"/>
      <c r="R108" s="46"/>
      <c r="S108" s="96"/>
      <c r="T108" s="46"/>
      <c r="U108" s="46"/>
      <c r="V108" s="46"/>
      <c r="W108" s="46"/>
      <c r="X108" s="96"/>
      <c r="Y108" s="72"/>
      <c r="Z108" s="72"/>
      <c r="AA108" s="72"/>
      <c r="AB108" s="72"/>
      <c r="AC108" s="46"/>
      <c r="AD108" s="46"/>
      <c r="AE108" s="75"/>
      <c r="AF108" s="76"/>
      <c r="AG108" s="76"/>
      <c r="AH108" s="76"/>
      <c r="AI108" s="76"/>
      <c r="AJ108" s="76"/>
      <c r="AK108" s="76"/>
      <c r="AL108" s="76"/>
      <c r="AM108" s="56"/>
      <c r="AN108" s="57"/>
      <c r="AO108" s="57"/>
      <c r="AP108" s="57"/>
      <c r="AQ108" s="57"/>
      <c r="AR108" s="58"/>
      <c r="AS108" s="46"/>
      <c r="AT108" s="46"/>
      <c r="AU108" s="46"/>
      <c r="AV108" s="46"/>
      <c r="AW108" s="46"/>
      <c r="AX108" s="46"/>
      <c r="AY108" s="46"/>
      <c r="AZ108" s="46"/>
      <c r="BA108" s="46"/>
      <c r="BB108" s="46"/>
      <c r="BC108"/>
      <c r="BD108"/>
      <c r="BE108"/>
      <c r="BF108"/>
      <c r="BG108"/>
      <c r="BH108"/>
      <c r="BI108"/>
      <c r="BJ108"/>
      <c r="BK108"/>
      <c r="BL108"/>
      <c r="BM108"/>
      <c r="BN108"/>
    </row>
    <row r="109" spans="1:133" x14ac:dyDescent="0.25">
      <c r="A109" s="46"/>
      <c r="B109" s="46"/>
      <c r="C109" s="46"/>
      <c r="D109" s="46"/>
      <c r="E109" s="46"/>
      <c r="F109" s="46"/>
      <c r="G109" s="46"/>
      <c r="H109" s="46"/>
      <c r="I109" s="46"/>
      <c r="J109" s="46"/>
      <c r="K109" s="46"/>
      <c r="L109" s="72"/>
      <c r="M109" s="72"/>
      <c r="N109" s="72"/>
      <c r="O109" s="72"/>
      <c r="P109" s="46"/>
      <c r="Q109" s="46"/>
      <c r="R109" s="46"/>
      <c r="S109" s="96"/>
      <c r="T109" s="46"/>
      <c r="U109" s="46"/>
      <c r="V109" s="46"/>
      <c r="W109" s="46"/>
      <c r="X109" s="96"/>
      <c r="Y109" s="72"/>
      <c r="Z109" s="72"/>
      <c r="AA109" s="72"/>
      <c r="AB109" s="72"/>
      <c r="AC109" s="46"/>
      <c r="AD109" s="46"/>
      <c r="AE109" s="96"/>
      <c r="AF109" s="72"/>
      <c r="AG109" s="72"/>
      <c r="AH109" s="72"/>
      <c r="AI109" s="72"/>
      <c r="AJ109" s="72"/>
      <c r="AK109" s="72"/>
      <c r="AL109" s="72"/>
      <c r="AM109" s="72"/>
      <c r="AN109" s="443"/>
      <c r="AO109" s="545"/>
      <c r="AP109" s="443"/>
      <c r="AQ109" s="443"/>
      <c r="AR109" s="443"/>
      <c r="AS109" s="443"/>
      <c r="AT109" s="46"/>
      <c r="AU109" s="46"/>
      <c r="AV109" s="46"/>
      <c r="AW109" s="46"/>
      <c r="AX109" s="46"/>
      <c r="AY109" s="46"/>
      <c r="AZ109" s="46"/>
      <c r="BA109" s="46"/>
      <c r="BB109" s="46"/>
      <c r="BC109"/>
      <c r="BD109"/>
      <c r="BE109"/>
      <c r="BF109"/>
      <c r="BG109"/>
      <c r="BH109"/>
      <c r="BI109"/>
      <c r="BJ109"/>
      <c r="BK109"/>
      <c r="BL109"/>
      <c r="BM109"/>
      <c r="BN109"/>
    </row>
    <row r="110" spans="1:133" s="46" customFormat="1" ht="13.8" thickBot="1" x14ac:dyDescent="0.3">
      <c r="J110" s="72"/>
      <c r="K110" s="72"/>
      <c r="L110" s="72"/>
      <c r="M110" s="72"/>
      <c r="N110" s="72"/>
      <c r="O110" s="72"/>
      <c r="P110" s="72"/>
      <c r="Q110" s="72"/>
      <c r="R110" s="59"/>
      <c r="S110" s="72"/>
      <c r="T110" s="72"/>
      <c r="U110" s="72"/>
      <c r="X110" s="96"/>
      <c r="Y110" s="72"/>
      <c r="Z110" s="72"/>
      <c r="AA110" s="72"/>
      <c r="AB110" s="72"/>
      <c r="AC110" s="141"/>
      <c r="AD110" s="575"/>
      <c r="AE110" s="96"/>
      <c r="AF110" s="72"/>
      <c r="AG110" s="72"/>
      <c r="AH110" s="72"/>
      <c r="AI110" s="72"/>
      <c r="AJ110" s="72"/>
      <c r="AK110" s="72"/>
      <c r="AL110" s="72"/>
      <c r="AM110" s="72"/>
      <c r="AN110" s="72"/>
      <c r="AO110" s="59"/>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c r="CB110" s="43"/>
      <c r="CC110" s="43"/>
      <c r="CD110" s="43"/>
      <c r="CE110" s="43"/>
      <c r="CF110" s="43"/>
      <c r="CG110" s="43"/>
      <c r="CH110" s="43"/>
      <c r="CI110" s="43"/>
      <c r="CJ110" s="43"/>
      <c r="CK110" s="43"/>
      <c r="CL110" s="43"/>
      <c r="CM110" s="43"/>
      <c r="CN110" s="43"/>
      <c r="CO110" s="43"/>
      <c r="CP110" s="43"/>
      <c r="CQ110" s="43"/>
      <c r="CR110" s="43"/>
      <c r="CS110" s="43"/>
      <c r="CT110" s="43"/>
      <c r="CU110" s="43"/>
      <c r="CV110" s="43"/>
      <c r="CW110" s="43"/>
      <c r="CX110" s="43"/>
      <c r="CY110" s="43"/>
      <c r="CZ110" s="43"/>
      <c r="DA110" s="43"/>
      <c r="DB110" s="43"/>
      <c r="DC110" s="43"/>
      <c r="DD110" s="43"/>
      <c r="DE110" s="43"/>
      <c r="DF110" s="43"/>
      <c r="DG110" s="43"/>
      <c r="DH110" s="43"/>
      <c r="DI110" s="43"/>
      <c r="DJ110" s="43"/>
      <c r="DK110" s="43"/>
      <c r="DL110" s="43"/>
      <c r="DM110" s="43"/>
      <c r="DN110" s="43"/>
      <c r="DO110" s="43"/>
      <c r="DP110" s="43"/>
      <c r="DQ110" s="43"/>
      <c r="DR110" s="43"/>
      <c r="DS110" s="43"/>
      <c r="DT110" s="43"/>
      <c r="DU110" s="43"/>
      <c r="DV110" s="43"/>
      <c r="DW110" s="43"/>
      <c r="DX110" s="43"/>
      <c r="DY110" s="43"/>
      <c r="DZ110" s="43"/>
      <c r="EA110" s="43"/>
      <c r="EB110" s="43"/>
      <c r="EC110" s="43"/>
    </row>
    <row r="111" spans="1:133" s="46" customFormat="1" x14ac:dyDescent="0.25">
      <c r="J111" s="72"/>
      <c r="K111" s="246"/>
      <c r="L111" s="72"/>
      <c r="M111" s="72"/>
      <c r="N111" s="72"/>
      <c r="P111" s="281"/>
      <c r="Q111" s="60"/>
      <c r="R111" s="60"/>
      <c r="S111" s="60"/>
      <c r="T111" s="60"/>
      <c r="U111" s="61"/>
      <c r="X111" s="96"/>
      <c r="Y111" s="72"/>
      <c r="Z111" s="72"/>
      <c r="AA111" s="72"/>
      <c r="AB111" s="72"/>
      <c r="AC111" s="126"/>
      <c r="AD111" s="576" t="s">
        <v>1579</v>
      </c>
      <c r="AE111" s="127"/>
      <c r="AF111" s="127"/>
      <c r="AG111" s="121"/>
      <c r="AH111" s="123"/>
      <c r="AO111" s="59"/>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c r="DK111" s="43"/>
      <c r="DL111" s="43"/>
      <c r="DM111" s="43"/>
      <c r="DN111" s="43"/>
      <c r="DO111" s="43"/>
      <c r="DP111" s="43"/>
      <c r="DQ111" s="43"/>
      <c r="DR111" s="43"/>
      <c r="DS111" s="43"/>
      <c r="DT111" s="43"/>
      <c r="DU111" s="43"/>
      <c r="DV111" s="43"/>
      <c r="DW111" s="43"/>
      <c r="DX111" s="43"/>
      <c r="DY111" s="43"/>
      <c r="DZ111" s="43"/>
      <c r="EA111" s="43"/>
      <c r="EB111" s="43"/>
      <c r="EC111" s="43"/>
    </row>
    <row r="112" spans="1:133" s="46" customFormat="1" x14ac:dyDescent="0.25">
      <c r="A112" s="72"/>
      <c r="B112" s="72"/>
      <c r="C112" s="72"/>
      <c r="D112" s="72"/>
      <c r="E112" s="72"/>
      <c r="F112" s="72"/>
      <c r="G112" s="72"/>
      <c r="H112" s="72"/>
      <c r="I112" s="72"/>
      <c r="J112" s="72"/>
      <c r="K112" s="72"/>
      <c r="L112" s="72"/>
      <c r="M112" s="72"/>
      <c r="N112" s="72"/>
      <c r="P112" s="91"/>
      <c r="Q112" s="92"/>
      <c r="R112" s="1552" t="s">
        <v>580</v>
      </c>
      <c r="S112" s="1552"/>
      <c r="T112" s="92"/>
      <c r="U112" s="64"/>
      <c r="X112" s="96"/>
      <c r="Y112" s="72"/>
      <c r="Z112" s="72"/>
      <c r="AA112" s="72"/>
      <c r="AB112" s="72"/>
      <c r="AC112" s="123"/>
      <c r="AD112" s="90"/>
      <c r="AE112" s="72"/>
      <c r="AF112" s="72"/>
      <c r="AG112" s="122"/>
      <c r="AH112" s="123"/>
      <c r="AO112" s="59"/>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43"/>
      <c r="DG112" s="43"/>
      <c r="DH112" s="43"/>
      <c r="DI112" s="43"/>
      <c r="DJ112" s="43"/>
      <c r="DK112" s="43"/>
      <c r="DL112" s="43"/>
      <c r="DM112" s="43"/>
      <c r="DN112" s="43"/>
      <c r="DO112" s="43"/>
      <c r="DP112" s="43"/>
      <c r="DQ112" s="43"/>
      <c r="DR112" s="43"/>
      <c r="DS112" s="43"/>
      <c r="DT112" s="43"/>
      <c r="DU112" s="43"/>
      <c r="DV112" s="43"/>
      <c r="DW112" s="43"/>
      <c r="DX112" s="43"/>
      <c r="DY112" s="43"/>
      <c r="DZ112" s="43"/>
      <c r="EA112" s="43"/>
      <c r="EB112" s="43"/>
      <c r="EC112" s="43"/>
    </row>
    <row r="113" spans="1:133" s="46" customFormat="1" x14ac:dyDescent="0.25">
      <c r="J113" s="72"/>
      <c r="M113" s="72"/>
      <c r="N113" s="72"/>
      <c r="P113" s="62"/>
      <c r="Q113" s="82"/>
      <c r="R113" s="82"/>
      <c r="S113" s="82"/>
      <c r="T113" s="82"/>
      <c r="U113" s="64"/>
      <c r="X113" s="96"/>
      <c r="Y113" s="72"/>
      <c r="Z113" s="72"/>
      <c r="AA113" s="72"/>
      <c r="AB113" s="72"/>
      <c r="AC113" s="123"/>
      <c r="AD113" s="428"/>
      <c r="AE113" s="48"/>
      <c r="AF113" s="49"/>
      <c r="AG113" s="122"/>
      <c r="AH113" s="123"/>
      <c r="AO113" s="59"/>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c r="DK113" s="43"/>
      <c r="DL113" s="43"/>
      <c r="DM113" s="43"/>
      <c r="DN113" s="43"/>
      <c r="DO113" s="43"/>
      <c r="DP113" s="43"/>
      <c r="DQ113" s="43"/>
      <c r="DR113" s="43"/>
      <c r="DS113" s="43"/>
      <c r="DT113" s="43"/>
      <c r="DU113" s="43"/>
      <c r="DV113" s="43"/>
      <c r="DW113" s="43"/>
      <c r="DX113" s="43"/>
      <c r="DY113" s="43"/>
      <c r="DZ113" s="43"/>
      <c r="EA113" s="43"/>
      <c r="EB113" s="43"/>
      <c r="EC113" s="43"/>
    </row>
    <row r="114" spans="1:133" s="46" customFormat="1" x14ac:dyDescent="0.25">
      <c r="J114" s="72"/>
      <c r="M114" s="72"/>
      <c r="N114" s="72"/>
      <c r="P114" s="62"/>
      <c r="Q114" s="82"/>
      <c r="R114" s="1072" t="s">
        <v>1544</v>
      </c>
      <c r="S114" s="55">
        <f>prod_pl_input_sc</f>
        <v>500000</v>
      </c>
      <c r="T114" s="921" t="s">
        <v>1549</v>
      </c>
      <c r="U114" s="64"/>
      <c r="X114" s="96"/>
      <c r="Y114" s="72"/>
      <c r="Z114" s="72"/>
      <c r="AA114" s="72"/>
      <c r="AB114" s="72"/>
      <c r="AC114" s="123"/>
      <c r="AD114" s="1023" t="s">
        <v>1436</v>
      </c>
      <c r="AE114" s="112">
        <f>IF(AO107&gt;(S150*100/AE124),0,(S150*100/AE124)-AO107)</f>
        <v>0</v>
      </c>
      <c r="AF114" s="53" t="s">
        <v>446</v>
      </c>
      <c r="AG114" s="122"/>
      <c r="AH114" s="123"/>
      <c r="AO114" s="59"/>
      <c r="BC114" s="43"/>
      <c r="BD114" s="43"/>
      <c r="BE114" s="43"/>
      <c r="BF114" s="43"/>
      <c r="BG114" s="43"/>
      <c r="BH114" s="43"/>
      <c r="BI114" s="43"/>
      <c r="BJ114" s="43"/>
      <c r="BK114" s="43"/>
      <c r="BL114" s="43"/>
      <c r="BM114" s="43"/>
      <c r="BN114" s="43"/>
      <c r="BO114" s="43"/>
      <c r="BP114" s="43"/>
      <c r="BQ114" s="43"/>
      <c r="BR114" s="43"/>
      <c r="BS114" s="43"/>
      <c r="BT114" s="43"/>
      <c r="BU114" s="43"/>
      <c r="BV114" s="43"/>
      <c r="BW114" s="43"/>
      <c r="BX114" s="43"/>
      <c r="BY114" s="43"/>
      <c r="BZ114" s="43"/>
      <c r="CA114" s="43"/>
      <c r="CB114" s="43"/>
      <c r="CC114" s="43"/>
      <c r="CD114" s="43"/>
      <c r="CE114" s="43"/>
      <c r="CF114" s="43"/>
      <c r="CG114" s="43"/>
      <c r="CH114" s="43"/>
      <c r="CI114" s="43"/>
      <c r="CJ114" s="43"/>
      <c r="CK114" s="43"/>
      <c r="CL114" s="43"/>
      <c r="CM114" s="43"/>
      <c r="CN114" s="43"/>
      <c r="CO114" s="43"/>
      <c r="CP114" s="43"/>
      <c r="CQ114" s="43"/>
      <c r="CR114" s="43"/>
      <c r="CS114" s="43"/>
      <c r="CT114" s="43"/>
      <c r="CU114" s="43"/>
      <c r="CV114" s="43"/>
      <c r="CW114" s="43"/>
      <c r="CX114" s="43"/>
      <c r="CY114" s="43"/>
      <c r="CZ114" s="43"/>
      <c r="DA114" s="43"/>
      <c r="DB114" s="43"/>
      <c r="DC114" s="43"/>
      <c r="DD114" s="43"/>
      <c r="DE114" s="43"/>
      <c r="DF114" s="43"/>
      <c r="DG114" s="43"/>
      <c r="DH114" s="43"/>
      <c r="DI114" s="43"/>
      <c r="DJ114" s="43"/>
      <c r="DK114" s="43"/>
      <c r="DL114" s="43"/>
      <c r="DM114" s="43"/>
      <c r="DN114" s="43"/>
      <c r="DO114" s="43"/>
      <c r="DP114" s="43"/>
      <c r="DQ114" s="43"/>
      <c r="DR114" s="43"/>
      <c r="DS114" s="43"/>
      <c r="DT114" s="43"/>
      <c r="DU114" s="43"/>
      <c r="DV114" s="43"/>
      <c r="DW114" s="43"/>
      <c r="DX114" s="43"/>
      <c r="DY114" s="43"/>
      <c r="DZ114" s="43"/>
      <c r="EA114" s="43"/>
      <c r="EB114" s="43"/>
      <c r="EC114" s="43"/>
    </row>
    <row r="115" spans="1:133" s="46" customFormat="1" x14ac:dyDescent="0.25">
      <c r="J115" s="72"/>
      <c r="M115" s="72"/>
      <c r="N115" s="72"/>
      <c r="P115" s="62"/>
      <c r="Q115" s="82"/>
      <c r="R115" s="66"/>
      <c r="S115" s="82"/>
      <c r="T115" s="82"/>
      <c r="U115" s="64"/>
      <c r="X115" s="96"/>
      <c r="Y115" s="72"/>
      <c r="Z115" s="72"/>
      <c r="AA115" s="72"/>
      <c r="AB115" s="72"/>
      <c r="AC115" s="123"/>
      <c r="AD115" s="431"/>
      <c r="AE115" s="569"/>
      <c r="AF115" s="53"/>
      <c r="AG115" s="122"/>
      <c r="AH115" s="123"/>
      <c r="AO115" s="59"/>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c r="DK115" s="43"/>
      <c r="DL115" s="43"/>
      <c r="DM115" s="43"/>
      <c r="DN115" s="43"/>
      <c r="DO115" s="43"/>
      <c r="DP115" s="43"/>
      <c r="DQ115" s="43"/>
      <c r="DR115" s="43"/>
      <c r="DS115" s="43"/>
      <c r="DT115" s="43"/>
      <c r="DU115" s="43"/>
      <c r="DV115" s="43"/>
      <c r="DW115" s="43"/>
      <c r="DX115" s="43"/>
      <c r="DY115" s="43"/>
      <c r="DZ115" s="43"/>
      <c r="EA115" s="43"/>
      <c r="EB115" s="43"/>
      <c r="EC115" s="43"/>
    </row>
    <row r="116" spans="1:133" s="46" customFormat="1" x14ac:dyDescent="0.25">
      <c r="J116" s="72"/>
      <c r="M116" s="72"/>
      <c r="N116" s="72"/>
      <c r="P116" s="62"/>
      <c r="Q116" s="82"/>
      <c r="R116" s="1399" t="s">
        <v>1545</v>
      </c>
      <c r="S116" s="88">
        <f>prod_pl_life_sc</f>
        <v>20</v>
      </c>
      <c r="T116" s="232" t="s">
        <v>428</v>
      </c>
      <c r="U116" s="64"/>
      <c r="X116" s="96"/>
      <c r="Y116" s="72"/>
      <c r="Z116" s="72"/>
      <c r="AA116" s="72"/>
      <c r="AB116" s="72"/>
      <c r="AC116" s="123"/>
      <c r="AD116" s="520" t="s">
        <v>658</v>
      </c>
      <c r="AE116" s="112">
        <f>IF(AO107&gt;(S150*100/AE124),(S150*100/AE124),AO107)</f>
        <v>10111.483480784862</v>
      </c>
      <c r="AF116" s="53" t="s">
        <v>446</v>
      </c>
      <c r="AG116" s="122"/>
      <c r="AH116" s="123"/>
      <c r="AO116" s="59"/>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c r="CB116" s="43"/>
      <c r="CC116" s="43"/>
      <c r="CD116" s="43"/>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43"/>
      <c r="DB116" s="43"/>
      <c r="DC116" s="43"/>
      <c r="DD116" s="43"/>
      <c r="DE116" s="43"/>
      <c r="DF116" s="43"/>
      <c r="DG116" s="43"/>
      <c r="DH116" s="43"/>
      <c r="DI116" s="43"/>
      <c r="DJ116" s="43"/>
      <c r="DK116" s="43"/>
      <c r="DL116" s="43"/>
      <c r="DM116" s="43"/>
      <c r="DN116" s="43"/>
      <c r="DO116" s="43"/>
      <c r="DP116" s="43"/>
      <c r="DQ116" s="43"/>
      <c r="DR116" s="43"/>
      <c r="DS116" s="43"/>
      <c r="DT116" s="43"/>
      <c r="DU116" s="43"/>
      <c r="DV116" s="43"/>
      <c r="DW116" s="43"/>
      <c r="DX116" s="43"/>
      <c r="DY116" s="43"/>
      <c r="DZ116" s="43"/>
      <c r="EA116" s="43"/>
      <c r="EB116" s="43"/>
      <c r="EC116" s="43"/>
    </row>
    <row r="117" spans="1:133" s="46" customFormat="1" x14ac:dyDescent="0.25">
      <c r="J117" s="72"/>
      <c r="M117" s="72"/>
      <c r="N117" s="72"/>
      <c r="P117" s="62"/>
      <c r="Q117" s="82"/>
      <c r="R117" s="82"/>
      <c r="S117" s="82"/>
      <c r="T117" s="82"/>
      <c r="U117" s="64"/>
      <c r="X117" s="96"/>
      <c r="Y117" s="72"/>
      <c r="Z117" s="72"/>
      <c r="AA117" s="72"/>
      <c r="AB117" s="72"/>
      <c r="AC117" s="123"/>
      <c r="AD117" s="434"/>
      <c r="AE117" s="57"/>
      <c r="AF117" s="58"/>
      <c r="AG117" s="122"/>
      <c r="AH117" s="123"/>
      <c r="AO117" s="59"/>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c r="CB117" s="43"/>
      <c r="CC117" s="43"/>
      <c r="CD117" s="43"/>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43"/>
      <c r="DB117" s="43"/>
      <c r="DC117" s="43"/>
      <c r="DD117" s="43"/>
      <c r="DE117" s="43"/>
      <c r="DF117" s="43"/>
      <c r="DG117" s="43"/>
      <c r="DH117" s="43"/>
      <c r="DI117" s="43"/>
      <c r="DJ117" s="43"/>
      <c r="DK117" s="43"/>
      <c r="DL117" s="43"/>
      <c r="DM117" s="43"/>
      <c r="DN117" s="43"/>
      <c r="DO117" s="43"/>
      <c r="DP117" s="43"/>
      <c r="DQ117" s="43"/>
      <c r="DR117" s="43"/>
      <c r="DS117" s="43"/>
      <c r="DT117" s="43"/>
      <c r="DU117" s="43"/>
      <c r="DV117" s="43"/>
      <c r="DW117" s="43"/>
      <c r="DX117" s="43"/>
      <c r="DY117" s="43"/>
      <c r="DZ117" s="43"/>
      <c r="EA117" s="43"/>
      <c r="EB117" s="43"/>
      <c r="EC117" s="43"/>
    </row>
    <row r="118" spans="1:133" s="46" customFormat="1" ht="13.8" thickBot="1" x14ac:dyDescent="0.3">
      <c r="A118" s="72"/>
      <c r="B118" s="72"/>
      <c r="C118" s="72"/>
      <c r="D118" s="72"/>
      <c r="E118" s="72"/>
      <c r="F118" s="72"/>
      <c r="G118" s="72"/>
      <c r="H118" s="72"/>
      <c r="I118" s="72"/>
      <c r="J118" s="72"/>
      <c r="M118" s="72"/>
      <c r="N118" s="72"/>
      <c r="P118" s="62"/>
      <c r="Q118" s="1575" t="s">
        <v>1546</v>
      </c>
      <c r="R118" s="1556"/>
      <c r="S118" s="88">
        <f>prod_pl_op_time_sc</f>
        <v>4320</v>
      </c>
      <c r="T118" s="232" t="s">
        <v>581</v>
      </c>
      <c r="U118" s="64"/>
      <c r="X118" s="96"/>
      <c r="Y118" s="72"/>
      <c r="Z118" s="72"/>
      <c r="AA118" s="72"/>
      <c r="AB118" s="72"/>
      <c r="AC118" s="123"/>
      <c r="AD118" s="72"/>
      <c r="AE118" s="72"/>
      <c r="AF118" s="72"/>
      <c r="AG118" s="122"/>
      <c r="AH118" s="123"/>
      <c r="AO118" s="59"/>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c r="DK118" s="43"/>
      <c r="DL118" s="43"/>
      <c r="DM118" s="43"/>
      <c r="DN118" s="43"/>
      <c r="DO118" s="43"/>
      <c r="DP118" s="43"/>
      <c r="DQ118" s="43"/>
      <c r="DR118" s="43"/>
      <c r="DS118" s="43"/>
      <c r="DT118" s="43"/>
      <c r="DU118" s="43"/>
      <c r="DV118" s="43"/>
      <c r="DW118" s="43"/>
      <c r="DX118" s="43"/>
      <c r="DY118" s="43"/>
      <c r="DZ118" s="43"/>
      <c r="EA118" s="43"/>
      <c r="EB118" s="43"/>
      <c r="EC118" s="43"/>
    </row>
    <row r="119" spans="1:133" ht="13.8" thickBot="1" x14ac:dyDescent="0.3">
      <c r="A119" s="72"/>
      <c r="B119" s="72"/>
      <c r="C119" s="72"/>
      <c r="D119" s="72"/>
      <c r="E119" s="72"/>
      <c r="F119" s="72"/>
      <c r="G119" s="72"/>
      <c r="H119" s="72"/>
      <c r="I119" s="72"/>
      <c r="J119" s="72"/>
      <c r="K119" s="46"/>
      <c r="L119" s="46"/>
      <c r="M119" s="72"/>
      <c r="N119" s="72"/>
      <c r="O119" s="46"/>
      <c r="P119" s="69"/>
      <c r="Q119" s="70"/>
      <c r="R119" s="70"/>
      <c r="S119" s="70"/>
      <c r="T119" s="70"/>
      <c r="U119" s="71"/>
      <c r="V119" s="46"/>
      <c r="W119" s="46"/>
      <c r="X119" s="96"/>
      <c r="Y119" s="72"/>
      <c r="Z119" s="72"/>
      <c r="AA119" s="72"/>
      <c r="AB119" s="72"/>
      <c r="AC119" s="123"/>
      <c r="AD119" s="573"/>
      <c r="AE119" s="248"/>
      <c r="AF119" s="574"/>
      <c r="AG119" s="122"/>
      <c r="AH119" s="123"/>
      <c r="AI119" s="46"/>
      <c r="AJ119" s="46"/>
      <c r="AK119" s="46"/>
      <c r="AL119" s="46"/>
      <c r="AM119" s="46"/>
      <c r="AN119" s="46"/>
      <c r="AO119" s="59"/>
      <c r="AP119" s="46"/>
      <c r="AQ119" s="46"/>
      <c r="AR119" s="46"/>
      <c r="AS119" s="46"/>
      <c r="AT119" s="46"/>
      <c r="AU119" s="46"/>
      <c r="AV119" s="46"/>
      <c r="AW119" s="46"/>
      <c r="AX119" s="46"/>
      <c r="AY119" s="46"/>
      <c r="AZ119" s="46"/>
      <c r="BA119" s="46"/>
      <c r="BB119" s="46"/>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C119" s="43"/>
      <c r="CD119" s="43"/>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c r="DF119" s="43"/>
      <c r="DG119" s="43"/>
      <c r="DH119" s="43"/>
      <c r="DI119" s="43"/>
      <c r="DJ119" s="43"/>
      <c r="DK119" s="43"/>
      <c r="DL119" s="43"/>
      <c r="DM119" s="43"/>
      <c r="DN119" s="43"/>
      <c r="DO119" s="43"/>
      <c r="DP119" s="43"/>
      <c r="DQ119" s="43"/>
      <c r="DR119" s="43"/>
      <c r="DS119" s="43"/>
      <c r="DT119" s="43"/>
      <c r="DU119" s="43"/>
      <c r="DV119" s="43"/>
      <c r="DW119" s="43"/>
      <c r="DX119" s="43"/>
      <c r="DY119" s="43"/>
      <c r="DZ119" s="43"/>
      <c r="EA119" s="43"/>
      <c r="EB119" s="43"/>
      <c r="EC119" s="43"/>
    </row>
    <row r="120" spans="1:133" x14ac:dyDescent="0.25">
      <c r="A120" s="72"/>
      <c r="B120" s="72"/>
      <c r="C120" s="72"/>
      <c r="D120" s="72"/>
      <c r="E120" s="72"/>
      <c r="F120" s="72"/>
      <c r="G120" s="72"/>
      <c r="H120" s="72"/>
      <c r="I120" s="72"/>
      <c r="J120" s="72"/>
      <c r="K120" s="46"/>
      <c r="L120" s="46"/>
      <c r="M120" s="72"/>
      <c r="N120" s="72"/>
      <c r="O120" s="46"/>
      <c r="P120" s="46"/>
      <c r="Q120" s="72"/>
      <c r="R120" s="72"/>
      <c r="S120" s="96"/>
      <c r="T120" s="72"/>
      <c r="U120" s="72"/>
      <c r="V120" s="46"/>
      <c r="W120" s="46"/>
      <c r="X120" s="96"/>
      <c r="Y120" s="72"/>
      <c r="Z120" s="72"/>
      <c r="AA120" s="72"/>
      <c r="AB120" s="72"/>
      <c r="AC120" s="123"/>
      <c r="AD120" s="1563" t="s">
        <v>1579</v>
      </c>
      <c r="AE120" s="1564"/>
      <c r="AF120" s="1565"/>
      <c r="AG120" s="122"/>
      <c r="AH120" s="123"/>
      <c r="AI120" s="46"/>
      <c r="AJ120" s="46"/>
      <c r="AK120" s="46"/>
      <c r="AL120" s="46"/>
      <c r="AM120" s="46"/>
      <c r="AN120" s="46"/>
      <c r="AO120" s="59"/>
      <c r="AP120" s="46"/>
      <c r="AQ120" s="46"/>
      <c r="AR120" s="46"/>
      <c r="AS120" s="46"/>
      <c r="AT120" s="46"/>
      <c r="AU120" s="46"/>
      <c r="AV120" s="46"/>
      <c r="AW120" s="46"/>
      <c r="AX120" s="46"/>
      <c r="AY120" s="46"/>
      <c r="AZ120" s="46"/>
      <c r="BA120" s="46"/>
      <c r="BB120" s="46"/>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c r="DK120" s="43"/>
      <c r="DL120" s="43"/>
      <c r="DM120" s="43"/>
      <c r="DN120" s="43"/>
      <c r="DO120" s="43"/>
      <c r="DP120" s="43"/>
      <c r="DQ120" s="43"/>
      <c r="DR120" s="43"/>
      <c r="DS120" s="43"/>
      <c r="DT120" s="43"/>
      <c r="DU120" s="43"/>
      <c r="DV120" s="43"/>
      <c r="DW120" s="43"/>
      <c r="DX120" s="43"/>
      <c r="DY120" s="43"/>
      <c r="DZ120" s="43"/>
      <c r="EA120" s="43"/>
      <c r="EB120" s="43"/>
      <c r="EC120" s="43"/>
    </row>
    <row r="121" spans="1:133" x14ac:dyDescent="0.25">
      <c r="A121" s="72"/>
      <c r="B121" s="72"/>
      <c r="C121" s="72"/>
      <c r="D121" s="72"/>
      <c r="E121" s="72"/>
      <c r="F121" s="72"/>
      <c r="G121" s="72"/>
      <c r="H121" s="72"/>
      <c r="I121" s="72"/>
      <c r="J121" s="72"/>
      <c r="K121" s="46"/>
      <c r="L121" s="46"/>
      <c r="M121" s="72"/>
      <c r="N121" s="72"/>
      <c r="O121" s="46"/>
      <c r="P121" s="46"/>
      <c r="Q121" s="72"/>
      <c r="R121" s="46"/>
      <c r="S121" s="96"/>
      <c r="T121" s="46"/>
      <c r="U121" s="46"/>
      <c r="V121" s="46"/>
      <c r="W121" s="46"/>
      <c r="X121" s="96"/>
      <c r="Y121" s="72"/>
      <c r="Z121" s="72"/>
      <c r="AA121" s="72"/>
      <c r="AB121" s="72"/>
      <c r="AC121" s="123"/>
      <c r="AD121" s="62"/>
      <c r="AE121" s="82"/>
      <c r="AF121" s="64"/>
      <c r="AG121" s="122"/>
      <c r="AH121" s="123"/>
      <c r="AI121" s="46"/>
      <c r="AJ121" s="46"/>
      <c r="AK121" s="46"/>
      <c r="AL121" s="46"/>
      <c r="AM121" s="46"/>
      <c r="AN121" s="46"/>
      <c r="AO121" s="59"/>
      <c r="AP121" s="46"/>
      <c r="AQ121" s="46"/>
      <c r="AR121" s="46"/>
      <c r="AS121" s="46"/>
      <c r="AT121" s="46"/>
      <c r="AU121" s="46"/>
      <c r="AV121" s="46"/>
      <c r="AW121" s="46"/>
      <c r="AX121" s="46"/>
      <c r="AY121" s="46"/>
      <c r="AZ121" s="46"/>
      <c r="BA121" s="46"/>
      <c r="BB121" s="46"/>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c r="DK121" s="43"/>
      <c r="DL121" s="43"/>
      <c r="DM121" s="43"/>
      <c r="DN121" s="43"/>
      <c r="DO121" s="43"/>
      <c r="DP121" s="43"/>
      <c r="DQ121" s="43"/>
      <c r="DR121" s="43"/>
      <c r="DS121" s="43"/>
      <c r="DT121" s="43"/>
      <c r="DU121" s="43"/>
      <c r="DV121" s="43"/>
      <c r="DW121" s="43"/>
      <c r="DX121" s="43"/>
      <c r="DY121" s="43"/>
      <c r="DZ121" s="43"/>
      <c r="EA121" s="43"/>
      <c r="EB121" s="43"/>
      <c r="EC121" s="43"/>
    </row>
    <row r="122" spans="1:133" x14ac:dyDescent="0.25">
      <c r="A122" s="72"/>
      <c r="B122" s="72"/>
      <c r="C122" s="72"/>
      <c r="D122" s="72"/>
      <c r="E122" s="72"/>
      <c r="F122" s="72"/>
      <c r="G122" s="72"/>
      <c r="H122" s="72"/>
      <c r="I122" s="72"/>
      <c r="J122" s="72"/>
      <c r="K122" s="46"/>
      <c r="L122" s="46"/>
      <c r="M122" s="72"/>
      <c r="N122" s="72"/>
      <c r="O122" s="46"/>
      <c r="P122" s="46"/>
      <c r="Q122" s="72"/>
      <c r="R122" s="46"/>
      <c r="S122" s="96"/>
      <c r="T122" s="46"/>
      <c r="U122" s="46"/>
      <c r="V122" s="46"/>
      <c r="W122" s="46"/>
      <c r="X122" s="96"/>
      <c r="Y122" s="72"/>
      <c r="Z122" s="72"/>
      <c r="AA122" s="72"/>
      <c r="AB122" s="72"/>
      <c r="AC122" s="123"/>
      <c r="AD122" s="570" t="s">
        <v>659</v>
      </c>
      <c r="AE122" s="112">
        <f>(AE128+AE130)*100/AE124</f>
        <v>63.444312924714062</v>
      </c>
      <c r="AF122" s="64" t="s">
        <v>647</v>
      </c>
      <c r="AG122" s="122"/>
      <c r="AH122" s="123"/>
      <c r="AI122" s="46"/>
      <c r="AJ122" s="46"/>
      <c r="AK122" s="46"/>
      <c r="AL122" s="46"/>
      <c r="AM122" s="46"/>
      <c r="AN122" s="46"/>
      <c r="AO122" s="59"/>
      <c r="AP122" s="46"/>
      <c r="AQ122" s="46"/>
      <c r="AR122" s="46"/>
      <c r="AS122" s="46"/>
      <c r="AT122" s="46"/>
      <c r="AU122" s="46"/>
      <c r="AV122" s="46"/>
      <c r="AW122" s="46"/>
      <c r="AX122" s="46"/>
      <c r="AY122" s="46"/>
      <c r="AZ122" s="46"/>
      <c r="BA122" s="46"/>
      <c r="BB122" s="46"/>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c r="DK122" s="43"/>
      <c r="DL122" s="43"/>
      <c r="DM122" s="43"/>
      <c r="DN122" s="43"/>
      <c r="DO122" s="43"/>
      <c r="DP122" s="43"/>
      <c r="DQ122" s="43"/>
      <c r="DR122" s="43"/>
      <c r="DS122" s="43"/>
      <c r="DT122" s="43"/>
      <c r="DU122" s="43"/>
      <c r="DV122" s="43"/>
      <c r="DW122" s="43"/>
      <c r="DX122" s="43"/>
      <c r="DY122" s="43"/>
      <c r="DZ122" s="43"/>
      <c r="EA122" s="43"/>
      <c r="EB122" s="43"/>
      <c r="EC122" s="43"/>
    </row>
    <row r="123" spans="1:133" x14ac:dyDescent="0.25">
      <c r="A123" s="72"/>
      <c r="B123" s="72"/>
      <c r="C123" s="72"/>
      <c r="D123" s="72"/>
      <c r="E123" s="72"/>
      <c r="F123" s="72"/>
      <c r="G123" s="72"/>
      <c r="H123" s="72"/>
      <c r="I123" s="72"/>
      <c r="J123" s="72"/>
      <c r="K123" s="46"/>
      <c r="L123" s="46"/>
      <c r="M123" s="72"/>
      <c r="N123" s="72"/>
      <c r="O123" s="46"/>
      <c r="P123" s="46"/>
      <c r="Q123" s="72"/>
      <c r="R123" s="46"/>
      <c r="S123" s="96"/>
      <c r="T123" s="46"/>
      <c r="U123" s="46"/>
      <c r="V123" s="46"/>
      <c r="W123" s="46"/>
      <c r="X123" s="96"/>
      <c r="Y123" s="72"/>
      <c r="Z123" s="72"/>
      <c r="AA123" s="72"/>
      <c r="AB123" s="72"/>
      <c r="AC123" s="123"/>
      <c r="AD123" s="568"/>
      <c r="AE123" s="82"/>
      <c r="AF123" s="64"/>
      <c r="AG123" s="122"/>
      <c r="AH123" s="123"/>
      <c r="AI123" s="46"/>
      <c r="AJ123" s="46"/>
      <c r="AK123" s="46"/>
      <c r="AL123" s="46"/>
      <c r="AM123" s="46"/>
      <c r="AN123" s="46"/>
      <c r="AO123" s="59"/>
      <c r="AP123" s="46"/>
      <c r="AQ123" s="46"/>
      <c r="AR123" s="46"/>
      <c r="AS123" s="46"/>
      <c r="AT123" s="46"/>
      <c r="AU123" s="46"/>
      <c r="AV123" s="46"/>
      <c r="AW123" s="46"/>
      <c r="AX123" s="46"/>
      <c r="AY123" s="46"/>
      <c r="AZ123" s="46"/>
      <c r="BA123" s="46"/>
      <c r="BB123" s="46"/>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c r="DK123" s="43"/>
      <c r="DL123" s="43"/>
      <c r="DM123" s="43"/>
      <c r="DN123" s="43"/>
      <c r="DO123" s="43"/>
      <c r="DP123" s="43"/>
      <c r="DQ123" s="43"/>
      <c r="DR123" s="43"/>
      <c r="DS123" s="43"/>
      <c r="DT123" s="43"/>
      <c r="DU123" s="43"/>
      <c r="DV123" s="43"/>
      <c r="DW123" s="43"/>
      <c r="DX123" s="43"/>
      <c r="DY123" s="43"/>
      <c r="DZ123" s="43"/>
      <c r="EA123" s="43"/>
      <c r="EB123" s="43"/>
      <c r="EC123" s="43"/>
    </row>
    <row r="124" spans="1:133" x14ac:dyDescent="0.25">
      <c r="A124" s="72"/>
      <c r="B124" s="72"/>
      <c r="C124" s="72"/>
      <c r="D124" s="72"/>
      <c r="E124" s="72"/>
      <c r="F124" s="72"/>
      <c r="G124" s="72"/>
      <c r="H124" s="72"/>
      <c r="I124" s="72"/>
      <c r="J124" s="72"/>
      <c r="K124" s="46"/>
      <c r="L124" s="46"/>
      <c r="M124" s="72"/>
      <c r="N124" s="72"/>
      <c r="O124" s="46"/>
      <c r="P124" s="46"/>
      <c r="Q124" s="72"/>
      <c r="R124" s="46"/>
      <c r="S124" s="96"/>
      <c r="T124" s="46"/>
      <c r="U124" s="46"/>
      <c r="V124" s="46"/>
      <c r="W124" s="46"/>
      <c r="X124" s="96"/>
      <c r="Y124" s="72"/>
      <c r="Z124" s="72"/>
      <c r="AA124" s="72"/>
      <c r="AB124" s="72"/>
      <c r="AC124" s="123"/>
      <c r="AD124" s="570" t="s">
        <v>660</v>
      </c>
      <c r="AE124" s="130">
        <f>chp_eff_sc</f>
        <v>85</v>
      </c>
      <c r="AF124" s="64" t="s">
        <v>283</v>
      </c>
      <c r="AG124" s="122"/>
      <c r="AH124" s="123"/>
      <c r="AI124" s="46"/>
      <c r="AJ124" s="46"/>
      <c r="AK124" s="46"/>
      <c r="AL124" s="46"/>
      <c r="AM124" s="46"/>
      <c r="AN124" s="46"/>
      <c r="AO124" s="59"/>
      <c r="AP124" s="46"/>
      <c r="AQ124" s="46"/>
      <c r="AR124" s="46"/>
      <c r="AS124" s="46"/>
      <c r="AT124" s="46"/>
      <c r="AU124" s="46"/>
      <c r="AV124" s="46"/>
      <c r="AW124" s="46"/>
      <c r="AX124" s="46"/>
      <c r="AY124" s="46"/>
      <c r="AZ124" s="46"/>
      <c r="BA124" s="46"/>
      <c r="BB124" s="46"/>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43"/>
      <c r="BZ124" s="43"/>
      <c r="CA124" s="43"/>
      <c r="CB124" s="43"/>
      <c r="CC124" s="43"/>
      <c r="CD124" s="43"/>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43"/>
      <c r="DC124" s="43"/>
      <c r="DD124" s="43"/>
      <c r="DE124" s="43"/>
      <c r="DF124" s="43"/>
      <c r="DG124" s="43"/>
      <c r="DH124" s="43"/>
      <c r="DI124" s="43"/>
      <c r="DJ124" s="43"/>
      <c r="DK124" s="43"/>
      <c r="DL124" s="43"/>
      <c r="DM124" s="43"/>
      <c r="DN124" s="43"/>
      <c r="DO124" s="43"/>
      <c r="DP124" s="43"/>
      <c r="DQ124" s="43"/>
      <c r="DR124" s="43"/>
      <c r="DS124" s="43"/>
      <c r="DT124" s="43"/>
      <c r="DU124" s="43"/>
      <c r="DV124" s="43"/>
      <c r="DW124" s="43"/>
      <c r="DX124" s="43"/>
      <c r="DY124" s="43"/>
      <c r="DZ124" s="43"/>
      <c r="EA124" s="43"/>
      <c r="EB124" s="43"/>
      <c r="EC124" s="43"/>
    </row>
    <row r="125" spans="1:133" x14ac:dyDescent="0.25">
      <c r="A125" s="72"/>
      <c r="B125" s="72"/>
      <c r="C125" s="72"/>
      <c r="D125" s="72"/>
      <c r="E125" s="72"/>
      <c r="F125" s="72"/>
      <c r="G125" s="72"/>
      <c r="H125" s="72"/>
      <c r="I125" s="72"/>
      <c r="J125" s="72"/>
      <c r="K125" s="46"/>
      <c r="L125" s="46"/>
      <c r="M125" s="72"/>
      <c r="N125" s="72"/>
      <c r="O125" s="46"/>
      <c r="P125" s="46"/>
      <c r="Q125" s="72"/>
      <c r="R125" s="46"/>
      <c r="S125" s="96"/>
      <c r="T125" s="46"/>
      <c r="U125" s="46"/>
      <c r="V125" s="46"/>
      <c r="W125" s="46"/>
      <c r="X125" s="96"/>
      <c r="Y125" s="72"/>
      <c r="Z125" s="72"/>
      <c r="AA125" s="72"/>
      <c r="AB125" s="72"/>
      <c r="AC125" s="123"/>
      <c r="AD125" s="568"/>
      <c r="AE125" s="82"/>
      <c r="AF125" s="64"/>
      <c r="AG125" s="122"/>
      <c r="AH125" s="123"/>
      <c r="AI125" s="46"/>
      <c r="AJ125" s="46"/>
      <c r="AK125" s="46"/>
      <c r="AL125" s="46"/>
      <c r="AM125" s="46"/>
      <c r="AN125" s="46"/>
      <c r="AO125" s="59"/>
      <c r="AP125" s="46"/>
      <c r="AQ125" s="46"/>
      <c r="AR125" s="46"/>
      <c r="AS125" s="46"/>
      <c r="AT125" s="46"/>
      <c r="AU125" s="46"/>
      <c r="AV125" s="46"/>
      <c r="AW125" s="46"/>
      <c r="AX125" s="46"/>
      <c r="AY125" s="46"/>
      <c r="AZ125" s="46"/>
      <c r="BA125" s="46"/>
      <c r="BB125" s="46"/>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C125" s="43"/>
      <c r="CD125" s="43"/>
      <c r="CE125" s="43"/>
      <c r="CF125" s="43"/>
      <c r="CG125" s="43"/>
      <c r="CH125" s="43"/>
      <c r="CI125" s="43"/>
      <c r="CJ125" s="43"/>
      <c r="CK125" s="43"/>
      <c r="CL125" s="43"/>
      <c r="CM125" s="43"/>
      <c r="CN125" s="43"/>
      <c r="CO125" s="43"/>
      <c r="CP125" s="43"/>
      <c r="CQ125" s="43"/>
      <c r="CR125" s="43"/>
      <c r="CS125" s="43"/>
      <c r="CT125" s="43"/>
      <c r="CU125" s="43"/>
      <c r="CV125" s="43"/>
      <c r="CW125" s="43"/>
      <c r="CX125" s="43"/>
      <c r="CY125" s="43"/>
      <c r="CZ125" s="43"/>
      <c r="DA125" s="43"/>
      <c r="DB125" s="43"/>
      <c r="DC125" s="43"/>
      <c r="DD125" s="43"/>
      <c r="DE125" s="43"/>
      <c r="DF125" s="43"/>
      <c r="DG125" s="43"/>
      <c r="DH125" s="43"/>
      <c r="DI125" s="43"/>
      <c r="DJ125" s="43"/>
      <c r="DK125" s="43"/>
      <c r="DL125" s="43"/>
      <c r="DM125" s="43"/>
      <c r="DN125" s="43"/>
      <c r="DO125" s="43"/>
      <c r="DP125" s="43"/>
      <c r="DQ125" s="43"/>
      <c r="DR125" s="43"/>
      <c r="DS125" s="43"/>
      <c r="DT125" s="43"/>
      <c r="DU125" s="43"/>
      <c r="DV125" s="43"/>
      <c r="DW125" s="43"/>
      <c r="DX125" s="43"/>
      <c r="DY125" s="43"/>
      <c r="DZ125" s="43"/>
      <c r="EA125" s="43"/>
      <c r="EB125" s="43"/>
      <c r="EC125" s="43"/>
    </row>
    <row r="126" spans="1:133" x14ac:dyDescent="0.25">
      <c r="A126" s="72"/>
      <c r="B126" s="72"/>
      <c r="C126" s="72"/>
      <c r="D126" s="72"/>
      <c r="E126" s="72"/>
      <c r="F126" s="72"/>
      <c r="G126" s="72"/>
      <c r="H126" s="72"/>
      <c r="I126" s="72"/>
      <c r="J126" s="72"/>
      <c r="K126" s="46"/>
      <c r="L126" s="46"/>
      <c r="M126" s="72"/>
      <c r="N126" s="72"/>
      <c r="O126" s="46"/>
      <c r="P126" s="72"/>
      <c r="Q126" s="72"/>
      <c r="R126" s="59"/>
      <c r="S126" s="72"/>
      <c r="T126" s="72"/>
      <c r="U126" s="72"/>
      <c r="V126" s="46"/>
      <c r="W126" s="46"/>
      <c r="X126" s="96"/>
      <c r="Y126" s="72"/>
      <c r="Z126" s="72"/>
      <c r="AA126" s="72"/>
      <c r="AB126" s="72"/>
      <c r="AC126" s="123"/>
      <c r="AD126" s="570" t="s">
        <v>661</v>
      </c>
      <c r="AE126" s="130">
        <f>chp_h_to_p_sc</f>
        <v>1</v>
      </c>
      <c r="AF126" s="64"/>
      <c r="AG126" s="122"/>
      <c r="AH126" s="123"/>
      <c r="AI126" s="46"/>
      <c r="AJ126" s="46"/>
      <c r="AK126" s="46"/>
      <c r="AL126" s="46"/>
      <c r="AM126" s="46"/>
      <c r="AN126" s="46"/>
      <c r="AO126" s="59"/>
      <c r="AP126" s="46"/>
      <c r="AQ126" s="46"/>
      <c r="AR126" s="46"/>
      <c r="AS126" s="46"/>
      <c r="AT126" s="46"/>
      <c r="AU126" s="46"/>
      <c r="AV126" s="46"/>
      <c r="AW126" s="46"/>
      <c r="AX126" s="46"/>
      <c r="AY126" s="46"/>
      <c r="AZ126" s="46"/>
      <c r="BA126" s="46"/>
      <c r="BB126" s="46"/>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c r="CB126" s="43"/>
      <c r="CC126" s="43"/>
      <c r="CD126" s="43"/>
      <c r="CE126" s="43"/>
      <c r="CF126" s="43"/>
      <c r="CG126" s="43"/>
      <c r="CH126" s="43"/>
      <c r="CI126" s="43"/>
      <c r="CJ126" s="43"/>
      <c r="CK126" s="43"/>
      <c r="CL126" s="43"/>
      <c r="CM126" s="43"/>
      <c r="CN126" s="43"/>
      <c r="CO126" s="43"/>
      <c r="CP126" s="43"/>
      <c r="CQ126" s="43"/>
      <c r="CR126" s="43"/>
      <c r="CS126" s="43"/>
      <c r="CT126" s="43"/>
      <c r="CU126" s="43"/>
      <c r="CV126" s="43"/>
      <c r="CW126" s="43"/>
      <c r="CX126" s="43"/>
      <c r="CY126" s="43"/>
      <c r="CZ126" s="43"/>
      <c r="DA126" s="43"/>
      <c r="DB126" s="43"/>
      <c r="DC126" s="43"/>
      <c r="DD126" s="43"/>
      <c r="DE126" s="43"/>
      <c r="DF126" s="43"/>
      <c r="DG126" s="43"/>
      <c r="DH126" s="43"/>
      <c r="DI126" s="43"/>
      <c r="DJ126" s="43"/>
      <c r="DK126" s="43"/>
      <c r="DL126" s="43"/>
      <c r="DM126" s="43"/>
      <c r="DN126" s="43"/>
      <c r="DO126" s="43"/>
      <c r="DP126" s="43"/>
      <c r="DQ126" s="43"/>
      <c r="DR126" s="43"/>
      <c r="DS126" s="43"/>
      <c r="DT126" s="43"/>
      <c r="DU126" s="43"/>
      <c r="DV126" s="43"/>
      <c r="DW126" s="43"/>
      <c r="DX126" s="43"/>
      <c r="DY126" s="43"/>
      <c r="DZ126" s="43"/>
      <c r="EA126" s="43"/>
      <c r="EB126" s="43"/>
      <c r="EC126" s="43"/>
    </row>
    <row r="127" spans="1:133" x14ac:dyDescent="0.25">
      <c r="A127" s="72"/>
      <c r="B127" s="72"/>
      <c r="C127" s="72"/>
      <c r="D127" s="72"/>
      <c r="E127" s="72"/>
      <c r="F127" s="72"/>
      <c r="G127" s="72"/>
      <c r="H127" s="72"/>
      <c r="I127" s="72"/>
      <c r="J127" s="72"/>
      <c r="K127" s="46"/>
      <c r="L127" s="46"/>
      <c r="M127" s="72"/>
      <c r="N127" s="72"/>
      <c r="O127" s="46"/>
      <c r="P127" s="131"/>
      <c r="Q127" s="131"/>
      <c r="R127" s="132"/>
      <c r="S127" s="131"/>
      <c r="T127" s="131"/>
      <c r="U127" s="131"/>
      <c r="V127" s="46"/>
      <c r="W127" s="46"/>
      <c r="X127" s="96"/>
      <c r="Y127" s="72"/>
      <c r="Z127" s="72"/>
      <c r="AA127" s="72"/>
      <c r="AB127" s="72"/>
      <c r="AC127" s="123"/>
      <c r="AD127" s="568"/>
      <c r="AE127" s="82"/>
      <c r="AF127" s="64"/>
      <c r="AG127" s="122"/>
      <c r="AH127" s="123"/>
      <c r="AI127" s="46"/>
      <c r="AJ127" s="46"/>
      <c r="AK127" s="46"/>
      <c r="AL127" s="46"/>
      <c r="AM127" s="46"/>
      <c r="AN127" s="46"/>
      <c r="AO127" s="59"/>
      <c r="AP127" s="46"/>
      <c r="AQ127" s="46"/>
      <c r="AR127" s="46"/>
      <c r="AS127" s="46"/>
      <c r="AT127" s="46"/>
      <c r="AU127" s="46"/>
      <c r="AV127" s="46"/>
      <c r="AW127" s="46"/>
      <c r="AX127" s="46"/>
      <c r="AY127" s="46"/>
      <c r="AZ127" s="46"/>
      <c r="BA127" s="46"/>
      <c r="BB127" s="46"/>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c r="BY127" s="43"/>
      <c r="BZ127" s="43"/>
      <c r="CA127" s="43"/>
      <c r="CB127" s="43"/>
      <c r="CC127" s="43"/>
      <c r="CD127" s="43"/>
      <c r="CE127" s="43"/>
      <c r="CF127" s="43"/>
      <c r="CG127" s="43"/>
      <c r="CH127" s="43"/>
      <c r="CI127" s="43"/>
      <c r="CJ127" s="43"/>
      <c r="CK127" s="43"/>
      <c r="CL127" s="43"/>
      <c r="CM127" s="43"/>
      <c r="CN127" s="43"/>
      <c r="CO127" s="43"/>
      <c r="CP127" s="43"/>
      <c r="CQ127" s="43"/>
      <c r="CR127" s="43"/>
      <c r="CS127" s="43"/>
      <c r="CT127" s="43"/>
      <c r="CU127" s="43"/>
      <c r="CV127" s="43"/>
      <c r="CW127" s="43"/>
      <c r="CX127" s="43"/>
      <c r="CY127" s="43"/>
      <c r="CZ127" s="43"/>
      <c r="DA127" s="43"/>
      <c r="DB127" s="43"/>
      <c r="DC127" s="43"/>
      <c r="DD127" s="43"/>
      <c r="DE127" s="43"/>
      <c r="DF127" s="43"/>
      <c r="DG127" s="43"/>
      <c r="DH127" s="43"/>
      <c r="DI127" s="43"/>
      <c r="DJ127" s="43"/>
      <c r="DK127" s="43"/>
      <c r="DL127" s="43"/>
      <c r="DM127" s="43"/>
      <c r="DN127" s="43"/>
      <c r="DO127" s="43"/>
      <c r="DP127" s="43"/>
      <c r="DQ127" s="43"/>
      <c r="DR127" s="43"/>
      <c r="DS127" s="43"/>
      <c r="DT127" s="43"/>
      <c r="DU127" s="43"/>
      <c r="DV127" s="43"/>
      <c r="DW127" s="43"/>
      <c r="DX127" s="43"/>
      <c r="DY127" s="43"/>
      <c r="DZ127" s="43"/>
      <c r="EA127" s="43"/>
      <c r="EB127" s="43"/>
      <c r="EC127" s="43"/>
    </row>
    <row r="128" spans="1:133" x14ac:dyDescent="0.25">
      <c r="A128" s="72"/>
      <c r="B128" s="72"/>
      <c r="C128" s="72"/>
      <c r="D128" s="72"/>
      <c r="E128" s="72"/>
      <c r="F128" s="72"/>
      <c r="G128" s="72"/>
      <c r="H128" s="72"/>
      <c r="I128" s="72"/>
      <c r="J128" s="72"/>
      <c r="K128" s="46"/>
      <c r="L128" s="46"/>
      <c r="M128" s="72"/>
      <c r="N128" s="72"/>
      <c r="O128" s="46"/>
      <c r="P128" s="72"/>
      <c r="Q128" s="72"/>
      <c r="R128" s="134"/>
      <c r="S128" s="135"/>
      <c r="T128" s="72"/>
      <c r="U128" s="72"/>
      <c r="V128" s="46"/>
      <c r="W128" s="46"/>
      <c r="X128" s="96"/>
      <c r="Y128" s="72"/>
      <c r="Z128" s="72"/>
      <c r="AA128" s="72"/>
      <c r="AB128" s="72"/>
      <c r="AC128" s="123"/>
      <c r="AD128" s="570" t="s">
        <v>662</v>
      </c>
      <c r="AE128" s="112">
        <f>(S150*S114*(S320/S164))/(S118*60*60)</f>
        <v>26.963832993003475</v>
      </c>
      <c r="AF128" s="64" t="s">
        <v>647</v>
      </c>
      <c r="AG128" s="122"/>
      <c r="AH128" s="123"/>
      <c r="AI128" s="46"/>
      <c r="AJ128" s="46"/>
      <c r="AK128" s="46"/>
      <c r="AL128" s="46"/>
      <c r="AM128" s="46"/>
      <c r="AN128" s="46"/>
      <c r="AO128" s="59"/>
      <c r="AP128" s="46"/>
      <c r="AQ128" s="46"/>
      <c r="AR128" s="46"/>
      <c r="AS128" s="46"/>
      <c r="AT128" s="46"/>
      <c r="AU128" s="46"/>
      <c r="AV128" s="46"/>
      <c r="AW128" s="46"/>
      <c r="AX128" s="46"/>
      <c r="AY128" s="46"/>
      <c r="AZ128" s="46"/>
      <c r="BA128" s="46"/>
      <c r="BB128" s="46"/>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c r="CB128" s="43"/>
      <c r="CC128" s="43"/>
      <c r="CD128" s="43"/>
      <c r="CE128" s="43"/>
      <c r="CF128" s="43"/>
      <c r="CG128" s="43"/>
      <c r="CH128" s="43"/>
      <c r="CI128" s="43"/>
      <c r="CJ128" s="43"/>
      <c r="CK128" s="43"/>
      <c r="CL128" s="43"/>
      <c r="CM128" s="43"/>
      <c r="CN128" s="43"/>
      <c r="CO128" s="43"/>
      <c r="CP128" s="43"/>
      <c r="CQ128" s="43"/>
      <c r="CR128" s="43"/>
      <c r="CS128" s="43"/>
      <c r="CT128" s="43"/>
      <c r="CU128" s="43"/>
      <c r="CV128" s="43"/>
      <c r="CW128" s="43"/>
      <c r="CX128" s="43"/>
      <c r="CY128" s="43"/>
      <c r="CZ128" s="43"/>
      <c r="DA128" s="43"/>
      <c r="DB128" s="43"/>
      <c r="DC128" s="43"/>
      <c r="DD128" s="43"/>
      <c r="DE128" s="43"/>
      <c r="DF128" s="43"/>
      <c r="DG128" s="43"/>
      <c r="DH128" s="43"/>
      <c r="DI128" s="43"/>
      <c r="DJ128" s="43"/>
      <c r="DK128" s="43"/>
      <c r="DL128" s="43"/>
      <c r="DM128" s="43"/>
      <c r="DN128" s="43"/>
      <c r="DO128" s="43"/>
      <c r="DP128" s="43"/>
      <c r="DQ128" s="43"/>
      <c r="DR128" s="43"/>
      <c r="DS128" s="43"/>
      <c r="DT128" s="43"/>
      <c r="DU128" s="43"/>
      <c r="DV128" s="43"/>
      <c r="DW128" s="43"/>
      <c r="DX128" s="43"/>
      <c r="DY128" s="43"/>
      <c r="DZ128" s="43"/>
      <c r="EA128" s="43"/>
      <c r="EB128" s="43"/>
      <c r="EC128" s="43"/>
    </row>
    <row r="129" spans="1:133" x14ac:dyDescent="0.25">
      <c r="A129" s="72"/>
      <c r="B129" s="72"/>
      <c r="C129" s="72"/>
      <c r="D129" s="72"/>
      <c r="E129" s="72"/>
      <c r="F129" s="72"/>
      <c r="G129" s="72"/>
      <c r="H129" s="72"/>
      <c r="I129" s="72"/>
      <c r="J129" s="72"/>
      <c r="K129" s="46"/>
      <c r="L129" s="46"/>
      <c r="M129" s="72"/>
      <c r="N129" s="72"/>
      <c r="O129" s="46"/>
      <c r="P129" s="72"/>
      <c r="Q129" s="72"/>
      <c r="R129" s="59"/>
      <c r="S129" s="72"/>
      <c r="T129" s="72"/>
      <c r="U129" s="72"/>
      <c r="V129" s="46"/>
      <c r="W129" s="46"/>
      <c r="X129" s="96"/>
      <c r="Y129" s="72"/>
      <c r="Z129" s="72"/>
      <c r="AA129" s="72"/>
      <c r="AB129" s="72"/>
      <c r="AC129" s="123"/>
      <c r="AD129" s="568"/>
      <c r="AE129" s="82"/>
      <c r="AF129" s="64"/>
      <c r="AG129" s="122"/>
      <c r="AH129" s="123"/>
      <c r="AI129" s="46"/>
      <c r="AJ129" s="46"/>
      <c r="AK129" s="46"/>
      <c r="AL129" s="46"/>
      <c r="AM129" s="46"/>
      <c r="AN129" s="46"/>
      <c r="AO129" s="59"/>
      <c r="AP129" s="46"/>
      <c r="AQ129" s="46"/>
      <c r="AR129" s="46"/>
      <c r="AS129" s="46"/>
      <c r="AT129" s="46"/>
      <c r="AU129" s="46"/>
      <c r="AV129" s="46"/>
      <c r="AW129" s="46"/>
      <c r="AX129" s="46"/>
      <c r="AY129" s="46"/>
      <c r="AZ129" s="46"/>
      <c r="BA129" s="46"/>
      <c r="BB129" s="46"/>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c r="DK129" s="43"/>
      <c r="DL129" s="43"/>
      <c r="DM129" s="43"/>
      <c r="DN129" s="43"/>
      <c r="DO129" s="43"/>
      <c r="DP129" s="43"/>
      <c r="DQ129" s="43"/>
      <c r="DR129" s="43"/>
      <c r="DS129" s="43"/>
      <c r="DT129" s="43"/>
      <c r="DU129" s="43"/>
      <c r="DV129" s="43"/>
      <c r="DW129" s="43"/>
      <c r="DX129" s="43"/>
      <c r="DY129" s="43"/>
      <c r="DZ129" s="43"/>
      <c r="EA129" s="43"/>
      <c r="EB129" s="43"/>
      <c r="EC129" s="43"/>
    </row>
    <row r="130" spans="1:133" x14ac:dyDescent="0.25">
      <c r="A130" s="72"/>
      <c r="B130" s="72"/>
      <c r="C130" s="72"/>
      <c r="D130" s="72"/>
      <c r="E130" s="72"/>
      <c r="F130" s="72"/>
      <c r="G130" s="72"/>
      <c r="H130" s="72"/>
      <c r="I130" s="72"/>
      <c r="J130" s="72"/>
      <c r="K130" s="46"/>
      <c r="L130" s="46"/>
      <c r="M130" s="72"/>
      <c r="N130" s="72"/>
      <c r="O130" s="46"/>
      <c r="P130" s="135"/>
      <c r="Q130" s="135"/>
      <c r="R130" s="134"/>
      <c r="S130" s="137"/>
      <c r="T130" s="72"/>
      <c r="U130" s="72"/>
      <c r="V130" s="46"/>
      <c r="W130" s="46"/>
      <c r="X130" s="96"/>
      <c r="Y130" s="72"/>
      <c r="Z130" s="72"/>
      <c r="AA130" s="72"/>
      <c r="AB130" s="72"/>
      <c r="AC130" s="123"/>
      <c r="AD130" s="570" t="s">
        <v>663</v>
      </c>
      <c r="AE130" s="112">
        <f>$AE$128/$AE$126</f>
        <v>26.963832993003475</v>
      </c>
      <c r="AF130" s="64" t="s">
        <v>647</v>
      </c>
      <c r="AG130" s="122"/>
      <c r="AH130" s="123"/>
      <c r="AI130" s="46"/>
      <c r="AJ130" s="46"/>
      <c r="AK130" s="46"/>
      <c r="AL130" s="46"/>
      <c r="AM130" s="46"/>
      <c r="AN130" s="46"/>
      <c r="AO130" s="59"/>
      <c r="AP130" s="46"/>
      <c r="AQ130" s="46"/>
      <c r="AR130" s="46"/>
      <c r="AS130" s="46"/>
      <c r="AT130" s="46"/>
      <c r="AU130" s="46"/>
      <c r="AV130" s="46"/>
      <c r="AW130" s="46"/>
      <c r="AX130" s="46"/>
      <c r="AY130" s="46"/>
      <c r="AZ130" s="46"/>
      <c r="BA130" s="46"/>
      <c r="BB130" s="46"/>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c r="CB130" s="43"/>
      <c r="CC130" s="43"/>
      <c r="CD130" s="43"/>
      <c r="CE130" s="43"/>
      <c r="CF130" s="43"/>
      <c r="CG130" s="43"/>
      <c r="CH130" s="43"/>
      <c r="CI130" s="43"/>
      <c r="CJ130" s="43"/>
      <c r="CK130" s="43"/>
      <c r="CL130" s="43"/>
      <c r="CM130" s="43"/>
      <c r="CN130" s="43"/>
      <c r="CO130" s="43"/>
      <c r="CP130" s="43"/>
      <c r="CQ130" s="43"/>
      <c r="CR130" s="43"/>
      <c r="CS130" s="43"/>
      <c r="CT130" s="43"/>
      <c r="CU130" s="43"/>
      <c r="CV130" s="43"/>
      <c r="CW130" s="43"/>
      <c r="CX130" s="43"/>
      <c r="CY130" s="43"/>
      <c r="CZ130" s="43"/>
      <c r="DA130" s="43"/>
      <c r="DB130" s="43"/>
      <c r="DC130" s="43"/>
      <c r="DD130" s="43"/>
      <c r="DE130" s="43"/>
      <c r="DF130" s="43"/>
      <c r="DG130" s="43"/>
      <c r="DH130" s="43"/>
      <c r="DI130" s="43"/>
      <c r="DJ130" s="43"/>
      <c r="DK130" s="43"/>
      <c r="DL130" s="43"/>
      <c r="DM130" s="43"/>
      <c r="DN130" s="43"/>
      <c r="DO130" s="43"/>
      <c r="DP130" s="43"/>
      <c r="DQ130" s="43"/>
      <c r="DR130" s="43"/>
      <c r="DS130" s="43"/>
      <c r="DT130" s="43"/>
      <c r="DU130" s="43"/>
      <c r="DV130" s="43"/>
      <c r="DW130" s="43"/>
      <c r="DX130" s="43"/>
      <c r="DY130" s="43"/>
      <c r="DZ130" s="43"/>
      <c r="EA130" s="43"/>
      <c r="EB130" s="43"/>
      <c r="EC130" s="43"/>
    </row>
    <row r="131" spans="1:133" x14ac:dyDescent="0.25">
      <c r="A131" s="72"/>
      <c r="B131" s="72"/>
      <c r="C131" s="72"/>
      <c r="D131" s="72"/>
      <c r="E131" s="72"/>
      <c r="F131" s="72"/>
      <c r="G131" s="72"/>
      <c r="H131" s="72"/>
      <c r="I131" s="72"/>
      <c r="J131" s="72"/>
      <c r="K131" s="46"/>
      <c r="L131" s="46"/>
      <c r="M131" s="72"/>
      <c r="N131" s="72"/>
      <c r="O131" s="46"/>
      <c r="P131" s="72"/>
      <c r="Q131" s="138"/>
      <c r="R131" s="134"/>
      <c r="S131" s="137"/>
      <c r="T131" s="72"/>
      <c r="U131" s="72"/>
      <c r="V131" s="46"/>
      <c r="W131" s="46"/>
      <c r="X131" s="96"/>
      <c r="Y131" s="72"/>
      <c r="Z131" s="72"/>
      <c r="AA131" s="72"/>
      <c r="AB131" s="72"/>
      <c r="AC131" s="123"/>
      <c r="AD131" s="568"/>
      <c r="AE131" s="82"/>
      <c r="AF131" s="64"/>
      <c r="AG131" s="122"/>
      <c r="AH131" s="123"/>
      <c r="AI131" s="46"/>
      <c r="AJ131" s="46"/>
      <c r="AK131" s="46"/>
      <c r="AL131" s="46"/>
      <c r="AM131" s="46"/>
      <c r="AN131" s="46"/>
      <c r="AO131" s="59"/>
      <c r="AP131" s="46"/>
      <c r="AQ131" s="46"/>
      <c r="AR131" s="46"/>
      <c r="AS131" s="46"/>
      <c r="AT131" s="46"/>
      <c r="AU131" s="46"/>
      <c r="AV131" s="46"/>
      <c r="AW131" s="46"/>
      <c r="AX131" s="46"/>
      <c r="AY131" s="46"/>
      <c r="AZ131" s="46"/>
      <c r="BA131" s="46"/>
      <c r="BB131" s="46"/>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c r="DK131" s="43"/>
      <c r="DL131" s="43"/>
      <c r="DM131" s="43"/>
      <c r="DN131" s="43"/>
      <c r="DO131" s="43"/>
      <c r="DP131" s="43"/>
      <c r="DQ131" s="43"/>
      <c r="DR131" s="43"/>
      <c r="DS131" s="43"/>
      <c r="DT131" s="43"/>
      <c r="DU131" s="43"/>
      <c r="DV131" s="43"/>
      <c r="DW131" s="43"/>
      <c r="DX131" s="43"/>
      <c r="DY131" s="43"/>
      <c r="DZ131" s="43"/>
      <c r="EA131" s="43"/>
      <c r="EB131" s="43"/>
      <c r="EC131" s="43"/>
    </row>
    <row r="132" spans="1:133" x14ac:dyDescent="0.25">
      <c r="A132" s="46"/>
      <c r="B132" s="46"/>
      <c r="C132" s="46"/>
      <c r="D132" s="46"/>
      <c r="E132" s="46"/>
      <c r="F132" s="46"/>
      <c r="G132" s="46"/>
      <c r="H132" s="46"/>
      <c r="I132" s="46"/>
      <c r="J132" s="72"/>
      <c r="K132" s="46"/>
      <c r="L132" s="46"/>
      <c r="M132" s="72"/>
      <c r="N132" s="72"/>
      <c r="O132" s="72"/>
      <c r="P132" s="135"/>
      <c r="Q132" s="135"/>
      <c r="R132" s="134"/>
      <c r="S132" s="137"/>
      <c r="T132" s="72"/>
      <c r="U132" s="72"/>
      <c r="V132" s="46"/>
      <c r="W132" s="46"/>
      <c r="X132" s="96"/>
      <c r="Y132" s="72"/>
      <c r="Z132" s="72"/>
      <c r="AA132" s="72"/>
      <c r="AB132" s="72"/>
      <c r="AC132" s="123"/>
      <c r="AD132" s="570" t="s">
        <v>665</v>
      </c>
      <c r="AE132" s="130">
        <f>chp_weight_sc</f>
        <v>2</v>
      </c>
      <c r="AF132" s="64"/>
      <c r="AG132" s="122"/>
      <c r="AH132" s="123"/>
      <c r="AI132" s="46"/>
      <c r="AJ132" s="46"/>
      <c r="AK132" s="46"/>
      <c r="AL132" s="46"/>
      <c r="AM132" s="46"/>
      <c r="AN132" s="46"/>
      <c r="AO132" s="59"/>
      <c r="AP132" s="46"/>
      <c r="AQ132" s="46"/>
      <c r="AR132" s="46"/>
      <c r="AS132" s="46"/>
      <c r="AT132" s="46"/>
      <c r="AU132" s="46"/>
      <c r="AV132" s="46"/>
      <c r="AW132" s="46"/>
      <c r="AX132" s="46"/>
      <c r="AY132" s="46"/>
      <c r="AZ132" s="46"/>
      <c r="BA132" s="46"/>
      <c r="BB132" s="46"/>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c r="CB132" s="43"/>
      <c r="CC132" s="43"/>
      <c r="CD132" s="43"/>
      <c r="CE132" s="43"/>
      <c r="CF132" s="43"/>
      <c r="CG132" s="43"/>
      <c r="CH132" s="43"/>
      <c r="CI132" s="43"/>
      <c r="CJ132" s="43"/>
      <c r="CK132" s="43"/>
      <c r="CL132" s="43"/>
      <c r="CM132" s="43"/>
      <c r="CN132" s="43"/>
      <c r="CO132" s="43"/>
      <c r="CP132" s="43"/>
      <c r="CQ132" s="43"/>
      <c r="CR132" s="43"/>
      <c r="CS132" s="43"/>
      <c r="CT132" s="43"/>
      <c r="CU132" s="43"/>
      <c r="CV132" s="43"/>
      <c r="CW132" s="43"/>
      <c r="CX132" s="43"/>
      <c r="CY132" s="43"/>
      <c r="CZ132" s="43"/>
      <c r="DA132" s="43"/>
      <c r="DB132" s="43"/>
      <c r="DC132" s="43"/>
      <c r="DD132" s="43"/>
      <c r="DE132" s="43"/>
      <c r="DF132" s="43"/>
      <c r="DG132" s="43"/>
      <c r="DH132" s="43"/>
      <c r="DI132" s="43"/>
      <c r="DJ132" s="43"/>
      <c r="DK132" s="43"/>
      <c r="DL132" s="43"/>
      <c r="DM132" s="43"/>
      <c r="DN132" s="43"/>
      <c r="DO132" s="43"/>
      <c r="DP132" s="43"/>
      <c r="DQ132" s="43"/>
      <c r="DR132" s="43"/>
      <c r="DS132" s="43"/>
      <c r="DT132" s="43"/>
      <c r="DU132" s="43"/>
      <c r="DV132" s="43"/>
      <c r="DW132" s="43"/>
      <c r="DX132" s="43"/>
      <c r="DY132" s="43"/>
      <c r="DZ132" s="43"/>
      <c r="EA132" s="43"/>
      <c r="EB132" s="43"/>
      <c r="EC132" s="43"/>
    </row>
    <row r="133" spans="1:133" x14ac:dyDescent="0.25">
      <c r="A133" s="46"/>
      <c r="B133" s="46"/>
      <c r="C133" s="46"/>
      <c r="D133" s="46"/>
      <c r="E133" s="46"/>
      <c r="F133" s="46"/>
      <c r="G133" s="46"/>
      <c r="H133" s="46"/>
      <c r="I133" s="46"/>
      <c r="J133" s="72"/>
      <c r="K133" s="46"/>
      <c r="L133" s="46"/>
      <c r="M133" s="72"/>
      <c r="N133" s="72"/>
      <c r="O133" s="72"/>
      <c r="P133" s="72"/>
      <c r="Q133" s="72"/>
      <c r="R133" s="59"/>
      <c r="S133" s="72"/>
      <c r="T133" s="72"/>
      <c r="U133" s="72"/>
      <c r="V133" s="46"/>
      <c r="W133" s="46"/>
      <c r="X133" s="96"/>
      <c r="Y133" s="72"/>
      <c r="Z133" s="72"/>
      <c r="AA133" s="72"/>
      <c r="AB133" s="72"/>
      <c r="AC133" s="123"/>
      <c r="AD133" s="568"/>
      <c r="AE133" s="82"/>
      <c r="AF133" s="64"/>
      <c r="AG133" s="122"/>
      <c r="AH133" s="123"/>
      <c r="AI133" s="46"/>
      <c r="AJ133" s="46"/>
      <c r="AK133" s="46"/>
      <c r="AL133" s="46"/>
      <c r="AM133" s="46"/>
      <c r="AN133" s="46"/>
      <c r="AO133" s="59"/>
      <c r="AP133" s="46"/>
      <c r="AQ133" s="46"/>
      <c r="AR133" s="46"/>
      <c r="AS133" s="46"/>
      <c r="AT133" s="46"/>
      <c r="AU133" s="46"/>
      <c r="AV133" s="46"/>
      <c r="AW133" s="46"/>
      <c r="AX133" s="46"/>
      <c r="AY133" s="46"/>
      <c r="AZ133" s="46"/>
      <c r="BA133" s="46"/>
      <c r="BB133" s="46"/>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c r="DI133" s="43"/>
      <c r="DJ133" s="43"/>
      <c r="DK133" s="43"/>
      <c r="DL133" s="43"/>
      <c r="DM133" s="43"/>
      <c r="DN133" s="43"/>
      <c r="DO133" s="43"/>
      <c r="DP133" s="43"/>
      <c r="DQ133" s="43"/>
      <c r="DR133" s="43"/>
      <c r="DS133" s="43"/>
      <c r="DT133" s="43"/>
      <c r="DU133" s="43"/>
      <c r="DV133" s="43"/>
      <c r="DW133" s="43"/>
      <c r="DX133" s="43"/>
      <c r="DY133" s="43"/>
      <c r="DZ133" s="43"/>
      <c r="EA133" s="43"/>
      <c r="EB133" s="43"/>
      <c r="EC133" s="43"/>
    </row>
    <row r="134" spans="1:133" ht="13.8" thickBot="1" x14ac:dyDescent="0.3">
      <c r="A134" s="46"/>
      <c r="B134" s="46"/>
      <c r="C134" s="46"/>
      <c r="D134" s="46"/>
      <c r="E134" s="46"/>
      <c r="F134" s="46"/>
      <c r="G134" s="46"/>
      <c r="H134" s="46"/>
      <c r="I134" s="46"/>
      <c r="J134" s="72"/>
      <c r="K134" s="46"/>
      <c r="L134" s="46"/>
      <c r="M134" s="72"/>
      <c r="N134" s="72"/>
      <c r="O134" s="72"/>
      <c r="P134" s="46"/>
      <c r="Q134" s="46"/>
      <c r="R134" s="59"/>
      <c r="S134" s="46"/>
      <c r="T134" s="46"/>
      <c r="U134" s="46"/>
      <c r="V134" s="46"/>
      <c r="W134" s="46"/>
      <c r="X134" s="96"/>
      <c r="Y134" s="72"/>
      <c r="Z134" s="72"/>
      <c r="AA134" s="72"/>
      <c r="AB134" s="72"/>
      <c r="AC134" s="123"/>
      <c r="AD134" s="570" t="s">
        <v>666</v>
      </c>
      <c r="AE134" s="112">
        <f>($S$118/8760)*100</f>
        <v>49.315068493150683</v>
      </c>
      <c r="AF134" s="64" t="s">
        <v>283</v>
      </c>
      <c r="AG134" s="122"/>
      <c r="AH134" s="123"/>
      <c r="AI134" s="46"/>
      <c r="AJ134" s="46"/>
      <c r="AK134" s="46"/>
      <c r="AL134" s="46"/>
      <c r="AM134" s="46"/>
      <c r="AN134" s="46"/>
      <c r="AO134" s="59"/>
      <c r="AP134" s="46"/>
      <c r="AQ134" s="46"/>
      <c r="AR134" s="46"/>
      <c r="AS134" s="46"/>
      <c r="AT134" s="46"/>
      <c r="AU134" s="46"/>
      <c r="AV134" s="46"/>
      <c r="AW134" s="46"/>
      <c r="AX134" s="46"/>
      <c r="AY134" s="46"/>
      <c r="AZ134" s="46"/>
      <c r="BA134" s="46"/>
      <c r="BB134" s="46"/>
      <c r="BC134" s="43"/>
      <c r="BD134" s="43"/>
      <c r="BE134" s="43"/>
      <c r="BF134" s="43"/>
      <c r="BG134" s="43"/>
      <c r="BH134" s="43"/>
      <c r="BI134" s="43"/>
      <c r="BJ134" s="43"/>
      <c r="BK134" s="43"/>
      <c r="BL134" s="43"/>
      <c r="BM134" s="43"/>
      <c r="BN134" s="43"/>
      <c r="BO134" s="43"/>
      <c r="BP134" s="43"/>
      <c r="BQ134" s="43"/>
      <c r="BR134" s="43"/>
      <c r="BS134" s="43"/>
      <c r="BT134" s="43"/>
      <c r="BU134" s="43"/>
      <c r="BV134" s="43"/>
      <c r="BW134" s="43"/>
      <c r="BX134" s="43"/>
      <c r="BY134" s="43"/>
      <c r="BZ134" s="43"/>
      <c r="CA134" s="43"/>
      <c r="CB134" s="43"/>
      <c r="CC134" s="43"/>
      <c r="CD134" s="43"/>
      <c r="CE134" s="43"/>
      <c r="CF134" s="43"/>
      <c r="CG134" s="43"/>
      <c r="CH134" s="43"/>
      <c r="CI134" s="43"/>
      <c r="CJ134" s="43"/>
      <c r="CK134" s="43"/>
      <c r="CL134" s="43"/>
      <c r="CM134" s="43"/>
      <c r="CN134" s="43"/>
      <c r="CO134" s="43"/>
      <c r="CP134" s="43"/>
      <c r="CQ134" s="43"/>
      <c r="CR134" s="43"/>
      <c r="CS134" s="43"/>
      <c r="CT134" s="43"/>
      <c r="CU134" s="43"/>
      <c r="CV134" s="43"/>
      <c r="CW134" s="43"/>
      <c r="CX134" s="43"/>
      <c r="CY134" s="43"/>
      <c r="CZ134" s="43"/>
      <c r="DA134" s="43"/>
      <c r="DB134" s="43"/>
      <c r="DC134" s="43"/>
      <c r="DD134" s="43"/>
      <c r="DE134" s="43"/>
      <c r="DF134" s="43"/>
      <c r="DG134" s="43"/>
      <c r="DH134" s="43"/>
      <c r="DI134" s="43"/>
      <c r="DJ134" s="43"/>
      <c r="DK134" s="43"/>
      <c r="DL134" s="43"/>
      <c r="DM134" s="43"/>
      <c r="DN134" s="43"/>
      <c r="DO134" s="43"/>
      <c r="DP134" s="43"/>
      <c r="DQ134" s="43"/>
      <c r="DR134" s="43"/>
      <c r="DS134" s="43"/>
      <c r="DT134" s="43"/>
      <c r="DU134" s="43"/>
      <c r="DV134" s="43"/>
      <c r="DW134" s="43"/>
      <c r="DX134" s="43"/>
      <c r="DY134" s="43"/>
      <c r="DZ134" s="43"/>
      <c r="EA134" s="43"/>
      <c r="EB134" s="43"/>
      <c r="EC134" s="43"/>
    </row>
    <row r="135" spans="1:133" x14ac:dyDescent="0.25">
      <c r="A135" s="46"/>
      <c r="B135" s="46"/>
      <c r="C135" s="46"/>
      <c r="D135" s="46"/>
      <c r="E135" s="46"/>
      <c r="F135" s="46"/>
      <c r="G135" s="46"/>
      <c r="H135" s="46"/>
      <c r="I135" s="46"/>
      <c r="J135" s="72"/>
      <c r="K135" s="46"/>
      <c r="L135" s="46"/>
      <c r="M135" s="72"/>
      <c r="N135" s="72"/>
      <c r="O135" s="72"/>
      <c r="P135" s="281"/>
      <c r="Q135" s="60"/>
      <c r="R135" s="60"/>
      <c r="S135" s="60"/>
      <c r="T135" s="60"/>
      <c r="U135" s="61"/>
      <c r="V135" s="46"/>
      <c r="W135" s="46"/>
      <c r="X135" s="96"/>
      <c r="Y135" s="72"/>
      <c r="Z135" s="72"/>
      <c r="AA135" s="72"/>
      <c r="AB135" s="72"/>
      <c r="AC135" s="123"/>
      <c r="AD135" s="568"/>
      <c r="AE135" s="82"/>
      <c r="AF135" s="64"/>
      <c r="AG135" s="122"/>
      <c r="AH135" s="123"/>
      <c r="AI135" s="46"/>
      <c r="AJ135" s="46"/>
      <c r="AK135" s="46"/>
      <c r="AL135" s="46"/>
      <c r="AM135" s="46"/>
      <c r="AN135" s="46"/>
      <c r="AO135" s="59"/>
      <c r="AP135" s="46"/>
      <c r="AQ135" s="46"/>
      <c r="AR135" s="46"/>
      <c r="AS135" s="46"/>
      <c r="AT135" s="46"/>
      <c r="AU135" s="46"/>
      <c r="AV135" s="46"/>
      <c r="AW135" s="46"/>
      <c r="AX135" s="46"/>
      <c r="AY135" s="46"/>
      <c r="AZ135" s="46"/>
      <c r="BA135" s="46"/>
      <c r="BB135" s="46"/>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43"/>
      <c r="DB135" s="43"/>
      <c r="DC135" s="43"/>
      <c r="DD135" s="43"/>
      <c r="DE135" s="43"/>
      <c r="DF135" s="43"/>
      <c r="DG135" s="43"/>
      <c r="DH135" s="43"/>
      <c r="DI135" s="43"/>
      <c r="DJ135" s="43"/>
      <c r="DK135" s="43"/>
      <c r="DL135" s="43"/>
      <c r="DM135" s="43"/>
      <c r="DN135" s="43"/>
      <c r="DO135" s="43"/>
      <c r="DP135" s="43"/>
      <c r="DQ135" s="43"/>
      <c r="DR135" s="43"/>
      <c r="DS135" s="43"/>
      <c r="DT135" s="43"/>
      <c r="DU135" s="43"/>
      <c r="DV135" s="43"/>
      <c r="DW135" s="43"/>
      <c r="DX135" s="43"/>
      <c r="DY135" s="43"/>
      <c r="DZ135" s="43"/>
      <c r="EA135" s="43"/>
      <c r="EB135" s="43"/>
      <c r="EC135" s="43"/>
    </row>
    <row r="136" spans="1:133" x14ac:dyDescent="0.25">
      <c r="A136" s="46"/>
      <c r="B136" s="46"/>
      <c r="C136" s="46"/>
      <c r="D136" s="46"/>
      <c r="E136" s="46"/>
      <c r="F136" s="46"/>
      <c r="G136" s="46"/>
      <c r="H136" s="46"/>
      <c r="I136" s="46"/>
      <c r="J136" s="72"/>
      <c r="K136" s="46"/>
      <c r="L136" s="46"/>
      <c r="M136" s="72"/>
      <c r="N136" s="72"/>
      <c r="O136" s="46"/>
      <c r="P136" s="1551" t="s">
        <v>579</v>
      </c>
      <c r="Q136" s="1552"/>
      <c r="R136" s="1552"/>
      <c r="S136" s="1552"/>
      <c r="T136" s="1552"/>
      <c r="U136" s="1553"/>
      <c r="V136" s="46"/>
      <c r="W136" s="46"/>
      <c r="X136" s="96"/>
      <c r="Y136" s="72"/>
      <c r="Z136" s="72"/>
      <c r="AA136" s="72"/>
      <c r="AB136" s="72"/>
      <c r="AC136" s="123"/>
      <c r="AD136" s="570" t="s">
        <v>664</v>
      </c>
      <c r="AE136" s="136">
        <f>$S$116</f>
        <v>20</v>
      </c>
      <c r="AF136" s="64" t="s">
        <v>428</v>
      </c>
      <c r="AG136" s="122"/>
      <c r="AH136" s="123"/>
      <c r="AI136" s="46"/>
      <c r="AJ136" s="46"/>
      <c r="AK136" s="46"/>
      <c r="AL136" s="46"/>
      <c r="AM136" s="46"/>
      <c r="AN136" s="46"/>
      <c r="AO136" s="59"/>
      <c r="AP136" s="46"/>
      <c r="AQ136" s="46"/>
      <c r="AR136" s="46"/>
      <c r="AS136" s="46"/>
      <c r="AT136" s="46"/>
      <c r="AU136" s="46"/>
      <c r="AV136" s="46"/>
      <c r="AW136" s="46"/>
      <c r="AX136" s="46"/>
      <c r="AY136" s="46"/>
      <c r="AZ136" s="46"/>
      <c r="BA136" s="46"/>
      <c r="BB136" s="46"/>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43"/>
      <c r="BZ136" s="43"/>
      <c r="CA136" s="43"/>
      <c r="CB136" s="43"/>
      <c r="CC136" s="43"/>
      <c r="CD136" s="43"/>
      <c r="CE136" s="43"/>
      <c r="CF136" s="43"/>
      <c r="CG136" s="43"/>
      <c r="CH136" s="43"/>
      <c r="CI136" s="43"/>
      <c r="CJ136" s="43"/>
      <c r="CK136" s="43"/>
      <c r="CL136" s="43"/>
      <c r="CM136" s="43"/>
      <c r="CN136" s="43"/>
      <c r="CO136" s="43"/>
      <c r="CP136" s="43"/>
      <c r="CQ136" s="43"/>
      <c r="CR136" s="43"/>
      <c r="CS136" s="43"/>
      <c r="CT136" s="43"/>
      <c r="CU136" s="43"/>
      <c r="CV136" s="43"/>
      <c r="CW136" s="43"/>
      <c r="CX136" s="43"/>
      <c r="CY136" s="43"/>
      <c r="CZ136" s="43"/>
      <c r="DA136" s="43"/>
      <c r="DB136" s="43"/>
      <c r="DC136" s="43"/>
      <c r="DD136" s="43"/>
      <c r="DE136" s="43"/>
      <c r="DF136" s="43"/>
      <c r="DG136" s="43"/>
      <c r="DH136" s="43"/>
      <c r="DI136" s="43"/>
      <c r="DJ136" s="43"/>
      <c r="DK136" s="43"/>
      <c r="DL136" s="43"/>
      <c r="DM136" s="43"/>
      <c r="DN136" s="43"/>
      <c r="DO136" s="43"/>
      <c r="DP136" s="43"/>
      <c r="DQ136" s="43"/>
      <c r="DR136" s="43"/>
      <c r="DS136" s="43"/>
      <c r="DT136" s="43"/>
      <c r="DU136" s="43"/>
      <c r="DV136" s="43"/>
      <c r="DW136" s="43"/>
      <c r="DX136" s="43"/>
      <c r="DY136" s="43"/>
      <c r="DZ136" s="43"/>
      <c r="EA136" s="43"/>
      <c r="EB136" s="43"/>
      <c r="EC136" s="43"/>
    </row>
    <row r="137" spans="1:133" ht="13.8" thickBot="1" x14ac:dyDescent="0.3">
      <c r="A137" s="46"/>
      <c r="B137" s="46"/>
      <c r="C137" s="46"/>
      <c r="D137" s="46"/>
      <c r="E137" s="46"/>
      <c r="F137" s="46"/>
      <c r="G137" s="46"/>
      <c r="H137" s="46"/>
      <c r="I137" s="46"/>
      <c r="J137" s="72"/>
      <c r="K137" s="46"/>
      <c r="L137" s="46"/>
      <c r="M137" s="72"/>
      <c r="N137" s="72"/>
      <c r="O137" s="46"/>
      <c r="P137" s="62"/>
      <c r="Q137" s="82"/>
      <c r="R137" s="1549" t="s">
        <v>129</v>
      </c>
      <c r="S137" s="1549"/>
      <c r="T137" s="82"/>
      <c r="U137" s="64"/>
      <c r="V137" s="46"/>
      <c r="W137" s="46"/>
      <c r="X137" s="96"/>
      <c r="Y137" s="72"/>
      <c r="Z137" s="72"/>
      <c r="AA137" s="72"/>
      <c r="AB137" s="72"/>
      <c r="AC137" s="123"/>
      <c r="AD137" s="250"/>
      <c r="AE137" s="70"/>
      <c r="AF137" s="71"/>
      <c r="AG137" s="122"/>
      <c r="AH137" s="123"/>
      <c r="AI137" s="46"/>
      <c r="AJ137" s="46"/>
      <c r="AK137" s="46"/>
      <c r="AL137" s="46"/>
      <c r="AM137" s="46"/>
      <c r="AN137" s="46"/>
      <c r="AO137" s="59"/>
      <c r="AP137" s="46"/>
      <c r="AQ137" s="46"/>
      <c r="AR137" s="46"/>
      <c r="AS137" s="46"/>
      <c r="AT137" s="46"/>
      <c r="AU137" s="46"/>
      <c r="AV137" s="46"/>
      <c r="AW137" s="46"/>
      <c r="AX137" s="46"/>
      <c r="AY137" s="46"/>
      <c r="AZ137" s="46"/>
      <c r="BA137" s="46"/>
      <c r="BB137" s="46"/>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43"/>
      <c r="DB137" s="43"/>
      <c r="DC137" s="43"/>
      <c r="DD137" s="43"/>
      <c r="DE137" s="43"/>
      <c r="DF137" s="43"/>
      <c r="DG137" s="43"/>
      <c r="DH137" s="43"/>
      <c r="DI137" s="43"/>
      <c r="DJ137" s="43"/>
      <c r="DK137" s="43"/>
      <c r="DL137" s="43"/>
      <c r="DM137" s="43"/>
      <c r="DN137" s="43"/>
      <c r="DO137" s="43"/>
      <c r="DP137" s="43"/>
      <c r="DQ137" s="43"/>
      <c r="DR137" s="43"/>
      <c r="DS137" s="43"/>
      <c r="DT137" s="43"/>
      <c r="DU137" s="43"/>
      <c r="DV137" s="43"/>
      <c r="DW137" s="43"/>
      <c r="DX137" s="43"/>
      <c r="DY137" s="43"/>
      <c r="DZ137" s="43"/>
      <c r="EA137" s="43"/>
      <c r="EB137" s="43"/>
      <c r="EC137" s="43"/>
    </row>
    <row r="138" spans="1:133" x14ac:dyDescent="0.25">
      <c r="A138" s="46"/>
      <c r="B138" s="46"/>
      <c r="C138" s="46"/>
      <c r="D138" s="46"/>
      <c r="E138" s="46"/>
      <c r="F138" s="46"/>
      <c r="G138" s="46"/>
      <c r="H138" s="46"/>
      <c r="I138" s="46"/>
      <c r="J138" s="72"/>
      <c r="K138" s="46"/>
      <c r="L138" s="46"/>
      <c r="M138" s="72"/>
      <c r="N138" s="72"/>
      <c r="O138" s="72"/>
      <c r="P138" s="62"/>
      <c r="Q138" s="82"/>
      <c r="R138" s="139"/>
      <c r="S138" s="139"/>
      <c r="T138" s="82"/>
      <c r="U138" s="64"/>
      <c r="V138" s="46"/>
      <c r="W138" s="46"/>
      <c r="X138" s="94"/>
      <c r="Y138" s="89"/>
      <c r="Z138" s="89"/>
      <c r="AA138" s="89"/>
      <c r="AB138" s="89"/>
      <c r="AC138" s="866"/>
      <c r="AD138" s="99"/>
      <c r="AE138" s="72"/>
      <c r="AF138" s="72"/>
      <c r="AG138" s="122"/>
      <c r="AH138" s="123"/>
      <c r="AI138" s="46"/>
      <c r="AJ138" s="46"/>
      <c r="AK138" s="46"/>
      <c r="AL138" s="46"/>
      <c r="AM138" s="46"/>
      <c r="AN138" s="46"/>
      <c r="AO138" s="59"/>
      <c r="AP138" s="46"/>
      <c r="AQ138" s="46"/>
      <c r="AR138" s="46"/>
      <c r="AS138" s="46"/>
      <c r="AT138" s="46"/>
      <c r="AU138" s="46"/>
      <c r="AV138" s="46"/>
      <c r="AW138" s="46"/>
      <c r="AX138" s="46"/>
      <c r="AY138" s="46"/>
      <c r="AZ138" s="46"/>
      <c r="BA138" s="46"/>
      <c r="BB138" s="46"/>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c r="CB138" s="43"/>
      <c r="CC138" s="43"/>
      <c r="CD138" s="43"/>
      <c r="CE138" s="43"/>
      <c r="CF138" s="43"/>
      <c r="CG138" s="43"/>
      <c r="CH138" s="43"/>
      <c r="CI138" s="43"/>
      <c r="CJ138" s="43"/>
      <c r="CK138" s="43"/>
      <c r="CL138" s="43"/>
      <c r="CM138" s="43"/>
      <c r="CN138" s="43"/>
      <c r="CO138" s="43"/>
      <c r="CP138" s="43"/>
      <c r="CQ138" s="43"/>
      <c r="CR138" s="43"/>
      <c r="CS138" s="43"/>
      <c r="CT138" s="43"/>
      <c r="CU138" s="43"/>
      <c r="CV138" s="43"/>
      <c r="CW138" s="43"/>
      <c r="CX138" s="43"/>
      <c r="CY138" s="43"/>
      <c r="CZ138" s="43"/>
      <c r="DA138" s="43"/>
      <c r="DB138" s="43"/>
      <c r="DC138" s="43"/>
      <c r="DD138" s="43"/>
      <c r="DE138" s="43"/>
      <c r="DF138" s="43"/>
      <c r="DG138" s="43"/>
      <c r="DH138" s="43"/>
      <c r="DI138" s="43"/>
      <c r="DJ138" s="43"/>
      <c r="DK138" s="43"/>
      <c r="DL138" s="43"/>
      <c r="DM138" s="43"/>
      <c r="DN138" s="43"/>
      <c r="DO138" s="43"/>
      <c r="DP138" s="43"/>
      <c r="DQ138" s="43"/>
      <c r="DR138" s="43"/>
      <c r="DS138" s="43"/>
      <c r="DT138" s="43"/>
      <c r="DU138" s="43"/>
      <c r="DV138" s="43"/>
      <c r="DW138" s="43"/>
      <c r="DX138" s="43"/>
      <c r="DY138" s="43"/>
      <c r="DZ138" s="43"/>
      <c r="EA138" s="43"/>
      <c r="EB138" s="43"/>
      <c r="EC138" s="43"/>
    </row>
    <row r="139" spans="1:133" ht="13.8" thickBot="1" x14ac:dyDescent="0.3">
      <c r="A139" s="46"/>
      <c r="B139" s="46"/>
      <c r="C139" s="46"/>
      <c r="D139" s="46"/>
      <c r="E139" s="46"/>
      <c r="F139" s="46"/>
      <c r="G139" s="46"/>
      <c r="H139" s="46"/>
      <c r="I139" s="46"/>
      <c r="J139" s="72"/>
      <c r="K139" s="46"/>
      <c r="L139" s="46"/>
      <c r="M139" s="72"/>
      <c r="N139" s="72"/>
      <c r="O139" s="247"/>
      <c r="P139" s="1554" t="s">
        <v>280</v>
      </c>
      <c r="Q139" s="1555"/>
      <c r="R139" s="1556"/>
      <c r="S139" s="688">
        <f>IF(S141=0,1,0)</f>
        <v>0</v>
      </c>
      <c r="T139" s="82" t="s">
        <v>552</v>
      </c>
      <c r="U139" s="64"/>
      <c r="V139" s="230"/>
      <c r="W139" s="76"/>
      <c r="X139" s="76"/>
      <c r="Y139" s="72"/>
      <c r="Z139" s="72"/>
      <c r="AA139" s="72"/>
      <c r="AB139" s="72"/>
      <c r="AC139" s="140"/>
      <c r="AD139" s="142"/>
      <c r="AE139" s="141"/>
      <c r="AF139" s="141"/>
      <c r="AG139" s="143"/>
      <c r="AH139" s="123"/>
      <c r="AI139" s="46"/>
      <c r="AJ139" s="46"/>
      <c r="AK139" s="46"/>
      <c r="AL139" s="46"/>
      <c r="AM139" s="46"/>
      <c r="AN139" s="46"/>
      <c r="AO139" s="59"/>
      <c r="AP139" s="46"/>
      <c r="AQ139" s="46"/>
      <c r="AR139" s="46"/>
      <c r="AS139" s="46"/>
      <c r="AT139" s="46"/>
      <c r="AU139" s="46"/>
      <c r="AV139" s="46"/>
      <c r="AW139" s="46"/>
      <c r="AX139" s="46"/>
      <c r="AY139" s="46"/>
      <c r="AZ139" s="46"/>
      <c r="BA139" s="46"/>
      <c r="BB139" s="46"/>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c r="CB139" s="43"/>
      <c r="CC139" s="43"/>
      <c r="CD139" s="43"/>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43"/>
      <c r="DB139" s="43"/>
      <c r="DC139" s="43"/>
      <c r="DD139" s="43"/>
      <c r="DE139" s="43"/>
      <c r="DF139" s="43"/>
      <c r="DG139" s="43"/>
      <c r="DH139" s="43"/>
      <c r="DI139" s="43"/>
      <c r="DJ139" s="43"/>
      <c r="DK139" s="43"/>
      <c r="DL139" s="43"/>
      <c r="DM139" s="43"/>
      <c r="DN139" s="43"/>
      <c r="DO139" s="43"/>
      <c r="DP139" s="43"/>
      <c r="DQ139" s="43"/>
      <c r="DR139" s="43"/>
      <c r="DS139" s="43"/>
      <c r="DT139" s="43"/>
      <c r="DU139" s="43"/>
      <c r="DV139" s="43"/>
      <c r="DW139" s="43"/>
      <c r="DX139" s="43"/>
      <c r="DY139" s="43"/>
      <c r="DZ139" s="43"/>
      <c r="EA139" s="43"/>
      <c r="EB139" s="43"/>
      <c r="EC139" s="43"/>
    </row>
    <row r="140" spans="1:133" x14ac:dyDescent="0.25">
      <c r="A140" s="46"/>
      <c r="B140" s="46"/>
      <c r="C140" s="46"/>
      <c r="D140" s="46"/>
      <c r="E140" s="46"/>
      <c r="F140" s="46"/>
      <c r="G140" s="46"/>
      <c r="H140" s="46"/>
      <c r="I140" s="46"/>
      <c r="J140" s="72"/>
      <c r="K140" s="46"/>
      <c r="L140" s="46"/>
      <c r="M140" s="72"/>
      <c r="N140" s="72"/>
      <c r="O140" s="247"/>
      <c r="P140" s="62"/>
      <c r="Q140" s="82"/>
      <c r="R140" s="82"/>
      <c r="S140" s="82"/>
      <c r="T140" s="82"/>
      <c r="U140" s="64"/>
      <c r="V140" s="46"/>
      <c r="W140" s="46"/>
      <c r="X140" s="46"/>
      <c r="Y140" s="46"/>
      <c r="Z140" s="46"/>
      <c r="AA140" s="46"/>
      <c r="AB140" s="46"/>
      <c r="AC140" s="72"/>
      <c r="AD140" s="144"/>
      <c r="AE140" s="72"/>
      <c r="AF140" s="72"/>
      <c r="AG140" s="72"/>
      <c r="AH140" s="72"/>
      <c r="AI140" s="46"/>
      <c r="AJ140" s="46"/>
      <c r="AK140" s="46"/>
      <c r="AL140" s="46"/>
      <c r="AM140" s="46"/>
      <c r="AN140" s="46"/>
      <c r="AO140" s="59"/>
      <c r="AP140" s="46"/>
      <c r="AQ140" s="46"/>
      <c r="AR140" s="46"/>
      <c r="AS140" s="46"/>
      <c r="AT140" s="46"/>
      <c r="AU140" s="46"/>
      <c r="AV140" s="46"/>
      <c r="AW140" s="46"/>
      <c r="AX140" s="46"/>
      <c r="AY140" s="46"/>
      <c r="AZ140" s="46"/>
      <c r="BA140" s="46"/>
      <c r="BB140" s="46"/>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c r="CS140" s="43"/>
      <c r="CT140" s="43"/>
      <c r="CU140" s="43"/>
      <c r="CV140" s="43"/>
      <c r="CW140" s="43"/>
      <c r="CX140" s="43"/>
      <c r="CY140" s="43"/>
      <c r="CZ140" s="43"/>
      <c r="DA140" s="43"/>
      <c r="DB140" s="43"/>
      <c r="DC140" s="43"/>
      <c r="DD140" s="43"/>
      <c r="DE140" s="43"/>
      <c r="DF140" s="43"/>
      <c r="DG140" s="43"/>
      <c r="DH140" s="43"/>
      <c r="DI140" s="43"/>
      <c r="DJ140" s="43"/>
      <c r="DK140" s="43"/>
      <c r="DL140" s="43"/>
      <c r="DM140" s="43"/>
      <c r="DN140" s="43"/>
      <c r="DO140" s="43"/>
      <c r="DP140" s="43"/>
      <c r="DQ140" s="43"/>
      <c r="DR140" s="43"/>
      <c r="DS140" s="43"/>
      <c r="DT140" s="43"/>
      <c r="DU140" s="43"/>
      <c r="DV140" s="43"/>
      <c r="DW140" s="43"/>
      <c r="DX140" s="43"/>
      <c r="DY140" s="43"/>
      <c r="DZ140" s="43"/>
      <c r="EA140" s="43"/>
      <c r="EB140" s="43"/>
      <c r="EC140" s="43"/>
    </row>
    <row r="141" spans="1:133" x14ac:dyDescent="0.25">
      <c r="A141" s="46"/>
      <c r="B141" s="46"/>
      <c r="C141" s="46"/>
      <c r="D141" s="46"/>
      <c r="E141" s="46"/>
      <c r="F141" s="46"/>
      <c r="G141" s="46"/>
      <c r="H141" s="46"/>
      <c r="I141" s="46"/>
      <c r="J141" s="72"/>
      <c r="K141" s="46"/>
      <c r="L141" s="46"/>
      <c r="M141" s="72"/>
      <c r="N141" s="72"/>
      <c r="O141" s="46"/>
      <c r="P141" s="1554" t="s">
        <v>281</v>
      </c>
      <c r="Q141" s="1555"/>
      <c r="R141" s="1556"/>
      <c r="S141" s="88">
        <f>use_chp_sc</f>
        <v>1</v>
      </c>
      <c r="T141" s="82" t="s">
        <v>552</v>
      </c>
      <c r="U141" s="64"/>
      <c r="V141" s="46"/>
      <c r="W141" s="46"/>
      <c r="X141" s="46"/>
      <c r="Y141" s="46"/>
      <c r="Z141" s="46"/>
      <c r="AA141" s="46"/>
      <c r="AB141" s="46"/>
      <c r="AC141" s="72"/>
      <c r="AD141" s="59"/>
      <c r="AE141" s="72"/>
      <c r="AF141" s="72"/>
      <c r="AG141" s="72"/>
      <c r="AH141" s="72"/>
      <c r="AI141" s="46"/>
      <c r="AJ141" s="46"/>
      <c r="AK141" s="46"/>
      <c r="AL141" s="46"/>
      <c r="AM141" s="46"/>
      <c r="AN141" s="46"/>
      <c r="AO141" s="59"/>
      <c r="AP141" s="46"/>
      <c r="AQ141" s="46"/>
      <c r="AR141" s="46"/>
      <c r="AS141" s="46"/>
      <c r="AT141" s="46"/>
      <c r="AU141" s="46"/>
      <c r="AV141" s="46"/>
      <c r="AW141" s="46"/>
      <c r="AX141" s="46"/>
      <c r="AY141" s="46"/>
      <c r="AZ141" s="46"/>
      <c r="BA141" s="46"/>
      <c r="BB141" s="46"/>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c r="CB141" s="43"/>
      <c r="CC141" s="43"/>
      <c r="CD141" s="43"/>
      <c r="CE141" s="43"/>
      <c r="CF141" s="43"/>
      <c r="CG141" s="43"/>
      <c r="CH141" s="43"/>
      <c r="CI141" s="43"/>
      <c r="CJ141" s="43"/>
      <c r="CK141" s="43"/>
      <c r="CL141" s="43"/>
      <c r="CM141" s="43"/>
      <c r="CN141" s="43"/>
      <c r="CO141" s="43"/>
      <c r="CP141" s="43"/>
      <c r="CQ141" s="43"/>
      <c r="CR141" s="43"/>
      <c r="CS141" s="43"/>
      <c r="CT141" s="43"/>
      <c r="CU141" s="43"/>
      <c r="CV141" s="43"/>
      <c r="CW141" s="43"/>
      <c r="CX141" s="43"/>
      <c r="CY141" s="43"/>
      <c r="CZ141" s="43"/>
      <c r="DA141" s="43"/>
      <c r="DB141" s="43"/>
      <c r="DC141" s="43"/>
      <c r="DD141" s="43"/>
      <c r="DE141" s="43"/>
      <c r="DF141" s="43"/>
      <c r="DG141" s="43"/>
      <c r="DH141" s="43"/>
      <c r="DI141" s="43"/>
      <c r="DJ141" s="43"/>
      <c r="DK141" s="43"/>
      <c r="DL141" s="43"/>
      <c r="DM141" s="43"/>
      <c r="DN141" s="43"/>
      <c r="DO141" s="43"/>
      <c r="DP141" s="43"/>
      <c r="DQ141" s="43"/>
      <c r="DR141" s="43"/>
      <c r="DS141" s="43"/>
      <c r="DT141" s="43"/>
      <c r="DU141" s="43"/>
      <c r="DV141" s="43"/>
      <c r="DW141" s="43"/>
      <c r="DX141" s="43"/>
      <c r="DY141" s="43"/>
      <c r="DZ141" s="43"/>
      <c r="EA141" s="43"/>
      <c r="EB141" s="43"/>
      <c r="EC141" s="43"/>
    </row>
    <row r="142" spans="1:133" ht="13.8" thickBot="1" x14ac:dyDescent="0.3">
      <c r="A142" s="46"/>
      <c r="B142" s="46"/>
      <c r="C142" s="46"/>
      <c r="D142" s="46"/>
      <c r="E142" s="46"/>
      <c r="F142" s="46"/>
      <c r="G142" s="46"/>
      <c r="H142" s="46"/>
      <c r="I142" s="46"/>
      <c r="J142" s="72"/>
      <c r="K142" s="46"/>
      <c r="L142" s="46"/>
      <c r="M142" s="72"/>
      <c r="N142" s="72"/>
      <c r="O142" s="46"/>
      <c r="P142" s="69"/>
      <c r="Q142" s="70"/>
      <c r="R142" s="70"/>
      <c r="S142" s="70"/>
      <c r="T142" s="70"/>
      <c r="U142" s="71"/>
      <c r="V142" s="46"/>
      <c r="W142" s="46"/>
      <c r="X142" s="46"/>
      <c r="Y142" s="46"/>
      <c r="Z142" s="46"/>
      <c r="AA142" s="46"/>
      <c r="AB142" s="46"/>
      <c r="AC142" s="72"/>
      <c r="AD142" s="95"/>
      <c r="AE142" s="48"/>
      <c r="AF142" s="49"/>
      <c r="AG142" s="72"/>
      <c r="AH142" s="72"/>
      <c r="AI142" s="46"/>
      <c r="AJ142" s="46"/>
      <c r="AK142" s="46"/>
      <c r="AL142" s="46"/>
      <c r="AM142" s="46"/>
      <c r="AN142" s="46"/>
      <c r="AO142" s="59"/>
      <c r="AP142" s="46"/>
      <c r="AQ142" s="46"/>
      <c r="AR142" s="46"/>
      <c r="AS142" s="46"/>
      <c r="AT142" s="46"/>
      <c r="AU142" s="46"/>
      <c r="AV142" s="46"/>
      <c r="AW142" s="46"/>
      <c r="AX142" s="46"/>
      <c r="AY142" s="46"/>
      <c r="AZ142" s="46"/>
      <c r="BA142" s="46"/>
      <c r="BB142" s="46"/>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c r="CB142" s="43"/>
      <c r="CC142" s="43"/>
      <c r="CD142" s="43"/>
      <c r="CE142" s="43"/>
      <c r="CF142" s="43"/>
      <c r="CG142" s="43"/>
      <c r="CH142" s="43"/>
      <c r="CI142" s="43"/>
      <c r="CJ142" s="43"/>
      <c r="CK142" s="43"/>
      <c r="CL142" s="43"/>
      <c r="CM142" s="43"/>
      <c r="CN142" s="43"/>
      <c r="CO142" s="43"/>
      <c r="CP142" s="43"/>
      <c r="CQ142" s="43"/>
      <c r="CR142" s="43"/>
      <c r="CS142" s="43"/>
      <c r="CT142" s="43"/>
      <c r="CU142" s="43"/>
      <c r="CV142" s="43"/>
      <c r="CW142" s="43"/>
      <c r="CX142" s="43"/>
      <c r="CY142" s="43"/>
      <c r="CZ142" s="43"/>
      <c r="DA142" s="43"/>
      <c r="DB142" s="43"/>
      <c r="DC142" s="43"/>
      <c r="DD142" s="43"/>
      <c r="DE142" s="43"/>
      <c r="DF142" s="43"/>
      <c r="DG142" s="43"/>
      <c r="DH142" s="43"/>
      <c r="DI142" s="43"/>
      <c r="DJ142" s="43"/>
      <c r="DK142" s="43"/>
      <c r="DL142" s="43"/>
      <c r="DM142" s="43"/>
      <c r="DN142" s="43"/>
      <c r="DO142" s="43"/>
      <c r="DP142" s="43"/>
      <c r="DQ142" s="43"/>
      <c r="DR142" s="43"/>
      <c r="DS142" s="43"/>
      <c r="DT142" s="43"/>
      <c r="DU142" s="43"/>
      <c r="DV142" s="43"/>
      <c r="DW142" s="43"/>
      <c r="DX142" s="43"/>
      <c r="DY142" s="43"/>
      <c r="DZ142" s="43"/>
      <c r="EA142" s="43"/>
      <c r="EB142" s="43"/>
      <c r="EC142" s="43"/>
    </row>
    <row r="143" spans="1:133" x14ac:dyDescent="0.25">
      <c r="A143" s="46"/>
      <c r="B143" s="46"/>
      <c r="C143" s="46"/>
      <c r="D143" s="46"/>
      <c r="E143" s="46"/>
      <c r="F143" s="46"/>
      <c r="G143" s="46"/>
      <c r="H143" s="46"/>
      <c r="I143" s="46"/>
      <c r="J143" s="72"/>
      <c r="K143" s="72"/>
      <c r="L143" s="72"/>
      <c r="M143" s="72"/>
      <c r="N143" s="72"/>
      <c r="O143" s="46"/>
      <c r="P143" s="72"/>
      <c r="Q143" s="72"/>
      <c r="R143" s="59"/>
      <c r="S143" s="72"/>
      <c r="T143" s="72"/>
      <c r="U143" s="72"/>
      <c r="V143" s="46"/>
      <c r="W143" s="46"/>
      <c r="X143" s="46"/>
      <c r="Y143" s="46"/>
      <c r="Z143" s="46"/>
      <c r="AA143" s="46"/>
      <c r="AB143" s="46"/>
      <c r="AC143" s="72"/>
      <c r="AD143" s="520" t="s">
        <v>668</v>
      </c>
      <c r="AE143" s="1546">
        <f>IF(S152&gt;(AE130*1000*S118)/(S114*S320/S164),S152-(AE130*1000*S118)/(S114*S320/S164),0)</f>
        <v>0</v>
      </c>
      <c r="AF143" s="433" t="s">
        <v>565</v>
      </c>
      <c r="AG143" s="72"/>
      <c r="AH143" s="72"/>
      <c r="AI143" s="46"/>
      <c r="AJ143" s="46"/>
      <c r="AK143" s="46"/>
      <c r="AL143" s="46"/>
      <c r="AM143" s="46"/>
      <c r="AN143" s="46"/>
      <c r="AO143" s="59"/>
      <c r="AP143" s="46"/>
      <c r="AQ143" s="46"/>
      <c r="AR143" s="46"/>
      <c r="AS143" s="46"/>
      <c r="AT143" s="46"/>
      <c r="AU143" s="46"/>
      <c r="AV143" s="46"/>
      <c r="AW143" s="46"/>
      <c r="AX143" s="46"/>
      <c r="AY143" s="46"/>
      <c r="AZ143" s="46"/>
      <c r="BA143" s="46"/>
      <c r="BB143" s="46"/>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c r="CB143" s="43"/>
      <c r="CC143" s="43"/>
      <c r="CD143" s="43"/>
      <c r="CE143" s="43"/>
      <c r="CF143" s="43"/>
      <c r="CG143" s="43"/>
      <c r="CH143" s="43"/>
      <c r="CI143" s="43"/>
      <c r="CJ143" s="43"/>
      <c r="CK143" s="43"/>
      <c r="CL143" s="43"/>
      <c r="CM143" s="43"/>
      <c r="CN143" s="43"/>
      <c r="CO143" s="43"/>
      <c r="CP143" s="43"/>
      <c r="CQ143" s="43"/>
      <c r="CR143" s="43"/>
      <c r="CS143" s="43"/>
      <c r="CT143" s="43"/>
      <c r="CU143" s="43"/>
      <c r="CV143" s="43"/>
      <c r="CW143" s="43"/>
      <c r="CX143" s="43"/>
      <c r="CY143" s="43"/>
      <c r="CZ143" s="43"/>
      <c r="DA143" s="43"/>
      <c r="DB143" s="43"/>
      <c r="DC143" s="43"/>
      <c r="DD143" s="43"/>
      <c r="DE143" s="43"/>
      <c r="DF143" s="43"/>
      <c r="DG143" s="43"/>
      <c r="DH143" s="43"/>
      <c r="DI143" s="43"/>
      <c r="DJ143" s="43"/>
      <c r="DK143" s="43"/>
      <c r="DL143" s="43"/>
      <c r="DM143" s="43"/>
      <c r="DN143" s="43"/>
      <c r="DO143" s="43"/>
      <c r="DP143" s="43"/>
      <c r="DQ143" s="43"/>
      <c r="DR143" s="43"/>
      <c r="DS143" s="43"/>
      <c r="DT143" s="43"/>
      <c r="DU143" s="43"/>
      <c r="DV143" s="43"/>
      <c r="DW143" s="43"/>
      <c r="DX143" s="43"/>
      <c r="DY143" s="43"/>
      <c r="DZ143" s="43"/>
      <c r="EA143" s="43"/>
      <c r="EB143" s="43"/>
      <c r="EC143" s="43"/>
    </row>
    <row r="144" spans="1:133" x14ac:dyDescent="0.25">
      <c r="A144" s="46"/>
      <c r="B144" s="46"/>
      <c r="C144" s="46"/>
      <c r="D144" s="46"/>
      <c r="E144" s="46"/>
      <c r="F144" s="46"/>
      <c r="G144" s="46"/>
      <c r="H144" s="46"/>
      <c r="I144" s="46"/>
      <c r="J144" s="72"/>
      <c r="K144" s="72"/>
      <c r="L144" s="72"/>
      <c r="M144" s="72"/>
      <c r="N144" s="72"/>
      <c r="O144" s="46"/>
      <c r="P144" s="72"/>
      <c r="Q144" s="72"/>
      <c r="R144" s="59"/>
      <c r="S144" s="72"/>
      <c r="T144" s="72"/>
      <c r="U144" s="72"/>
      <c r="V144" s="46"/>
      <c r="W144" s="46"/>
      <c r="X144" s="46"/>
      <c r="Y144" s="46"/>
      <c r="Z144" s="46"/>
      <c r="AA144" s="46"/>
      <c r="AB144" s="46"/>
      <c r="AC144" s="72"/>
      <c r="AD144" s="431"/>
      <c r="AE144" s="432"/>
      <c r="AF144" s="433"/>
      <c r="AG144" s="72"/>
      <c r="AH144" s="72"/>
      <c r="AI144" s="46"/>
      <c r="AJ144" s="46"/>
      <c r="AK144" s="46"/>
      <c r="AL144" s="46"/>
      <c r="AM144" s="46"/>
      <c r="AN144" s="46"/>
      <c r="AO144" s="59"/>
      <c r="AP144" s="46"/>
      <c r="AQ144" s="46"/>
      <c r="AR144" s="46"/>
      <c r="AS144" s="46"/>
      <c r="AT144" s="46"/>
      <c r="AU144" s="46"/>
      <c r="AV144" s="46"/>
      <c r="AW144" s="46"/>
      <c r="AX144" s="46"/>
      <c r="AY144" s="46"/>
      <c r="AZ144" s="46"/>
      <c r="BA144" s="46"/>
      <c r="BB144" s="46"/>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c r="DK144" s="43"/>
      <c r="DL144" s="43"/>
      <c r="DM144" s="43"/>
      <c r="DN144" s="43"/>
      <c r="DO144" s="43"/>
      <c r="DP144" s="43"/>
      <c r="DQ144" s="43"/>
      <c r="DR144" s="43"/>
      <c r="DS144" s="43"/>
      <c r="DT144" s="43"/>
      <c r="DU144" s="43"/>
      <c r="DV144" s="43"/>
      <c r="DW144" s="43"/>
      <c r="DX144" s="43"/>
      <c r="DY144" s="43"/>
      <c r="DZ144" s="43"/>
      <c r="EA144" s="43"/>
      <c r="EB144" s="43"/>
      <c r="EC144" s="43"/>
    </row>
    <row r="145" spans="1:133" x14ac:dyDescent="0.25">
      <c r="A145" s="46"/>
      <c r="B145" s="46"/>
      <c r="C145" s="46"/>
      <c r="D145" s="46"/>
      <c r="E145" s="46"/>
      <c r="F145" s="46"/>
      <c r="G145" s="46"/>
      <c r="H145" s="46"/>
      <c r="I145" s="46"/>
      <c r="J145" s="72"/>
      <c r="K145" s="72"/>
      <c r="L145" s="72"/>
      <c r="M145" s="72"/>
      <c r="N145" s="72"/>
      <c r="O145" s="46"/>
      <c r="P145" s="72"/>
      <c r="Q145" s="72"/>
      <c r="R145" s="59"/>
      <c r="S145" s="72"/>
      <c r="T145" s="72"/>
      <c r="U145" s="72"/>
      <c r="V145" s="46"/>
      <c r="W145" s="46"/>
      <c r="X145" s="46"/>
      <c r="Y145" s="46"/>
      <c r="Z145" s="46"/>
      <c r="AA145" s="46"/>
      <c r="AB145" s="46"/>
      <c r="AC145" s="72"/>
      <c r="AD145" s="567" t="s">
        <v>667</v>
      </c>
      <c r="AE145" s="112">
        <f>IF(S152&gt;(AE130*1000*S118)/(S114*S320/S164),0,(AE130*1000*S118)/(S114*S320/S164)-S152)</f>
        <v>514.90367929918921</v>
      </c>
      <c r="AF145" s="53" t="s">
        <v>565</v>
      </c>
      <c r="AG145" s="72"/>
      <c r="AH145" s="72"/>
      <c r="AI145" s="46"/>
      <c r="AJ145" s="46"/>
      <c r="AK145" s="46"/>
      <c r="AL145" s="46"/>
      <c r="AM145" s="46"/>
      <c r="AN145" s="46"/>
      <c r="AO145" s="59"/>
      <c r="AP145" s="46"/>
      <c r="AQ145" s="46"/>
      <c r="AR145" s="46"/>
      <c r="AS145" s="46"/>
      <c r="AT145" s="46"/>
      <c r="AU145" s="46"/>
      <c r="AV145" s="46"/>
      <c r="AW145" s="46"/>
      <c r="AX145" s="46"/>
      <c r="AY145" s="46"/>
      <c r="AZ145" s="46"/>
      <c r="BA145" s="46"/>
      <c r="BB145" s="46"/>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c r="CB145" s="43"/>
      <c r="CC145" s="43"/>
      <c r="CD145" s="43"/>
      <c r="CE145" s="43"/>
      <c r="CF145" s="43"/>
      <c r="CG145" s="43"/>
      <c r="CH145" s="43"/>
      <c r="CI145" s="43"/>
      <c r="CJ145" s="43"/>
      <c r="CK145" s="43"/>
      <c r="CL145" s="43"/>
      <c r="CM145" s="43"/>
      <c r="CN145" s="43"/>
      <c r="CO145" s="43"/>
      <c r="CP145" s="43"/>
      <c r="CQ145" s="43"/>
      <c r="CR145" s="43"/>
      <c r="CS145" s="43"/>
      <c r="CT145" s="43"/>
      <c r="CU145" s="43"/>
      <c r="CV145" s="43"/>
      <c r="CW145" s="43"/>
      <c r="CX145" s="43"/>
      <c r="CY145" s="43"/>
      <c r="CZ145" s="43"/>
      <c r="DA145" s="43"/>
      <c r="DB145" s="43"/>
      <c r="DC145" s="43"/>
      <c r="DD145" s="43"/>
      <c r="DE145" s="43"/>
      <c r="DF145" s="43"/>
      <c r="DG145" s="43"/>
      <c r="DH145" s="43"/>
      <c r="DI145" s="43"/>
      <c r="DJ145" s="43"/>
      <c r="DK145" s="43"/>
      <c r="DL145" s="43"/>
      <c r="DM145" s="43"/>
      <c r="DN145" s="43"/>
      <c r="DO145" s="43"/>
      <c r="DP145" s="43"/>
      <c r="DQ145" s="43"/>
      <c r="DR145" s="43"/>
      <c r="DS145" s="43"/>
      <c r="DT145" s="43"/>
      <c r="DU145" s="43"/>
      <c r="DV145" s="43"/>
      <c r="DW145" s="43"/>
      <c r="DX145" s="43"/>
      <c r="DY145" s="43"/>
      <c r="DZ145" s="43"/>
      <c r="EA145" s="43"/>
      <c r="EB145" s="43"/>
      <c r="EC145" s="43"/>
    </row>
    <row r="146" spans="1:133" ht="13.8" thickBot="1" x14ac:dyDescent="0.3">
      <c r="A146" s="46"/>
      <c r="B146" s="46"/>
      <c r="C146" s="46"/>
      <c r="D146" s="46"/>
      <c r="E146" s="46"/>
      <c r="F146" s="46"/>
      <c r="G146" s="46"/>
      <c r="H146" s="46"/>
      <c r="I146" s="46"/>
      <c r="J146" s="72"/>
      <c r="K146" s="72"/>
      <c r="L146" s="72"/>
      <c r="M146" s="72"/>
      <c r="N146" s="72"/>
      <c r="O146" s="46"/>
      <c r="P146" s="72"/>
      <c r="Q146" s="72"/>
      <c r="R146" s="59"/>
      <c r="S146" s="72"/>
      <c r="T146" s="72"/>
      <c r="U146" s="72"/>
      <c r="V146" s="46"/>
      <c r="W146" s="46"/>
      <c r="X146" s="46"/>
      <c r="Y146" s="46"/>
      <c r="Z146" s="46"/>
      <c r="AA146" s="46"/>
      <c r="AB146" s="46"/>
      <c r="AC146" s="72"/>
      <c r="AD146" s="56"/>
      <c r="AE146" s="57"/>
      <c r="AF146" s="58"/>
      <c r="AG146" s="72"/>
      <c r="AH146" s="72"/>
      <c r="AI146" s="46"/>
      <c r="AJ146" s="46"/>
      <c r="AK146" s="46"/>
      <c r="AL146" s="46"/>
      <c r="AM146" s="46"/>
      <c r="AN146" s="46"/>
      <c r="AO146" s="59"/>
      <c r="AP146" s="46"/>
      <c r="AQ146" s="46"/>
      <c r="AR146" s="46"/>
      <c r="AS146" s="46"/>
      <c r="AT146" s="46"/>
      <c r="AU146" s="46"/>
      <c r="AV146" s="46"/>
      <c r="AW146" s="46"/>
      <c r="AX146" s="46"/>
      <c r="AY146" s="46"/>
      <c r="AZ146" s="46"/>
      <c r="BA146" s="46"/>
      <c r="BB146" s="46"/>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c r="CB146" s="43"/>
      <c r="CC146" s="43"/>
      <c r="CD146" s="43"/>
      <c r="CE146" s="43"/>
      <c r="CF146" s="43"/>
      <c r="CG146" s="43"/>
      <c r="CH146" s="43"/>
      <c r="CI146" s="43"/>
      <c r="CJ146" s="43"/>
      <c r="CK146" s="43"/>
      <c r="CL146" s="43"/>
      <c r="CM146" s="43"/>
      <c r="CN146" s="43"/>
      <c r="CO146" s="43"/>
      <c r="CP146" s="43"/>
      <c r="CQ146" s="43"/>
      <c r="CR146" s="43"/>
      <c r="CS146" s="43"/>
      <c r="CT146" s="43"/>
      <c r="CU146" s="43"/>
      <c r="CV146" s="43"/>
      <c r="CW146" s="43"/>
      <c r="CX146" s="43"/>
      <c r="CY146" s="43"/>
      <c r="CZ146" s="43"/>
      <c r="DA146" s="43"/>
      <c r="DB146" s="43"/>
      <c r="DC146" s="43"/>
      <c r="DD146" s="43"/>
      <c r="DE146" s="43"/>
      <c r="DF146" s="43"/>
      <c r="DG146" s="43"/>
      <c r="DH146" s="43"/>
      <c r="DI146" s="43"/>
      <c r="DJ146" s="43"/>
      <c r="DK146" s="43"/>
      <c r="DL146" s="43"/>
      <c r="DM146" s="43"/>
      <c r="DN146" s="43"/>
      <c r="DO146" s="43"/>
      <c r="DP146" s="43"/>
      <c r="DQ146" s="43"/>
      <c r="DR146" s="43"/>
      <c r="DS146" s="43"/>
      <c r="DT146" s="43"/>
      <c r="DU146" s="43"/>
      <c r="DV146" s="43"/>
      <c r="DW146" s="43"/>
      <c r="DX146" s="43"/>
      <c r="DY146" s="43"/>
      <c r="DZ146" s="43"/>
      <c r="EA146" s="43"/>
      <c r="EB146" s="43"/>
      <c r="EC146" s="43"/>
    </row>
    <row r="147" spans="1:133" x14ac:dyDescent="0.25">
      <c r="A147" s="46"/>
      <c r="B147" s="46"/>
      <c r="C147" s="46"/>
      <c r="D147" s="46"/>
      <c r="E147" s="46"/>
      <c r="F147" s="46"/>
      <c r="G147" s="46"/>
      <c r="H147" s="46"/>
      <c r="I147" s="46"/>
      <c r="J147" s="72"/>
      <c r="K147" s="72"/>
      <c r="L147" s="72"/>
      <c r="M147" s="72"/>
      <c r="N147" s="72"/>
      <c r="O147" s="46"/>
      <c r="P147" s="281"/>
      <c r="Q147" s="60"/>
      <c r="R147" s="264"/>
      <c r="S147" s="264"/>
      <c r="T147" s="60"/>
      <c r="U147" s="61"/>
      <c r="V147" s="46"/>
      <c r="W147" s="46"/>
      <c r="X147" s="46"/>
      <c r="Y147" s="46"/>
      <c r="Z147" s="46"/>
      <c r="AA147" s="46"/>
      <c r="AB147" s="46"/>
      <c r="AC147" s="72"/>
      <c r="AD147" s="72"/>
      <c r="AE147" s="72"/>
      <c r="AF147" s="72"/>
      <c r="AG147" s="72"/>
      <c r="AH147" s="72"/>
      <c r="AI147" s="46"/>
      <c r="AJ147" s="46"/>
      <c r="AK147" s="46"/>
      <c r="AL147" s="46"/>
      <c r="AM147" s="46"/>
      <c r="AN147" s="46"/>
      <c r="AO147" s="59"/>
      <c r="AP147" s="46"/>
      <c r="AQ147" s="46"/>
      <c r="AR147" s="46"/>
      <c r="AS147" s="46"/>
      <c r="AT147" s="46"/>
      <c r="AU147" s="46"/>
      <c r="AV147" s="46"/>
      <c r="AW147" s="46"/>
      <c r="AX147" s="46"/>
      <c r="AY147" s="46"/>
      <c r="AZ147" s="46"/>
      <c r="BA147" s="46"/>
      <c r="BB147" s="46"/>
      <c r="BC147" s="43"/>
      <c r="BD147" s="43"/>
      <c r="BE147" s="43"/>
      <c r="BF147" s="43"/>
      <c r="BG147" s="43"/>
      <c r="BH147" s="43"/>
      <c r="BI147" s="43"/>
      <c r="BJ147" s="43"/>
      <c r="BK147" s="43"/>
      <c r="BL147" s="43"/>
      <c r="BM147" s="43"/>
      <c r="BN147" s="43"/>
      <c r="BO147" s="43"/>
      <c r="BP147" s="43"/>
      <c r="BQ147" s="43"/>
      <c r="BR147" s="43"/>
      <c r="BS147" s="43"/>
      <c r="BT147" s="43"/>
      <c r="BU147" s="43"/>
      <c r="BV147" s="43"/>
      <c r="BW147" s="43"/>
      <c r="BX147" s="43"/>
      <c r="BY147" s="43"/>
      <c r="BZ147" s="43"/>
      <c r="CA147" s="43"/>
      <c r="CB147" s="43"/>
      <c r="CC147" s="43"/>
      <c r="CD147" s="43"/>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c r="DK147" s="43"/>
      <c r="DL147" s="43"/>
      <c r="DM147" s="43"/>
      <c r="DN147" s="43"/>
      <c r="DO147" s="43"/>
      <c r="DP147" s="43"/>
      <c r="DQ147" s="43"/>
      <c r="DR147" s="43"/>
      <c r="DS147" s="43"/>
      <c r="DT147" s="43"/>
      <c r="DU147" s="43"/>
      <c r="DV147" s="43"/>
      <c r="DW147" s="43"/>
      <c r="DX147" s="43"/>
      <c r="DY147" s="43"/>
      <c r="DZ147" s="43"/>
      <c r="EA147" s="43"/>
      <c r="EB147" s="43"/>
      <c r="EC147" s="43"/>
    </row>
    <row r="148" spans="1:133" x14ac:dyDescent="0.25">
      <c r="A148" s="46"/>
      <c r="B148" s="46"/>
      <c r="C148" s="46"/>
      <c r="D148" s="46"/>
      <c r="E148" s="46"/>
      <c r="F148" s="46"/>
      <c r="G148" s="46"/>
      <c r="H148" s="46"/>
      <c r="I148" s="46"/>
      <c r="J148" s="72"/>
      <c r="K148" s="72"/>
      <c r="L148" s="72"/>
      <c r="M148" s="72"/>
      <c r="N148" s="72"/>
      <c r="O148" s="46"/>
      <c r="P148" s="1551" t="s">
        <v>578</v>
      </c>
      <c r="Q148" s="1552"/>
      <c r="R148" s="1552"/>
      <c r="S148" s="1552"/>
      <c r="T148" s="1552"/>
      <c r="U148" s="1553"/>
      <c r="V148" s="46"/>
      <c r="W148" s="1093"/>
      <c r="X148" s="1063"/>
      <c r="Y148" s="1063"/>
      <c r="Z148" s="1063"/>
      <c r="AA148" s="1063"/>
      <c r="AB148" s="1063"/>
      <c r="AC148" s="72"/>
      <c r="AD148" s="72"/>
      <c r="AE148" s="72"/>
      <c r="AF148" s="72"/>
      <c r="AG148" s="72"/>
      <c r="AH148" s="72"/>
      <c r="AI148" s="46"/>
      <c r="AJ148" s="46"/>
      <c r="AK148" s="46"/>
      <c r="AL148" s="46"/>
      <c r="AM148" s="46"/>
      <c r="AN148" s="46"/>
      <c r="AO148" s="59"/>
      <c r="AP148" s="46"/>
      <c r="AQ148" s="46"/>
      <c r="AR148" s="46"/>
      <c r="AS148" s="46"/>
      <c r="AT148" s="46"/>
      <c r="AU148" s="46"/>
      <c r="AV148" s="46"/>
      <c r="AW148" s="46"/>
      <c r="AX148" s="46"/>
      <c r="AY148" s="46"/>
      <c r="AZ148" s="46"/>
      <c r="BA148" s="46"/>
      <c r="BB148" s="46"/>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c r="CB148" s="43"/>
      <c r="CC148" s="43"/>
      <c r="CD148" s="43"/>
      <c r="CE148" s="43"/>
      <c r="CF148" s="43"/>
      <c r="CG148" s="43"/>
      <c r="CH148" s="43"/>
      <c r="CI148" s="43"/>
      <c r="CJ148" s="43"/>
      <c r="CK148" s="43"/>
      <c r="CL148" s="43"/>
      <c r="CM148" s="43"/>
      <c r="CN148" s="43"/>
      <c r="CO148" s="43"/>
      <c r="CP148" s="43"/>
      <c r="CQ148" s="43"/>
      <c r="CR148" s="43"/>
      <c r="CS148" s="43"/>
      <c r="CT148" s="43"/>
      <c r="CU148" s="43"/>
      <c r="CV148" s="43"/>
      <c r="CW148" s="43"/>
      <c r="CX148" s="43"/>
      <c r="CY148" s="43"/>
      <c r="CZ148" s="43"/>
      <c r="DA148" s="43"/>
      <c r="DB148" s="43"/>
      <c r="DC148" s="43"/>
      <c r="DD148" s="43"/>
      <c r="DE148" s="43"/>
      <c r="DF148" s="43"/>
      <c r="DG148" s="43"/>
      <c r="DH148" s="43"/>
      <c r="DI148" s="43"/>
      <c r="DJ148" s="43"/>
      <c r="DK148" s="43"/>
      <c r="DL148" s="43"/>
      <c r="DM148" s="43"/>
      <c r="DN148" s="43"/>
      <c r="DO148" s="43"/>
      <c r="DP148" s="43"/>
      <c r="DQ148" s="43"/>
      <c r="DR148" s="43"/>
      <c r="DS148" s="43"/>
      <c r="DT148" s="43"/>
      <c r="DU148" s="43"/>
      <c r="DV148" s="43"/>
      <c r="DW148" s="43"/>
      <c r="DX148" s="43"/>
      <c r="DY148" s="43"/>
      <c r="DZ148" s="43"/>
      <c r="EA148" s="43"/>
      <c r="EB148" s="43"/>
      <c r="EC148" s="43"/>
    </row>
    <row r="149" spans="1:133" x14ac:dyDescent="0.25">
      <c r="A149" s="46"/>
      <c r="B149" s="46"/>
      <c r="C149" s="46"/>
      <c r="D149" s="46"/>
      <c r="E149" s="46"/>
      <c r="F149" s="46"/>
      <c r="G149" s="46"/>
      <c r="H149" s="46"/>
      <c r="I149" s="46"/>
      <c r="J149" s="72"/>
      <c r="K149" s="72"/>
      <c r="L149" s="72"/>
      <c r="M149" s="72"/>
      <c r="N149" s="72"/>
      <c r="O149" s="46"/>
      <c r="P149" s="62"/>
      <c r="Q149" s="82"/>
      <c r="R149" s="82"/>
      <c r="S149" s="82"/>
      <c r="T149" s="82"/>
      <c r="U149" s="64"/>
      <c r="V149" s="46"/>
      <c r="W149" s="46"/>
      <c r="X149" s="46"/>
      <c r="Y149" s="46"/>
      <c r="Z149" s="46"/>
      <c r="AA149" s="46"/>
      <c r="AB149" s="46"/>
      <c r="AC149" s="72"/>
      <c r="AD149" s="72"/>
      <c r="AE149" s="72"/>
      <c r="AF149" s="72"/>
      <c r="AG149" s="72"/>
      <c r="AH149" s="72"/>
      <c r="AI149" s="46"/>
      <c r="AJ149" s="46"/>
      <c r="AK149" s="46"/>
      <c r="AL149" s="46"/>
      <c r="AM149" s="46"/>
      <c r="AN149" s="46"/>
      <c r="AO149" s="59"/>
      <c r="AP149" s="46"/>
      <c r="AQ149" s="46"/>
      <c r="AR149" s="46"/>
      <c r="AS149" s="46"/>
      <c r="AT149" s="46"/>
      <c r="AU149" s="46"/>
      <c r="AV149" s="46"/>
      <c r="AW149" s="46"/>
      <c r="AX149" s="46"/>
      <c r="AY149" s="46"/>
      <c r="AZ149" s="46"/>
      <c r="BA149" s="46"/>
      <c r="BB149" s="46"/>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c r="DK149" s="43"/>
      <c r="DL149" s="43"/>
      <c r="DM149" s="43"/>
      <c r="DN149" s="43"/>
      <c r="DO149" s="43"/>
      <c r="DP149" s="43"/>
      <c r="DQ149" s="43"/>
      <c r="DR149" s="43"/>
      <c r="DS149" s="43"/>
      <c r="DT149" s="43"/>
      <c r="DU149" s="43"/>
      <c r="DV149" s="43"/>
      <c r="DW149" s="43"/>
      <c r="DX149" s="43"/>
      <c r="DY149" s="43"/>
      <c r="DZ149" s="43"/>
      <c r="EA149" s="43"/>
      <c r="EB149" s="43"/>
      <c r="EC149" s="43"/>
    </row>
    <row r="150" spans="1:133" x14ac:dyDescent="0.25">
      <c r="A150" s="46"/>
      <c r="B150" s="46"/>
      <c r="C150" s="46"/>
      <c r="D150" s="46"/>
      <c r="E150" s="46"/>
      <c r="F150" s="46"/>
      <c r="G150" s="46"/>
      <c r="H150" s="46"/>
      <c r="I150" s="46"/>
      <c r="J150" s="72"/>
      <c r="K150" s="72"/>
      <c r="L150" s="72"/>
      <c r="M150" s="72"/>
      <c r="N150" s="72"/>
      <c r="O150" s="46"/>
      <c r="P150" s="1554" t="s">
        <v>576</v>
      </c>
      <c r="Q150" s="1555"/>
      <c r="R150" s="1556"/>
      <c r="S150" s="1487">
        <f>(S190*S181/S320)+S229+AG294</f>
        <v>8594.7609586671315</v>
      </c>
      <c r="T150" s="232" t="s">
        <v>446</v>
      </c>
      <c r="U150" s="64"/>
      <c r="V150" s="46"/>
      <c r="W150" s="1093"/>
      <c r="X150" s="1063"/>
      <c r="Y150" s="1063"/>
      <c r="Z150" s="1063"/>
      <c r="AA150" s="1063"/>
      <c r="AB150" s="1063"/>
      <c r="AC150" s="72"/>
      <c r="AD150" s="72"/>
      <c r="AE150" s="72"/>
      <c r="AF150" s="72"/>
      <c r="AG150" s="72"/>
      <c r="AH150" s="72"/>
      <c r="AI150" s="46"/>
      <c r="AJ150" s="46"/>
      <c r="AK150" s="46"/>
      <c r="AL150" s="46"/>
      <c r="AM150" s="46"/>
      <c r="AN150" s="46"/>
      <c r="AO150" s="59"/>
      <c r="AP150" s="46"/>
      <c r="AQ150" s="46"/>
      <c r="AR150" s="46"/>
      <c r="AS150" s="46"/>
      <c r="AT150" s="46"/>
      <c r="AU150" s="46"/>
      <c r="AV150" s="46"/>
      <c r="AW150" s="46"/>
      <c r="AX150" s="46"/>
      <c r="AY150" s="46"/>
      <c r="AZ150" s="46"/>
      <c r="BA150" s="46"/>
      <c r="BB150" s="46"/>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c r="CB150" s="43"/>
      <c r="CC150" s="43"/>
      <c r="CD150" s="43"/>
      <c r="CE150" s="43"/>
      <c r="CF150" s="43"/>
      <c r="CG150" s="43"/>
      <c r="CH150" s="43"/>
      <c r="CI150" s="43"/>
      <c r="CJ150" s="43"/>
      <c r="CK150" s="43"/>
      <c r="CL150" s="43"/>
      <c r="CM150" s="43"/>
      <c r="CN150" s="43"/>
      <c r="CO150" s="43"/>
      <c r="CP150" s="43"/>
      <c r="CQ150" s="43"/>
      <c r="CR150" s="43"/>
      <c r="CS150" s="43"/>
      <c r="CT150" s="43"/>
      <c r="CU150" s="43"/>
      <c r="CV150" s="43"/>
      <c r="CW150" s="43"/>
      <c r="CX150" s="43"/>
      <c r="CY150" s="43"/>
      <c r="CZ150" s="43"/>
      <c r="DA150" s="43"/>
      <c r="DB150" s="43"/>
      <c r="DC150" s="43"/>
      <c r="DD150" s="43"/>
      <c r="DE150" s="43"/>
      <c r="DF150" s="43"/>
      <c r="DG150" s="43"/>
      <c r="DH150" s="43"/>
      <c r="DI150" s="43"/>
      <c r="DJ150" s="43"/>
      <c r="DK150" s="43"/>
      <c r="DL150" s="43"/>
      <c r="DM150" s="43"/>
      <c r="DN150" s="43"/>
      <c r="DO150" s="43"/>
      <c r="DP150" s="43"/>
      <c r="DQ150" s="43"/>
      <c r="DR150" s="43"/>
      <c r="DS150" s="43"/>
      <c r="DT150" s="43"/>
      <c r="DU150" s="43"/>
      <c r="DV150" s="43"/>
      <c r="DW150" s="43"/>
      <c r="DX150" s="43"/>
      <c r="DY150" s="43"/>
      <c r="DZ150" s="43"/>
      <c r="EA150" s="43"/>
      <c r="EB150" s="43"/>
      <c r="EC150" s="43"/>
    </row>
    <row r="151" spans="1:133" x14ac:dyDescent="0.25">
      <c r="A151" s="46"/>
      <c r="B151" s="46"/>
      <c r="C151" s="46"/>
      <c r="D151" s="46"/>
      <c r="E151" s="46"/>
      <c r="F151" s="46"/>
      <c r="G151" s="46"/>
      <c r="H151" s="46"/>
      <c r="I151" s="46"/>
      <c r="J151" s="72"/>
      <c r="K151" s="72"/>
      <c r="L151" s="72"/>
      <c r="M151" s="72"/>
      <c r="N151" s="72"/>
      <c r="O151" s="46"/>
      <c r="P151" s="62"/>
      <c r="Q151" s="82"/>
      <c r="R151" s="82"/>
      <c r="S151" s="82"/>
      <c r="T151" s="82"/>
      <c r="U151" s="64"/>
      <c r="V151" s="46"/>
      <c r="W151" s="46"/>
      <c r="X151" s="46"/>
      <c r="Y151" s="46"/>
      <c r="Z151" s="46"/>
      <c r="AA151" s="46"/>
      <c r="AB151" s="46"/>
      <c r="AC151" s="72"/>
      <c r="AD151" s="72"/>
      <c r="AE151" s="72"/>
      <c r="AF151" s="72"/>
      <c r="AG151" s="72"/>
      <c r="AH151" s="72"/>
      <c r="AI151" s="46"/>
      <c r="AJ151" s="46"/>
      <c r="AK151" s="46"/>
      <c r="AL151" s="46"/>
      <c r="AM151" s="46"/>
      <c r="AN151" s="46"/>
      <c r="AO151" s="59"/>
      <c r="AP151" s="46"/>
      <c r="AQ151" s="46"/>
      <c r="AR151" s="46"/>
      <c r="AS151" s="46"/>
      <c r="AT151" s="46"/>
      <c r="AU151" s="46"/>
      <c r="AV151" s="46"/>
      <c r="AW151" s="46"/>
      <c r="AX151" s="46"/>
      <c r="AY151" s="46"/>
      <c r="AZ151" s="46"/>
      <c r="BA151" s="46"/>
      <c r="BB151" s="46"/>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c r="CB151" s="43"/>
      <c r="CC151" s="43"/>
      <c r="CD151" s="43"/>
      <c r="CE151" s="43"/>
      <c r="CF151" s="43"/>
      <c r="CG151" s="43"/>
      <c r="CH151" s="43"/>
      <c r="CI151" s="43"/>
      <c r="CJ151" s="43"/>
      <c r="CK151" s="43"/>
      <c r="CL151" s="43"/>
      <c r="CM151" s="43"/>
      <c r="CN151" s="43"/>
      <c r="CO151" s="43"/>
      <c r="CP151" s="43"/>
      <c r="CQ151" s="43"/>
      <c r="CR151" s="43"/>
      <c r="CS151" s="43"/>
      <c r="CT151" s="43"/>
      <c r="CU151" s="43"/>
      <c r="CV151" s="43"/>
      <c r="CW151" s="43"/>
      <c r="CX151" s="43"/>
      <c r="CY151" s="43"/>
      <c r="CZ151" s="43"/>
      <c r="DA151" s="43"/>
      <c r="DB151" s="43"/>
      <c r="DC151" s="43"/>
      <c r="DD151" s="43"/>
      <c r="DE151" s="43"/>
      <c r="DF151" s="43"/>
      <c r="DG151" s="43"/>
      <c r="DH151" s="43"/>
      <c r="DI151" s="43"/>
      <c r="DJ151" s="43"/>
      <c r="DK151" s="43"/>
      <c r="DL151" s="43"/>
      <c r="DM151" s="43"/>
      <c r="DN151" s="43"/>
      <c r="DO151" s="43"/>
      <c r="DP151" s="43"/>
      <c r="DQ151" s="43"/>
      <c r="DR151" s="43"/>
      <c r="DS151" s="43"/>
      <c r="DT151" s="43"/>
      <c r="DU151" s="43"/>
      <c r="DV151" s="43"/>
      <c r="DW151" s="43"/>
      <c r="DX151" s="43"/>
      <c r="DY151" s="43"/>
      <c r="DZ151" s="43"/>
      <c r="EA151" s="43"/>
      <c r="EB151" s="43"/>
      <c r="EC151" s="43"/>
    </row>
    <row r="152" spans="1:133" x14ac:dyDescent="0.25">
      <c r="A152" s="46"/>
      <c r="B152" s="46"/>
      <c r="C152" s="46"/>
      <c r="D152" s="46"/>
      <c r="E152" s="46"/>
      <c r="F152" s="46"/>
      <c r="G152" s="46"/>
      <c r="H152" s="46"/>
      <c r="I152" s="46"/>
      <c r="J152" s="72"/>
      <c r="K152" s="72"/>
      <c r="L152" s="72"/>
      <c r="M152" s="72"/>
      <c r="N152" s="72"/>
      <c r="O152" s="46"/>
      <c r="P152" s="1554" t="s">
        <v>575</v>
      </c>
      <c r="Q152" s="1555"/>
      <c r="R152" s="1556"/>
      <c r="S152" s="1487">
        <f>(S164*S174/S320)+(S181*S192/S320)+S231+AG296+AG332</f>
        <v>1872.5299203305694</v>
      </c>
      <c r="T152" s="232" t="s">
        <v>565</v>
      </c>
      <c r="U152" s="64"/>
      <c r="V152" s="46"/>
      <c r="W152" s="46"/>
      <c r="X152" s="46"/>
      <c r="Y152" s="46"/>
      <c r="Z152" s="46"/>
      <c r="AA152" s="46"/>
      <c r="AB152" s="46"/>
      <c r="AC152" s="72"/>
      <c r="AD152" s="72"/>
      <c r="AE152" s="72"/>
      <c r="AF152" s="72"/>
      <c r="AG152" s="72"/>
      <c r="AH152" s="72"/>
      <c r="AI152" s="46"/>
      <c r="AJ152" s="46"/>
      <c r="AK152" s="46"/>
      <c r="AL152" s="46"/>
      <c r="AM152" s="46"/>
      <c r="AN152" s="46"/>
      <c r="AO152" s="59"/>
      <c r="AP152" s="46"/>
      <c r="AQ152" s="46"/>
      <c r="AR152" s="46"/>
      <c r="AS152" s="46"/>
      <c r="AT152" s="46"/>
      <c r="AU152" s="46"/>
      <c r="AV152" s="46"/>
      <c r="AW152" s="46"/>
      <c r="AX152" s="46"/>
      <c r="AY152" s="46"/>
      <c r="AZ152" s="46"/>
      <c r="BA152" s="46"/>
      <c r="BB152" s="46"/>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c r="CB152" s="43"/>
      <c r="CC152" s="43"/>
      <c r="CD152" s="43"/>
      <c r="CE152" s="43"/>
      <c r="CF152" s="43"/>
      <c r="CG152" s="43"/>
      <c r="CH152" s="43"/>
      <c r="CI152" s="43"/>
      <c r="CJ152" s="43"/>
      <c r="CK152" s="43"/>
      <c r="CL152" s="43"/>
      <c r="CM152" s="43"/>
      <c r="CN152" s="43"/>
      <c r="CO152" s="43"/>
      <c r="CP152" s="43"/>
      <c r="CQ152" s="43"/>
      <c r="CR152" s="43"/>
      <c r="CS152" s="43"/>
      <c r="CT152" s="43"/>
      <c r="CU152" s="43"/>
      <c r="CV152" s="43"/>
      <c r="CW152" s="43"/>
      <c r="CX152" s="43"/>
      <c r="CY152" s="43"/>
      <c r="CZ152" s="43"/>
      <c r="DA152" s="43"/>
      <c r="DB152" s="43"/>
      <c r="DC152" s="43"/>
      <c r="DD152" s="43"/>
      <c r="DE152" s="43"/>
      <c r="DF152" s="43"/>
      <c r="DG152" s="43"/>
      <c r="DH152" s="43"/>
      <c r="DI152" s="43"/>
      <c r="DJ152" s="43"/>
      <c r="DK152" s="43"/>
      <c r="DL152" s="43"/>
      <c r="DM152" s="43"/>
      <c r="DN152" s="43"/>
      <c r="DO152" s="43"/>
      <c r="DP152" s="43"/>
      <c r="DQ152" s="43"/>
      <c r="DR152" s="43"/>
      <c r="DS152" s="43"/>
      <c r="DT152" s="43"/>
      <c r="DU152" s="43"/>
      <c r="DV152" s="43"/>
      <c r="DW152" s="43"/>
      <c r="DX152" s="43"/>
      <c r="DY152" s="43"/>
      <c r="DZ152" s="43"/>
      <c r="EA152" s="43"/>
      <c r="EB152" s="43"/>
      <c r="EC152" s="43"/>
    </row>
    <row r="153" spans="1:133" ht="13.8" thickBot="1" x14ac:dyDescent="0.3">
      <c r="A153" s="46"/>
      <c r="B153" s="46"/>
      <c r="C153" s="46"/>
      <c r="D153" s="46"/>
      <c r="E153" s="46"/>
      <c r="F153" s="46"/>
      <c r="G153" s="46"/>
      <c r="H153" s="46"/>
      <c r="I153" s="46"/>
      <c r="J153" s="72"/>
      <c r="K153" s="72"/>
      <c r="L153" s="72"/>
      <c r="M153" s="72"/>
      <c r="N153" s="72"/>
      <c r="O153" s="46"/>
      <c r="P153" s="69"/>
      <c r="Q153" s="70"/>
      <c r="R153" s="70"/>
      <c r="S153" s="70"/>
      <c r="T153" s="70"/>
      <c r="U153" s="71"/>
      <c r="V153" s="46"/>
      <c r="W153" s="46"/>
      <c r="X153" s="46"/>
      <c r="Y153" s="46"/>
      <c r="Z153" s="46"/>
      <c r="AA153" s="46"/>
      <c r="AB153" s="46"/>
      <c r="AC153" s="72"/>
      <c r="AD153" s="72"/>
      <c r="AE153" s="72"/>
      <c r="AF153" s="72"/>
      <c r="AG153" s="72"/>
      <c r="AH153" s="72"/>
      <c r="AI153" s="46"/>
      <c r="AJ153" s="46"/>
      <c r="AK153" s="46"/>
      <c r="AL153" s="46"/>
      <c r="AM153" s="46"/>
      <c r="AN153" s="46"/>
      <c r="AO153" s="59"/>
      <c r="AP153" s="46"/>
      <c r="AQ153" s="46"/>
      <c r="AR153" s="46"/>
      <c r="AS153" s="46"/>
      <c r="AT153" s="46"/>
      <c r="AU153" s="46"/>
      <c r="AV153" s="46"/>
      <c r="AW153" s="46"/>
      <c r="AX153" s="46"/>
      <c r="AY153" s="46"/>
      <c r="AZ153" s="46"/>
      <c r="BA153" s="46"/>
      <c r="BB153" s="46"/>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3"/>
      <c r="BY153" s="43"/>
      <c r="BZ153" s="43"/>
      <c r="CA153" s="43"/>
      <c r="CB153" s="43"/>
      <c r="CC153" s="43"/>
      <c r="CD153" s="43"/>
      <c r="CE153" s="43"/>
      <c r="CF153" s="43"/>
      <c r="CG153" s="43"/>
      <c r="CH153" s="43"/>
      <c r="CI153" s="43"/>
      <c r="CJ153" s="43"/>
      <c r="CK153" s="43"/>
      <c r="CL153" s="43"/>
      <c r="CM153" s="43"/>
      <c r="CN153" s="43"/>
      <c r="CO153" s="43"/>
      <c r="CP153" s="43"/>
      <c r="CQ153" s="43"/>
      <c r="CR153" s="43"/>
      <c r="CS153" s="43"/>
      <c r="CT153" s="43"/>
      <c r="CU153" s="43"/>
      <c r="CV153" s="43"/>
      <c r="CW153" s="43"/>
      <c r="CX153" s="43"/>
      <c r="CY153" s="43"/>
      <c r="CZ153" s="43"/>
      <c r="DA153" s="43"/>
      <c r="DB153" s="43"/>
      <c r="DC153" s="43"/>
      <c r="DD153" s="43"/>
      <c r="DE153" s="43"/>
      <c r="DF153" s="43"/>
      <c r="DG153" s="43"/>
      <c r="DH153" s="43"/>
      <c r="DI153" s="43"/>
      <c r="DJ153" s="43"/>
      <c r="DK153" s="43"/>
      <c r="DL153" s="43"/>
      <c r="DM153" s="43"/>
      <c r="DN153" s="43"/>
      <c r="DO153" s="43"/>
      <c r="DP153" s="43"/>
      <c r="DQ153" s="43"/>
      <c r="DR153" s="43"/>
      <c r="DS153" s="43"/>
      <c r="DT153" s="43"/>
      <c r="DU153" s="43"/>
      <c r="DV153" s="43"/>
      <c r="DW153" s="43"/>
      <c r="DX153" s="43"/>
      <c r="DY153" s="43"/>
      <c r="DZ153" s="43"/>
      <c r="EA153" s="43"/>
      <c r="EB153" s="43"/>
      <c r="EC153" s="43"/>
    </row>
    <row r="154" spans="1:133" x14ac:dyDescent="0.25">
      <c r="A154" s="46"/>
      <c r="B154" s="46"/>
      <c r="C154" s="46"/>
      <c r="D154" s="46"/>
      <c r="E154" s="46"/>
      <c r="F154" s="46"/>
      <c r="G154" s="46"/>
      <c r="H154" s="46"/>
      <c r="I154" s="46"/>
      <c r="J154" s="72"/>
      <c r="K154" s="72"/>
      <c r="L154" s="72"/>
      <c r="M154" s="72"/>
      <c r="N154" s="72"/>
      <c r="O154" s="46"/>
      <c r="P154" s="72"/>
      <c r="Q154" s="72"/>
      <c r="R154" s="59"/>
      <c r="S154" s="72"/>
      <c r="T154" s="72"/>
      <c r="U154" s="72"/>
      <c r="V154" s="46"/>
      <c r="W154" s="46"/>
      <c r="X154" s="46"/>
      <c r="Y154" s="46"/>
      <c r="Z154" s="46"/>
      <c r="AA154" s="46"/>
      <c r="AB154" s="46"/>
      <c r="AC154" s="72"/>
      <c r="AD154" s="72"/>
      <c r="AE154" s="72"/>
      <c r="AF154" s="72"/>
      <c r="AG154" s="72"/>
      <c r="AH154" s="72"/>
      <c r="AI154" s="46"/>
      <c r="AJ154" s="46"/>
      <c r="AK154" s="46"/>
      <c r="AL154" s="46"/>
      <c r="AM154" s="46"/>
      <c r="AN154" s="46"/>
      <c r="AO154" s="59"/>
      <c r="AP154" s="46"/>
      <c r="AQ154" s="46"/>
      <c r="AR154" s="46"/>
      <c r="AS154" s="46"/>
      <c r="AT154" s="46"/>
      <c r="AU154" s="46"/>
      <c r="AV154" s="46"/>
      <c r="AW154" s="46"/>
      <c r="AX154" s="46"/>
      <c r="AY154" s="46"/>
      <c r="AZ154" s="46"/>
      <c r="BA154" s="46"/>
      <c r="BB154" s="46"/>
      <c r="BC154" s="43"/>
      <c r="BD154" s="43"/>
      <c r="BE154" s="43"/>
      <c r="BF154" s="43"/>
      <c r="BG154" s="43"/>
      <c r="BH154" s="43"/>
      <c r="BI154" s="43"/>
      <c r="BJ154" s="43"/>
      <c r="BK154" s="43"/>
      <c r="BL154" s="43"/>
      <c r="BM154" s="43"/>
      <c r="BN154" s="43"/>
      <c r="BO154" s="43"/>
      <c r="BP154" s="43"/>
      <c r="BQ154" s="43"/>
      <c r="BR154" s="43"/>
      <c r="BS154" s="43"/>
      <c r="BT154" s="43"/>
      <c r="BU154" s="43"/>
      <c r="BV154" s="43"/>
      <c r="BW154" s="43"/>
      <c r="BX154" s="43"/>
      <c r="BY154" s="43"/>
      <c r="BZ154" s="43"/>
      <c r="CA154" s="43"/>
      <c r="CB154" s="43"/>
      <c r="CC154" s="43"/>
      <c r="CD154" s="43"/>
      <c r="CE154" s="43"/>
      <c r="CF154" s="43"/>
      <c r="CG154" s="43"/>
      <c r="CH154" s="43"/>
      <c r="CI154" s="43"/>
      <c r="CJ154" s="43"/>
      <c r="CK154" s="43"/>
      <c r="CL154" s="43"/>
      <c r="CM154" s="43"/>
      <c r="CN154" s="43"/>
      <c r="CO154" s="43"/>
      <c r="CP154" s="43"/>
      <c r="CQ154" s="43"/>
      <c r="CR154" s="43"/>
      <c r="CS154" s="43"/>
      <c r="CT154" s="43"/>
      <c r="CU154" s="43"/>
      <c r="CV154" s="43"/>
      <c r="CW154" s="43"/>
      <c r="CX154" s="43"/>
      <c r="CY154" s="43"/>
      <c r="CZ154" s="43"/>
      <c r="DA154" s="43"/>
      <c r="DB154" s="43"/>
      <c r="DC154" s="43"/>
      <c r="DD154" s="43"/>
      <c r="DE154" s="43"/>
      <c r="DF154" s="43"/>
      <c r="DG154" s="43"/>
      <c r="DH154" s="43"/>
      <c r="DI154" s="43"/>
      <c r="DJ154" s="43"/>
      <c r="DK154" s="43"/>
      <c r="DL154" s="43"/>
      <c r="DM154" s="43"/>
      <c r="DN154" s="43"/>
      <c r="DO154" s="43"/>
      <c r="DP154" s="43"/>
      <c r="DQ154" s="43"/>
      <c r="DR154" s="43"/>
      <c r="DS154" s="43"/>
      <c r="DT154" s="43"/>
      <c r="DU154" s="43"/>
      <c r="DV154" s="43"/>
      <c r="DW154" s="43"/>
      <c r="DX154" s="43"/>
      <c r="DY154" s="43"/>
      <c r="DZ154" s="43"/>
      <c r="EA154" s="43"/>
      <c r="EB154" s="43"/>
      <c r="EC154" s="43"/>
    </row>
    <row r="155" spans="1:133" x14ac:dyDescent="0.25">
      <c r="A155" s="46"/>
      <c r="B155" s="46"/>
      <c r="C155" s="46"/>
      <c r="D155" s="46"/>
      <c r="E155" s="46"/>
      <c r="F155" s="46"/>
      <c r="G155" s="46"/>
      <c r="H155" s="46"/>
      <c r="I155" s="46"/>
      <c r="J155" s="72"/>
      <c r="K155" s="72"/>
      <c r="L155" s="72"/>
      <c r="M155" s="72"/>
      <c r="N155" s="72"/>
      <c r="O155" s="46"/>
      <c r="P155" s="72"/>
      <c r="Q155" s="72"/>
      <c r="R155" s="59"/>
      <c r="S155" s="72"/>
      <c r="T155" s="72"/>
      <c r="U155" s="72"/>
      <c r="V155" s="46"/>
      <c r="W155" s="46"/>
      <c r="X155" s="46"/>
      <c r="Y155" s="46"/>
      <c r="Z155" s="46"/>
      <c r="AA155" s="46"/>
      <c r="AB155" s="46"/>
      <c r="AC155" s="72"/>
      <c r="AD155" s="72"/>
      <c r="AE155" s="72"/>
      <c r="AF155" s="72"/>
      <c r="AG155" s="72"/>
      <c r="AH155" s="72"/>
      <c r="AI155" s="46"/>
      <c r="AJ155" s="46"/>
      <c r="AK155" s="46"/>
      <c r="AL155" s="46"/>
      <c r="AM155" s="46"/>
      <c r="AN155" s="46"/>
      <c r="AO155" s="59"/>
      <c r="AP155" s="46"/>
      <c r="AQ155" s="46"/>
      <c r="AR155" s="46"/>
      <c r="AS155" s="46"/>
      <c r="AT155" s="46"/>
      <c r="AU155" s="46"/>
      <c r="AV155" s="46"/>
      <c r="AW155" s="46"/>
      <c r="AX155" s="46"/>
      <c r="AY155" s="46"/>
      <c r="AZ155" s="46"/>
      <c r="BA155" s="46"/>
      <c r="BB155" s="46"/>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c r="CB155" s="43"/>
      <c r="CC155" s="43"/>
      <c r="CD155" s="43"/>
      <c r="CE155" s="43"/>
      <c r="CF155" s="43"/>
      <c r="CG155" s="43"/>
      <c r="CH155" s="43"/>
      <c r="CI155" s="43"/>
      <c r="CJ155" s="43"/>
      <c r="CK155" s="43"/>
      <c r="CL155" s="43"/>
      <c r="CM155" s="43"/>
      <c r="CN155" s="43"/>
      <c r="CO155" s="43"/>
      <c r="CP155" s="43"/>
      <c r="CQ155" s="43"/>
      <c r="CR155" s="43"/>
      <c r="CS155" s="43"/>
      <c r="CT155" s="43"/>
      <c r="CU155" s="43"/>
      <c r="CV155" s="43"/>
      <c r="CW155" s="43"/>
      <c r="CX155" s="43"/>
      <c r="CY155" s="43"/>
      <c r="CZ155" s="43"/>
      <c r="DA155" s="43"/>
      <c r="DB155" s="43"/>
      <c r="DC155" s="43"/>
      <c r="DD155" s="43"/>
      <c r="DE155" s="43"/>
      <c r="DF155" s="43"/>
      <c r="DG155" s="43"/>
      <c r="DH155" s="43"/>
      <c r="DI155" s="43"/>
      <c r="DJ155" s="43"/>
      <c r="DK155" s="43"/>
      <c r="DL155" s="43"/>
      <c r="DM155" s="43"/>
      <c r="DN155" s="43"/>
      <c r="DO155" s="43"/>
      <c r="DP155" s="43"/>
      <c r="DQ155" s="43"/>
      <c r="DR155" s="43"/>
      <c r="DS155" s="43"/>
      <c r="DT155" s="43"/>
      <c r="DU155" s="43"/>
      <c r="DV155" s="43"/>
      <c r="DW155" s="43"/>
      <c r="DX155" s="43"/>
      <c r="DY155" s="43"/>
      <c r="DZ155" s="43"/>
      <c r="EA155" s="43"/>
      <c r="EB155" s="43"/>
      <c r="EC155" s="43"/>
    </row>
    <row r="156" spans="1:133" x14ac:dyDescent="0.25">
      <c r="A156" s="46"/>
      <c r="B156" s="46"/>
      <c r="C156" s="46"/>
      <c r="D156" s="46"/>
      <c r="E156" s="46"/>
      <c r="F156" s="46"/>
      <c r="G156" s="46"/>
      <c r="H156" s="46"/>
      <c r="I156" s="46"/>
      <c r="J156" s="46"/>
      <c r="K156" s="46"/>
      <c r="L156" s="46"/>
      <c r="M156" s="72"/>
      <c r="N156" s="72"/>
      <c r="O156" s="72"/>
      <c r="P156" s="72"/>
      <c r="Q156" s="72"/>
      <c r="R156" s="59"/>
      <c r="S156" s="72"/>
      <c r="T156" s="72"/>
      <c r="U156" s="72"/>
      <c r="V156" s="46"/>
      <c r="W156" s="72"/>
      <c r="X156" s="46"/>
      <c r="Y156" s="46"/>
      <c r="Z156" s="46"/>
      <c r="AA156" s="46"/>
      <c r="AB156" s="46"/>
      <c r="AC156" s="46"/>
      <c r="AD156" s="72"/>
      <c r="AE156" s="72"/>
      <c r="AF156" s="72"/>
      <c r="AG156" s="72"/>
      <c r="AH156" s="72"/>
      <c r="AI156" s="72"/>
      <c r="AJ156" s="72"/>
      <c r="AK156" s="72"/>
      <c r="AL156" s="46"/>
      <c r="AM156" s="46"/>
      <c r="AN156" s="72"/>
      <c r="AO156" s="59"/>
      <c r="AP156" s="46"/>
      <c r="AQ156" s="46"/>
      <c r="AR156" s="46"/>
      <c r="AS156" s="46"/>
      <c r="AT156" s="46"/>
      <c r="AU156" s="46"/>
      <c r="AV156" s="46"/>
      <c r="AW156" s="46"/>
      <c r="AX156" s="46"/>
      <c r="AY156" s="46"/>
      <c r="AZ156" s="46"/>
      <c r="BA156" s="46"/>
      <c r="BB156" s="46"/>
      <c r="BC156"/>
      <c r="BD156"/>
      <c r="BE156"/>
      <c r="BF156"/>
      <c r="BG156"/>
      <c r="BH156"/>
      <c r="BI156"/>
      <c r="BJ156"/>
      <c r="BK156"/>
      <c r="BL156"/>
      <c r="BM156"/>
      <c r="BN156"/>
    </row>
    <row r="157" spans="1:133" x14ac:dyDescent="0.25">
      <c r="A157" s="46"/>
      <c r="B157" s="46"/>
      <c r="C157" s="46"/>
      <c r="D157" s="46"/>
      <c r="E157" s="46"/>
      <c r="F157" s="46"/>
      <c r="G157" s="46"/>
      <c r="H157" s="46"/>
      <c r="I157" s="46"/>
      <c r="J157" s="46"/>
      <c r="K157" s="46"/>
      <c r="L157" s="46"/>
      <c r="M157" s="46"/>
      <c r="N157" s="46"/>
      <c r="O157" s="46"/>
      <c r="P157" s="46"/>
      <c r="Q157" s="46"/>
      <c r="R157" s="59"/>
      <c r="S157" s="96"/>
      <c r="T157" s="72"/>
      <c r="U157" s="72"/>
      <c r="V157" s="72"/>
      <c r="W157" s="72"/>
      <c r="X157" s="72"/>
      <c r="Y157" s="72"/>
      <c r="Z157" s="72"/>
      <c r="AA157" s="72"/>
      <c r="AB157" s="72"/>
      <c r="AC157" s="72"/>
      <c r="AD157" s="72"/>
      <c r="AE157" s="72"/>
      <c r="AF157" s="72"/>
      <c r="AG157" s="72"/>
      <c r="AH157" s="72"/>
      <c r="AI157" s="72"/>
      <c r="AJ157" s="72"/>
      <c r="AK157" s="72"/>
      <c r="AL157" s="46"/>
      <c r="AM157" s="46"/>
      <c r="AN157" s="72"/>
      <c r="AO157" s="59"/>
      <c r="AP157" s="46"/>
      <c r="AQ157" s="46"/>
      <c r="AR157" s="46"/>
      <c r="AS157" s="46"/>
      <c r="AT157" s="46"/>
      <c r="AU157" s="46"/>
      <c r="AV157" s="46"/>
      <c r="AW157" s="46"/>
      <c r="AX157" s="46"/>
      <c r="AY157" s="46"/>
      <c r="AZ157" s="46"/>
      <c r="BA157" s="46"/>
      <c r="BB157" s="46"/>
      <c r="BC157"/>
      <c r="BD157"/>
      <c r="BE157"/>
      <c r="BF157"/>
      <c r="BG157"/>
      <c r="BH157"/>
      <c r="BI157"/>
      <c r="BJ157"/>
      <c r="BK157"/>
      <c r="BL157"/>
      <c r="BM157"/>
      <c r="BN157"/>
    </row>
    <row r="158" spans="1:133" x14ac:dyDescent="0.25">
      <c r="A158" s="46"/>
      <c r="B158" s="46"/>
      <c r="C158" s="46"/>
      <c r="D158" s="46"/>
      <c r="E158" s="46"/>
      <c r="F158" s="46"/>
      <c r="G158" s="46"/>
      <c r="H158" s="46"/>
      <c r="I158" s="46"/>
      <c r="J158" s="46"/>
      <c r="K158" s="46"/>
      <c r="L158" s="46"/>
      <c r="M158" s="46"/>
      <c r="N158" s="46"/>
      <c r="O158" s="46"/>
      <c r="P158" s="46"/>
      <c r="Q158" s="46"/>
      <c r="R158" s="59"/>
      <c r="S158" s="96"/>
      <c r="T158" s="72"/>
      <c r="U158" s="72"/>
      <c r="V158" s="72"/>
      <c r="W158" s="72"/>
      <c r="X158" s="72"/>
      <c r="Y158" s="72"/>
      <c r="Z158" s="72"/>
      <c r="AA158" s="72"/>
      <c r="AB158" s="72"/>
      <c r="AC158" s="72"/>
      <c r="AD158" s="72"/>
      <c r="AE158" s="72"/>
      <c r="AF158" s="72"/>
      <c r="AG158" s="72"/>
      <c r="AH158" s="72"/>
      <c r="AI158" s="72"/>
      <c r="AJ158" s="72"/>
      <c r="AK158" s="72"/>
      <c r="AL158" s="46"/>
      <c r="AM158" s="46"/>
      <c r="AN158" s="72"/>
      <c r="AO158" s="59"/>
      <c r="AP158" s="46"/>
      <c r="AQ158" s="46"/>
      <c r="AR158" s="46"/>
      <c r="AS158" s="46"/>
      <c r="AT158" s="46"/>
      <c r="AU158" s="46"/>
      <c r="AV158" s="46"/>
      <c r="AW158" s="46"/>
      <c r="AX158" s="46"/>
      <c r="AY158" s="46"/>
      <c r="AZ158" s="46"/>
      <c r="BA158" s="46"/>
      <c r="BB158" s="46"/>
      <c r="BC158"/>
      <c r="BD158"/>
      <c r="BE158"/>
      <c r="BF158"/>
      <c r="BG158"/>
      <c r="BH158"/>
      <c r="BI158"/>
      <c r="BJ158"/>
      <c r="BK158"/>
      <c r="BL158"/>
      <c r="BM158"/>
      <c r="BN158"/>
    </row>
    <row r="159" spans="1:133" x14ac:dyDescent="0.25">
      <c r="A159" s="46"/>
      <c r="B159" s="46"/>
      <c r="C159" s="46"/>
      <c r="D159" s="46"/>
      <c r="E159" s="46"/>
      <c r="F159" s="46"/>
      <c r="G159" s="46"/>
      <c r="H159" s="46"/>
      <c r="I159" s="46"/>
      <c r="J159" s="46"/>
      <c r="K159" s="46"/>
      <c r="L159" s="46"/>
      <c r="M159" s="46"/>
      <c r="N159" s="46"/>
      <c r="O159" s="46"/>
      <c r="P159" s="46"/>
      <c r="Q159" s="46"/>
      <c r="R159" s="59"/>
      <c r="S159" s="96"/>
      <c r="T159" s="72"/>
      <c r="U159" s="72"/>
      <c r="V159" s="72"/>
      <c r="W159" s="72"/>
      <c r="X159" s="72"/>
      <c r="Y159" s="72"/>
      <c r="Z159" s="72"/>
      <c r="AA159" s="72"/>
      <c r="AB159" s="72"/>
      <c r="AC159" s="72"/>
      <c r="AD159" s="72"/>
      <c r="AE159" s="72"/>
      <c r="AF159" s="72"/>
      <c r="AG159" s="72"/>
      <c r="AH159" s="72"/>
      <c r="AI159" s="72"/>
      <c r="AJ159" s="72"/>
      <c r="AK159" s="72"/>
      <c r="AL159" s="46"/>
      <c r="AM159" s="46"/>
      <c r="AN159" s="72"/>
      <c r="AO159" s="59"/>
      <c r="AP159" s="46"/>
      <c r="AQ159" s="46"/>
      <c r="AR159" s="46"/>
      <c r="AS159" s="46"/>
      <c r="AT159" s="46"/>
      <c r="AU159" s="46"/>
      <c r="AV159" s="46"/>
      <c r="AW159" s="46"/>
      <c r="AX159" s="46"/>
      <c r="AY159" s="46"/>
      <c r="AZ159" s="46"/>
      <c r="BA159" s="46"/>
      <c r="BB159" s="46"/>
      <c r="BC159"/>
      <c r="BD159"/>
      <c r="BE159"/>
      <c r="BF159"/>
      <c r="BG159"/>
      <c r="BH159"/>
      <c r="BI159"/>
      <c r="BJ159"/>
      <c r="BK159"/>
      <c r="BL159"/>
      <c r="BM159"/>
      <c r="BN159"/>
    </row>
    <row r="160" spans="1:133" x14ac:dyDescent="0.25">
      <c r="A160" s="46"/>
      <c r="B160" s="46"/>
      <c r="C160" s="46"/>
      <c r="D160" s="46"/>
      <c r="E160" s="46"/>
      <c r="F160" s="46"/>
      <c r="G160" s="46"/>
      <c r="H160" s="46"/>
      <c r="I160" s="46"/>
      <c r="J160" s="46"/>
      <c r="K160" s="46"/>
      <c r="L160" s="46"/>
      <c r="M160" s="46"/>
      <c r="N160" s="46"/>
      <c r="O160" s="46"/>
      <c r="P160" s="46"/>
      <c r="Q160" s="46" t="s">
        <v>160</v>
      </c>
      <c r="R160" s="59"/>
      <c r="S160" s="96"/>
      <c r="T160" s="72"/>
      <c r="U160" s="72"/>
      <c r="V160" s="72"/>
      <c r="W160" s="72"/>
      <c r="X160" s="72"/>
      <c r="Y160" s="72"/>
      <c r="Z160" s="72"/>
      <c r="AA160" s="72"/>
      <c r="AB160" s="72"/>
      <c r="AC160" s="72"/>
      <c r="AD160" s="72"/>
      <c r="AE160" s="72"/>
      <c r="AF160" s="72"/>
      <c r="AG160" s="72"/>
      <c r="AH160" s="72"/>
      <c r="AI160" s="72"/>
      <c r="AJ160" s="72"/>
      <c r="AK160" s="72"/>
      <c r="AL160" s="72"/>
      <c r="AM160" s="72"/>
      <c r="AN160" s="72"/>
      <c r="AO160" s="59"/>
      <c r="AP160" s="46"/>
      <c r="AQ160" s="46"/>
      <c r="AR160" s="46"/>
      <c r="AS160" s="46"/>
      <c r="AT160" s="46"/>
      <c r="AU160" s="46"/>
      <c r="AV160" s="46"/>
      <c r="AW160" s="46"/>
      <c r="AX160" s="46"/>
      <c r="AY160" s="46"/>
      <c r="AZ160" s="46"/>
      <c r="BA160" s="46"/>
      <c r="BB160" s="46"/>
      <c r="BC160"/>
      <c r="BD160"/>
      <c r="BE160"/>
      <c r="BF160"/>
      <c r="BG160"/>
      <c r="BH160"/>
      <c r="BI160"/>
      <c r="BJ160"/>
      <c r="BK160"/>
      <c r="BL160"/>
      <c r="BM160"/>
      <c r="BN160"/>
    </row>
    <row r="161" spans="1:66" ht="13.8" thickBot="1" x14ac:dyDescent="0.3">
      <c r="A161" s="519"/>
      <c r="B161" s="519"/>
      <c r="C161" s="519"/>
      <c r="D161" s="519"/>
      <c r="E161" s="519"/>
      <c r="F161" s="519"/>
      <c r="G161" s="72"/>
      <c r="H161" s="46"/>
      <c r="I161" s="46"/>
      <c r="J161" s="46"/>
      <c r="K161" s="46"/>
      <c r="L161" s="46"/>
      <c r="M161" s="46"/>
      <c r="N161" s="46"/>
      <c r="O161" s="46"/>
      <c r="P161" s="46"/>
      <c r="Q161" s="46"/>
      <c r="R161" s="46"/>
      <c r="S161" s="96"/>
      <c r="T161" s="72"/>
      <c r="U161" s="72"/>
      <c r="V161" s="72"/>
      <c r="W161" s="72"/>
      <c r="X161" s="72"/>
      <c r="Y161" s="72"/>
      <c r="Z161" s="72"/>
      <c r="AA161" s="72"/>
      <c r="AB161" s="72"/>
      <c r="AC161" s="72"/>
      <c r="AD161" s="72"/>
      <c r="AE161" s="72"/>
      <c r="AF161" s="72"/>
      <c r="AG161" s="72"/>
      <c r="AH161" s="72"/>
      <c r="AI161" s="72"/>
      <c r="AJ161" s="72"/>
      <c r="AK161" s="72"/>
      <c r="AL161" s="72"/>
      <c r="AM161" s="72"/>
      <c r="AN161" s="72"/>
      <c r="AO161" s="72"/>
      <c r="AP161" s="96"/>
      <c r="AQ161" s="72"/>
      <c r="AR161" s="46"/>
      <c r="AS161" s="46"/>
      <c r="AT161" s="46"/>
      <c r="AU161" s="46"/>
      <c r="AV161" s="46"/>
      <c r="AW161" s="46"/>
      <c r="AX161" s="46"/>
      <c r="AY161" s="46"/>
      <c r="AZ161" s="46"/>
      <c r="BA161" s="46"/>
      <c r="BC161"/>
      <c r="BD161"/>
      <c r="BE161"/>
      <c r="BF161"/>
      <c r="BG161"/>
      <c r="BH161"/>
      <c r="BI161"/>
      <c r="BJ161"/>
      <c r="BK161"/>
      <c r="BL161"/>
      <c r="BM161"/>
      <c r="BN161"/>
    </row>
    <row r="162" spans="1:66" x14ac:dyDescent="0.25">
      <c r="A162" s="519"/>
      <c r="B162" s="519"/>
      <c r="C162" s="519"/>
      <c r="D162" s="519"/>
      <c r="E162" s="519"/>
      <c r="F162" s="519"/>
      <c r="G162" s="72"/>
      <c r="H162" s="268"/>
      <c r="I162" s="269"/>
      <c r="J162" s="269"/>
      <c r="K162" s="269"/>
      <c r="L162" s="269"/>
      <c r="M162" s="269"/>
      <c r="N162" s="269"/>
      <c r="O162" s="269"/>
      <c r="P162" s="269"/>
      <c r="Q162" s="269"/>
      <c r="R162" s="269"/>
      <c r="S162" s="274"/>
      <c r="T162" s="269"/>
      <c r="U162" s="269"/>
      <c r="V162" s="269"/>
      <c r="W162" s="269"/>
      <c r="X162" s="269"/>
      <c r="Y162" s="269"/>
      <c r="Z162" s="269"/>
      <c r="AA162" s="269"/>
      <c r="AB162" s="269"/>
      <c r="AC162" s="269"/>
      <c r="AD162" s="271"/>
      <c r="AE162" s="72"/>
      <c r="AF162" s="72"/>
      <c r="AG162" s="72"/>
      <c r="AH162" s="72"/>
      <c r="AI162" s="72"/>
      <c r="AJ162" s="72"/>
      <c r="AK162" s="72"/>
      <c r="AL162" s="72"/>
      <c r="AM162" s="72"/>
      <c r="AN162" s="72"/>
      <c r="AO162" s="72"/>
      <c r="AP162" s="96"/>
      <c r="AQ162" s="72"/>
      <c r="AR162" s="46"/>
      <c r="AS162" s="46"/>
      <c r="AT162" s="46"/>
      <c r="AU162" s="46"/>
      <c r="AV162" s="46"/>
      <c r="AW162" s="46"/>
      <c r="AX162" s="46"/>
      <c r="AY162" s="46"/>
      <c r="AZ162" s="46"/>
      <c r="BA162" s="46"/>
      <c r="BB162" s="46"/>
      <c r="BC162"/>
      <c r="BD162"/>
      <c r="BE162"/>
      <c r="BF162"/>
      <c r="BG162"/>
      <c r="BH162"/>
      <c r="BI162"/>
      <c r="BJ162"/>
      <c r="BK162"/>
      <c r="BL162"/>
      <c r="BM162"/>
      <c r="BN162"/>
    </row>
    <row r="163" spans="1:66" x14ac:dyDescent="0.25">
      <c r="A163" s="519"/>
      <c r="B163" s="519"/>
      <c r="C163" s="519"/>
      <c r="D163" s="519"/>
      <c r="E163" s="519"/>
      <c r="F163" s="519"/>
      <c r="G163" s="46"/>
      <c r="H163" s="271"/>
      <c r="I163" s="72"/>
      <c r="J163" s="72"/>
      <c r="K163" s="72"/>
      <c r="L163" s="72"/>
      <c r="M163" s="72"/>
      <c r="N163" s="72"/>
      <c r="O163" s="72"/>
      <c r="P163" s="95"/>
      <c r="Q163" s="48"/>
      <c r="R163" s="1091"/>
      <c r="S163" s="48"/>
      <c r="T163" s="1092"/>
      <c r="U163" s="49"/>
      <c r="V163" s="46"/>
      <c r="W163" s="46"/>
      <c r="X163" s="46"/>
      <c r="Y163" s="46"/>
      <c r="Z163" s="46"/>
      <c r="AA163" s="46"/>
      <c r="AB163" s="46"/>
      <c r="AC163" s="46"/>
      <c r="AD163" s="271"/>
      <c r="AE163" s="72"/>
      <c r="AF163" s="72"/>
      <c r="AG163" s="72"/>
      <c r="AH163" s="72"/>
      <c r="AI163" s="72"/>
      <c r="AJ163" s="72"/>
      <c r="AK163" s="72"/>
      <c r="AL163" s="72"/>
      <c r="AM163" s="72"/>
      <c r="AN163" s="72"/>
      <c r="AO163" s="72"/>
      <c r="AP163" s="96"/>
      <c r="AQ163" s="72"/>
      <c r="AR163" s="46"/>
      <c r="AS163" s="46"/>
      <c r="AT163" s="46"/>
      <c r="AU163" s="46"/>
      <c r="AV163" s="46"/>
      <c r="AW163" s="46"/>
      <c r="AX163" s="46"/>
      <c r="AY163" s="46"/>
      <c r="AZ163" s="46"/>
      <c r="BA163" s="46"/>
      <c r="BB163" s="46"/>
      <c r="BC163"/>
      <c r="BD163"/>
      <c r="BE163"/>
      <c r="BF163"/>
      <c r="BG163"/>
      <c r="BH163"/>
      <c r="BI163"/>
      <c r="BJ163"/>
      <c r="BK163"/>
      <c r="BL163"/>
      <c r="BM163"/>
      <c r="BN163"/>
    </row>
    <row r="164" spans="1:66" x14ac:dyDescent="0.25">
      <c r="A164" s="519"/>
      <c r="B164" s="519"/>
      <c r="C164" s="519"/>
      <c r="D164" s="519"/>
      <c r="E164" s="519"/>
      <c r="F164" s="519"/>
      <c r="G164" s="46"/>
      <c r="H164" s="271"/>
      <c r="I164" s="72"/>
      <c r="J164" s="72"/>
      <c r="K164" s="72"/>
      <c r="L164" s="72"/>
      <c r="M164" s="72"/>
      <c r="N164" s="72"/>
      <c r="O164" s="72"/>
      <c r="P164" s="50"/>
      <c r="Q164" s="846"/>
      <c r="R164" s="1084" t="s">
        <v>1547</v>
      </c>
      <c r="S164" s="1398">
        <f>func_unit</f>
        <v>1</v>
      </c>
      <c r="T164" s="1100" t="s">
        <v>1548</v>
      </c>
      <c r="U164" s="53"/>
      <c r="V164" s="46"/>
      <c r="W164" s="46"/>
      <c r="X164" s="46"/>
      <c r="Y164" s="46"/>
      <c r="Z164" s="46"/>
      <c r="AA164" s="46"/>
      <c r="AB164" s="46"/>
      <c r="AC164" s="46"/>
      <c r="AD164" s="271"/>
      <c r="AE164" s="72"/>
      <c r="AF164" s="72"/>
      <c r="AG164" s="72"/>
      <c r="AH164" s="72"/>
      <c r="AI164" s="72"/>
      <c r="AJ164" s="72"/>
      <c r="AK164" s="72"/>
      <c r="AL164" s="72"/>
      <c r="AM164" s="72"/>
      <c r="AN164" s="72"/>
      <c r="AO164" s="72"/>
      <c r="AP164" s="96"/>
      <c r="AQ164" s="72"/>
      <c r="AR164" s="46"/>
      <c r="AS164" s="46"/>
      <c r="AT164" s="46"/>
      <c r="AU164" s="46"/>
      <c r="AV164" s="46"/>
      <c r="AW164" s="46"/>
      <c r="AX164" s="46"/>
      <c r="AY164" s="46"/>
      <c r="AZ164" s="46"/>
      <c r="BA164" s="46"/>
      <c r="BB164" s="46"/>
      <c r="BC164"/>
      <c r="BD164"/>
      <c r="BE164"/>
      <c r="BF164"/>
      <c r="BG164"/>
      <c r="BH164"/>
      <c r="BI164"/>
      <c r="BJ164"/>
      <c r="BK164"/>
      <c r="BL164"/>
      <c r="BM164"/>
      <c r="BN164"/>
    </row>
    <row r="165" spans="1:66" x14ac:dyDescent="0.25">
      <c r="A165" s="519"/>
      <c r="B165" s="519"/>
      <c r="C165" s="519"/>
      <c r="D165" s="519"/>
      <c r="E165" s="519"/>
      <c r="F165" s="519"/>
      <c r="G165" s="46"/>
      <c r="H165" s="271"/>
      <c r="I165" s="72"/>
      <c r="J165" s="72"/>
      <c r="K165" s="72"/>
      <c r="L165" s="72"/>
      <c r="M165" s="72"/>
      <c r="N165" s="72"/>
      <c r="O165" s="72"/>
      <c r="P165" s="50"/>
      <c r="Q165" s="1317"/>
      <c r="R165" s="1317"/>
      <c r="S165" s="51"/>
      <c r="T165" s="229"/>
      <c r="U165" s="53"/>
      <c r="V165" s="46"/>
      <c r="W165" s="46"/>
      <c r="X165" s="46"/>
      <c r="Y165" s="46"/>
      <c r="Z165" s="46"/>
      <c r="AA165" s="46"/>
      <c r="AB165" s="46"/>
      <c r="AC165" s="46"/>
      <c r="AD165" s="271"/>
      <c r="AE165" s="72"/>
      <c r="AF165" s="72"/>
      <c r="AG165" s="72"/>
      <c r="AH165" s="72"/>
      <c r="AI165" s="72"/>
      <c r="AJ165" s="72"/>
      <c r="AK165" s="72"/>
      <c r="AL165" s="72"/>
      <c r="AM165" s="72"/>
      <c r="AN165" s="72"/>
      <c r="AO165" s="72"/>
      <c r="AP165" s="96"/>
      <c r="AQ165" s="72"/>
      <c r="AR165" s="46"/>
      <c r="AS165" s="46"/>
      <c r="AT165" s="46"/>
      <c r="AU165" s="46"/>
      <c r="AV165" s="46"/>
      <c r="AW165" s="46"/>
      <c r="AX165" s="46"/>
      <c r="AY165" s="46"/>
      <c r="AZ165" s="46"/>
      <c r="BA165" s="46"/>
      <c r="BB165" s="46"/>
      <c r="BC165"/>
      <c r="BD165"/>
      <c r="BE165"/>
      <c r="BF165"/>
      <c r="BG165"/>
      <c r="BH165"/>
      <c r="BI165"/>
      <c r="BJ165"/>
      <c r="BK165"/>
      <c r="BL165"/>
      <c r="BM165"/>
      <c r="BN165"/>
    </row>
    <row r="166" spans="1:66" x14ac:dyDescent="0.25">
      <c r="A166" s="519"/>
      <c r="B166" s="519"/>
      <c r="C166" s="519"/>
      <c r="D166" s="519"/>
      <c r="E166" s="519"/>
      <c r="F166" s="519"/>
      <c r="G166" s="46"/>
      <c r="H166" s="271"/>
      <c r="I166" s="72"/>
      <c r="J166" s="72"/>
      <c r="K166" s="72"/>
      <c r="L166" s="72"/>
      <c r="M166" s="72"/>
      <c r="N166" s="72"/>
      <c r="O166" s="72"/>
      <c r="P166" s="50"/>
      <c r="Q166" s="1557" t="s">
        <v>1014</v>
      </c>
      <c r="R166" s="1558"/>
      <c r="S166" s="112">
        <f>S30</f>
        <v>25</v>
      </c>
      <c r="T166" s="1100" t="s">
        <v>38</v>
      </c>
      <c r="U166" s="53"/>
      <c r="V166" s="46"/>
      <c r="W166" s="46"/>
      <c r="X166" s="46"/>
      <c r="Y166" s="46"/>
      <c r="Z166" s="46"/>
      <c r="AA166" s="46"/>
      <c r="AB166" s="46"/>
      <c r="AC166" s="46"/>
      <c r="AD166" s="271"/>
      <c r="AE166" s="72"/>
      <c r="AF166" s="72"/>
      <c r="AG166" s="72"/>
      <c r="AH166" s="72"/>
      <c r="AI166" s="1070"/>
      <c r="AJ166" s="72"/>
      <c r="AK166" s="72"/>
      <c r="AL166" s="72"/>
      <c r="AM166" s="72"/>
      <c r="AN166" s="72"/>
      <c r="AO166" s="72"/>
      <c r="AP166" s="96"/>
      <c r="AQ166" s="72"/>
      <c r="AR166" s="46"/>
      <c r="AS166" s="46"/>
      <c r="AT166" s="46"/>
      <c r="AU166" s="46"/>
      <c r="AV166" s="46"/>
      <c r="AW166" s="46"/>
      <c r="AX166" s="46"/>
      <c r="AY166" s="46"/>
      <c r="AZ166" s="46"/>
      <c r="BA166" s="46"/>
      <c r="BB166" s="46"/>
      <c r="BC166"/>
      <c r="BD166"/>
      <c r="BE166"/>
      <c r="BF166"/>
      <c r="BG166"/>
      <c r="BH166"/>
      <c r="BI166"/>
      <c r="BJ166"/>
      <c r="BK166"/>
      <c r="BL166"/>
      <c r="BM166"/>
      <c r="BN166"/>
    </row>
    <row r="167" spans="1:66" x14ac:dyDescent="0.25">
      <c r="A167" s="519"/>
      <c r="B167" s="519"/>
      <c r="C167" s="519"/>
      <c r="D167" s="519"/>
      <c r="E167" s="519"/>
      <c r="F167" s="519"/>
      <c r="G167" s="46"/>
      <c r="H167" s="271"/>
      <c r="I167" s="72"/>
      <c r="J167" s="72"/>
      <c r="K167" s="72"/>
      <c r="L167" s="72"/>
      <c r="M167" s="72"/>
      <c r="N167" s="72"/>
      <c r="O167" s="72"/>
      <c r="P167" s="56"/>
      <c r="Q167" s="57"/>
      <c r="R167" s="57"/>
      <c r="S167" s="57"/>
      <c r="T167" s="57"/>
      <c r="U167" s="58"/>
      <c r="V167" s="46"/>
      <c r="W167" s="46"/>
      <c r="X167" s="46"/>
      <c r="Y167" s="46"/>
      <c r="Z167" s="46"/>
      <c r="AA167" s="46"/>
      <c r="AB167" s="46"/>
      <c r="AC167" s="46"/>
      <c r="AD167" s="271"/>
      <c r="AE167" s="72"/>
      <c r="AF167" s="72"/>
      <c r="AG167" s="72"/>
      <c r="AH167" s="72"/>
      <c r="AI167" s="1070"/>
      <c r="AJ167" s="72"/>
      <c r="AK167" s="72"/>
      <c r="AL167" s="72"/>
      <c r="AM167" s="72"/>
      <c r="AN167" s="72"/>
      <c r="AO167" s="72"/>
      <c r="AP167" s="96"/>
      <c r="AQ167" s="72"/>
      <c r="AR167" s="46"/>
      <c r="AS167" s="46"/>
      <c r="AT167" s="46"/>
      <c r="AU167" s="46"/>
      <c r="AV167" s="46"/>
      <c r="AW167" s="46"/>
      <c r="AX167" s="46"/>
      <c r="AY167" s="46"/>
      <c r="AZ167" s="46"/>
      <c r="BA167" s="46"/>
      <c r="BB167" s="46"/>
      <c r="BC167"/>
      <c r="BD167"/>
      <c r="BE167"/>
      <c r="BF167"/>
      <c r="BG167"/>
      <c r="BH167"/>
      <c r="BI167"/>
      <c r="BJ167"/>
      <c r="BK167"/>
      <c r="BL167"/>
      <c r="BM167"/>
      <c r="BN167"/>
    </row>
    <row r="168" spans="1:66" x14ac:dyDescent="0.25">
      <c r="A168" s="519"/>
      <c r="B168" s="519"/>
      <c r="C168" s="519"/>
      <c r="D168" s="519"/>
      <c r="E168" s="519"/>
      <c r="F168" s="519"/>
      <c r="G168" s="46"/>
      <c r="H168" s="271"/>
      <c r="I168" s="72"/>
      <c r="J168" s="72"/>
      <c r="K168" s="72"/>
      <c r="L168" s="72"/>
      <c r="M168" s="72"/>
      <c r="N168" s="72"/>
      <c r="O168" s="72"/>
      <c r="P168" s="76"/>
      <c r="Q168" s="76"/>
      <c r="R168" s="76"/>
      <c r="S168" s="75"/>
      <c r="T168" s="76"/>
      <c r="U168" s="76"/>
      <c r="V168" s="1063"/>
      <c r="W168" s="46"/>
      <c r="X168" s="46"/>
      <c r="Y168" s="46"/>
      <c r="Z168" s="46"/>
      <c r="AA168" s="46"/>
      <c r="AB168" s="46"/>
      <c r="AC168" s="46"/>
      <c r="AD168" s="271"/>
      <c r="AE168" s="72"/>
      <c r="AF168" s="72"/>
      <c r="AG168" s="72"/>
      <c r="AH168" s="72"/>
      <c r="AI168" s="72"/>
      <c r="AJ168" s="72"/>
      <c r="AK168" s="72"/>
      <c r="AL168" s="72"/>
      <c r="AM168" s="72"/>
      <c r="AN168" s="72"/>
      <c r="AO168" s="72"/>
      <c r="AP168" s="96"/>
      <c r="AQ168" s="72"/>
      <c r="AR168" s="46"/>
      <c r="AS168" s="46"/>
      <c r="AT168" s="46"/>
      <c r="AU168" s="46"/>
      <c r="AV168" s="46"/>
      <c r="AW168" s="46"/>
      <c r="AX168" s="46"/>
      <c r="AY168" s="46"/>
      <c r="AZ168" s="46"/>
      <c r="BA168" s="46"/>
      <c r="BB168" s="46"/>
      <c r="BC168"/>
      <c r="BD168"/>
      <c r="BE168"/>
      <c r="BF168"/>
      <c r="BG168"/>
      <c r="BH168"/>
      <c r="BI168"/>
      <c r="BJ168"/>
      <c r="BK168"/>
      <c r="BL168"/>
      <c r="BM168"/>
      <c r="BN168"/>
    </row>
    <row r="169" spans="1:66" x14ac:dyDescent="0.25">
      <c r="A169" s="519"/>
      <c r="B169" s="519"/>
      <c r="C169" s="519"/>
      <c r="D169" s="519"/>
      <c r="E169" s="519"/>
      <c r="F169" s="519"/>
      <c r="G169" s="46"/>
      <c r="H169" s="271"/>
      <c r="I169" s="72"/>
      <c r="J169" s="72"/>
      <c r="K169" s="72"/>
      <c r="L169" s="72"/>
      <c r="M169" s="72"/>
      <c r="N169" s="72"/>
      <c r="O169" s="72"/>
      <c r="P169" s="72"/>
      <c r="Q169" s="72"/>
      <c r="R169" s="72"/>
      <c r="S169" s="96"/>
      <c r="T169" s="72"/>
      <c r="U169" s="72"/>
      <c r="V169" s="867"/>
      <c r="W169" s="46"/>
      <c r="X169" s="46"/>
      <c r="Y169" s="46"/>
      <c r="Z169" s="46"/>
      <c r="AA169" s="46"/>
      <c r="AB169" s="46"/>
      <c r="AC169" s="46"/>
      <c r="AD169" s="271"/>
      <c r="AE169" s="72"/>
      <c r="AF169" s="72"/>
      <c r="AG169" s="72"/>
      <c r="AH169" s="72"/>
      <c r="AI169" s="72"/>
      <c r="AJ169" s="72"/>
      <c r="AK169" s="72"/>
      <c r="AL169" s="72"/>
      <c r="AM169" s="72"/>
      <c r="AN169" s="72"/>
      <c r="AO169" s="72"/>
      <c r="AP169" s="96"/>
      <c r="AQ169" s="72"/>
      <c r="AR169" s="46"/>
      <c r="AS169" s="46"/>
      <c r="AT169" s="46"/>
      <c r="AU169" s="46"/>
      <c r="AV169" s="46"/>
      <c r="AW169" s="46"/>
      <c r="AX169" s="46"/>
      <c r="AY169" s="46"/>
      <c r="AZ169" s="46"/>
      <c r="BA169" s="46"/>
      <c r="BB169" s="46"/>
      <c r="BC169"/>
      <c r="BD169"/>
      <c r="BE169"/>
      <c r="BF169"/>
      <c r="BG169"/>
      <c r="BH169"/>
      <c r="BI169"/>
      <c r="BJ169"/>
      <c r="BK169"/>
      <c r="BL169"/>
      <c r="BM169"/>
      <c r="BN169"/>
    </row>
    <row r="170" spans="1:66" ht="13.8" thickBot="1" x14ac:dyDescent="0.3">
      <c r="A170" s="519"/>
      <c r="B170" s="519"/>
      <c r="C170" s="519"/>
      <c r="D170" s="519"/>
      <c r="E170" s="519"/>
      <c r="F170" s="519"/>
      <c r="G170" s="46"/>
      <c r="H170" s="271"/>
      <c r="I170" s="72"/>
      <c r="J170" s="72"/>
      <c r="K170" s="72"/>
      <c r="L170" s="72"/>
      <c r="M170" s="72"/>
      <c r="N170" s="72"/>
      <c r="O170" s="72"/>
      <c r="P170" s="72"/>
      <c r="Q170" s="72"/>
      <c r="R170" s="72"/>
      <c r="S170" s="96"/>
      <c r="T170" s="72"/>
      <c r="U170" s="72"/>
      <c r="V170" s="867"/>
      <c r="W170" s="46"/>
      <c r="X170" s="46"/>
      <c r="Y170" s="46"/>
      <c r="Z170" s="46"/>
      <c r="AA170" s="46"/>
      <c r="AB170" s="46"/>
      <c r="AC170" s="46"/>
      <c r="AD170" s="271"/>
      <c r="AE170" s="72"/>
      <c r="AF170" s="72"/>
      <c r="AG170" s="72"/>
      <c r="AH170" s="72"/>
      <c r="AI170" s="72"/>
      <c r="AJ170" s="72"/>
      <c r="AK170" s="72"/>
      <c r="AL170" s="72"/>
      <c r="AM170" s="72"/>
      <c r="AN170" s="72"/>
      <c r="AO170" s="72"/>
      <c r="AP170" s="96"/>
      <c r="AQ170" s="72"/>
      <c r="AR170" s="46"/>
      <c r="AS170" s="46"/>
      <c r="AT170" s="46"/>
      <c r="AU170" s="46"/>
      <c r="AV170" s="46"/>
      <c r="AW170" s="46"/>
      <c r="AX170" s="46"/>
      <c r="AY170" s="46"/>
      <c r="AZ170" s="46"/>
      <c r="BA170" s="46"/>
      <c r="BB170" s="46"/>
      <c r="BC170"/>
      <c r="BD170"/>
      <c r="BE170"/>
      <c r="BF170"/>
      <c r="BG170"/>
      <c r="BH170"/>
      <c r="BI170"/>
      <c r="BJ170"/>
      <c r="BK170"/>
      <c r="BL170"/>
      <c r="BM170"/>
      <c r="BN170"/>
    </row>
    <row r="171" spans="1:66" x14ac:dyDescent="0.25">
      <c r="A171" s="519"/>
      <c r="B171" s="519"/>
      <c r="C171" s="519"/>
      <c r="D171" s="519"/>
      <c r="E171" s="519"/>
      <c r="F171" s="519"/>
      <c r="G171" s="46"/>
      <c r="H171" s="271"/>
      <c r="I171" s="72"/>
      <c r="J171" s="72"/>
      <c r="K171" s="72"/>
      <c r="L171" s="72"/>
      <c r="M171" s="72"/>
      <c r="N171" s="72"/>
      <c r="O171" s="72"/>
      <c r="P171" s="302"/>
      <c r="Q171" s="60"/>
      <c r="R171" s="60"/>
      <c r="S171" s="60"/>
      <c r="T171" s="60"/>
      <c r="U171" s="61"/>
      <c r="V171" s="867"/>
      <c r="W171" s="46"/>
      <c r="X171" s="46"/>
      <c r="Y171" s="46"/>
      <c r="Z171" s="46"/>
      <c r="AA171" s="46"/>
      <c r="AB171" s="46"/>
      <c r="AC171" s="46"/>
      <c r="AD171" s="271"/>
      <c r="AE171" s="72"/>
      <c r="AF171" s="72"/>
      <c r="AG171" s="72"/>
      <c r="AH171" s="72"/>
      <c r="AI171" s="72"/>
      <c r="AJ171" s="72"/>
      <c r="AK171" s="72"/>
      <c r="AL171" s="72"/>
      <c r="AM171" s="72"/>
      <c r="AN171" s="72"/>
      <c r="AO171" s="72"/>
      <c r="AP171" s="96"/>
      <c r="AQ171" s="72"/>
      <c r="AR171" s="46"/>
      <c r="AS171" s="46"/>
      <c r="AT171" s="46"/>
      <c r="AU171" s="46"/>
      <c r="AV171" s="46"/>
      <c r="AW171" s="46"/>
      <c r="AX171" s="46"/>
      <c r="AY171" s="46"/>
      <c r="AZ171" s="46"/>
      <c r="BA171" s="46"/>
      <c r="BB171" s="46"/>
      <c r="BC171"/>
      <c r="BD171"/>
      <c r="BE171"/>
      <c r="BF171"/>
      <c r="BG171"/>
      <c r="BH171"/>
      <c r="BI171"/>
      <c r="BJ171"/>
      <c r="BK171"/>
      <c r="BL171"/>
      <c r="BM171"/>
      <c r="BN171"/>
    </row>
    <row r="172" spans="1:66" x14ac:dyDescent="0.25">
      <c r="A172" s="519"/>
      <c r="B172" s="519"/>
      <c r="C172" s="519"/>
      <c r="D172" s="519"/>
      <c r="E172" s="519"/>
      <c r="F172" s="519"/>
      <c r="G172" s="46"/>
      <c r="H172" s="271"/>
      <c r="I172" s="72"/>
      <c r="J172" s="72"/>
      <c r="K172" s="72"/>
      <c r="L172" s="72"/>
      <c r="M172" s="72"/>
      <c r="N172" s="72"/>
      <c r="O172" s="72"/>
      <c r="P172" s="1551" t="s">
        <v>1434</v>
      </c>
      <c r="Q172" s="1552"/>
      <c r="R172" s="1552"/>
      <c r="S172" s="1552"/>
      <c r="T172" s="1552"/>
      <c r="U172" s="1553"/>
      <c r="V172" s="867"/>
      <c r="W172" s="46"/>
      <c r="X172" s="46"/>
      <c r="Y172" s="46"/>
      <c r="Z172" s="46"/>
      <c r="AA172" s="46"/>
      <c r="AB172" s="46"/>
      <c r="AC172" s="46"/>
      <c r="AD172" s="271"/>
      <c r="AE172" s="72"/>
      <c r="AF172" s="72"/>
      <c r="AG172" s="72"/>
      <c r="AH172" s="72"/>
      <c r="AI172" s="72"/>
      <c r="AJ172" s="72"/>
      <c r="AK172" s="72"/>
      <c r="AL172" s="72"/>
      <c r="AM172" s="72"/>
      <c r="AN172" s="72"/>
      <c r="AO172" s="72"/>
      <c r="AP172" s="96"/>
      <c r="AQ172" s="72"/>
      <c r="AR172" s="46"/>
      <c r="AS172" s="46"/>
      <c r="AT172" s="46"/>
      <c r="AU172" s="46"/>
      <c r="AV172" s="46"/>
      <c r="AW172" s="46"/>
      <c r="AX172" s="46"/>
      <c r="AY172" s="46"/>
      <c r="AZ172" s="46"/>
      <c r="BA172" s="46"/>
      <c r="BB172" s="46"/>
      <c r="BC172"/>
      <c r="BD172"/>
      <c r="BE172"/>
      <c r="BF172"/>
      <c r="BG172"/>
      <c r="BH172"/>
      <c r="BI172"/>
      <c r="BJ172"/>
      <c r="BK172"/>
      <c r="BL172"/>
      <c r="BM172"/>
      <c r="BN172"/>
    </row>
    <row r="173" spans="1:66" x14ac:dyDescent="0.25">
      <c r="A173" s="519"/>
      <c r="B173" s="519"/>
      <c r="C173" s="519"/>
      <c r="D173" s="519"/>
      <c r="E173" s="519"/>
      <c r="F173" s="519"/>
      <c r="G173" s="46"/>
      <c r="H173" s="271"/>
      <c r="I173" s="72"/>
      <c r="J173" s="72"/>
      <c r="K173" s="72"/>
      <c r="L173" s="72"/>
      <c r="M173" s="72"/>
      <c r="N173" s="72"/>
      <c r="O173" s="72"/>
      <c r="P173" s="62"/>
      <c r="Q173" s="1067"/>
      <c r="R173" s="1067"/>
      <c r="S173" s="1067"/>
      <c r="T173" s="1067"/>
      <c r="U173" s="64"/>
      <c r="V173" s="867"/>
      <c r="W173" s="46"/>
      <c r="X173" s="46"/>
      <c r="Y173" s="46"/>
      <c r="Z173" s="46"/>
      <c r="AA173" s="46"/>
      <c r="AB173" s="46"/>
      <c r="AC173" s="46"/>
      <c r="AD173" s="271"/>
      <c r="AE173" s="72"/>
      <c r="AF173" s="72"/>
      <c r="AG173" s="72"/>
      <c r="AH173" s="72"/>
      <c r="AI173" s="72"/>
      <c r="AJ173" s="72"/>
      <c r="AK173" s="72"/>
      <c r="AL173" s="72"/>
      <c r="AM173" s="72"/>
      <c r="AN173" s="72"/>
      <c r="AO173" s="72"/>
      <c r="AP173" s="96"/>
      <c r="AQ173" s="72"/>
      <c r="AR173" s="46"/>
      <c r="AS173" s="46"/>
      <c r="AT173" s="46"/>
      <c r="AU173" s="46"/>
      <c r="AV173" s="46"/>
      <c r="AW173" s="46"/>
      <c r="AX173" s="46"/>
      <c r="AY173" s="46"/>
      <c r="AZ173" s="46"/>
      <c r="BA173" s="46"/>
      <c r="BB173" s="46"/>
      <c r="BC173"/>
      <c r="BD173"/>
      <c r="BE173"/>
      <c r="BF173"/>
      <c r="BG173"/>
      <c r="BH173"/>
      <c r="BI173"/>
      <c r="BJ173"/>
      <c r="BK173"/>
      <c r="BL173"/>
      <c r="BM173"/>
      <c r="BN173"/>
    </row>
    <row r="174" spans="1:66" x14ac:dyDescent="0.25">
      <c r="A174" s="519"/>
      <c r="B174" s="519"/>
      <c r="C174" s="519"/>
      <c r="D174" s="519"/>
      <c r="E174" s="519"/>
      <c r="F174" s="519"/>
      <c r="G174" s="46"/>
      <c r="H174" s="271"/>
      <c r="I174" s="72"/>
      <c r="J174" s="72"/>
      <c r="K174" s="72"/>
      <c r="L174" s="72"/>
      <c r="M174" s="72"/>
      <c r="N174" s="72"/>
      <c r="O174" s="72"/>
      <c r="P174" s="62"/>
      <c r="Q174" s="1067"/>
      <c r="R174" s="1072" t="s">
        <v>1551</v>
      </c>
      <c r="S174" s="1477">
        <f>misc_mill_elec</f>
        <v>7.9</v>
      </c>
      <c r="T174" s="1090" t="s">
        <v>1700</v>
      </c>
      <c r="U174" s="64"/>
      <c r="V174" s="867"/>
      <c r="W174" s="46"/>
      <c r="X174" s="46"/>
      <c r="Y174" s="46"/>
      <c r="Z174" s="46"/>
      <c r="AA174" s="46"/>
      <c r="AB174" s="46"/>
      <c r="AC174" s="46"/>
      <c r="AD174" s="271"/>
      <c r="AE174" s="72"/>
      <c r="AF174" s="72"/>
      <c r="AG174" s="72"/>
      <c r="AH174" s="72"/>
      <c r="AI174" s="72"/>
      <c r="AJ174" s="72"/>
      <c r="AK174" s="72"/>
      <c r="AL174" s="72"/>
      <c r="AM174" s="72"/>
      <c r="AN174" s="72"/>
      <c r="AO174" s="72"/>
      <c r="AP174" s="96"/>
      <c r="AQ174" s="72"/>
      <c r="AR174" s="46"/>
      <c r="AS174" s="46"/>
      <c r="AT174" s="46"/>
      <c r="AU174" s="46"/>
      <c r="AV174" s="46"/>
      <c r="AW174" s="46"/>
      <c r="AX174" s="46"/>
      <c r="AY174" s="46"/>
      <c r="AZ174" s="46"/>
      <c r="BA174" s="46"/>
      <c r="BB174" s="46"/>
      <c r="BC174"/>
      <c r="BD174"/>
      <c r="BE174"/>
      <c r="BF174"/>
      <c r="BG174"/>
      <c r="BH174"/>
      <c r="BI174"/>
      <c r="BJ174"/>
      <c r="BK174"/>
      <c r="BL174"/>
      <c r="BM174"/>
      <c r="BN174"/>
    </row>
    <row r="175" spans="1:66" x14ac:dyDescent="0.25">
      <c r="A175" s="519"/>
      <c r="B175" s="519"/>
      <c r="C175" s="519"/>
      <c r="D175" s="519"/>
      <c r="E175" s="519"/>
      <c r="F175" s="519"/>
      <c r="G175" s="46"/>
      <c r="H175" s="271"/>
      <c r="I175" s="72"/>
      <c r="J175" s="72"/>
      <c r="K175" s="72"/>
      <c r="L175" s="72"/>
      <c r="M175" s="72"/>
      <c r="N175" s="72"/>
      <c r="O175" s="72"/>
      <c r="P175" s="62"/>
      <c r="Q175" s="1067"/>
      <c r="R175" s="1069"/>
      <c r="S175" s="1067"/>
      <c r="T175" s="1067"/>
      <c r="U175" s="64"/>
      <c r="V175" s="867"/>
      <c r="W175" s="46"/>
      <c r="X175" s="46"/>
      <c r="Y175" s="46"/>
      <c r="Z175" s="46"/>
      <c r="AA175" s="46"/>
      <c r="AB175" s="46"/>
      <c r="AC175" s="46"/>
      <c r="AD175" s="271"/>
      <c r="AE175" s="72"/>
      <c r="AF175" s="72"/>
      <c r="AG175" s="72"/>
      <c r="AH175" s="72"/>
      <c r="AI175" s="72"/>
      <c r="AJ175" s="72"/>
      <c r="AK175" s="72"/>
      <c r="AL175" s="72"/>
      <c r="AM175" s="72"/>
      <c r="AN175" s="72"/>
      <c r="AO175" s="72"/>
      <c r="AP175" s="96"/>
      <c r="AQ175" s="72"/>
      <c r="AR175" s="46"/>
      <c r="AS175" s="46"/>
      <c r="AT175" s="46"/>
      <c r="AU175" s="46"/>
      <c r="AV175" s="46"/>
      <c r="AW175" s="46"/>
      <c r="AX175" s="46"/>
      <c r="AY175" s="46"/>
      <c r="AZ175" s="46"/>
      <c r="BA175" s="46"/>
      <c r="BB175" s="46"/>
      <c r="BC175"/>
      <c r="BD175"/>
      <c r="BE175"/>
      <c r="BF175"/>
      <c r="BG175"/>
      <c r="BH175"/>
      <c r="BI175"/>
      <c r="BJ175"/>
      <c r="BK175"/>
      <c r="BL175"/>
      <c r="BM175"/>
      <c r="BN175"/>
    </row>
    <row r="176" spans="1:66" x14ac:dyDescent="0.25">
      <c r="A176" s="519"/>
      <c r="B176" s="519"/>
      <c r="C176" s="519"/>
      <c r="D176" s="519"/>
      <c r="E176" s="519"/>
      <c r="F176" s="519"/>
      <c r="G176" s="46"/>
      <c r="H176" s="271"/>
      <c r="I176" s="72"/>
      <c r="J176" s="72"/>
      <c r="K176" s="72"/>
      <c r="L176" s="72"/>
      <c r="M176" s="72"/>
      <c r="N176" s="72"/>
      <c r="O176" s="72"/>
      <c r="P176" s="62"/>
      <c r="Q176" s="1067"/>
      <c r="R176" s="66" t="s">
        <v>364</v>
      </c>
      <c r="S176" s="303">
        <f>misc_mill_loss</f>
        <v>0</v>
      </c>
      <c r="T176" s="82" t="s">
        <v>162</v>
      </c>
      <c r="U176" s="64"/>
      <c r="V176" s="867"/>
      <c r="W176" s="46"/>
      <c r="X176" s="46"/>
      <c r="Y176" s="46"/>
      <c r="Z176" s="46"/>
      <c r="AA176" s="46"/>
      <c r="AB176" s="46"/>
      <c r="AC176" s="46"/>
      <c r="AD176" s="271"/>
      <c r="AE176" s="72"/>
      <c r="AF176" s="72"/>
      <c r="AG176" s="72"/>
      <c r="AH176" s="72"/>
      <c r="AI176" s="72"/>
      <c r="AJ176" s="72"/>
      <c r="AK176" s="72"/>
      <c r="AL176" s="72"/>
      <c r="AM176" s="72"/>
      <c r="AN176" s="72"/>
      <c r="AO176" s="72"/>
      <c r="AP176" s="96"/>
      <c r="AQ176" s="72"/>
      <c r="AR176" s="46"/>
      <c r="AS176" s="46"/>
      <c r="AT176" s="46"/>
      <c r="AU176" s="46"/>
      <c r="AV176" s="46"/>
      <c r="AW176" s="46"/>
      <c r="AX176" s="46"/>
      <c r="AY176" s="46"/>
      <c r="AZ176" s="46"/>
      <c r="BA176" s="46"/>
      <c r="BB176" s="46"/>
      <c r="BC176"/>
      <c r="BD176"/>
      <c r="BE176"/>
      <c r="BF176"/>
      <c r="BG176"/>
      <c r="BH176"/>
      <c r="BI176"/>
      <c r="BJ176"/>
      <c r="BK176"/>
      <c r="BL176"/>
      <c r="BM176"/>
      <c r="BN176"/>
    </row>
    <row r="177" spans="1:66" ht="13.8" thickBot="1" x14ac:dyDescent="0.3">
      <c r="A177" s="519"/>
      <c r="B177" s="519"/>
      <c r="C177" s="519"/>
      <c r="D177" s="519"/>
      <c r="E177" s="519"/>
      <c r="F177" s="519"/>
      <c r="G177" s="46"/>
      <c r="H177" s="271"/>
      <c r="I177" s="72"/>
      <c r="J177" s="72"/>
      <c r="K177" s="72"/>
      <c r="L177" s="72"/>
      <c r="M177" s="72"/>
      <c r="N177" s="72"/>
      <c r="O177" s="72"/>
      <c r="P177" s="69"/>
      <c r="Q177" s="261"/>
      <c r="R177" s="262"/>
      <c r="S177" s="304"/>
      <c r="T177" s="70"/>
      <c r="U177" s="305"/>
      <c r="V177" s="867"/>
      <c r="W177" s="46"/>
      <c r="X177" s="46"/>
      <c r="Y177" s="46"/>
      <c r="Z177" s="46"/>
      <c r="AA177" s="46"/>
      <c r="AB177" s="46"/>
      <c r="AC177" s="46"/>
      <c r="AD177" s="271"/>
      <c r="AE177" s="72"/>
      <c r="AF177" s="72"/>
      <c r="AG177" s="72"/>
      <c r="AH177" s="72"/>
      <c r="AI177" s="72"/>
      <c r="AJ177" s="72"/>
      <c r="AK177" s="72"/>
      <c r="AL177" s="72"/>
      <c r="AM177" s="72"/>
      <c r="AN177" s="72"/>
      <c r="AO177" s="72"/>
      <c r="AP177" s="96"/>
      <c r="AQ177" s="72"/>
      <c r="AR177" s="46"/>
      <c r="AS177" s="46"/>
      <c r="AT177" s="46"/>
      <c r="AU177" s="46"/>
      <c r="AV177" s="46"/>
      <c r="AW177" s="46"/>
      <c r="AX177" s="46"/>
      <c r="AY177" s="46"/>
      <c r="AZ177" s="46"/>
      <c r="BA177" s="46"/>
      <c r="BB177" s="46"/>
      <c r="BC177"/>
      <c r="BD177"/>
      <c r="BE177"/>
      <c r="BF177"/>
      <c r="BG177"/>
      <c r="BH177"/>
      <c r="BI177"/>
      <c r="BJ177"/>
      <c r="BK177"/>
      <c r="BL177"/>
      <c r="BM177"/>
      <c r="BN177"/>
    </row>
    <row r="178" spans="1:66" x14ac:dyDescent="0.25">
      <c r="A178" s="519"/>
      <c r="B178" s="519"/>
      <c r="C178" s="519"/>
      <c r="D178" s="519"/>
      <c r="E178" s="519"/>
      <c r="F178" s="519"/>
      <c r="G178" s="46"/>
      <c r="H178" s="271"/>
      <c r="I178" s="72"/>
      <c r="J178" s="72"/>
      <c r="K178" s="72"/>
      <c r="L178" s="72"/>
      <c r="M178" s="72"/>
      <c r="N178" s="72"/>
      <c r="O178" s="72"/>
      <c r="P178" s="72"/>
      <c r="Q178" s="72"/>
      <c r="R178" s="72"/>
      <c r="S178" s="96"/>
      <c r="T178" s="72"/>
      <c r="U178" s="72"/>
      <c r="V178" s="867"/>
      <c r="W178" s="46"/>
      <c r="X178" s="46"/>
      <c r="Y178" s="46"/>
      <c r="Z178" s="46"/>
      <c r="AA178" s="46"/>
      <c r="AB178" s="46"/>
      <c r="AC178" s="46"/>
      <c r="AD178" s="271"/>
      <c r="AE178" s="72"/>
      <c r="AF178" s="72"/>
      <c r="AG178" s="72"/>
      <c r="AH178" s="72"/>
      <c r="AI178" s="72"/>
      <c r="AJ178" s="72"/>
      <c r="AK178" s="72"/>
      <c r="AL178" s="72"/>
      <c r="AM178" s="72"/>
      <c r="AN178" s="72"/>
      <c r="AO178" s="72"/>
      <c r="AP178" s="96"/>
      <c r="AQ178" s="72"/>
      <c r="AR178" s="46"/>
      <c r="AS178" s="46"/>
      <c r="AT178" s="46"/>
      <c r="AU178" s="46"/>
      <c r="AV178" s="46"/>
      <c r="AW178" s="46"/>
      <c r="AX178" s="46"/>
      <c r="AY178" s="46"/>
      <c r="AZ178" s="46"/>
      <c r="BA178" s="46"/>
      <c r="BB178" s="46"/>
      <c r="BC178"/>
      <c r="BD178"/>
      <c r="BE178"/>
      <c r="BF178"/>
      <c r="BG178"/>
      <c r="BH178"/>
      <c r="BI178"/>
      <c r="BJ178"/>
      <c r="BK178"/>
      <c r="BL178"/>
      <c r="BM178"/>
      <c r="BN178"/>
    </row>
    <row r="179" spans="1:66" x14ac:dyDescent="0.25">
      <c r="A179" s="519"/>
      <c r="B179" s="519"/>
      <c r="C179" s="519"/>
      <c r="D179" s="519"/>
      <c r="E179" s="519"/>
      <c r="F179" s="519"/>
      <c r="G179" s="46"/>
      <c r="H179" s="271"/>
      <c r="I179" s="72"/>
      <c r="J179" s="72"/>
      <c r="K179" s="72"/>
      <c r="L179" s="72"/>
      <c r="M179" s="72"/>
      <c r="N179" s="72"/>
      <c r="O179" s="72"/>
      <c r="P179" s="72"/>
      <c r="Q179" s="72"/>
      <c r="R179" s="72"/>
      <c r="S179" s="96"/>
      <c r="T179" s="72"/>
      <c r="U179" s="72"/>
      <c r="V179" s="867"/>
      <c r="W179" s="46"/>
      <c r="X179" s="46"/>
      <c r="Y179" s="46"/>
      <c r="Z179" s="46"/>
      <c r="AA179" s="46"/>
      <c r="AB179" s="46"/>
      <c r="AC179" s="46"/>
      <c r="AD179" s="271"/>
      <c r="AE179" s="72"/>
      <c r="AF179" s="72"/>
      <c r="AG179" s="72"/>
      <c r="AH179" s="72"/>
      <c r="AI179" s="72"/>
      <c r="AJ179" s="72"/>
      <c r="AK179" s="72"/>
      <c r="AL179" s="72"/>
      <c r="AM179" s="72"/>
      <c r="AN179" s="72"/>
      <c r="AO179" s="72"/>
      <c r="AP179" s="96"/>
      <c r="AQ179" s="72"/>
      <c r="AR179" s="46"/>
      <c r="AS179" s="46"/>
      <c r="AT179" s="46"/>
      <c r="AU179" s="46"/>
      <c r="AV179" s="46"/>
      <c r="AW179" s="46"/>
      <c r="AX179" s="46"/>
      <c r="AY179" s="46"/>
      <c r="AZ179" s="46"/>
      <c r="BA179" s="46"/>
      <c r="BB179" s="46"/>
      <c r="BC179"/>
      <c r="BD179"/>
      <c r="BE179"/>
      <c r="BF179"/>
      <c r="BG179"/>
      <c r="BH179"/>
      <c r="BI179"/>
      <c r="BJ179"/>
      <c r="BK179"/>
      <c r="BL179"/>
      <c r="BM179"/>
      <c r="BN179"/>
    </row>
    <row r="180" spans="1:66" x14ac:dyDescent="0.25">
      <c r="A180" s="519"/>
      <c r="B180" s="519"/>
      <c r="C180" s="519"/>
      <c r="D180" s="519"/>
      <c r="E180" s="519"/>
      <c r="F180" s="519"/>
      <c r="G180" s="46"/>
      <c r="H180" s="271"/>
      <c r="I180" s="72"/>
      <c r="J180" s="72"/>
      <c r="K180" s="72"/>
      <c r="L180" s="72"/>
      <c r="M180" s="72"/>
      <c r="N180" s="72"/>
      <c r="O180" s="72"/>
      <c r="P180" s="241"/>
      <c r="Q180" s="48"/>
      <c r="R180" s="48"/>
      <c r="S180" s="48"/>
      <c r="T180" s="48"/>
      <c r="U180" s="49"/>
      <c r="V180" s="867"/>
      <c r="W180" s="46"/>
      <c r="X180" s="46"/>
      <c r="Y180" s="46"/>
      <c r="Z180" s="46"/>
      <c r="AA180" s="46"/>
      <c r="AB180" s="46"/>
      <c r="AC180" s="46"/>
      <c r="AD180" s="271"/>
      <c r="AE180" s="72"/>
      <c r="AF180" s="72"/>
      <c r="AG180" s="72"/>
      <c r="AH180" s="72"/>
      <c r="AI180" s="72"/>
      <c r="AJ180" s="72"/>
      <c r="AK180" s="72"/>
      <c r="AL180" s="72"/>
      <c r="AM180" s="72"/>
      <c r="AN180" s="72"/>
      <c r="AO180" s="72"/>
      <c r="AP180" s="96"/>
      <c r="AQ180" s="72"/>
      <c r="AR180" s="46"/>
      <c r="AS180" s="46"/>
      <c r="AT180" s="46"/>
      <c r="AU180" s="46"/>
      <c r="AV180" s="46"/>
      <c r="AW180" s="46"/>
      <c r="AX180" s="46"/>
      <c r="AY180" s="46"/>
      <c r="AZ180" s="46"/>
      <c r="BA180" s="46"/>
      <c r="BB180" s="46"/>
      <c r="BC180"/>
      <c r="BD180"/>
      <c r="BE180"/>
      <c r="BF180"/>
      <c r="BG180"/>
      <c r="BH180"/>
      <c r="BI180"/>
      <c r="BJ180"/>
      <c r="BK180"/>
      <c r="BL180"/>
      <c r="BM180"/>
      <c r="BN180"/>
    </row>
    <row r="181" spans="1:66" x14ac:dyDescent="0.25">
      <c r="A181" s="519"/>
      <c r="B181" s="519"/>
      <c r="C181" s="519"/>
      <c r="D181" s="519"/>
      <c r="E181" s="519"/>
      <c r="F181" s="519"/>
      <c r="G181" s="46"/>
      <c r="H181" s="271"/>
      <c r="I181" s="72"/>
      <c r="J181" s="72"/>
      <c r="K181" s="72"/>
      <c r="L181" s="72"/>
      <c r="M181" s="72"/>
      <c r="N181" s="72"/>
      <c r="O181" s="72"/>
      <c r="P181" s="50"/>
      <c r="Q181" s="1068"/>
      <c r="R181" s="1099" t="s">
        <v>1481</v>
      </c>
      <c r="S181" s="80">
        <f>S164*(100-S176)/100</f>
        <v>1</v>
      </c>
      <c r="T181" s="1100" t="s">
        <v>1569</v>
      </c>
      <c r="U181" s="53"/>
      <c r="V181" s="867"/>
      <c r="W181" s="46"/>
      <c r="X181" s="46"/>
      <c r="Y181" s="46"/>
      <c r="Z181" s="46"/>
      <c r="AA181" s="46"/>
      <c r="AB181" s="46"/>
      <c r="AC181" s="46"/>
      <c r="AD181" s="271"/>
      <c r="AE181" s="72"/>
      <c r="AF181" s="72"/>
      <c r="AG181" s="72"/>
      <c r="AH181" s="72"/>
      <c r="AI181" s="72"/>
      <c r="AJ181" s="72"/>
      <c r="AK181" s="72"/>
      <c r="AL181" s="72"/>
      <c r="AM181" s="72"/>
      <c r="AN181" s="72"/>
      <c r="AO181" s="72"/>
      <c r="AP181" s="96"/>
      <c r="AQ181" s="72"/>
      <c r="AR181" s="46"/>
      <c r="AS181" s="46"/>
      <c r="AT181" s="46"/>
      <c r="AU181" s="46"/>
      <c r="AV181" s="46"/>
      <c r="AW181" s="46"/>
      <c r="AX181" s="46"/>
      <c r="AY181" s="46"/>
      <c r="AZ181" s="46"/>
      <c r="BA181" s="46"/>
      <c r="BB181" s="46"/>
      <c r="BC181"/>
      <c r="BD181"/>
      <c r="BE181"/>
      <c r="BF181"/>
      <c r="BG181"/>
      <c r="BH181"/>
      <c r="BI181"/>
      <c r="BJ181"/>
      <c r="BK181"/>
      <c r="BL181"/>
      <c r="BM181"/>
      <c r="BN181"/>
    </row>
    <row r="182" spans="1:66" x14ac:dyDescent="0.25">
      <c r="A182" s="519"/>
      <c r="B182" s="519"/>
      <c r="C182" s="519"/>
      <c r="D182" s="519"/>
      <c r="E182" s="519"/>
      <c r="F182" s="519"/>
      <c r="G182" s="46"/>
      <c r="H182" s="271"/>
      <c r="I182" s="72"/>
      <c r="J182" s="72"/>
      <c r="K182" s="72"/>
      <c r="L182" s="72"/>
      <c r="M182" s="72"/>
      <c r="N182" s="72"/>
      <c r="O182" s="72"/>
      <c r="P182" s="56"/>
      <c r="Q182" s="552"/>
      <c r="R182" s="1318"/>
      <c r="S182" s="57"/>
      <c r="T182" s="1319"/>
      <c r="U182" s="58"/>
      <c r="V182" s="867"/>
      <c r="W182" s="46"/>
      <c r="X182" s="46"/>
      <c r="Y182" s="46"/>
      <c r="Z182" s="46"/>
      <c r="AA182" s="46"/>
      <c r="AB182" s="46"/>
      <c r="AC182" s="46"/>
      <c r="AD182" s="271"/>
      <c r="AE182" s="72"/>
      <c r="AF182" s="72"/>
      <c r="AG182" s="72"/>
      <c r="AH182" s="72"/>
      <c r="AI182" s="72"/>
      <c r="AJ182" s="72"/>
      <c r="AK182" s="72"/>
      <c r="AL182" s="72"/>
      <c r="AM182" s="72"/>
      <c r="AN182" s="72"/>
      <c r="AO182" s="72"/>
      <c r="AP182" s="96"/>
      <c r="AQ182" s="72"/>
      <c r="AR182" s="46"/>
      <c r="AS182" s="46"/>
      <c r="AT182" s="46"/>
      <c r="AU182" s="46"/>
      <c r="AV182" s="46"/>
      <c r="AW182" s="46"/>
      <c r="AX182" s="46"/>
      <c r="AY182" s="46"/>
      <c r="AZ182" s="46"/>
      <c r="BA182" s="46"/>
      <c r="BB182" s="46"/>
      <c r="BC182"/>
      <c r="BD182"/>
      <c r="BE182"/>
      <c r="BF182"/>
      <c r="BG182"/>
      <c r="BH182"/>
      <c r="BI182"/>
      <c r="BJ182"/>
      <c r="BK182"/>
      <c r="BL182"/>
      <c r="BM182"/>
      <c r="BN182"/>
    </row>
    <row r="183" spans="1:66" x14ac:dyDescent="0.25">
      <c r="A183" s="519"/>
      <c r="B183" s="519"/>
      <c r="C183" s="519"/>
      <c r="D183" s="519"/>
      <c r="E183" s="519"/>
      <c r="F183" s="519"/>
      <c r="G183" s="46"/>
      <c r="H183" s="271"/>
      <c r="I183" s="72"/>
      <c r="J183" s="72"/>
      <c r="K183" s="72"/>
      <c r="L183" s="72"/>
      <c r="M183" s="72"/>
      <c r="N183" s="72"/>
      <c r="O183" s="72"/>
      <c r="P183" s="72"/>
      <c r="Q183" s="72"/>
      <c r="R183" s="72"/>
      <c r="S183" s="96"/>
      <c r="T183" s="72"/>
      <c r="U183" s="72"/>
      <c r="V183" s="867"/>
      <c r="W183" s="46"/>
      <c r="X183" s="46"/>
      <c r="Y183" s="46"/>
      <c r="Z183" s="46"/>
      <c r="AA183" s="46"/>
      <c r="AB183" s="46"/>
      <c r="AC183" s="46"/>
      <c r="AD183" s="271"/>
      <c r="AE183" s="72"/>
      <c r="AF183" s="72"/>
      <c r="AG183" s="72"/>
      <c r="AH183" s="72"/>
      <c r="AI183" s="72"/>
      <c r="AJ183" s="72"/>
      <c r="AK183" s="72"/>
      <c r="AL183" s="72"/>
      <c r="AM183" s="72"/>
      <c r="AN183" s="72"/>
      <c r="AO183" s="72"/>
      <c r="AP183" s="96"/>
      <c r="AQ183" s="72"/>
      <c r="AR183" s="46"/>
      <c r="AS183" s="46"/>
      <c r="AT183" s="46"/>
      <c r="AU183" s="46"/>
      <c r="AV183" s="46"/>
      <c r="AW183" s="46"/>
      <c r="AX183" s="46"/>
      <c r="AY183" s="46"/>
      <c r="AZ183" s="46"/>
      <c r="BA183" s="46"/>
      <c r="BB183" s="46"/>
      <c r="BC183"/>
      <c r="BD183"/>
      <c r="BE183"/>
      <c r="BF183"/>
      <c r="BG183"/>
      <c r="BH183"/>
      <c r="BI183"/>
      <c r="BJ183"/>
      <c r="BK183"/>
      <c r="BL183"/>
      <c r="BM183"/>
      <c r="BN183"/>
    </row>
    <row r="184" spans="1:66" ht="13.8" thickBot="1" x14ac:dyDescent="0.3">
      <c r="A184" s="519"/>
      <c r="B184" s="519"/>
      <c r="C184" s="519"/>
      <c r="D184" s="519"/>
      <c r="E184" s="519"/>
      <c r="F184" s="519"/>
      <c r="G184" s="46"/>
      <c r="H184" s="271"/>
      <c r="I184" s="72"/>
      <c r="J184" s="72"/>
      <c r="K184" s="72"/>
      <c r="L184" s="72"/>
      <c r="M184" s="72"/>
      <c r="N184" s="72"/>
      <c r="O184" s="72"/>
      <c r="P184" s="72"/>
      <c r="Q184" s="72"/>
      <c r="R184" s="72"/>
      <c r="S184" s="252"/>
      <c r="T184" s="72"/>
      <c r="U184" s="72"/>
      <c r="V184" s="46"/>
      <c r="W184" s="46"/>
      <c r="X184" s="46"/>
      <c r="Y184" s="46"/>
      <c r="Z184" s="46"/>
      <c r="AA184" s="46"/>
      <c r="AB184" s="46"/>
      <c r="AC184" s="46"/>
      <c r="AD184" s="271"/>
      <c r="AE184" s="72"/>
      <c r="AF184" s="72"/>
      <c r="AG184" s="72"/>
      <c r="AH184" s="72"/>
      <c r="AI184" s="72"/>
      <c r="AJ184" s="72"/>
      <c r="AK184" s="72"/>
      <c r="AL184" s="72"/>
      <c r="AM184" s="72"/>
      <c r="AN184" s="72"/>
      <c r="AO184" s="72"/>
      <c r="AP184" s="96"/>
      <c r="AQ184" s="72"/>
      <c r="AR184" s="46"/>
      <c r="AS184" s="46"/>
      <c r="AT184" s="46"/>
      <c r="AU184" s="46"/>
      <c r="AV184" s="46"/>
      <c r="AW184" s="46"/>
      <c r="AX184" s="46"/>
      <c r="AY184" s="46"/>
      <c r="AZ184" s="46"/>
      <c r="BA184" s="46"/>
      <c r="BB184" s="46"/>
      <c r="BC184"/>
      <c r="BD184"/>
      <c r="BE184"/>
      <c r="BF184"/>
      <c r="BG184"/>
      <c r="BH184"/>
      <c r="BI184"/>
      <c r="BJ184"/>
      <c r="BK184"/>
      <c r="BL184"/>
      <c r="BM184"/>
      <c r="BN184"/>
    </row>
    <row r="185" spans="1:66" x14ac:dyDescent="0.25">
      <c r="A185" s="519"/>
      <c r="B185" s="519"/>
      <c r="C185" s="519"/>
      <c r="D185" s="519"/>
      <c r="E185" s="519"/>
      <c r="F185" s="519"/>
      <c r="G185" s="46"/>
      <c r="H185" s="271"/>
      <c r="I185" s="72"/>
      <c r="J185" s="72"/>
      <c r="K185" s="72"/>
      <c r="L185" s="72"/>
      <c r="M185" s="72"/>
      <c r="N185" s="72"/>
      <c r="O185" s="72"/>
      <c r="P185" s="302"/>
      <c r="Q185" s="60"/>
      <c r="R185" s="60"/>
      <c r="S185" s="60"/>
      <c r="T185" s="60"/>
      <c r="U185" s="61"/>
      <c r="V185" s="46"/>
      <c r="W185" s="46"/>
      <c r="X185" s="46"/>
      <c r="Y185" s="46"/>
      <c r="Z185" s="46"/>
      <c r="AA185" s="46"/>
      <c r="AB185" s="46"/>
      <c r="AC185" s="46"/>
      <c r="AD185" s="271"/>
      <c r="AE185" s="72"/>
      <c r="AF185" s="72"/>
      <c r="AG185" s="72"/>
      <c r="AH185" s="72"/>
      <c r="AI185" s="72"/>
      <c r="AJ185" s="72"/>
      <c r="AK185" s="72"/>
      <c r="AL185" s="72"/>
      <c r="AM185" s="72"/>
      <c r="AN185" s="72"/>
      <c r="AO185" s="72"/>
      <c r="AP185" s="96"/>
      <c r="AQ185" s="72"/>
      <c r="AR185" s="46"/>
      <c r="AS185" s="46"/>
      <c r="AT185" s="46"/>
      <c r="AU185" s="46"/>
      <c r="AV185" s="46"/>
      <c r="AW185" s="46"/>
      <c r="AX185" s="46"/>
      <c r="AY185" s="46"/>
      <c r="AZ185" s="46"/>
      <c r="BA185" s="46"/>
      <c r="BB185" s="46"/>
      <c r="BC185"/>
      <c r="BD185"/>
      <c r="BE185"/>
      <c r="BF185"/>
      <c r="BG185"/>
      <c r="BH185"/>
      <c r="BI185"/>
      <c r="BJ185"/>
      <c r="BK185"/>
      <c r="BL185"/>
      <c r="BM185"/>
      <c r="BN185"/>
    </row>
    <row r="186" spans="1:66" x14ac:dyDescent="0.25">
      <c r="A186" s="519"/>
      <c r="B186" s="519"/>
      <c r="C186" s="519"/>
      <c r="D186" s="519"/>
      <c r="E186" s="519"/>
      <c r="F186" s="519"/>
      <c r="G186" s="46"/>
      <c r="H186" s="271"/>
      <c r="I186" s="72"/>
      <c r="J186" s="72"/>
      <c r="K186" s="72"/>
      <c r="L186" s="72"/>
      <c r="M186" s="72"/>
      <c r="N186" s="72"/>
      <c r="O186" s="72"/>
      <c r="P186" s="1551" t="s">
        <v>1701</v>
      </c>
      <c r="Q186" s="1552"/>
      <c r="R186" s="1552"/>
      <c r="S186" s="1552"/>
      <c r="T186" s="1552"/>
      <c r="U186" s="1553"/>
      <c r="V186" s="46"/>
      <c r="W186" s="46"/>
      <c r="X186" s="46"/>
      <c r="Y186" s="46"/>
      <c r="Z186" s="46"/>
      <c r="AA186" s="46"/>
      <c r="AB186" s="46"/>
      <c r="AC186" s="46"/>
      <c r="AD186" s="271"/>
      <c r="AE186" s="72"/>
      <c r="AF186" s="72"/>
      <c r="AG186" s="72"/>
      <c r="AH186" s="72"/>
      <c r="AI186" s="72"/>
      <c r="AJ186" s="72"/>
      <c r="AK186" s="72"/>
      <c r="AL186" s="72"/>
      <c r="AM186" s="72"/>
      <c r="AN186" s="72"/>
      <c r="AO186" s="72"/>
      <c r="AP186" s="96"/>
      <c r="AQ186" s="72"/>
      <c r="AR186" s="46"/>
      <c r="AS186" s="46"/>
      <c r="AT186" s="46"/>
      <c r="AU186" s="46"/>
      <c r="AV186" s="46"/>
      <c r="AW186" s="46"/>
      <c r="AX186" s="46"/>
      <c r="AY186" s="46"/>
      <c r="AZ186" s="46"/>
      <c r="BA186" s="46"/>
      <c r="BB186" s="46"/>
      <c r="BC186"/>
      <c r="BD186"/>
      <c r="BE186"/>
      <c r="BF186"/>
      <c r="BG186"/>
      <c r="BH186"/>
      <c r="BI186"/>
      <c r="BJ186"/>
      <c r="BK186"/>
      <c r="BL186"/>
      <c r="BM186"/>
      <c r="BN186"/>
    </row>
    <row r="187" spans="1:66" x14ac:dyDescent="0.25">
      <c r="A187" s="519"/>
      <c r="B187" s="519"/>
      <c r="C187" s="519"/>
      <c r="D187" s="519"/>
      <c r="E187" s="519"/>
      <c r="F187" s="519"/>
      <c r="G187" s="46"/>
      <c r="H187" s="271"/>
      <c r="I187" s="72"/>
      <c r="J187" s="72"/>
      <c r="K187" s="72"/>
      <c r="L187" s="72"/>
      <c r="M187" s="72"/>
      <c r="N187" s="72"/>
      <c r="O187" s="72"/>
      <c r="P187" s="62"/>
      <c r="Q187" s="842"/>
      <c r="R187" s="842"/>
      <c r="S187" s="842"/>
      <c r="T187" s="842"/>
      <c r="U187" s="64"/>
      <c r="V187" s="1063"/>
      <c r="W187" s="46"/>
      <c r="X187" s="46"/>
      <c r="Y187" s="46"/>
      <c r="Z187" s="46"/>
      <c r="AA187" s="46"/>
      <c r="AB187" s="46"/>
      <c r="AC187" s="46"/>
      <c r="AD187" s="271"/>
      <c r="AE187" s="72"/>
      <c r="AF187" s="72"/>
      <c r="AG187" s="72"/>
      <c r="AH187" s="72"/>
      <c r="AI187" s="72"/>
      <c r="AJ187" s="72"/>
      <c r="AK187" s="72"/>
      <c r="AL187" s="72"/>
      <c r="AM187" s="72"/>
      <c r="AN187" s="72"/>
      <c r="AO187" s="72"/>
      <c r="AP187" s="96"/>
      <c r="AQ187" s="72"/>
      <c r="AR187" s="46"/>
      <c r="AS187" s="46"/>
      <c r="AT187" s="46"/>
      <c r="AU187" s="46"/>
      <c r="AV187" s="46"/>
      <c r="AW187" s="46"/>
      <c r="AX187" s="46"/>
      <c r="AY187" s="46"/>
      <c r="AZ187" s="46"/>
      <c r="BA187" s="46"/>
      <c r="BB187" s="46"/>
      <c r="BC187"/>
      <c r="BD187"/>
      <c r="BE187"/>
      <c r="BF187"/>
      <c r="BG187"/>
      <c r="BH187"/>
      <c r="BI187"/>
      <c r="BJ187"/>
      <c r="BK187"/>
      <c r="BL187"/>
      <c r="BM187"/>
      <c r="BN187"/>
    </row>
    <row r="188" spans="1:66" x14ac:dyDescent="0.25">
      <c r="A188" s="519"/>
      <c r="B188" s="519"/>
      <c r="C188" s="519"/>
      <c r="D188" s="519"/>
      <c r="E188" s="519"/>
      <c r="F188" s="519"/>
      <c r="G188" s="46"/>
      <c r="H188" s="271"/>
      <c r="I188" s="72"/>
      <c r="J188" s="72"/>
      <c r="K188" s="72"/>
      <c r="L188" s="72"/>
      <c r="M188" s="72"/>
      <c r="N188" s="72"/>
      <c r="O188" s="72"/>
      <c r="P188" s="62"/>
      <c r="Q188" s="1499"/>
      <c r="R188" s="1498" t="s">
        <v>1913</v>
      </c>
      <c r="S188" s="1526">
        <f>sce_option</f>
        <v>0</v>
      </c>
      <c r="T188" s="1090" t="s">
        <v>377</v>
      </c>
      <c r="U188" s="64"/>
      <c r="V188" s="1063"/>
      <c r="W188" s="46"/>
      <c r="X188" s="46"/>
      <c r="Y188" s="46"/>
      <c r="Z188" s="46"/>
      <c r="AA188" s="46"/>
      <c r="AB188" s="46"/>
      <c r="AC188" s="46"/>
      <c r="AD188" s="271"/>
      <c r="AE188" s="72"/>
      <c r="AF188" s="72"/>
      <c r="AG188" s="72"/>
      <c r="AH188" s="72"/>
      <c r="AI188" s="72"/>
      <c r="AJ188" s="72"/>
      <c r="AK188" s="72"/>
      <c r="AL188" s="72"/>
      <c r="AM188" s="72"/>
      <c r="AN188" s="72"/>
      <c r="AO188" s="72"/>
      <c r="AP188" s="96"/>
      <c r="AQ188" s="72"/>
      <c r="AR188" s="46"/>
      <c r="AS188" s="46"/>
      <c r="AT188" s="46"/>
      <c r="AU188" s="46"/>
      <c r="AV188" s="46"/>
      <c r="AW188" s="46"/>
      <c r="AX188" s="46"/>
      <c r="AY188" s="46"/>
      <c r="AZ188" s="46"/>
      <c r="BA188" s="46"/>
      <c r="BB188" s="46"/>
      <c r="BC188"/>
      <c r="BD188"/>
      <c r="BE188"/>
      <c r="BF188"/>
      <c r="BG188"/>
      <c r="BH188"/>
      <c r="BI188"/>
      <c r="BJ188"/>
      <c r="BK188"/>
      <c r="BL188"/>
      <c r="BM188"/>
      <c r="BN188"/>
    </row>
    <row r="189" spans="1:66" x14ac:dyDescent="0.25">
      <c r="A189" s="519"/>
      <c r="B189" s="519"/>
      <c r="C189" s="519"/>
      <c r="D189" s="519"/>
      <c r="E189" s="519"/>
      <c r="F189" s="519"/>
      <c r="G189" s="46"/>
      <c r="H189" s="271"/>
      <c r="I189" s="72"/>
      <c r="J189" s="72"/>
      <c r="K189" s="72"/>
      <c r="L189" s="72"/>
      <c r="M189" s="72"/>
      <c r="N189" s="72"/>
      <c r="O189" s="72"/>
      <c r="P189" s="62"/>
      <c r="Q189" s="1499"/>
      <c r="R189" s="1499"/>
      <c r="S189" s="1499"/>
      <c r="T189" s="1499"/>
      <c r="U189" s="64"/>
      <c r="V189" s="1063"/>
      <c r="W189" s="46"/>
      <c r="X189" s="46"/>
      <c r="Y189" s="46"/>
      <c r="Z189" s="46"/>
      <c r="AA189" s="46"/>
      <c r="AB189" s="46"/>
      <c r="AC189" s="46"/>
      <c r="AD189" s="271"/>
      <c r="AE189" s="72"/>
      <c r="AF189" s="72"/>
      <c r="AG189" s="72"/>
      <c r="AH189" s="72"/>
      <c r="AI189" s="72"/>
      <c r="AJ189" s="72"/>
      <c r="AK189" s="72"/>
      <c r="AL189" s="72"/>
      <c r="AM189" s="72"/>
      <c r="AN189" s="72"/>
      <c r="AO189" s="72"/>
      <c r="AP189" s="96"/>
      <c r="AQ189" s="72"/>
      <c r="AR189" s="46"/>
      <c r="AS189" s="46"/>
      <c r="AT189" s="46"/>
      <c r="AU189" s="46"/>
      <c r="AV189" s="46"/>
      <c r="AW189" s="46"/>
      <c r="AX189" s="46"/>
      <c r="AY189" s="46"/>
      <c r="AZ189" s="46"/>
      <c r="BA189" s="46"/>
      <c r="BB189" s="46"/>
      <c r="BC189"/>
      <c r="BD189"/>
      <c r="BE189"/>
      <c r="BF189"/>
      <c r="BG189"/>
      <c r="BH189"/>
      <c r="BI189"/>
      <c r="BJ189"/>
      <c r="BK189"/>
      <c r="BL189"/>
      <c r="BM189"/>
      <c r="BN189"/>
    </row>
    <row r="190" spans="1:66" x14ac:dyDescent="0.25">
      <c r="A190" s="519"/>
      <c r="B190" s="519"/>
      <c r="C190" s="519"/>
      <c r="D190" s="519"/>
      <c r="E190" s="519"/>
      <c r="F190" s="519"/>
      <c r="G190" s="46"/>
      <c r="H190" s="271"/>
      <c r="I190" s="72"/>
      <c r="J190" s="72"/>
      <c r="K190" s="72"/>
      <c r="L190" s="72"/>
      <c r="M190" s="72"/>
      <c r="N190" s="72"/>
      <c r="O190" s="72"/>
      <c r="P190" s="62"/>
      <c r="Q190" s="842"/>
      <c r="R190" s="1072" t="s">
        <v>1702</v>
      </c>
      <c r="S190" s="1527">
        <f>((miscanthus_process_steam*steam_heat)+(S188*sce_heat))*(100-S166)/100</f>
        <v>113.02200000000001</v>
      </c>
      <c r="T190" s="1090" t="s">
        <v>1552</v>
      </c>
      <c r="U190" s="64"/>
      <c r="V190" s="867"/>
      <c r="W190" s="46"/>
      <c r="X190" s="46"/>
      <c r="Y190" s="46"/>
      <c r="Z190" s="46"/>
      <c r="AA190" s="46"/>
      <c r="AB190" s="46"/>
      <c r="AC190" s="46"/>
      <c r="AD190" s="271"/>
      <c r="AE190" s="72"/>
      <c r="AF190" s="72"/>
      <c r="AG190" s="72"/>
      <c r="AH190" s="72"/>
      <c r="AI190" s="72"/>
      <c r="AJ190" s="72"/>
      <c r="AK190" s="72"/>
      <c r="AL190" s="72"/>
      <c r="AM190" s="72"/>
      <c r="AN190" s="72"/>
      <c r="AO190" s="72"/>
      <c r="AP190" s="96"/>
      <c r="AQ190" s="72"/>
      <c r="AR190" s="46"/>
      <c r="AS190" s="46"/>
      <c r="AT190" s="46"/>
      <c r="AU190" s="46"/>
      <c r="AV190" s="46"/>
      <c r="AW190" s="46"/>
      <c r="AX190" s="46"/>
      <c r="AY190" s="46"/>
      <c r="AZ190" s="46"/>
      <c r="BA190" s="46"/>
      <c r="BB190" s="46"/>
      <c r="BC190"/>
      <c r="BD190"/>
      <c r="BE190"/>
      <c r="BF190"/>
      <c r="BG190"/>
      <c r="BH190"/>
      <c r="BI190"/>
      <c r="BJ190"/>
      <c r="BK190"/>
      <c r="BL190"/>
      <c r="BM190"/>
      <c r="BN190"/>
    </row>
    <row r="191" spans="1:66" x14ac:dyDescent="0.25">
      <c r="A191" s="519"/>
      <c r="B191" s="519"/>
      <c r="C191" s="519"/>
      <c r="D191" s="519"/>
      <c r="E191" s="519"/>
      <c r="F191" s="519"/>
      <c r="G191" s="46"/>
      <c r="H191" s="271"/>
      <c r="I191" s="72"/>
      <c r="J191" s="72"/>
      <c r="K191" s="72"/>
      <c r="L191" s="72"/>
      <c r="M191" s="72"/>
      <c r="N191" s="72"/>
      <c r="O191" s="72"/>
      <c r="P191" s="62"/>
      <c r="Q191" s="1396"/>
      <c r="R191" s="1072"/>
      <c r="S191" s="1400"/>
      <c r="T191" s="1090"/>
      <c r="U191" s="64"/>
      <c r="V191" s="867"/>
      <c r="W191" s="46"/>
      <c r="X191" s="46"/>
      <c r="Y191" s="46"/>
      <c r="Z191" s="46"/>
      <c r="AA191" s="46"/>
      <c r="AB191" s="46"/>
      <c r="AC191" s="46"/>
      <c r="AD191" s="271"/>
      <c r="AE191" s="72"/>
      <c r="AF191" s="72"/>
      <c r="AG191" s="72"/>
      <c r="AH191" s="72"/>
      <c r="AI191" s="72"/>
      <c r="AJ191" s="72"/>
      <c r="AK191" s="72"/>
      <c r="AL191" s="72"/>
      <c r="AM191" s="72"/>
      <c r="AN191" s="72"/>
      <c r="AO191" s="72"/>
      <c r="AP191" s="96"/>
      <c r="AQ191" s="72"/>
      <c r="AR191" s="46"/>
      <c r="AS191" s="46"/>
      <c r="AT191" s="46"/>
      <c r="AU191" s="46"/>
      <c r="AV191" s="46"/>
      <c r="AW191" s="46"/>
      <c r="AX191" s="46"/>
      <c r="AY191" s="46"/>
      <c r="AZ191" s="46"/>
      <c r="BA191" s="46"/>
      <c r="BB191" s="46"/>
      <c r="BC191"/>
      <c r="BD191"/>
      <c r="BE191"/>
      <c r="BF191"/>
      <c r="BG191"/>
      <c r="BH191"/>
      <c r="BI191"/>
      <c r="BJ191"/>
      <c r="BK191"/>
      <c r="BL191"/>
      <c r="BM191"/>
      <c r="BN191"/>
    </row>
    <row r="192" spans="1:66" x14ac:dyDescent="0.25">
      <c r="A192" s="519"/>
      <c r="B192" s="519"/>
      <c r="C192" s="519"/>
      <c r="D192" s="519"/>
      <c r="E192" s="519"/>
      <c r="F192" s="519"/>
      <c r="G192" s="46"/>
      <c r="H192" s="271"/>
      <c r="I192" s="72"/>
      <c r="J192" s="72"/>
      <c r="K192" s="72"/>
      <c r="L192" s="72"/>
      <c r="M192" s="72"/>
      <c r="N192" s="72"/>
      <c r="O192" s="72"/>
      <c r="P192" s="62"/>
      <c r="Q192" s="1396"/>
      <c r="R192" s="1072" t="s">
        <v>1703</v>
      </c>
      <c r="S192" s="1527">
        <f>((miscanthus_process_elect)+(S188*sce_elect))*(100-S166)/100</f>
        <v>119.325</v>
      </c>
      <c r="T192" s="1090" t="s">
        <v>1553</v>
      </c>
      <c r="U192" s="64"/>
      <c r="V192" s="867"/>
      <c r="W192" s="46"/>
      <c r="X192" s="46"/>
      <c r="Y192" s="46"/>
      <c r="Z192" s="46"/>
      <c r="AA192" s="46"/>
      <c r="AB192" s="46"/>
      <c r="AC192" s="46"/>
      <c r="AD192" s="271"/>
      <c r="AE192" s="72"/>
      <c r="AF192" s="72"/>
      <c r="AG192" s="72"/>
      <c r="AH192" s="72"/>
      <c r="AI192" s="72"/>
      <c r="AJ192" s="72"/>
      <c r="AK192" s="72"/>
      <c r="AL192" s="72"/>
      <c r="AM192" s="72"/>
      <c r="AN192" s="72"/>
      <c r="AO192" s="72"/>
      <c r="AP192" s="96"/>
      <c r="AQ192" s="72"/>
      <c r="AR192" s="46"/>
      <c r="AS192" s="46"/>
      <c r="AT192" s="46"/>
      <c r="AU192" s="46"/>
      <c r="AV192" s="46"/>
      <c r="AW192" s="46"/>
      <c r="AX192" s="46"/>
      <c r="AY192" s="46"/>
      <c r="AZ192" s="46"/>
      <c r="BA192" s="46"/>
      <c r="BB192" s="46"/>
      <c r="BC192"/>
      <c r="BD192"/>
      <c r="BE192"/>
      <c r="BF192"/>
      <c r="BG192"/>
      <c r="BH192"/>
      <c r="BI192"/>
      <c r="BJ192"/>
      <c r="BK192"/>
      <c r="BL192"/>
      <c r="BM192"/>
      <c r="BN192"/>
    </row>
    <row r="193" spans="1:66" x14ac:dyDescent="0.25">
      <c r="A193" s="519"/>
      <c r="B193" s="519"/>
      <c r="C193" s="519"/>
      <c r="D193" s="519"/>
      <c r="E193" s="519"/>
      <c r="F193" s="519"/>
      <c r="G193" s="46"/>
      <c r="H193" s="271"/>
      <c r="I193" s="72"/>
      <c r="J193" s="72"/>
      <c r="K193" s="72"/>
      <c r="L193" s="72"/>
      <c r="M193" s="72"/>
      <c r="N193" s="72"/>
      <c r="O193" s="72"/>
      <c r="P193" s="62"/>
      <c r="Q193" s="842"/>
      <c r="R193" s="845"/>
      <c r="S193" s="842"/>
      <c r="T193" s="842"/>
      <c r="U193" s="64"/>
      <c r="V193" s="46"/>
      <c r="W193" s="46"/>
      <c r="X193" s="46"/>
      <c r="Y193" s="46"/>
      <c r="Z193" s="46"/>
      <c r="AA193" s="46"/>
      <c r="AB193" s="46"/>
      <c r="AC193" s="46"/>
      <c r="AD193" s="271"/>
      <c r="AE193" s="72"/>
      <c r="AF193" s="72"/>
      <c r="AG193" s="72"/>
      <c r="AH193" s="72"/>
      <c r="AI193" s="72"/>
      <c r="AJ193" s="72"/>
      <c r="AK193" s="72"/>
      <c r="AL193" s="72"/>
      <c r="AM193" s="72"/>
      <c r="AN193" s="72"/>
      <c r="AO193" s="72"/>
      <c r="AP193" s="96"/>
      <c r="AQ193" s="72"/>
      <c r="AR193" s="46"/>
      <c r="AS193" s="46"/>
      <c r="AT193" s="46"/>
      <c r="AU193" s="46"/>
      <c r="AV193" s="46"/>
      <c r="AW193" s="46"/>
      <c r="AX193" s="46"/>
      <c r="AY193" s="46"/>
      <c r="AZ193" s="46"/>
      <c r="BA193" s="46"/>
      <c r="BB193" s="46"/>
      <c r="BC193"/>
      <c r="BD193"/>
      <c r="BE193"/>
      <c r="BF193"/>
      <c r="BG193"/>
      <c r="BH193"/>
      <c r="BI193"/>
      <c r="BJ193"/>
      <c r="BK193"/>
      <c r="BL193"/>
      <c r="BM193"/>
      <c r="BN193"/>
    </row>
    <row r="194" spans="1:66" x14ac:dyDescent="0.25">
      <c r="A194" s="519"/>
      <c r="B194" s="519"/>
      <c r="C194" s="519"/>
      <c r="D194" s="519"/>
      <c r="E194" s="519"/>
      <c r="F194" s="519"/>
      <c r="G194" s="46"/>
      <c r="H194" s="271"/>
      <c r="I194" s="72"/>
      <c r="J194" s="72"/>
      <c r="K194" s="72"/>
      <c r="L194" s="72"/>
      <c r="M194" s="72"/>
      <c r="N194" s="72"/>
      <c r="O194" s="72"/>
      <c r="P194" s="62"/>
      <c r="Q194" s="842"/>
      <c r="R194" s="66" t="s">
        <v>1704</v>
      </c>
      <c r="S194" s="303">
        <f>miscanthus_pretreat_loss</f>
        <v>0</v>
      </c>
      <c r="T194" s="82" t="s">
        <v>162</v>
      </c>
      <c r="U194" s="64"/>
      <c r="V194" s="46"/>
      <c r="W194" s="46"/>
      <c r="X194" s="46"/>
      <c r="Y194" s="46"/>
      <c r="Z194" s="46"/>
      <c r="AA194" s="46"/>
      <c r="AB194" s="46"/>
      <c r="AC194" s="46"/>
      <c r="AD194" s="271"/>
      <c r="AE194" s="72"/>
      <c r="AF194" s="72"/>
      <c r="AG194" s="72"/>
      <c r="AH194" s="72"/>
      <c r="AI194" s="72"/>
      <c r="AJ194" s="72"/>
      <c r="AK194" s="72"/>
      <c r="AL194" s="72"/>
      <c r="AM194" s="72"/>
      <c r="AN194" s="72"/>
      <c r="AO194" s="72"/>
      <c r="AP194" s="96"/>
      <c r="AQ194" s="72"/>
      <c r="AR194" s="46"/>
      <c r="AS194" s="46"/>
      <c r="AT194" s="46"/>
      <c r="AU194" s="46"/>
      <c r="AV194" s="46"/>
      <c r="AW194" s="46"/>
      <c r="AX194" s="46"/>
      <c r="AY194" s="46"/>
      <c r="AZ194" s="46"/>
      <c r="BA194" s="46"/>
      <c r="BB194" s="46"/>
      <c r="BC194"/>
      <c r="BD194"/>
      <c r="BE194"/>
      <c r="BF194"/>
      <c r="BG194"/>
      <c r="BH194"/>
      <c r="BI194"/>
      <c r="BJ194"/>
      <c r="BK194"/>
      <c r="BL194"/>
      <c r="BM194"/>
      <c r="BN194"/>
    </row>
    <row r="195" spans="1:66" ht="13.8" thickBot="1" x14ac:dyDescent="0.3">
      <c r="A195" s="519"/>
      <c r="B195" s="519"/>
      <c r="C195" s="519"/>
      <c r="D195" s="519"/>
      <c r="E195" s="519"/>
      <c r="F195" s="519"/>
      <c r="G195" s="46"/>
      <c r="H195" s="271"/>
      <c r="I195" s="72"/>
      <c r="J195" s="72"/>
      <c r="K195" s="72"/>
      <c r="L195" s="72"/>
      <c r="M195" s="72"/>
      <c r="N195" s="72"/>
      <c r="O195" s="72"/>
      <c r="P195" s="69"/>
      <c r="Q195" s="261"/>
      <c r="R195" s="262"/>
      <c r="S195" s="304"/>
      <c r="T195" s="70"/>
      <c r="U195" s="305"/>
      <c r="V195" s="46"/>
      <c r="W195" s="46"/>
      <c r="X195" s="46"/>
      <c r="Y195" s="46"/>
      <c r="Z195" s="46"/>
      <c r="AA195" s="46"/>
      <c r="AB195" s="46"/>
      <c r="AC195" s="46"/>
      <c r="AD195" s="271"/>
      <c r="AE195" s="72"/>
      <c r="AF195" s="72"/>
      <c r="AG195" s="72"/>
      <c r="AH195" s="72"/>
      <c r="AI195" s="72"/>
      <c r="AJ195" s="72"/>
      <c r="AK195" s="72"/>
      <c r="AL195" s="72"/>
      <c r="AM195" s="72"/>
      <c r="AN195" s="72"/>
      <c r="AO195" s="72"/>
      <c r="AP195" s="96"/>
      <c r="AQ195" s="72"/>
      <c r="AR195" s="46"/>
      <c r="AS195" s="46"/>
      <c r="AT195" s="46"/>
      <c r="AU195" s="46"/>
      <c r="AV195" s="46"/>
      <c r="AW195" s="46"/>
      <c r="AX195" s="46"/>
      <c r="AY195" s="46"/>
      <c r="AZ195" s="46"/>
      <c r="BA195" s="46"/>
      <c r="BB195" s="46"/>
      <c r="BC195"/>
      <c r="BD195"/>
      <c r="BE195"/>
      <c r="BF195"/>
      <c r="BG195"/>
      <c r="BH195"/>
      <c r="BI195"/>
      <c r="BJ195"/>
      <c r="BK195"/>
      <c r="BL195"/>
      <c r="BM195"/>
      <c r="BN195"/>
    </row>
    <row r="196" spans="1:66" x14ac:dyDescent="0.25">
      <c r="A196" s="519"/>
      <c r="B196" s="519"/>
      <c r="C196" s="519"/>
      <c r="D196" s="519"/>
      <c r="E196" s="519"/>
      <c r="F196" s="519"/>
      <c r="G196" s="46"/>
      <c r="H196" s="271"/>
      <c r="I196" s="72"/>
      <c r="J196" s="89"/>
      <c r="K196" s="89"/>
      <c r="L196" s="89"/>
      <c r="M196" s="89"/>
      <c r="N196" s="89"/>
      <c r="O196" s="89"/>
      <c r="P196" s="524"/>
      <c r="Q196" s="524"/>
      <c r="R196" s="99"/>
      <c r="S196" s="74"/>
      <c r="T196" s="524"/>
      <c r="U196" s="524"/>
      <c r="V196" s="89"/>
      <c r="W196" s="89"/>
      <c r="X196" s="72"/>
      <c r="Y196" s="72"/>
      <c r="Z196" s="89"/>
      <c r="AA196" s="89"/>
      <c r="AB196" s="72"/>
      <c r="AC196" s="72"/>
      <c r="AD196" s="271"/>
      <c r="AE196" s="72"/>
      <c r="AF196" s="72"/>
      <c r="AG196" s="72"/>
      <c r="AH196" s="72"/>
      <c r="AI196" s="72"/>
      <c r="AJ196" s="72"/>
      <c r="AK196" s="72"/>
      <c r="AL196" s="72"/>
      <c r="AM196" s="72"/>
      <c r="AN196" s="72"/>
      <c r="AO196" s="72"/>
      <c r="AP196" s="96"/>
      <c r="AQ196" s="72"/>
      <c r="AR196" s="46"/>
      <c r="AS196" s="46"/>
      <c r="AT196" s="46"/>
      <c r="AU196" s="46"/>
      <c r="AV196" s="46"/>
      <c r="AW196" s="46"/>
      <c r="AX196" s="46"/>
      <c r="AY196" s="46"/>
      <c r="AZ196" s="46"/>
      <c r="BA196" s="46"/>
      <c r="BB196" s="46"/>
      <c r="BC196"/>
      <c r="BD196"/>
      <c r="BE196"/>
      <c r="BF196"/>
      <c r="BG196"/>
      <c r="BH196"/>
      <c r="BI196"/>
      <c r="BJ196"/>
      <c r="BK196"/>
      <c r="BL196"/>
      <c r="BM196"/>
      <c r="BN196"/>
    </row>
    <row r="197" spans="1:66" x14ac:dyDescent="0.25">
      <c r="A197" s="519"/>
      <c r="B197" s="519"/>
      <c r="C197" s="519"/>
      <c r="D197" s="519"/>
      <c r="E197" s="519"/>
      <c r="F197" s="519"/>
      <c r="G197" s="46"/>
      <c r="H197" s="271"/>
      <c r="I197" s="90"/>
      <c r="J197" s="72"/>
      <c r="K197" s="72"/>
      <c r="L197" s="72"/>
      <c r="M197" s="90"/>
      <c r="N197" s="89"/>
      <c r="O197" s="89"/>
      <c r="P197" s="72"/>
      <c r="Q197" s="46"/>
      <c r="R197" s="59"/>
      <c r="S197" s="46"/>
      <c r="T197" s="867"/>
      <c r="U197" s="76"/>
      <c r="V197" s="72"/>
      <c r="W197" s="421"/>
      <c r="X197" s="280"/>
      <c r="Y197" s="76"/>
      <c r="Z197" s="46"/>
      <c r="AA197" s="421"/>
      <c r="AB197" s="46"/>
      <c r="AC197" s="272"/>
      <c r="AD197" s="46"/>
      <c r="AE197" s="72"/>
      <c r="AF197" s="72"/>
      <c r="AG197" s="72"/>
      <c r="AH197" s="72"/>
      <c r="AI197" s="72"/>
      <c r="AJ197" s="72"/>
      <c r="AK197" s="72"/>
      <c r="AL197" s="72"/>
      <c r="AM197" s="72"/>
      <c r="AN197" s="72"/>
      <c r="AO197" s="72"/>
      <c r="AP197" s="96"/>
      <c r="AQ197" s="72"/>
      <c r="AR197" s="46"/>
      <c r="AS197" s="46"/>
      <c r="AT197" s="46"/>
      <c r="AU197" s="46"/>
      <c r="AV197" s="46"/>
      <c r="AW197" s="46"/>
      <c r="AX197" s="46"/>
      <c r="AY197" s="46"/>
      <c r="AZ197" s="46"/>
      <c r="BA197" s="46"/>
      <c r="BB197" s="46"/>
      <c r="BC197"/>
      <c r="BD197"/>
      <c r="BE197"/>
      <c r="BF197"/>
      <c r="BG197"/>
      <c r="BH197"/>
      <c r="BI197"/>
      <c r="BJ197"/>
      <c r="BK197"/>
      <c r="BL197"/>
      <c r="BM197"/>
      <c r="BN197"/>
    </row>
    <row r="198" spans="1:66" x14ac:dyDescent="0.25">
      <c r="A198" s="519"/>
      <c r="B198" s="519"/>
      <c r="C198" s="519"/>
      <c r="D198" s="519"/>
      <c r="E198" s="519"/>
      <c r="F198" s="519"/>
      <c r="G198" s="46"/>
      <c r="H198" s="271"/>
      <c r="I198" s="428"/>
      <c r="J198" s="429"/>
      <c r="K198" s="430"/>
      <c r="L198" s="72"/>
      <c r="M198" s="428"/>
      <c r="N198" s="429"/>
      <c r="O198" s="430"/>
      <c r="P198" s="519"/>
      <c r="Q198" s="428"/>
      <c r="R198" s="429"/>
      <c r="S198" s="429"/>
      <c r="T198" s="430"/>
      <c r="U198" s="519"/>
      <c r="V198" s="428"/>
      <c r="W198" s="429"/>
      <c r="X198" s="430"/>
      <c r="Y198" s="72"/>
      <c r="Z198" s="428"/>
      <c r="AA198" s="429"/>
      <c r="AB198" s="430"/>
      <c r="AC198" s="272"/>
      <c r="AD198" s="46"/>
      <c r="AE198" s="72"/>
      <c r="AF198" s="72"/>
      <c r="AG198" s="72"/>
      <c r="AH198" s="72"/>
      <c r="AI198" s="72"/>
      <c r="AJ198" s="72"/>
      <c r="AK198" s="72"/>
      <c r="AL198" s="72"/>
      <c r="AM198" s="72"/>
      <c r="AN198" s="72"/>
      <c r="AO198" s="72"/>
      <c r="AP198" s="96"/>
      <c r="AQ198" s="72"/>
      <c r="AR198" s="46"/>
      <c r="AS198" s="46"/>
      <c r="AT198" s="46"/>
      <c r="AU198" s="46"/>
      <c r="AV198" s="46"/>
      <c r="AW198" s="46"/>
      <c r="AX198" s="46"/>
      <c r="AY198" s="46"/>
      <c r="AZ198" s="46"/>
      <c r="BA198" s="46"/>
      <c r="BB198" s="46"/>
      <c r="BC198"/>
      <c r="BD198"/>
      <c r="BE198"/>
      <c r="BF198"/>
      <c r="BG198"/>
      <c r="BH198"/>
      <c r="BI198"/>
      <c r="BJ198"/>
      <c r="BK198"/>
      <c r="BL198"/>
      <c r="BM198"/>
      <c r="BN198"/>
    </row>
    <row r="199" spans="1:66" x14ac:dyDescent="0.25">
      <c r="A199" s="519"/>
      <c r="B199" s="519"/>
      <c r="C199" s="519"/>
      <c r="D199" s="519"/>
      <c r="E199" s="519"/>
      <c r="F199" s="519"/>
      <c r="G199" s="46"/>
      <c r="H199" s="271"/>
      <c r="I199" s="1021" t="s">
        <v>1713</v>
      </c>
      <c r="J199" s="444">
        <f>((S181*((100-S194)/100)*((100-S166)/100))-(N199*(100-N201)/100)-(S199*S201/100)-(W199*9/100)-AA199)*(100/(100-J201))</f>
        <v>3.2324380165289273</v>
      </c>
      <c r="K199" s="1022" t="s">
        <v>1424</v>
      </c>
      <c r="L199" s="72"/>
      <c r="M199" s="522" t="s">
        <v>593</v>
      </c>
      <c r="N199" s="531">
        <f>(lignin*S181*((100-S30)/100)*(100/(100-N201)))*((100+(S188*lignin_sce))/100)*IF(S5="low digestibility genotype",(100+lignin_miscld)/100,IF(S5="high digestibility genotype",(100+lignin_mischd)/100,1))</f>
        <v>1.2861570247933889</v>
      </c>
      <c r="O199" s="1022" t="s">
        <v>1715</v>
      </c>
      <c r="P199" s="519"/>
      <c r="Q199" s="520"/>
      <c r="R199" s="533" t="s">
        <v>603</v>
      </c>
      <c r="S199" s="444">
        <f>(hexoses*S181*((100-S30)/100)*(100/S201))*((100+(S188*hexoses_sce))/100)*IF(S5="low digestibility genotype",(100+hexoses_miscld)/100,IF(S5="high digestibility genotype",(100+hexoses_mischd)/100,1))</f>
        <v>1.7371794871794872</v>
      </c>
      <c r="T199" s="1022" t="s">
        <v>1706</v>
      </c>
      <c r="U199" s="519"/>
      <c r="V199" s="520" t="s">
        <v>590</v>
      </c>
      <c r="W199" s="444">
        <f>pentose*S181*((100-S30)/100)*(100/9)</f>
        <v>0</v>
      </c>
      <c r="X199" s="1024" t="s">
        <v>1563</v>
      </c>
      <c r="Y199" s="72"/>
      <c r="Z199" s="564" t="s">
        <v>1900</v>
      </c>
      <c r="AA199" s="1528">
        <f>S188*(sce_wax/100)*S181*(100-S166)/100</f>
        <v>0</v>
      </c>
      <c r="AB199" s="433" t="s">
        <v>1901</v>
      </c>
      <c r="AC199" s="272"/>
      <c r="AD199" s="46"/>
      <c r="AE199" s="72"/>
      <c r="AF199" s="72"/>
      <c r="AG199" s="72"/>
      <c r="AH199" s="72"/>
      <c r="AI199" s="72"/>
      <c r="AJ199" s="72"/>
      <c r="AK199" s="72"/>
      <c r="AL199" s="72"/>
      <c r="AM199" s="72"/>
      <c r="AN199" s="72"/>
      <c r="AO199" s="72"/>
      <c r="AP199" s="96"/>
      <c r="AQ199" s="72"/>
      <c r="AR199" s="46"/>
      <c r="AS199" s="46"/>
      <c r="AT199" s="46"/>
      <c r="AU199" s="46"/>
      <c r="AV199" s="46"/>
      <c r="AW199" s="46"/>
      <c r="AX199" s="46"/>
      <c r="AY199" s="46"/>
      <c r="AZ199" s="46"/>
      <c r="BA199" s="46"/>
      <c r="BB199" s="46"/>
      <c r="BC199"/>
      <c r="BD199"/>
      <c r="BE199"/>
      <c r="BF199"/>
      <c r="BG199"/>
      <c r="BH199"/>
      <c r="BI199"/>
      <c r="BJ199"/>
      <c r="BK199"/>
      <c r="BL199"/>
      <c r="BM199"/>
      <c r="BN199"/>
    </row>
    <row r="200" spans="1:66" x14ac:dyDescent="0.25">
      <c r="A200" s="519"/>
      <c r="B200" s="519"/>
      <c r="C200" s="519"/>
      <c r="D200" s="519"/>
      <c r="E200" s="519"/>
      <c r="F200" s="519"/>
      <c r="G200" s="46"/>
      <c r="H200" s="271"/>
      <c r="I200" s="431"/>
      <c r="J200" s="432"/>
      <c r="K200" s="433"/>
      <c r="L200" s="72"/>
      <c r="M200" s="431"/>
      <c r="N200" s="432"/>
      <c r="O200" s="433"/>
      <c r="P200" s="519"/>
      <c r="Q200" s="50"/>
      <c r="R200" s="51"/>
      <c r="S200" s="48"/>
      <c r="T200" s="53"/>
      <c r="U200" s="519"/>
      <c r="V200" s="431"/>
      <c r="W200" s="432"/>
      <c r="X200" s="433"/>
      <c r="Y200" s="72"/>
      <c r="Z200" s="431"/>
      <c r="AA200" s="432"/>
      <c r="AB200" s="433"/>
      <c r="AC200" s="272"/>
      <c r="AD200" s="46"/>
      <c r="AE200" s="72"/>
      <c r="AF200" s="72"/>
      <c r="AG200" s="72"/>
      <c r="AH200" s="72"/>
      <c r="AI200" s="72"/>
      <c r="AJ200" s="72"/>
      <c r="AK200" s="72"/>
      <c r="AL200" s="72"/>
      <c r="AM200" s="72"/>
      <c r="AN200" s="72"/>
      <c r="AO200" s="72"/>
      <c r="AP200" s="96"/>
      <c r="AQ200" s="72"/>
      <c r="AR200" s="46"/>
      <c r="AS200" s="46"/>
      <c r="AT200" s="46"/>
      <c r="AU200" s="46"/>
      <c r="AV200" s="46"/>
      <c r="AW200" s="46"/>
      <c r="AX200" s="46"/>
      <c r="AY200" s="46"/>
      <c r="AZ200" s="46"/>
      <c r="BA200" s="46"/>
      <c r="BB200" s="46"/>
      <c r="BC200"/>
      <c r="BD200"/>
      <c r="BE200"/>
      <c r="BF200"/>
      <c r="BG200"/>
      <c r="BH200"/>
      <c r="BI200"/>
      <c r="BJ200"/>
      <c r="BK200"/>
      <c r="BL200"/>
      <c r="BM200"/>
      <c r="BN200"/>
    </row>
    <row r="201" spans="1:66" x14ac:dyDescent="0.25">
      <c r="A201" s="519"/>
      <c r="B201" s="519"/>
      <c r="C201" s="519"/>
      <c r="D201" s="519"/>
      <c r="E201" s="519"/>
      <c r="F201" s="519"/>
      <c r="G201" s="46"/>
      <c r="H201" s="271"/>
      <c r="I201" s="1021" t="s">
        <v>1714</v>
      </c>
      <c r="J201" s="437">
        <f>waste_solid_miscanthus_mois</f>
        <v>87.9</v>
      </c>
      <c r="K201" s="523" t="s">
        <v>283</v>
      </c>
      <c r="L201" s="72"/>
      <c r="M201" s="564" t="s">
        <v>1710</v>
      </c>
      <c r="N201" s="437">
        <f>lignin_mois</f>
        <v>87.9</v>
      </c>
      <c r="O201" s="433" t="s">
        <v>1707</v>
      </c>
      <c r="P201" s="519"/>
      <c r="Q201" s="50"/>
      <c r="R201" s="1455" t="s">
        <v>1705</v>
      </c>
      <c r="S201" s="437">
        <f>hexoses_conc</f>
        <v>11.7</v>
      </c>
      <c r="T201" s="53" t="s">
        <v>1707</v>
      </c>
      <c r="U201" s="519"/>
      <c r="V201" s="522" t="s">
        <v>591</v>
      </c>
      <c r="W201" s="713">
        <f>CV_pen</f>
        <v>1519</v>
      </c>
      <c r="X201" s="1022" t="s">
        <v>1564</v>
      </c>
      <c r="Y201" s="72"/>
      <c r="Z201" s="564" t="s">
        <v>1902</v>
      </c>
      <c r="AA201" s="1531">
        <f>CV_wax</f>
        <v>40000</v>
      </c>
      <c r="AB201" s="433" t="s">
        <v>1903</v>
      </c>
      <c r="AC201" s="272"/>
      <c r="AD201" s="46"/>
      <c r="AE201" s="72"/>
      <c r="AF201" s="72"/>
      <c r="AG201" s="72"/>
      <c r="AH201" s="72"/>
      <c r="AI201" s="72"/>
      <c r="AJ201" s="72"/>
      <c r="AK201" s="72"/>
      <c r="AL201" s="72"/>
      <c r="AM201" s="72"/>
      <c r="AN201" s="72"/>
      <c r="AO201" s="72"/>
      <c r="AP201" s="96"/>
      <c r="AQ201" s="72"/>
      <c r="AR201" s="46"/>
      <c r="AS201" s="46"/>
      <c r="AT201" s="46"/>
      <c r="AU201" s="46"/>
      <c r="AV201" s="46"/>
      <c r="AW201" s="46"/>
      <c r="AX201" s="46"/>
      <c r="AY201" s="46"/>
      <c r="AZ201" s="46"/>
      <c r="BA201" s="46"/>
      <c r="BB201" s="46"/>
      <c r="BC201"/>
      <c r="BD201"/>
      <c r="BE201"/>
      <c r="BF201"/>
      <c r="BG201"/>
      <c r="BH201"/>
      <c r="BI201"/>
      <c r="BJ201"/>
      <c r="BK201"/>
      <c r="BL201"/>
      <c r="BM201"/>
      <c r="BN201"/>
    </row>
    <row r="202" spans="1:66" x14ac:dyDescent="0.25">
      <c r="A202" s="519"/>
      <c r="B202" s="519"/>
      <c r="C202" s="519"/>
      <c r="D202" s="519"/>
      <c r="E202" s="519"/>
      <c r="F202" s="519"/>
      <c r="G202" s="46"/>
      <c r="H202" s="271"/>
      <c r="I202" s="434"/>
      <c r="J202" s="435"/>
      <c r="K202" s="436"/>
      <c r="L202" s="72"/>
      <c r="M202" s="431"/>
      <c r="N202" s="432"/>
      <c r="O202" s="433"/>
      <c r="P202" s="519"/>
      <c r="Q202" s="50"/>
      <c r="R202" s="51"/>
      <c r="S202" s="51"/>
      <c r="T202" s="53"/>
      <c r="U202" s="519"/>
      <c r="V202" s="431"/>
      <c r="W202" s="432"/>
      <c r="X202" s="433"/>
      <c r="Y202" s="72"/>
      <c r="Z202" s="431"/>
      <c r="AA202" s="432"/>
      <c r="AB202" s="433"/>
      <c r="AC202" s="272"/>
      <c r="AD202" s="46"/>
      <c r="AE202" s="72"/>
      <c r="AF202" s="72"/>
      <c r="AG202" s="72"/>
      <c r="AH202" s="72"/>
      <c r="AI202" s="72"/>
      <c r="AJ202" s="72"/>
      <c r="AK202" s="72"/>
      <c r="AL202" s="72"/>
      <c r="AM202" s="72"/>
      <c r="AN202" s="72"/>
      <c r="AO202" s="72"/>
      <c r="AP202" s="96"/>
      <c r="AQ202" s="72"/>
      <c r="AR202" s="46"/>
      <c r="AS202" s="46"/>
      <c r="AT202" s="46"/>
      <c r="AU202" s="46"/>
      <c r="AV202" s="46"/>
      <c r="AW202" s="46"/>
      <c r="AX202" s="46"/>
      <c r="AY202" s="46"/>
      <c r="AZ202" s="46"/>
      <c r="BA202" s="46"/>
      <c r="BB202" s="46"/>
      <c r="BC202"/>
      <c r="BD202"/>
      <c r="BE202"/>
      <c r="BF202"/>
      <c r="BG202"/>
      <c r="BH202"/>
      <c r="BI202"/>
      <c r="BJ202"/>
      <c r="BK202"/>
      <c r="BL202"/>
      <c r="BM202"/>
      <c r="BN202"/>
    </row>
    <row r="203" spans="1:66" x14ac:dyDescent="0.25">
      <c r="A203" s="519"/>
      <c r="B203" s="519"/>
      <c r="C203" s="519"/>
      <c r="D203" s="519"/>
      <c r="E203" s="519"/>
      <c r="F203" s="519"/>
      <c r="G203" s="46"/>
      <c r="H203" s="271"/>
      <c r="I203" s="77"/>
      <c r="J203" s="72"/>
      <c r="K203" s="72"/>
      <c r="L203" s="72"/>
      <c r="M203" s="522" t="s">
        <v>594</v>
      </c>
      <c r="N203" s="713">
        <f>CV_ln*(100-N201)/(100-50)</f>
        <v>2991.119999999999</v>
      </c>
      <c r="O203" s="1022" t="s">
        <v>1711</v>
      </c>
      <c r="P203" s="519"/>
      <c r="Q203" s="1021"/>
      <c r="R203" s="1026" t="s">
        <v>1380</v>
      </c>
      <c r="S203" s="713">
        <f>CV_hx*(S201/9)</f>
        <v>1934.3999999999996</v>
      </c>
      <c r="T203" s="1022" t="s">
        <v>1708</v>
      </c>
      <c r="U203" s="519"/>
      <c r="V203" s="520" t="s">
        <v>592</v>
      </c>
      <c r="W203" s="1478">
        <f>price_pen</f>
        <v>19</v>
      </c>
      <c r="X203" s="1024" t="s">
        <v>1565</v>
      </c>
      <c r="Y203" s="72"/>
      <c r="Z203" s="564" t="s">
        <v>1904</v>
      </c>
      <c r="AA203" s="1531">
        <f>price_wax</f>
        <v>8000</v>
      </c>
      <c r="AB203" s="433" t="s">
        <v>1905</v>
      </c>
      <c r="AC203" s="272"/>
      <c r="AD203" s="46"/>
      <c r="AE203" s="72"/>
      <c r="AF203" s="72"/>
      <c r="AG203" s="72"/>
      <c r="AH203" s="72"/>
      <c r="AI203" s="72"/>
      <c r="AJ203" s="72"/>
      <c r="AK203" s="72"/>
      <c r="AL203" s="72"/>
      <c r="AM203" s="72"/>
      <c r="AN203" s="72"/>
      <c r="AO203" s="72"/>
      <c r="AP203" s="96"/>
      <c r="AQ203" s="72"/>
      <c r="AR203" s="46"/>
      <c r="AS203" s="46"/>
      <c r="AT203" s="46"/>
      <c r="AU203" s="46"/>
      <c r="AV203" s="46"/>
      <c r="AW203" s="46"/>
      <c r="AX203" s="46"/>
      <c r="AY203" s="46"/>
      <c r="AZ203" s="46"/>
      <c r="BA203" s="46"/>
      <c r="BB203" s="46"/>
      <c r="BC203"/>
      <c r="BD203"/>
      <c r="BE203"/>
      <c r="BF203"/>
      <c r="BG203"/>
      <c r="BH203"/>
      <c r="BI203"/>
      <c r="BJ203"/>
      <c r="BK203"/>
      <c r="BL203"/>
      <c r="BM203"/>
      <c r="BN203"/>
    </row>
    <row r="204" spans="1:66" x14ac:dyDescent="0.25">
      <c r="A204" s="519"/>
      <c r="B204" s="519"/>
      <c r="C204" s="519"/>
      <c r="D204" s="519"/>
      <c r="E204" s="519"/>
      <c r="F204" s="519"/>
      <c r="G204" s="46"/>
      <c r="H204" s="271"/>
      <c r="I204" s="59"/>
      <c r="J204" s="72"/>
      <c r="K204" s="72"/>
      <c r="L204" s="72"/>
      <c r="M204" s="431"/>
      <c r="N204" s="432"/>
      <c r="O204" s="433"/>
      <c r="P204" s="519"/>
      <c r="Q204" s="431"/>
      <c r="R204" s="432"/>
      <c r="S204" s="432"/>
      <c r="T204" s="433"/>
      <c r="U204" s="519"/>
      <c r="V204" s="520"/>
      <c r="W204" s="432"/>
      <c r="X204" s="521"/>
      <c r="Y204" s="72"/>
      <c r="Z204" s="431"/>
      <c r="AA204" s="432"/>
      <c r="AB204" s="433"/>
      <c r="AC204" s="272"/>
      <c r="AD204" s="46"/>
      <c r="AE204" s="72"/>
      <c r="AF204" s="72"/>
      <c r="AG204" s="72"/>
      <c r="AH204" s="72"/>
      <c r="AI204" s="72"/>
      <c r="AJ204" s="72"/>
      <c r="AK204" s="72"/>
      <c r="AL204" s="72"/>
      <c r="AM204" s="72"/>
      <c r="AN204" s="72"/>
      <c r="AO204" s="72"/>
      <c r="AP204" s="96"/>
      <c r="AQ204" s="72"/>
      <c r="AR204" s="46"/>
      <c r="AS204" s="46"/>
      <c r="AT204" s="46"/>
      <c r="AU204" s="46"/>
      <c r="AV204" s="46"/>
      <c r="AW204" s="46"/>
      <c r="AX204" s="46"/>
      <c r="AY204" s="46"/>
      <c r="AZ204" s="46"/>
      <c r="BA204" s="46"/>
      <c r="BB204" s="46"/>
      <c r="BC204"/>
      <c r="BD204"/>
      <c r="BE204"/>
      <c r="BF204"/>
      <c r="BG204"/>
      <c r="BH204"/>
      <c r="BI204"/>
      <c r="BJ204"/>
      <c r="BK204"/>
      <c r="BL204"/>
      <c r="BM204"/>
      <c r="BN204"/>
    </row>
    <row r="205" spans="1:66" ht="15.6" x14ac:dyDescent="0.35">
      <c r="A205" s="519"/>
      <c r="B205" s="519"/>
      <c r="C205" s="519"/>
      <c r="D205" s="519"/>
      <c r="E205" s="519"/>
      <c r="F205" s="519"/>
      <c r="G205" s="46"/>
      <c r="H205" s="271"/>
      <c r="I205" s="59"/>
      <c r="J205" s="72"/>
      <c r="K205" s="72"/>
      <c r="L205" s="72"/>
      <c r="M205" s="520" t="s">
        <v>858</v>
      </c>
      <c r="N205" s="1478">
        <f>price_ln*(100-N201)/(100-50)</f>
        <v>12.099999999999996</v>
      </c>
      <c r="O205" s="1022" t="s">
        <v>1712</v>
      </c>
      <c r="P205" s="519"/>
      <c r="Q205" s="1023"/>
      <c r="R205" s="1025" t="s">
        <v>1381</v>
      </c>
      <c r="S205" s="1478">
        <f>price_hx*(S201/9)</f>
        <v>24.699999999999996</v>
      </c>
      <c r="T205" s="1024" t="s">
        <v>1709</v>
      </c>
      <c r="U205" s="519"/>
      <c r="V205" s="520" t="s">
        <v>956</v>
      </c>
      <c r="W205" s="517">
        <f>sub_cred_pen</f>
        <v>63.1</v>
      </c>
      <c r="X205" s="1024" t="s">
        <v>1566</v>
      </c>
      <c r="Y205" s="72"/>
      <c r="Z205" s="564" t="s">
        <v>1906</v>
      </c>
      <c r="AA205" s="1531">
        <f>sub_credit_wax</f>
        <v>4780</v>
      </c>
      <c r="AB205" s="1022" t="s">
        <v>1907</v>
      </c>
      <c r="AC205" s="272"/>
      <c r="AD205" s="46"/>
      <c r="AE205" s="46"/>
      <c r="AF205" s="1108"/>
      <c r="AG205" s="72"/>
      <c r="AH205" s="1070"/>
      <c r="AI205" s="72"/>
      <c r="AJ205" s="72"/>
      <c r="AK205" s="72"/>
      <c r="AL205" s="72"/>
      <c r="AM205" s="72"/>
      <c r="AN205" s="72"/>
      <c r="AO205" s="72"/>
      <c r="AP205" s="96"/>
      <c r="AQ205" s="72"/>
      <c r="AR205" s="46"/>
      <c r="AS205" s="46"/>
      <c r="AT205" s="46"/>
      <c r="AU205" s="46"/>
      <c r="AV205" s="46"/>
      <c r="AW205" s="46"/>
      <c r="AX205" s="46"/>
      <c r="AY205" s="46"/>
      <c r="AZ205" s="46"/>
      <c r="BA205" s="46"/>
      <c r="BB205" s="46"/>
      <c r="BC205"/>
      <c r="BD205"/>
      <c r="BE205"/>
      <c r="BF205"/>
      <c r="BG205"/>
      <c r="BH205"/>
      <c r="BI205"/>
      <c r="BJ205"/>
      <c r="BK205"/>
      <c r="BL205"/>
      <c r="BM205"/>
      <c r="BN205"/>
    </row>
    <row r="206" spans="1:66" x14ac:dyDescent="0.25">
      <c r="A206" s="519"/>
      <c r="B206" s="519"/>
      <c r="C206" s="519"/>
      <c r="D206" s="519"/>
      <c r="E206" s="519"/>
      <c r="F206" s="519"/>
      <c r="G206" s="46"/>
      <c r="H206" s="271"/>
      <c r="I206" s="59"/>
      <c r="J206" s="72"/>
      <c r="K206" s="72"/>
      <c r="L206" s="72"/>
      <c r="M206" s="431"/>
      <c r="N206" s="435"/>
      <c r="O206" s="433"/>
      <c r="P206" s="519"/>
      <c r="Q206" s="434"/>
      <c r="R206" s="435"/>
      <c r="S206" s="435"/>
      <c r="T206" s="436"/>
      <c r="U206" s="519"/>
      <c r="V206" s="434"/>
      <c r="W206" s="435"/>
      <c r="X206" s="436"/>
      <c r="Y206" s="72"/>
      <c r="Z206" s="434"/>
      <c r="AA206" s="435"/>
      <c r="AB206" s="436"/>
      <c r="AC206" s="272"/>
      <c r="AD206" s="46"/>
      <c r="AE206" s="46"/>
      <c r="AF206" s="1108"/>
      <c r="AG206" s="72"/>
      <c r="AH206" s="1070"/>
      <c r="AI206" s="72"/>
      <c r="AJ206" s="72"/>
      <c r="AK206" s="72"/>
      <c r="AL206" s="72"/>
      <c r="AM206" s="72"/>
      <c r="AN206" s="72"/>
      <c r="AO206" s="72"/>
      <c r="AP206" s="96"/>
      <c r="AQ206" s="72"/>
      <c r="AR206" s="46"/>
      <c r="AS206" s="46"/>
      <c r="AT206" s="46"/>
      <c r="AU206" s="46"/>
      <c r="AV206" s="46"/>
      <c r="AW206" s="46"/>
      <c r="AX206" s="46"/>
      <c r="AY206" s="46"/>
      <c r="AZ206" s="46"/>
      <c r="BA206" s="46"/>
      <c r="BB206" s="46"/>
      <c r="BC206"/>
      <c r="BD206"/>
      <c r="BE206"/>
      <c r="BF206"/>
      <c r="BG206"/>
      <c r="BH206"/>
      <c r="BI206"/>
      <c r="BJ206"/>
      <c r="BK206"/>
      <c r="BL206"/>
      <c r="BM206"/>
      <c r="BN206"/>
    </row>
    <row r="207" spans="1:66" ht="13.5" customHeight="1" x14ac:dyDescent="0.25">
      <c r="A207" s="519"/>
      <c r="B207" s="519"/>
      <c r="C207" s="519"/>
      <c r="D207" s="519"/>
      <c r="E207" s="519"/>
      <c r="F207" s="519"/>
      <c r="G207" s="46"/>
      <c r="H207" s="271"/>
      <c r="I207" s="59"/>
      <c r="J207" s="72"/>
      <c r="K207" s="72"/>
      <c r="L207" s="72"/>
      <c r="M207" s="520" t="s">
        <v>955</v>
      </c>
      <c r="N207" s="1478">
        <f>sub_cred_ln*(100-N201)/(100-50)</f>
        <v>0.2637799999999999</v>
      </c>
      <c r="O207" s="1022" t="s">
        <v>1836</v>
      </c>
      <c r="P207" s="519"/>
      <c r="Q207" s="443"/>
      <c r="R207" s="59"/>
      <c r="S207" s="46"/>
      <c r="T207" s="46"/>
      <c r="U207" s="519"/>
      <c r="V207" s="519"/>
      <c r="W207" s="519"/>
      <c r="X207" s="519"/>
      <c r="Y207" s="519"/>
      <c r="Z207" s="519"/>
      <c r="AA207" s="519"/>
      <c r="AB207" s="519"/>
      <c r="AC207" s="272"/>
      <c r="AD207" s="46"/>
      <c r="AE207" s="46"/>
      <c r="AF207" s="138"/>
      <c r="AG207" s="1070"/>
      <c r="AH207" s="72"/>
      <c r="AI207" s="72"/>
      <c r="AJ207" s="72"/>
      <c r="AK207" s="72"/>
      <c r="AL207" s="72"/>
      <c r="AM207" s="72"/>
      <c r="AN207" s="72"/>
      <c r="AO207" s="72"/>
      <c r="AP207" s="96"/>
      <c r="AQ207" s="72"/>
      <c r="AR207" s="46"/>
      <c r="AS207" s="46"/>
      <c r="AT207" s="46"/>
      <c r="AU207" s="46"/>
      <c r="AV207" s="46"/>
      <c r="AW207" s="46"/>
      <c r="AX207" s="46"/>
      <c r="AY207" s="46"/>
      <c r="AZ207" s="46"/>
      <c r="BA207" s="46"/>
      <c r="BB207" s="46"/>
      <c r="BC207"/>
      <c r="BD207"/>
      <c r="BE207"/>
      <c r="BF207"/>
      <c r="BG207"/>
      <c r="BH207"/>
      <c r="BI207"/>
      <c r="BJ207"/>
      <c r="BK207"/>
      <c r="BL207"/>
      <c r="BM207"/>
      <c r="BN207"/>
    </row>
    <row r="208" spans="1:66" ht="13.5" customHeight="1" x14ac:dyDescent="0.25">
      <c r="A208" s="519"/>
      <c r="B208" s="519"/>
      <c r="C208" s="519"/>
      <c r="D208" s="519"/>
      <c r="E208" s="519"/>
      <c r="F208" s="519"/>
      <c r="G208" s="46"/>
      <c r="H208" s="271"/>
      <c r="I208" s="59"/>
      <c r="J208" s="72"/>
      <c r="K208" s="72"/>
      <c r="L208" s="72"/>
      <c r="M208" s="431"/>
      <c r="N208" s="432"/>
      <c r="O208" s="433"/>
      <c r="P208" s="519"/>
      <c r="Q208" s="443"/>
      <c r="R208" s="59"/>
      <c r="S208" s="46"/>
      <c r="T208" s="46"/>
      <c r="U208" s="519"/>
      <c r="V208" s="519"/>
      <c r="W208" s="519"/>
      <c r="X208" s="519"/>
      <c r="Y208" s="519"/>
      <c r="Z208" s="519"/>
      <c r="AA208" s="519"/>
      <c r="AB208" s="519"/>
      <c r="AC208" s="272"/>
      <c r="AD208" s="46"/>
      <c r="AE208" s="46"/>
      <c r="AF208" s="138"/>
      <c r="AG208" s="1070"/>
      <c r="AH208" s="72"/>
      <c r="AI208" s="72"/>
      <c r="AJ208" s="72"/>
      <c r="AK208" s="72"/>
      <c r="AL208" s="72"/>
      <c r="AM208" s="72"/>
      <c r="AN208" s="72"/>
      <c r="AO208" s="72"/>
      <c r="AP208" s="96"/>
      <c r="AQ208" s="72"/>
      <c r="AR208" s="46"/>
      <c r="AS208" s="46"/>
      <c r="AT208" s="46"/>
      <c r="AU208" s="46"/>
      <c r="AV208" s="46"/>
      <c r="AW208" s="46"/>
      <c r="AX208" s="46"/>
      <c r="AY208" s="46"/>
      <c r="AZ208" s="46"/>
      <c r="BA208" s="46"/>
      <c r="BB208" s="46"/>
      <c r="BC208"/>
      <c r="BD208"/>
      <c r="BE208"/>
      <c r="BF208"/>
      <c r="BG208"/>
      <c r="BH208"/>
      <c r="BI208"/>
      <c r="BJ208"/>
      <c r="BK208"/>
      <c r="BL208"/>
      <c r="BM208"/>
      <c r="BN208"/>
    </row>
    <row r="209" spans="1:66" ht="13.5" customHeight="1" x14ac:dyDescent="0.25">
      <c r="A209" s="519"/>
      <c r="B209" s="519"/>
      <c r="C209" s="519"/>
      <c r="D209" s="519"/>
      <c r="E209" s="519"/>
      <c r="F209" s="519"/>
      <c r="G209" s="46"/>
      <c r="H209" s="271"/>
      <c r="I209" s="59"/>
      <c r="J209" s="72"/>
      <c r="K209" s="72"/>
      <c r="L209" s="72"/>
      <c r="M209" s="522" t="s">
        <v>595</v>
      </c>
      <c r="N209" s="532">
        <f>lignin_energy_source</f>
        <v>1</v>
      </c>
      <c r="O209" s="433" t="s">
        <v>552</v>
      </c>
      <c r="P209" s="519"/>
      <c r="Q209" s="443"/>
      <c r="R209" s="59"/>
      <c r="S209" s="46"/>
      <c r="T209" s="46"/>
      <c r="U209" s="519"/>
      <c r="V209" s="519"/>
      <c r="W209" s="519"/>
      <c r="X209" s="519"/>
      <c r="Y209" s="519"/>
      <c r="Z209" s="519"/>
      <c r="AA209" s="519"/>
      <c r="AB209" s="519"/>
      <c r="AC209" s="272"/>
      <c r="AD209" s="46"/>
      <c r="AE209" s="46"/>
      <c r="AF209" s="138"/>
      <c r="AG209" s="1070"/>
      <c r="AH209" s="72"/>
      <c r="AI209" s="72"/>
      <c r="AJ209" s="72"/>
      <c r="AK209" s="72"/>
      <c r="AL209" s="72"/>
      <c r="AM209" s="72"/>
      <c r="AN209" s="72"/>
      <c r="AO209" s="72"/>
      <c r="AP209" s="96"/>
      <c r="AQ209" s="72"/>
      <c r="AR209" s="46"/>
      <c r="AS209" s="46"/>
      <c r="AT209" s="46"/>
      <c r="AU209" s="46"/>
      <c r="AV209" s="46"/>
      <c r="AW209" s="46"/>
      <c r="AX209" s="46"/>
      <c r="AY209" s="46"/>
      <c r="AZ209" s="46"/>
      <c r="BA209" s="46"/>
      <c r="BB209" s="46"/>
      <c r="BC209"/>
      <c r="BD209"/>
      <c r="BE209"/>
      <c r="BF209"/>
      <c r="BG209"/>
      <c r="BH209"/>
      <c r="BI209"/>
      <c r="BJ209"/>
      <c r="BK209"/>
      <c r="BL209"/>
      <c r="BM209"/>
      <c r="BN209"/>
    </row>
    <row r="210" spans="1:66" x14ac:dyDescent="0.25">
      <c r="A210" s="519"/>
      <c r="B210" s="519"/>
      <c r="C210" s="519"/>
      <c r="D210" s="519"/>
      <c r="E210" s="519"/>
      <c r="F210" s="519"/>
      <c r="G210" s="46"/>
      <c r="H210" s="271"/>
      <c r="I210" s="59"/>
      <c r="J210" s="72"/>
      <c r="K210" s="72"/>
      <c r="L210" s="72"/>
      <c r="M210" s="431"/>
      <c r="N210" s="432"/>
      <c r="O210" s="433"/>
      <c r="P210" s="519"/>
      <c r="Q210" s="443"/>
      <c r="R210" s="59"/>
      <c r="S210" s="46"/>
      <c r="T210" s="46"/>
      <c r="U210" s="519"/>
      <c r="V210" s="519"/>
      <c r="W210" s="519"/>
      <c r="X210" s="519"/>
      <c r="Y210" s="519"/>
      <c r="Z210" s="519"/>
      <c r="AA210" s="519"/>
      <c r="AB210" s="519"/>
      <c r="AC210" s="272"/>
      <c r="AD210" s="46"/>
      <c r="AE210" s="46"/>
      <c r="AF210" s="138"/>
      <c r="AG210" s="72"/>
      <c r="AH210" s="72"/>
      <c r="AI210" s="72"/>
      <c r="AJ210" s="72"/>
      <c r="AK210" s="72"/>
      <c r="AL210" s="72"/>
      <c r="AM210" s="72"/>
      <c r="AN210" s="72"/>
      <c r="AO210" s="72"/>
      <c r="AP210" s="96"/>
      <c r="AQ210" s="72"/>
      <c r="AR210" s="46"/>
      <c r="AS210" s="46"/>
      <c r="AT210" s="46"/>
      <c r="AU210" s="46"/>
      <c r="AV210" s="46"/>
      <c r="AW210" s="46"/>
      <c r="AX210" s="46"/>
      <c r="AY210" s="46"/>
      <c r="AZ210" s="46"/>
      <c r="BA210" s="46"/>
      <c r="BB210" s="46"/>
      <c r="BC210"/>
      <c r="BD210"/>
      <c r="BE210"/>
      <c r="BF210"/>
      <c r="BG210"/>
      <c r="BH210"/>
      <c r="BI210"/>
      <c r="BJ210"/>
      <c r="BK210"/>
      <c r="BL210"/>
      <c r="BM210"/>
      <c r="BN210"/>
    </row>
    <row r="211" spans="1:66" x14ac:dyDescent="0.25">
      <c r="A211" s="519"/>
      <c r="B211" s="519"/>
      <c r="C211" s="519"/>
      <c r="D211" s="519"/>
      <c r="E211" s="519"/>
      <c r="F211" s="519"/>
      <c r="G211" s="46"/>
      <c r="H211" s="271"/>
      <c r="I211" s="59"/>
      <c r="J211" s="72"/>
      <c r="K211" s="72"/>
      <c r="L211" s="72"/>
      <c r="M211" s="564" t="s">
        <v>643</v>
      </c>
      <c r="N211" s="445">
        <f>(N199*N203)/S320</f>
        <v>39424.279167245222</v>
      </c>
      <c r="O211" s="433" t="s">
        <v>446</v>
      </c>
      <c r="P211" s="519"/>
      <c r="Q211" s="46"/>
      <c r="R211" s="59"/>
      <c r="S211" s="46"/>
      <c r="T211" s="46"/>
      <c r="U211" s="46"/>
      <c r="V211" s="46"/>
      <c r="W211" s="46"/>
      <c r="X211" s="46"/>
      <c r="Y211" s="46"/>
      <c r="Z211" s="46"/>
      <c r="AA211" s="46"/>
      <c r="AB211" s="46"/>
      <c r="AC211" s="272"/>
      <c r="AD211" s="46"/>
      <c r="AE211" s="46"/>
      <c r="AF211" s="138"/>
      <c r="AG211" s="72"/>
      <c r="AH211" s="72"/>
      <c r="AI211" s="72"/>
      <c r="AJ211" s="72"/>
      <c r="AK211" s="72"/>
      <c r="AL211" s="72"/>
      <c r="AM211" s="72"/>
      <c r="AN211" s="72"/>
      <c r="AO211" s="72"/>
      <c r="AP211" s="96"/>
      <c r="AQ211" s="72"/>
      <c r="AR211" s="46"/>
      <c r="AS211" s="46"/>
      <c r="AT211" s="46"/>
      <c r="AU211" s="46"/>
      <c r="AV211" s="46"/>
      <c r="AW211" s="46"/>
      <c r="AX211" s="46"/>
      <c r="AY211" s="46"/>
      <c r="AZ211" s="46"/>
      <c r="BA211" s="46"/>
      <c r="BB211" s="46"/>
      <c r="BC211"/>
      <c r="BD211"/>
      <c r="BE211"/>
      <c r="BF211"/>
      <c r="BG211"/>
      <c r="BH211"/>
      <c r="BI211"/>
      <c r="BJ211"/>
      <c r="BK211"/>
      <c r="BL211"/>
      <c r="BM211"/>
      <c r="BN211"/>
    </row>
    <row r="212" spans="1:66" x14ac:dyDescent="0.25">
      <c r="A212" s="519"/>
      <c r="B212" s="519"/>
      <c r="C212" s="519"/>
      <c r="D212" s="519"/>
      <c r="E212" s="519"/>
      <c r="F212" s="519"/>
      <c r="G212" s="46"/>
      <c r="H212" s="271"/>
      <c r="I212" s="59"/>
      <c r="J212" s="72"/>
      <c r="K212" s="72"/>
      <c r="L212" s="72"/>
      <c r="M212" s="434"/>
      <c r="N212" s="435"/>
      <c r="O212" s="436"/>
      <c r="P212" s="519"/>
      <c r="Q212" s="72"/>
      <c r="R212" s="59"/>
      <c r="S212" s="72"/>
      <c r="T212" s="72"/>
      <c r="U212" s="72"/>
      <c r="V212" s="46"/>
      <c r="W212" s="46"/>
      <c r="X212" s="46"/>
      <c r="Y212" s="46"/>
      <c r="Z212" s="46"/>
      <c r="AA212" s="46"/>
      <c r="AB212" s="46"/>
      <c r="AC212" s="272"/>
      <c r="AD212" s="46"/>
      <c r="AE212" s="46"/>
      <c r="AF212" s="138"/>
      <c r="AG212" s="72"/>
      <c r="AH212" s="72"/>
      <c r="AI212" s="72"/>
      <c r="AJ212" s="72"/>
      <c r="AK212" s="72"/>
      <c r="AL212" s="72"/>
      <c r="AM212" s="72"/>
      <c r="AN212" s="72"/>
      <c r="AO212" s="72"/>
      <c r="AP212" s="96"/>
      <c r="AQ212" s="72"/>
      <c r="AR212" s="46"/>
      <c r="AS212" s="46"/>
      <c r="AT212" s="46"/>
      <c r="AU212" s="46"/>
      <c r="AV212" s="46"/>
      <c r="AW212" s="46"/>
      <c r="AX212" s="46"/>
      <c r="AY212" s="46"/>
      <c r="AZ212" s="46"/>
      <c r="BA212" s="46"/>
      <c r="BB212" s="46"/>
      <c r="BC212"/>
      <c r="BD212"/>
      <c r="BE212"/>
      <c r="BF212"/>
      <c r="BG212"/>
      <c r="BH212"/>
      <c r="BI212"/>
      <c r="BJ212"/>
      <c r="BK212"/>
      <c r="BL212"/>
      <c r="BM212"/>
      <c r="BN212"/>
    </row>
    <row r="213" spans="1:66" ht="13.8" thickBot="1" x14ac:dyDescent="0.3">
      <c r="A213" s="519"/>
      <c r="B213" s="519"/>
      <c r="C213" s="519"/>
      <c r="D213" s="519"/>
      <c r="E213" s="519"/>
      <c r="F213" s="519"/>
      <c r="G213" s="46"/>
      <c r="H213" s="307"/>
      <c r="I213" s="525"/>
      <c r="J213" s="308"/>
      <c r="K213" s="308"/>
      <c r="L213" s="308"/>
      <c r="M213" s="525"/>
      <c r="N213" s="308"/>
      <c r="O213" s="308"/>
      <c r="P213" s="308"/>
      <c r="Q213" s="308"/>
      <c r="R213" s="525"/>
      <c r="S213" s="528"/>
      <c r="T213" s="308"/>
      <c r="U213" s="308"/>
      <c r="V213" s="308"/>
      <c r="W213" s="308"/>
      <c r="X213" s="308"/>
      <c r="Y213" s="308"/>
      <c r="Z213" s="308"/>
      <c r="AA213" s="308"/>
      <c r="AB213" s="308"/>
      <c r="AC213" s="309"/>
      <c r="AD213" s="46"/>
      <c r="AE213" s="46"/>
      <c r="AF213" s="72"/>
      <c r="AG213" s="72"/>
      <c r="AH213" s="72"/>
      <c r="AI213" s="72"/>
      <c r="AJ213" s="72"/>
      <c r="AK213" s="72"/>
      <c r="AL213" s="72"/>
      <c r="AM213" s="72"/>
      <c r="AN213" s="72"/>
      <c r="AO213" s="72"/>
      <c r="AP213" s="96"/>
      <c r="AQ213" s="72"/>
      <c r="AR213" s="46"/>
      <c r="AS213" s="46"/>
      <c r="AT213" s="46"/>
      <c r="AU213" s="46"/>
      <c r="AV213" s="46"/>
      <c r="AW213" s="46"/>
      <c r="AX213" s="46"/>
      <c r="AY213" s="46"/>
      <c r="AZ213" s="46"/>
      <c r="BA213" s="46"/>
      <c r="BB213" s="46"/>
      <c r="BC213"/>
      <c r="BD213"/>
      <c r="BE213"/>
      <c r="BF213"/>
      <c r="BG213"/>
      <c r="BH213"/>
      <c r="BI213"/>
      <c r="BJ213"/>
      <c r="BK213"/>
      <c r="BL213"/>
      <c r="BM213"/>
      <c r="BN213"/>
    </row>
    <row r="214" spans="1:66" x14ac:dyDescent="0.25">
      <c r="A214" s="519"/>
      <c r="B214" s="519"/>
      <c r="C214" s="519"/>
      <c r="D214" s="519"/>
      <c r="E214" s="519"/>
      <c r="F214" s="519"/>
      <c r="G214" s="72"/>
      <c r="H214" s="269"/>
      <c r="I214" s="59"/>
      <c r="J214" s="72"/>
      <c r="K214" s="72"/>
      <c r="L214" s="72"/>
      <c r="M214" s="59"/>
      <c r="N214" s="72"/>
      <c r="O214" s="72"/>
      <c r="P214" s="72"/>
      <c r="Q214" s="72"/>
      <c r="R214" s="1479"/>
      <c r="S214" s="72"/>
      <c r="T214" s="46"/>
      <c r="U214" s="46"/>
      <c r="V214" s="46"/>
      <c r="W214" s="46"/>
      <c r="X214" s="46"/>
      <c r="Y214" s="46"/>
      <c r="Z214" s="46"/>
      <c r="AA214" s="46"/>
      <c r="AB214" s="46"/>
      <c r="AC214" s="72"/>
      <c r="AD214" s="72"/>
      <c r="AE214" s="46"/>
      <c r="AF214" s="868"/>
      <c r="AG214" s="72"/>
      <c r="AH214" s="72"/>
      <c r="AI214" s="72"/>
      <c r="AJ214" s="72"/>
      <c r="AK214" s="72"/>
      <c r="AL214" s="72"/>
      <c r="AM214" s="72"/>
      <c r="AN214" s="72"/>
      <c r="AO214" s="72"/>
      <c r="AP214" s="96"/>
      <c r="AQ214" s="72"/>
      <c r="AR214" s="46"/>
      <c r="AS214" s="46"/>
      <c r="AT214" s="46"/>
      <c r="AU214" s="46"/>
      <c r="AV214" s="46"/>
      <c r="AW214" s="46"/>
      <c r="AX214" s="46"/>
      <c r="AY214" s="46"/>
      <c r="AZ214" s="46"/>
      <c r="BA214" s="46"/>
      <c r="BB214" s="46"/>
      <c r="BC214"/>
      <c r="BD214"/>
      <c r="BE214"/>
      <c r="BF214"/>
      <c r="BG214"/>
      <c r="BH214"/>
      <c r="BI214"/>
      <c r="BJ214"/>
      <c r="BK214"/>
      <c r="BL214"/>
      <c r="BM214"/>
      <c r="BN214"/>
    </row>
    <row r="215" spans="1:66" x14ac:dyDescent="0.25">
      <c r="A215" s="72"/>
      <c r="B215" s="72"/>
      <c r="C215" s="46"/>
      <c r="D215" s="89"/>
      <c r="E215" s="89"/>
      <c r="F215" s="89"/>
      <c r="G215" s="89"/>
      <c r="H215" s="89"/>
      <c r="I215" s="90"/>
      <c r="J215" s="72"/>
      <c r="K215" s="72"/>
      <c r="L215" s="72"/>
      <c r="M215" s="59"/>
      <c r="N215" s="72"/>
      <c r="O215" s="72"/>
      <c r="P215" s="72"/>
      <c r="Q215" s="519"/>
      <c r="R215" s="529"/>
      <c r="S215" s="519"/>
      <c r="T215" s="519"/>
      <c r="U215" s="519"/>
      <c r="V215" s="46"/>
      <c r="W215" s="46"/>
      <c r="X215" s="46"/>
      <c r="Y215" s="46"/>
      <c r="Z215" s="46"/>
      <c r="AA215" s="46"/>
      <c r="AB215" s="46"/>
      <c r="AC215" s="72"/>
      <c r="AD215" s="46"/>
      <c r="AE215" s="46"/>
      <c r="AF215" s="72"/>
      <c r="AG215" s="72"/>
      <c r="AH215" s="72"/>
      <c r="AI215" s="72"/>
      <c r="AJ215" s="72"/>
      <c r="AK215" s="72"/>
      <c r="AL215" s="72"/>
      <c r="AM215" s="72"/>
      <c r="AN215" s="72"/>
      <c r="AO215" s="72"/>
      <c r="AP215" s="96"/>
      <c r="AQ215" s="72"/>
      <c r="AR215" s="46"/>
      <c r="AS215" s="46"/>
      <c r="AT215" s="46"/>
      <c r="AU215" s="46"/>
      <c r="AV215" s="46"/>
      <c r="AW215" s="46"/>
      <c r="AX215" s="46"/>
      <c r="AY215" s="46"/>
      <c r="AZ215" s="46"/>
      <c r="BA215" s="46"/>
      <c r="BB215" s="46"/>
      <c r="BC215"/>
      <c r="BD215"/>
      <c r="BE215"/>
      <c r="BF215"/>
      <c r="BG215"/>
      <c r="BH215"/>
      <c r="BI215"/>
      <c r="BJ215"/>
      <c r="BK215"/>
      <c r="BL215"/>
      <c r="BM215"/>
      <c r="BN215"/>
    </row>
    <row r="216" spans="1:66" x14ac:dyDescent="0.25">
      <c r="A216" s="72"/>
      <c r="B216" s="72"/>
      <c r="C216" s="46"/>
      <c r="D216" s="75"/>
      <c r="E216" s="46"/>
      <c r="F216" s="72"/>
      <c r="G216" s="46"/>
      <c r="H216" s="46"/>
      <c r="I216" s="46"/>
      <c r="J216" s="72"/>
      <c r="K216" s="72"/>
      <c r="L216" s="72"/>
      <c r="M216" s="59"/>
      <c r="N216" s="72"/>
      <c r="O216" s="72"/>
      <c r="P216" s="72"/>
      <c r="Q216" s="519"/>
      <c r="R216" s="529"/>
      <c r="S216" s="519"/>
      <c r="T216" s="519"/>
      <c r="U216" s="519"/>
      <c r="V216" s="72"/>
      <c r="W216" s="72"/>
      <c r="X216" s="46"/>
      <c r="Y216" s="46"/>
      <c r="Z216" s="46"/>
      <c r="AA216" s="46"/>
      <c r="AB216" s="46"/>
      <c r="AC216" s="72"/>
      <c r="AD216" s="72"/>
      <c r="AE216" s="72"/>
      <c r="AF216" s="72"/>
      <c r="AG216" s="72"/>
      <c r="AH216" s="72"/>
      <c r="AI216" s="72"/>
      <c r="AJ216" s="72"/>
      <c r="AK216" s="72"/>
      <c r="AL216" s="72"/>
      <c r="AM216" s="72"/>
      <c r="AN216" s="72"/>
      <c r="AO216" s="72"/>
      <c r="AP216" s="96"/>
      <c r="AQ216" s="72"/>
      <c r="AR216" s="46"/>
      <c r="AS216" s="46"/>
      <c r="AT216" s="46"/>
      <c r="AU216" s="46"/>
      <c r="AV216" s="46"/>
      <c r="AW216" s="46"/>
      <c r="AX216" s="46"/>
      <c r="AY216" s="46"/>
      <c r="AZ216" s="46"/>
      <c r="BA216" s="46"/>
      <c r="BB216" s="46"/>
      <c r="BC216"/>
      <c r="BD216"/>
      <c r="BE216"/>
      <c r="BF216"/>
      <c r="BG216"/>
      <c r="BH216"/>
      <c r="BI216"/>
      <c r="BJ216"/>
      <c r="BK216"/>
      <c r="BL216"/>
      <c r="BM216"/>
      <c r="BN216"/>
    </row>
    <row r="217" spans="1:66" x14ac:dyDescent="0.25">
      <c r="A217" s="72"/>
      <c r="B217" s="72"/>
      <c r="C217" s="46"/>
      <c r="D217" s="96"/>
      <c r="E217" s="89"/>
      <c r="F217" s="89"/>
      <c r="G217" s="89"/>
      <c r="H217" s="89"/>
      <c r="I217" s="89"/>
      <c r="J217" s="89"/>
      <c r="K217" s="89"/>
      <c r="L217" s="89"/>
      <c r="M217" s="90"/>
      <c r="N217" s="72"/>
      <c r="O217" s="72"/>
      <c r="P217" s="72"/>
      <c r="Q217" s="519"/>
      <c r="R217" s="529"/>
      <c r="S217" s="519"/>
      <c r="T217" s="519"/>
      <c r="U217" s="519"/>
      <c r="V217" s="72"/>
      <c r="W217" s="72"/>
      <c r="X217" s="46"/>
      <c r="Y217" s="46"/>
      <c r="Z217" s="46"/>
      <c r="AA217" s="46"/>
      <c r="AB217" s="46"/>
      <c r="AC217" s="72"/>
      <c r="AD217" s="72"/>
      <c r="AE217" s="72"/>
      <c r="AF217" s="72"/>
      <c r="AG217" s="72"/>
      <c r="AH217" s="72"/>
      <c r="AI217" s="72"/>
      <c r="AJ217" s="72"/>
      <c r="AK217" s="72"/>
      <c r="AL217" s="72"/>
      <c r="AM217" s="72"/>
      <c r="AN217" s="72"/>
      <c r="AO217" s="72"/>
      <c r="AP217" s="96"/>
      <c r="AQ217" s="72"/>
      <c r="AR217" s="46"/>
      <c r="AS217" s="46"/>
      <c r="AT217" s="46"/>
      <c r="AU217" s="46"/>
      <c r="AV217" s="46"/>
      <c r="AW217" s="46"/>
      <c r="AX217" s="46"/>
      <c r="AY217" s="46"/>
      <c r="AZ217" s="46"/>
      <c r="BA217" s="46"/>
      <c r="BB217" s="46"/>
      <c r="BC217"/>
      <c r="BD217"/>
      <c r="BE217"/>
      <c r="BF217"/>
      <c r="BG217"/>
      <c r="BH217"/>
      <c r="BI217"/>
      <c r="BJ217"/>
      <c r="BK217"/>
      <c r="BL217"/>
      <c r="BM217"/>
      <c r="BN217"/>
    </row>
    <row r="218" spans="1:66" x14ac:dyDescent="0.25">
      <c r="A218" s="72"/>
      <c r="B218" s="72"/>
      <c r="C218" s="46"/>
      <c r="D218" s="865"/>
      <c r="E218" s="46"/>
      <c r="F218" s="72"/>
      <c r="G218" s="72"/>
      <c r="H218" s="72"/>
      <c r="I218" s="72"/>
      <c r="J218" s="72"/>
      <c r="K218" s="72"/>
      <c r="L218" s="72"/>
      <c r="M218" s="72"/>
      <c r="N218" s="72"/>
      <c r="O218" s="72"/>
      <c r="P218" s="72"/>
      <c r="Q218" s="519"/>
      <c r="R218" s="529"/>
      <c r="S218" s="519"/>
      <c r="T218" s="519"/>
      <c r="U218" s="519"/>
      <c r="V218" s="72"/>
      <c r="W218" s="72"/>
      <c r="X218" s="72"/>
      <c r="Y218" s="72"/>
      <c r="Z218" s="72"/>
      <c r="AA218" s="72"/>
      <c r="AB218" s="72"/>
      <c r="AC218" s="72"/>
      <c r="AD218" s="72"/>
      <c r="AE218" s="72"/>
      <c r="AF218" s="72"/>
      <c r="AG218" s="72"/>
      <c r="AH218" s="72"/>
      <c r="AI218" s="72"/>
      <c r="AJ218" s="72"/>
      <c r="AK218" s="72"/>
      <c r="AL218" s="72"/>
      <c r="AM218" s="72"/>
      <c r="AN218" s="72"/>
      <c r="AO218" s="72"/>
      <c r="AP218" s="96"/>
      <c r="AQ218" s="72"/>
      <c r="AR218" s="46"/>
      <c r="AS218" s="46"/>
      <c r="AT218" s="46"/>
      <c r="AU218" s="46"/>
      <c r="AV218" s="46"/>
      <c r="AW218" s="46"/>
      <c r="AX218" s="46"/>
      <c r="AY218" s="46"/>
      <c r="AZ218" s="46"/>
      <c r="BA218" s="46"/>
      <c r="BB218" s="46"/>
      <c r="BC218"/>
      <c r="BD218"/>
      <c r="BE218"/>
      <c r="BF218"/>
      <c r="BG218"/>
      <c r="BH218"/>
      <c r="BI218"/>
      <c r="BJ218"/>
      <c r="BK218"/>
      <c r="BL218"/>
      <c r="BM218"/>
      <c r="BN218"/>
    </row>
    <row r="219" spans="1:66" x14ac:dyDescent="0.25">
      <c r="A219" s="72"/>
      <c r="B219" s="72"/>
      <c r="C219" s="46"/>
      <c r="D219" s="865"/>
      <c r="E219" s="46"/>
      <c r="F219" s="72"/>
      <c r="G219" s="72"/>
      <c r="H219" s="72"/>
      <c r="I219" s="72"/>
      <c r="J219" s="46"/>
      <c r="K219" s="46"/>
      <c r="L219" s="46"/>
      <c r="M219" s="46"/>
      <c r="N219" s="46"/>
      <c r="O219" s="46"/>
      <c r="P219" s="46"/>
      <c r="Q219" s="519"/>
      <c r="R219" s="529"/>
      <c r="S219" s="519"/>
      <c r="T219" s="519"/>
      <c r="U219" s="519"/>
      <c r="V219" s="46"/>
      <c r="W219" s="46"/>
      <c r="X219" s="46"/>
      <c r="Y219" s="46"/>
      <c r="Z219" s="46"/>
      <c r="AA219" s="46"/>
      <c r="AB219" s="46"/>
      <c r="AC219" s="72"/>
      <c r="AD219" s="72"/>
      <c r="AE219" s="72"/>
      <c r="AF219" s="72"/>
      <c r="AG219" s="72"/>
      <c r="AH219" s="72"/>
      <c r="AI219" s="72"/>
      <c r="AJ219" s="72"/>
      <c r="AK219" s="72"/>
      <c r="AL219" s="72"/>
      <c r="AM219" s="72"/>
      <c r="AN219" s="72"/>
      <c r="AO219" s="72"/>
      <c r="AP219" s="96"/>
      <c r="AQ219" s="72"/>
      <c r="AR219" s="46"/>
      <c r="AS219" s="46"/>
      <c r="AT219" s="46"/>
      <c r="AU219" s="46"/>
      <c r="AV219" s="46"/>
      <c r="AW219" s="46"/>
      <c r="AX219" s="46"/>
      <c r="AY219" s="46"/>
      <c r="AZ219" s="46"/>
      <c r="BA219" s="46"/>
      <c r="BB219" s="46"/>
      <c r="BC219"/>
      <c r="BD219"/>
      <c r="BE219"/>
      <c r="BF219"/>
      <c r="BG219"/>
      <c r="BH219"/>
      <c r="BI219"/>
      <c r="BJ219"/>
      <c r="BK219"/>
      <c r="BL219"/>
      <c r="BM219"/>
      <c r="BN219"/>
    </row>
    <row r="220" spans="1:66" x14ac:dyDescent="0.25">
      <c r="A220" s="72"/>
      <c r="B220" s="72"/>
      <c r="C220" s="46"/>
      <c r="D220" s="865"/>
      <c r="E220" s="46"/>
      <c r="F220" s="72"/>
      <c r="G220" s="72"/>
      <c r="H220" s="72"/>
      <c r="I220" s="72"/>
      <c r="J220" s="46"/>
      <c r="K220" s="46"/>
      <c r="L220" s="46"/>
      <c r="M220" s="46"/>
      <c r="N220" s="46"/>
      <c r="O220" s="46"/>
      <c r="P220" s="46"/>
      <c r="Q220" s="519"/>
      <c r="R220" s="529"/>
      <c r="S220" s="519"/>
      <c r="T220" s="519"/>
      <c r="U220" s="519"/>
      <c r="V220" s="46"/>
      <c r="W220" s="46"/>
      <c r="X220" s="72"/>
      <c r="Y220" s="72"/>
      <c r="Z220" s="72"/>
      <c r="AA220" s="72"/>
      <c r="AB220" s="72"/>
      <c r="AC220" s="72"/>
      <c r="AD220" s="72"/>
      <c r="AE220" s="72"/>
      <c r="AF220" s="72"/>
      <c r="AG220" s="72"/>
      <c r="AH220" s="72"/>
      <c r="AI220" s="72"/>
      <c r="AJ220" s="72"/>
      <c r="AK220" s="72"/>
      <c r="AL220" s="72"/>
      <c r="AM220" s="72"/>
      <c r="AN220" s="72"/>
      <c r="AO220" s="72"/>
      <c r="AP220" s="96"/>
      <c r="AQ220" s="72"/>
      <c r="AR220" s="46"/>
      <c r="AS220" s="46"/>
      <c r="AT220" s="46"/>
      <c r="AU220" s="46"/>
      <c r="AV220" s="46"/>
      <c r="AW220" s="46"/>
      <c r="AX220" s="46"/>
      <c r="AY220" s="46"/>
      <c r="AZ220" s="46"/>
      <c r="BA220" s="46"/>
      <c r="BB220" s="46"/>
      <c r="BC220"/>
      <c r="BD220"/>
      <c r="BE220"/>
      <c r="BF220"/>
      <c r="BG220"/>
      <c r="BH220"/>
      <c r="BI220"/>
      <c r="BJ220"/>
      <c r="BK220"/>
      <c r="BL220"/>
      <c r="BM220"/>
      <c r="BN220"/>
    </row>
    <row r="221" spans="1:66" x14ac:dyDescent="0.25">
      <c r="A221" s="72"/>
      <c r="B221" s="72"/>
      <c r="C221" s="72"/>
      <c r="D221" s="865"/>
      <c r="E221" s="72"/>
      <c r="F221" s="72"/>
      <c r="G221" s="72"/>
      <c r="H221" s="72"/>
      <c r="I221" s="72"/>
      <c r="J221" s="46"/>
      <c r="K221" s="46"/>
      <c r="L221" s="46"/>
      <c r="M221" s="46"/>
      <c r="N221" s="46"/>
      <c r="O221" s="46"/>
      <c r="P221" s="46"/>
      <c r="Q221" s="519"/>
      <c r="R221" s="529"/>
      <c r="S221" s="519"/>
      <c r="T221" s="519"/>
      <c r="U221" s="519"/>
      <c r="V221" s="46"/>
      <c r="W221" s="46"/>
      <c r="X221" s="46"/>
      <c r="Y221" s="46"/>
      <c r="Z221" s="46"/>
      <c r="AA221" s="46"/>
      <c r="AB221" s="46"/>
      <c r="AC221" s="72"/>
      <c r="AD221" s="72"/>
      <c r="AE221" s="72"/>
      <c r="AF221" s="72"/>
      <c r="AG221" s="72"/>
      <c r="AH221" s="72"/>
      <c r="AI221" s="72"/>
      <c r="AJ221" s="72"/>
      <c r="AK221" s="72"/>
      <c r="AL221" s="72"/>
      <c r="AM221" s="72"/>
      <c r="AN221" s="72"/>
      <c r="AO221" s="72"/>
      <c r="AP221" s="96"/>
      <c r="AQ221" s="72"/>
      <c r="AR221" s="46"/>
      <c r="AS221" s="46"/>
      <c r="AT221" s="46"/>
      <c r="AU221" s="46"/>
      <c r="AV221" s="46"/>
      <c r="AW221" s="46"/>
      <c r="AX221" s="46"/>
      <c r="AY221" s="46"/>
      <c r="AZ221" s="46"/>
      <c r="BA221" s="46"/>
      <c r="BB221" s="46"/>
      <c r="BC221"/>
      <c r="BD221"/>
      <c r="BE221"/>
      <c r="BF221"/>
      <c r="BG221"/>
      <c r="BH221"/>
      <c r="BI221"/>
      <c r="BJ221"/>
      <c r="BK221"/>
      <c r="BL221"/>
      <c r="BM221"/>
      <c r="BN221"/>
    </row>
    <row r="222" spans="1:66" x14ac:dyDescent="0.25">
      <c r="A222" s="46"/>
      <c r="B222" s="46"/>
      <c r="C222" s="46"/>
      <c r="D222" s="865"/>
      <c r="E222" s="72"/>
      <c r="F222" s="46"/>
      <c r="G222" s="72"/>
      <c r="H222" s="72"/>
      <c r="I222" s="72"/>
      <c r="J222" s="46"/>
      <c r="K222" s="46"/>
      <c r="L222" s="46"/>
      <c r="M222" s="46"/>
      <c r="N222" s="46"/>
      <c r="O222" s="46"/>
      <c r="P222" s="46"/>
      <c r="Q222" s="519"/>
      <c r="R222" s="529"/>
      <c r="S222" s="519"/>
      <c r="T222" s="519"/>
      <c r="U222" s="519"/>
      <c r="V222" s="46"/>
      <c r="W222" s="46"/>
      <c r="X222" s="46"/>
      <c r="Y222" s="46"/>
      <c r="Z222" s="46"/>
      <c r="AA222" s="46"/>
      <c r="AB222" s="46"/>
      <c r="AC222" s="72"/>
      <c r="AD222" s="72"/>
      <c r="AE222" s="72"/>
      <c r="AF222" s="72"/>
      <c r="AG222" s="72"/>
      <c r="AH222" s="72"/>
      <c r="AI222" s="72"/>
      <c r="AJ222" s="72"/>
      <c r="AK222" s="46"/>
      <c r="AL222" s="46"/>
      <c r="AM222" s="46"/>
      <c r="AN222" s="46"/>
      <c r="AO222" s="46"/>
      <c r="AP222" s="96"/>
      <c r="AQ222" s="72"/>
      <c r="AR222" s="46"/>
      <c r="AS222" s="46"/>
      <c r="AT222" s="46"/>
      <c r="AU222" s="46"/>
      <c r="AV222" s="46"/>
      <c r="AW222" s="46"/>
      <c r="AX222" s="46"/>
      <c r="AY222" s="46"/>
      <c r="AZ222" s="46"/>
      <c r="BA222" s="46"/>
      <c r="BB222" s="46"/>
      <c r="BC222"/>
      <c r="BD222"/>
      <c r="BE222"/>
      <c r="BF222"/>
      <c r="BG222"/>
      <c r="BH222"/>
      <c r="BI222"/>
      <c r="BJ222"/>
      <c r="BK222"/>
      <c r="BL222"/>
      <c r="BM222"/>
      <c r="BN222"/>
    </row>
    <row r="223" spans="1:66" x14ac:dyDescent="0.25">
      <c r="A223" s="46"/>
      <c r="B223" s="46"/>
      <c r="C223" s="46"/>
      <c r="D223" s="865"/>
      <c r="E223" s="46"/>
      <c r="F223" s="46"/>
      <c r="G223" s="72"/>
      <c r="H223" s="72"/>
      <c r="I223" s="72"/>
      <c r="J223" s="46"/>
      <c r="K223" s="46"/>
      <c r="L223" s="46"/>
      <c r="M223" s="46"/>
      <c r="N223" s="46"/>
      <c r="O223" s="46"/>
      <c r="P223" s="46"/>
      <c r="Q223" s="519"/>
      <c r="R223" s="529"/>
      <c r="S223" s="519"/>
      <c r="T223" s="519"/>
      <c r="U223" s="519"/>
      <c r="V223" s="46"/>
      <c r="W223" s="46"/>
      <c r="X223" s="46"/>
      <c r="Y223" s="46"/>
      <c r="Z223" s="46"/>
      <c r="AA223" s="46"/>
      <c r="AB223" s="46"/>
      <c r="AC223" s="72"/>
      <c r="AD223" s="72"/>
      <c r="AE223" s="72"/>
      <c r="AF223" s="72"/>
      <c r="AG223" s="72"/>
      <c r="AH223" s="72"/>
      <c r="AI223" s="72"/>
      <c r="AJ223" s="72"/>
      <c r="AK223" s="46"/>
      <c r="AL223" s="46"/>
      <c r="AM223" s="46"/>
      <c r="AN223" s="46"/>
      <c r="AO223" s="46"/>
      <c r="AP223" s="96"/>
      <c r="AQ223" s="72"/>
      <c r="AR223" s="46"/>
      <c r="AS223" s="46"/>
      <c r="AT223" s="46"/>
      <c r="AU223" s="46"/>
      <c r="AV223" s="46"/>
      <c r="AW223" s="46"/>
      <c r="AX223" s="46"/>
      <c r="AY223" s="46"/>
      <c r="AZ223" s="46"/>
      <c r="BA223" s="46"/>
      <c r="BB223" s="46"/>
      <c r="BC223"/>
      <c r="BD223"/>
      <c r="BE223"/>
      <c r="BF223"/>
      <c r="BG223"/>
      <c r="BH223"/>
      <c r="BI223"/>
      <c r="BJ223"/>
      <c r="BK223"/>
      <c r="BL223"/>
      <c r="BM223"/>
      <c r="BN223"/>
    </row>
    <row r="224" spans="1:66" ht="13.8" thickBot="1" x14ac:dyDescent="0.3">
      <c r="A224" s="46"/>
      <c r="B224" s="46"/>
      <c r="C224" s="72"/>
      <c r="D224" s="865"/>
      <c r="E224" s="72"/>
      <c r="F224" s="72"/>
      <c r="G224" s="72"/>
      <c r="H224" s="72"/>
      <c r="I224" s="72"/>
      <c r="J224" s="46"/>
      <c r="K224" s="46"/>
      <c r="L224" s="46"/>
      <c r="M224" s="46"/>
      <c r="N224" s="46"/>
      <c r="O224" s="46"/>
      <c r="P224" s="46"/>
      <c r="Q224" s="46"/>
      <c r="R224" s="59"/>
      <c r="S224" s="72"/>
      <c r="T224" s="46"/>
      <c r="U224" s="46"/>
      <c r="V224" s="46"/>
      <c r="W224" s="46"/>
      <c r="X224" s="72"/>
      <c r="Y224" s="72"/>
      <c r="Z224" s="72"/>
      <c r="AA224" s="72"/>
      <c r="AB224" s="72"/>
      <c r="AC224" s="72"/>
      <c r="AD224" s="72"/>
      <c r="AE224" s="72"/>
      <c r="AF224" s="72"/>
      <c r="AG224" s="72"/>
      <c r="AH224" s="72"/>
      <c r="AI224" s="72"/>
      <c r="AJ224" s="72"/>
      <c r="AK224" s="46"/>
      <c r="AL224" s="46"/>
      <c r="AM224" s="46"/>
      <c r="AN224" s="46"/>
      <c r="AO224" s="72"/>
      <c r="AP224" s="96"/>
      <c r="AQ224" s="72"/>
      <c r="AR224" s="46"/>
      <c r="AS224" s="46"/>
      <c r="AT224" s="46"/>
      <c r="AU224" s="46"/>
      <c r="AV224" s="46"/>
      <c r="AW224" s="46"/>
      <c r="AX224" s="46"/>
      <c r="AY224" s="46"/>
      <c r="AZ224" s="46"/>
      <c r="BA224" s="46"/>
      <c r="BB224" s="46"/>
      <c r="BC224"/>
      <c r="BD224"/>
      <c r="BE224"/>
      <c r="BF224"/>
      <c r="BG224"/>
      <c r="BH224"/>
      <c r="BI224"/>
      <c r="BJ224"/>
      <c r="BK224"/>
      <c r="BL224"/>
      <c r="BM224"/>
      <c r="BN224"/>
    </row>
    <row r="225" spans="1:66" ht="13.8" thickBot="1" x14ac:dyDescent="0.3">
      <c r="A225" s="46"/>
      <c r="B225" s="46"/>
      <c r="C225" s="72"/>
      <c r="D225" s="865"/>
      <c r="E225" s="72"/>
      <c r="F225" s="72"/>
      <c r="G225" s="72"/>
      <c r="H225" s="72"/>
      <c r="I225" s="72"/>
      <c r="J225" s="46"/>
      <c r="K225" s="46"/>
      <c r="L225" s="46"/>
      <c r="M225" s="46"/>
      <c r="N225" s="46"/>
      <c r="O225" s="268"/>
      <c r="P225" s="269"/>
      <c r="Q225" s="269"/>
      <c r="R225" s="269"/>
      <c r="S225" s="270"/>
      <c r="T225" s="864"/>
      <c r="U225" s="269"/>
      <c r="V225" s="269"/>
      <c r="W225" s="271"/>
      <c r="X225" s="72"/>
      <c r="Y225" s="72"/>
      <c r="Z225" s="72"/>
      <c r="AA225" s="72"/>
      <c r="AB225" s="72"/>
      <c r="AC225" s="72"/>
      <c r="AD225" s="72"/>
      <c r="AE225" s="72"/>
      <c r="AF225" s="72"/>
      <c r="AG225" s="72"/>
      <c r="AH225" s="72"/>
      <c r="AI225" s="72"/>
      <c r="AJ225" s="72"/>
      <c r="AK225" s="46"/>
      <c r="AL225" s="46"/>
      <c r="AM225" s="46"/>
      <c r="AN225" s="46"/>
      <c r="AO225" s="46"/>
      <c r="AP225" s="96"/>
      <c r="AQ225" s="72"/>
      <c r="AR225" s="46"/>
      <c r="AS225" s="46"/>
      <c r="AT225" s="46"/>
      <c r="AU225" s="46"/>
      <c r="AV225" s="46"/>
      <c r="AW225" s="46"/>
      <c r="AX225" s="46"/>
      <c r="AY225" s="46"/>
      <c r="AZ225" s="46"/>
      <c r="BA225" s="46"/>
      <c r="BB225" s="46"/>
      <c r="BC225"/>
      <c r="BD225"/>
      <c r="BE225"/>
      <c r="BF225"/>
      <c r="BG225"/>
      <c r="BH225"/>
      <c r="BI225"/>
      <c r="BJ225"/>
      <c r="BK225"/>
      <c r="BL225"/>
      <c r="BM225"/>
      <c r="BN225"/>
    </row>
    <row r="226" spans="1:66" x14ac:dyDescent="0.25">
      <c r="A226" s="46"/>
      <c r="B226" s="46"/>
      <c r="C226" s="72"/>
      <c r="D226" s="865"/>
      <c r="E226" s="72"/>
      <c r="F226" s="46"/>
      <c r="G226" s="72"/>
      <c r="H226" s="72"/>
      <c r="I226" s="72"/>
      <c r="J226" s="46"/>
      <c r="K226" s="46"/>
      <c r="L226" s="46"/>
      <c r="M226" s="46"/>
      <c r="N226" s="46"/>
      <c r="O226" s="271"/>
      <c r="P226" s="281"/>
      <c r="Q226" s="60"/>
      <c r="R226" s="60"/>
      <c r="S226" s="60"/>
      <c r="T226" s="60"/>
      <c r="U226" s="61"/>
      <c r="V226" s="272"/>
      <c r="W226" s="72"/>
      <c r="X226" s="72"/>
      <c r="Y226" s="72"/>
      <c r="Z226" s="72"/>
      <c r="AA226" s="72"/>
      <c r="AB226" s="72"/>
      <c r="AC226" s="72"/>
      <c r="AD226" s="72"/>
      <c r="AE226" s="72"/>
      <c r="AF226" s="72"/>
      <c r="AG226" s="72"/>
      <c r="AH226" s="72"/>
      <c r="AI226" s="72"/>
      <c r="AJ226" s="72"/>
      <c r="AK226" s="46"/>
      <c r="AL226" s="46"/>
      <c r="AM226" s="46"/>
      <c r="AN226" s="46"/>
      <c r="AO226" s="72"/>
      <c r="AP226" s="96"/>
      <c r="AQ226" s="72"/>
      <c r="AR226" s="46"/>
      <c r="AS226" s="46"/>
      <c r="AT226" s="46"/>
      <c r="AU226" s="46"/>
      <c r="AV226" s="46"/>
      <c r="AW226" s="46"/>
      <c r="AX226" s="46"/>
      <c r="AY226" s="46"/>
      <c r="AZ226" s="46"/>
      <c r="BA226" s="46"/>
      <c r="BB226" s="46"/>
      <c r="BC226"/>
      <c r="BD226"/>
      <c r="BE226"/>
      <c r="BF226"/>
      <c r="BG226"/>
      <c r="BH226"/>
      <c r="BI226"/>
      <c r="BJ226"/>
      <c r="BK226"/>
      <c r="BL226"/>
      <c r="BM226"/>
      <c r="BN226"/>
    </row>
    <row r="227" spans="1:66" x14ac:dyDescent="0.25">
      <c r="A227" s="46"/>
      <c r="B227" s="46"/>
      <c r="C227" s="72"/>
      <c r="D227" s="865"/>
      <c r="E227" s="72"/>
      <c r="F227" s="46"/>
      <c r="G227" s="72"/>
      <c r="H227" s="72"/>
      <c r="I227" s="72"/>
      <c r="J227" s="46"/>
      <c r="K227" s="46"/>
      <c r="L227" s="46"/>
      <c r="M227" s="46"/>
      <c r="N227" s="46"/>
      <c r="O227" s="271"/>
      <c r="P227" s="1551" t="s">
        <v>1604</v>
      </c>
      <c r="Q227" s="1552"/>
      <c r="R227" s="1552"/>
      <c r="S227" s="1552"/>
      <c r="T227" s="1552"/>
      <c r="U227" s="1553"/>
      <c r="V227" s="272"/>
      <c r="W227" s="72"/>
      <c r="X227" s="72"/>
      <c r="Y227" s="72"/>
      <c r="Z227" s="72"/>
      <c r="AA227" s="72"/>
      <c r="AB227" s="72"/>
      <c r="AC227" s="72"/>
      <c r="AD227" s="72"/>
      <c r="AE227" s="72"/>
      <c r="AF227" s="72"/>
      <c r="AG227" s="72"/>
      <c r="AH227" s="72"/>
      <c r="AI227" s="72"/>
      <c r="AJ227" s="72"/>
      <c r="AK227" s="46"/>
      <c r="AL227" s="46"/>
      <c r="AM227" s="46"/>
      <c r="AN227" s="46"/>
      <c r="AO227" s="72"/>
      <c r="AP227" s="96"/>
      <c r="AQ227" s="72"/>
      <c r="AR227" s="46"/>
      <c r="AS227" s="46"/>
      <c r="AT227" s="46"/>
      <c r="AU227" s="46"/>
      <c r="AV227" s="46"/>
      <c r="AW227" s="46"/>
      <c r="AX227" s="46"/>
      <c r="AY227" s="46"/>
      <c r="AZ227" s="46"/>
      <c r="BA227" s="46"/>
      <c r="BB227" s="46"/>
      <c r="BC227"/>
      <c r="BD227"/>
      <c r="BE227"/>
      <c r="BF227"/>
      <c r="BG227"/>
      <c r="BH227"/>
      <c r="BI227"/>
      <c r="BJ227"/>
      <c r="BK227"/>
      <c r="BL227"/>
      <c r="BM227"/>
      <c r="BN227"/>
    </row>
    <row r="228" spans="1:66" x14ac:dyDescent="0.25">
      <c r="A228" s="46"/>
      <c r="B228" s="46"/>
      <c r="C228" s="72"/>
      <c r="D228" s="865"/>
      <c r="E228" s="72"/>
      <c r="F228" s="72"/>
      <c r="G228" s="72"/>
      <c r="H228" s="72"/>
      <c r="I228" s="72"/>
      <c r="J228" s="46"/>
      <c r="K228" s="46"/>
      <c r="L228" s="46"/>
      <c r="M228" s="46"/>
      <c r="N228" s="46"/>
      <c r="O228" s="271"/>
      <c r="P228" s="265"/>
      <c r="Q228" s="273"/>
      <c r="R228" s="842"/>
      <c r="S228" s="842"/>
      <c r="T228" s="842"/>
      <c r="U228" s="255"/>
      <c r="V228" s="272"/>
      <c r="W228" s="72"/>
      <c r="X228" s="72"/>
      <c r="Y228" s="72"/>
      <c r="Z228" s="72"/>
      <c r="AA228" s="72"/>
      <c r="AB228" s="72"/>
      <c r="AC228" s="72"/>
      <c r="AD228" s="72"/>
      <c r="AE228" s="72"/>
      <c r="AF228" s="72"/>
      <c r="AG228" s="72"/>
      <c r="AH228" s="72"/>
      <c r="AI228" s="72"/>
      <c r="AJ228" s="72"/>
      <c r="AK228" s="46"/>
      <c r="AL228" s="46"/>
      <c r="AM228" s="46"/>
      <c r="AN228" s="46"/>
      <c r="AO228" s="72"/>
      <c r="AP228" s="96"/>
      <c r="AQ228" s="72"/>
      <c r="AR228" s="46"/>
      <c r="AS228" s="46"/>
      <c r="AT228" s="46"/>
      <c r="AU228" s="46"/>
      <c r="AV228" s="46"/>
      <c r="AW228" s="46"/>
      <c r="AX228" s="46"/>
      <c r="AY228" s="46"/>
      <c r="AZ228" s="46"/>
      <c r="BA228" s="46"/>
      <c r="BB228" s="46"/>
      <c r="BC228"/>
      <c r="BD228"/>
      <c r="BE228"/>
      <c r="BF228"/>
      <c r="BG228"/>
      <c r="BH228"/>
      <c r="BI228"/>
      <c r="BJ228"/>
      <c r="BK228"/>
      <c r="BL228"/>
      <c r="BM228"/>
      <c r="BN228"/>
    </row>
    <row r="229" spans="1:66" x14ac:dyDescent="0.25">
      <c r="A229" s="46"/>
      <c r="B229" s="46"/>
      <c r="C229" s="72"/>
      <c r="D229" s="865"/>
      <c r="E229" s="72"/>
      <c r="F229" s="46"/>
      <c r="G229" s="72"/>
      <c r="H229" s="46"/>
      <c r="I229" s="46"/>
      <c r="J229" s="46"/>
      <c r="K229" s="46"/>
      <c r="L229" s="46"/>
      <c r="M229" s="46"/>
      <c r="N229" s="46"/>
      <c r="O229" s="271"/>
      <c r="P229" s="249"/>
      <c r="Q229" s="66"/>
      <c r="R229" s="845" t="s">
        <v>573</v>
      </c>
      <c r="S229" s="112">
        <f>S245+S269</f>
        <v>7436.5199999999995</v>
      </c>
      <c r="T229" s="232" t="s">
        <v>446</v>
      </c>
      <c r="U229" s="64"/>
      <c r="V229" s="272"/>
      <c r="W229" s="72"/>
      <c r="X229" s="72"/>
      <c r="Y229" s="72"/>
      <c r="Z229" s="72"/>
      <c r="AA229" s="72"/>
      <c r="AB229" s="72"/>
      <c r="AC229" s="72"/>
      <c r="AD229" s="72"/>
      <c r="AE229" s="72"/>
      <c r="AF229" s="72"/>
      <c r="AG229" s="72"/>
      <c r="AH229" s="72"/>
      <c r="AI229" s="72"/>
      <c r="AJ229" s="72"/>
      <c r="AK229" s="46"/>
      <c r="AL229" s="46"/>
      <c r="AM229" s="46"/>
      <c r="AN229" s="46"/>
      <c r="AO229" s="72"/>
      <c r="AP229" s="96"/>
      <c r="AQ229" s="72"/>
      <c r="AR229" s="46"/>
      <c r="AS229" s="46"/>
      <c r="AT229" s="46"/>
      <c r="AU229" s="46"/>
      <c r="AV229" s="46"/>
      <c r="AW229" s="46"/>
      <c r="AX229" s="46"/>
      <c r="AY229" s="46"/>
      <c r="AZ229" s="46"/>
      <c r="BA229" s="46"/>
      <c r="BB229" s="46"/>
      <c r="BC229"/>
      <c r="BD229"/>
      <c r="BE229"/>
      <c r="BF229"/>
      <c r="BG229"/>
      <c r="BH229"/>
      <c r="BI229"/>
      <c r="BJ229"/>
      <c r="BK229"/>
      <c r="BL229"/>
      <c r="BM229"/>
      <c r="BN229"/>
    </row>
    <row r="230" spans="1:66" x14ac:dyDescent="0.25">
      <c r="A230" s="46"/>
      <c r="B230" s="46"/>
      <c r="C230" s="46"/>
      <c r="D230" s="865"/>
      <c r="E230" s="46"/>
      <c r="F230" s="46"/>
      <c r="G230" s="46"/>
      <c r="H230" s="46"/>
      <c r="I230" s="46"/>
      <c r="J230" s="46"/>
      <c r="K230" s="46"/>
      <c r="L230" s="46"/>
      <c r="M230" s="46"/>
      <c r="N230" s="46"/>
      <c r="O230" s="271"/>
      <c r="P230" s="62"/>
      <c r="Q230" s="82"/>
      <c r="R230" s="82"/>
      <c r="S230" s="82"/>
      <c r="T230" s="82"/>
      <c r="U230" s="64"/>
      <c r="V230" s="272"/>
      <c r="W230" s="72"/>
      <c r="X230" s="72"/>
      <c r="Y230" s="72"/>
      <c r="Z230" s="72"/>
      <c r="AA230" s="72"/>
      <c r="AB230" s="72"/>
      <c r="AC230" s="72"/>
      <c r="AD230" s="72"/>
      <c r="AE230" s="72"/>
      <c r="AF230" s="72"/>
      <c r="AG230" s="72"/>
      <c r="AH230" s="72"/>
      <c r="AI230" s="72"/>
      <c r="AJ230" s="72"/>
      <c r="AK230" s="72"/>
      <c r="AL230" s="72"/>
      <c r="AM230" s="72"/>
      <c r="AN230" s="72"/>
      <c r="AO230" s="59"/>
      <c r="AP230" s="96"/>
      <c r="AQ230" s="72"/>
      <c r="AR230" s="46"/>
      <c r="AS230" s="46"/>
      <c r="AT230" s="46"/>
      <c r="AU230" s="46"/>
      <c r="AV230" s="46"/>
      <c r="AW230" s="46"/>
      <c r="AX230" s="46"/>
      <c r="AY230" s="46"/>
      <c r="AZ230" s="46"/>
      <c r="BA230" s="46"/>
      <c r="BB230" s="46"/>
      <c r="BC230"/>
      <c r="BD230"/>
      <c r="BE230"/>
      <c r="BF230"/>
      <c r="BG230"/>
      <c r="BH230"/>
      <c r="BI230"/>
      <c r="BJ230"/>
      <c r="BK230"/>
      <c r="BL230"/>
      <c r="BM230"/>
      <c r="BN230"/>
    </row>
    <row r="231" spans="1:66" x14ac:dyDescent="0.25">
      <c r="A231" s="46"/>
      <c r="B231" s="46"/>
      <c r="C231" s="46"/>
      <c r="D231" s="865"/>
      <c r="E231" s="46"/>
      <c r="F231" s="46"/>
      <c r="G231" s="46"/>
      <c r="H231" s="46"/>
      <c r="I231" s="46"/>
      <c r="J231" s="46"/>
      <c r="K231" s="46"/>
      <c r="L231" s="46"/>
      <c r="M231" s="46"/>
      <c r="N231" s="46"/>
      <c r="O231" s="271"/>
      <c r="P231" s="249"/>
      <c r="Q231" s="66"/>
      <c r="R231" s="845" t="s">
        <v>574</v>
      </c>
      <c r="S231" s="112">
        <f>S247+S271+S287</f>
        <v>255.8</v>
      </c>
      <c r="T231" s="232" t="s">
        <v>565</v>
      </c>
      <c r="U231" s="64"/>
      <c r="V231" s="272"/>
      <c r="W231" s="72"/>
      <c r="X231" s="72"/>
      <c r="Y231" s="72"/>
      <c r="Z231" s="72"/>
      <c r="AA231" s="72"/>
      <c r="AB231" s="72"/>
      <c r="AC231" s="72"/>
      <c r="AD231" s="72"/>
      <c r="AE231" s="72"/>
      <c r="AF231" s="72"/>
      <c r="AG231" s="72"/>
      <c r="AH231" s="72"/>
      <c r="AI231" s="72"/>
      <c r="AJ231" s="72"/>
      <c r="AK231" s="72"/>
      <c r="AL231" s="72"/>
      <c r="AM231" s="72"/>
      <c r="AN231" s="72"/>
      <c r="AO231" s="59"/>
      <c r="AP231" s="96"/>
      <c r="AQ231" s="72"/>
      <c r="AR231" s="46"/>
      <c r="AS231" s="46"/>
      <c r="AT231" s="46"/>
      <c r="AU231" s="46"/>
      <c r="AV231" s="46"/>
      <c r="AW231" s="46"/>
      <c r="AX231" s="46"/>
      <c r="AY231" s="46"/>
      <c r="AZ231" s="46"/>
      <c r="BA231" s="46"/>
      <c r="BB231" s="46"/>
      <c r="BC231"/>
      <c r="BD231"/>
      <c r="BE231"/>
      <c r="BF231"/>
      <c r="BG231"/>
      <c r="BH231"/>
      <c r="BI231"/>
      <c r="BJ231"/>
      <c r="BK231"/>
      <c r="BL231"/>
      <c r="BM231"/>
      <c r="BN231"/>
    </row>
    <row r="232" spans="1:66" x14ac:dyDescent="0.25">
      <c r="A232" s="46"/>
      <c r="B232" s="46"/>
      <c r="C232" s="46"/>
      <c r="D232" s="865"/>
      <c r="E232" s="46"/>
      <c r="F232" s="46"/>
      <c r="G232" s="46"/>
      <c r="H232" s="46"/>
      <c r="I232" s="46"/>
      <c r="J232" s="46"/>
      <c r="K232" s="46"/>
      <c r="L232" s="46"/>
      <c r="M232" s="46"/>
      <c r="N232" s="46"/>
      <c r="O232" s="271"/>
      <c r="P232" s="62"/>
      <c r="Q232" s="842"/>
      <c r="R232" s="24"/>
      <c r="S232" s="82"/>
      <c r="T232" s="24"/>
      <c r="U232" s="64"/>
      <c r="V232" s="272"/>
      <c r="W232" s="72"/>
      <c r="X232" s="72"/>
      <c r="Y232" s="72"/>
      <c r="Z232" s="72"/>
      <c r="AA232" s="72"/>
      <c r="AB232" s="72"/>
      <c r="AC232" s="72"/>
      <c r="AD232" s="72"/>
      <c r="AE232" s="72"/>
      <c r="AF232" s="72"/>
      <c r="AG232" s="72"/>
      <c r="AH232" s="72"/>
      <c r="AI232" s="72"/>
      <c r="AJ232" s="72"/>
      <c r="AK232" s="72"/>
      <c r="AL232" s="72"/>
      <c r="AM232" s="72"/>
      <c r="AN232" s="72"/>
      <c r="AO232" s="72"/>
      <c r="AP232" s="96"/>
      <c r="AQ232" s="72"/>
      <c r="AR232" s="46"/>
      <c r="AS232" s="46"/>
      <c r="AT232" s="46"/>
      <c r="AU232" s="46"/>
      <c r="AV232" s="46"/>
      <c r="AW232" s="46"/>
      <c r="AX232" s="46"/>
      <c r="AY232" s="46"/>
      <c r="AZ232" s="46"/>
      <c r="BA232" s="46"/>
      <c r="BB232" s="46"/>
      <c r="BC232"/>
      <c r="BD232"/>
      <c r="BE232"/>
      <c r="BF232"/>
      <c r="BG232"/>
      <c r="BH232"/>
      <c r="BI232"/>
      <c r="BJ232"/>
      <c r="BK232"/>
      <c r="BL232"/>
      <c r="BM232"/>
      <c r="BN232"/>
    </row>
    <row r="233" spans="1:66" x14ac:dyDescent="0.25">
      <c r="A233" s="46"/>
      <c r="B233" s="46"/>
      <c r="C233" s="46"/>
      <c r="D233" s="865"/>
      <c r="E233" s="46"/>
      <c r="F233" s="46"/>
      <c r="G233" s="46"/>
      <c r="H233" s="46"/>
      <c r="I233" s="46"/>
      <c r="J233" s="46"/>
      <c r="K233" s="46"/>
      <c r="L233" s="46"/>
      <c r="M233" s="46"/>
      <c r="N233" s="46"/>
      <c r="O233" s="271"/>
      <c r="P233" s="62"/>
      <c r="Q233" s="842"/>
      <c r="R233" s="66"/>
      <c r="S233" s="842"/>
      <c r="T233" s="82"/>
      <c r="U233" s="64"/>
      <c r="V233" s="272"/>
      <c r="W233" s="72"/>
      <c r="X233" s="72"/>
      <c r="Y233" s="72"/>
      <c r="Z233" s="72"/>
      <c r="AA233" s="72"/>
      <c r="AB233" s="72"/>
      <c r="AC233" s="72"/>
      <c r="AD233" s="46"/>
      <c r="AE233" s="72"/>
      <c r="AF233" s="72"/>
      <c r="AG233" s="72"/>
      <c r="AH233" s="72"/>
      <c r="AI233" s="72"/>
      <c r="AJ233" s="72"/>
      <c r="AK233" s="72"/>
      <c r="AL233" s="72"/>
      <c r="AM233" s="72"/>
      <c r="AN233" s="72"/>
      <c r="AO233" s="72"/>
      <c r="AP233" s="96"/>
      <c r="AQ233" s="46"/>
      <c r="AR233" s="46"/>
      <c r="AS233" s="46"/>
      <c r="AT233" s="46"/>
      <c r="AU233" s="46"/>
      <c r="AV233" s="46"/>
      <c r="AW233" s="46"/>
      <c r="AX233" s="46"/>
      <c r="AY233" s="46"/>
      <c r="AZ233" s="46"/>
      <c r="BA233" s="46"/>
      <c r="BB233" s="46"/>
      <c r="BC233"/>
      <c r="BD233"/>
      <c r="BE233"/>
      <c r="BF233"/>
      <c r="BG233"/>
      <c r="BH233"/>
      <c r="BI233"/>
      <c r="BJ233"/>
      <c r="BK233"/>
      <c r="BL233"/>
      <c r="BM233"/>
      <c r="BN233"/>
    </row>
    <row r="234" spans="1:66" ht="13.8" thickBot="1" x14ac:dyDescent="0.3">
      <c r="A234" s="46"/>
      <c r="B234" s="46"/>
      <c r="C234" s="46"/>
      <c r="D234" s="865"/>
      <c r="E234" s="46"/>
      <c r="F234" s="46"/>
      <c r="G234" s="46"/>
      <c r="H234" s="46"/>
      <c r="I234" s="46"/>
      <c r="J234" s="46"/>
      <c r="K234" s="46"/>
      <c r="L234" s="46"/>
      <c r="M234" s="46"/>
      <c r="N234" s="46"/>
      <c r="O234" s="271"/>
      <c r="P234" s="266"/>
      <c r="Q234" s="261"/>
      <c r="R234" s="261"/>
      <c r="S234" s="261"/>
      <c r="T234" s="261"/>
      <c r="U234" s="267"/>
      <c r="V234" s="272"/>
      <c r="W234" s="72"/>
      <c r="X234" s="72"/>
      <c r="Y234" s="72"/>
      <c r="Z234" s="72"/>
      <c r="AA234" s="72"/>
      <c r="AB234" s="72"/>
      <c r="AC234" s="72"/>
      <c r="AD234" s="46"/>
      <c r="AE234" s="868"/>
      <c r="AF234" s="72"/>
      <c r="AG234" s="72"/>
      <c r="AH234" s="72"/>
      <c r="AI234" s="46"/>
      <c r="AJ234" s="46"/>
      <c r="AK234" s="46"/>
      <c r="AL234" s="46"/>
      <c r="AM234" s="46"/>
      <c r="AN234" s="46"/>
      <c r="AO234" s="46"/>
      <c r="AP234" s="96"/>
      <c r="AQ234" s="46"/>
      <c r="AR234" s="46"/>
      <c r="AS234" s="46"/>
      <c r="AT234" s="46"/>
      <c r="AU234" s="46"/>
      <c r="AV234" s="46"/>
      <c r="AW234" s="46"/>
      <c r="AX234" s="46"/>
      <c r="AY234" s="46"/>
      <c r="AZ234" s="46"/>
      <c r="BA234" s="46"/>
      <c r="BB234" s="46"/>
      <c r="BC234"/>
      <c r="BD234"/>
      <c r="BE234"/>
      <c r="BF234"/>
      <c r="BG234"/>
      <c r="BH234"/>
      <c r="BI234"/>
      <c r="BJ234"/>
      <c r="BK234"/>
      <c r="BL234"/>
      <c r="BM234"/>
      <c r="BN234"/>
    </row>
    <row r="235" spans="1:66" x14ac:dyDescent="0.25">
      <c r="A235" s="46"/>
      <c r="B235" s="46"/>
      <c r="C235" s="46"/>
      <c r="D235" s="865"/>
      <c r="E235" s="46"/>
      <c r="F235" s="46"/>
      <c r="G235" s="46"/>
      <c r="H235" s="46"/>
      <c r="I235" s="46"/>
      <c r="J235" s="46"/>
      <c r="K235" s="46"/>
      <c r="L235" s="46"/>
      <c r="M235" s="46"/>
      <c r="N235" s="46"/>
      <c r="O235" s="271"/>
      <c r="P235" s="72"/>
      <c r="Q235" s="72"/>
      <c r="R235" s="72"/>
      <c r="S235" s="96"/>
      <c r="T235" s="72"/>
      <c r="U235" s="72"/>
      <c r="V235" s="272"/>
      <c r="W235" s="72"/>
      <c r="X235" s="72"/>
      <c r="Y235" s="72"/>
      <c r="Z235" s="72"/>
      <c r="AA235" s="72"/>
      <c r="AB235" s="72"/>
      <c r="AC235" s="46"/>
      <c r="AD235" s="72"/>
      <c r="AE235" s="72"/>
      <c r="AF235" s="72"/>
      <c r="AG235" s="72"/>
      <c r="AH235" s="46"/>
      <c r="AI235" s="46"/>
      <c r="AJ235" s="46"/>
      <c r="AK235" s="46"/>
      <c r="AL235" s="46"/>
      <c r="AM235" s="46"/>
      <c r="AN235" s="46"/>
      <c r="AO235" s="46"/>
      <c r="AP235" s="96"/>
      <c r="AQ235" s="46"/>
      <c r="AR235" s="46"/>
      <c r="AS235" s="46"/>
      <c r="AT235" s="46"/>
      <c r="AU235" s="46"/>
      <c r="AV235" s="46"/>
      <c r="AW235" s="46"/>
      <c r="AX235" s="46"/>
      <c r="AY235" s="46"/>
      <c r="AZ235" s="46"/>
      <c r="BA235" s="46"/>
      <c r="BB235" s="46"/>
      <c r="BC235"/>
      <c r="BD235"/>
      <c r="BE235"/>
      <c r="BF235"/>
      <c r="BG235"/>
      <c r="BH235"/>
      <c r="BI235"/>
      <c r="BJ235"/>
      <c r="BK235"/>
      <c r="BL235"/>
      <c r="BM235"/>
      <c r="BN235"/>
    </row>
    <row r="236" spans="1:66" x14ac:dyDescent="0.25">
      <c r="A236" s="46"/>
      <c r="B236" s="46"/>
      <c r="C236" s="72"/>
      <c r="D236" s="865"/>
      <c r="E236" s="72"/>
      <c r="F236" s="72"/>
      <c r="G236" s="72"/>
      <c r="H236" s="72"/>
      <c r="I236" s="72"/>
      <c r="J236" s="72"/>
      <c r="K236" s="72"/>
      <c r="L236" s="72"/>
      <c r="M236" s="72"/>
      <c r="N236" s="72"/>
      <c r="O236" s="271"/>
      <c r="P236" s="72"/>
      <c r="Q236" s="428"/>
      <c r="R236" s="429"/>
      <c r="S236" s="429"/>
      <c r="T236" s="430"/>
      <c r="U236" s="72"/>
      <c r="V236" s="272"/>
      <c r="W236" s="72"/>
      <c r="X236" s="72"/>
      <c r="Y236" s="72"/>
      <c r="Z236" s="72"/>
      <c r="AA236" s="72"/>
      <c r="AB236" s="72"/>
      <c r="AC236" s="46"/>
      <c r="AD236" s="72"/>
      <c r="AE236" s="72"/>
      <c r="AF236" s="72"/>
      <c r="AG236" s="72"/>
      <c r="AH236" s="46"/>
      <c r="AI236" s="46"/>
      <c r="AJ236" s="46"/>
      <c r="AK236" s="46"/>
      <c r="AL236" s="46"/>
      <c r="AM236" s="46"/>
      <c r="AN236" s="46"/>
      <c r="AO236" s="46"/>
      <c r="AP236" s="96"/>
      <c r="AQ236" s="46"/>
      <c r="AR236" s="46"/>
      <c r="AS236" s="46"/>
      <c r="AT236" s="46"/>
      <c r="AU236" s="46"/>
      <c r="AV236" s="46"/>
      <c r="AW236" s="46"/>
      <c r="AX236" s="46"/>
      <c r="AY236" s="46"/>
      <c r="AZ236" s="46"/>
      <c r="BA236" s="46"/>
      <c r="BB236" s="46"/>
      <c r="BC236"/>
      <c r="BD236"/>
      <c r="BE236"/>
      <c r="BF236"/>
      <c r="BG236"/>
      <c r="BH236"/>
      <c r="BI236"/>
      <c r="BJ236"/>
      <c r="BK236"/>
      <c r="BL236"/>
      <c r="BM236"/>
      <c r="BN236"/>
    </row>
    <row r="237" spans="1:66" x14ac:dyDescent="0.25">
      <c r="A237" s="46"/>
      <c r="B237" s="46"/>
      <c r="C237" s="72"/>
      <c r="D237" s="865"/>
      <c r="E237" s="72"/>
      <c r="F237" s="72"/>
      <c r="G237" s="72"/>
      <c r="H237" s="72"/>
      <c r="I237" s="72"/>
      <c r="J237" s="72"/>
      <c r="K237" s="72"/>
      <c r="L237" s="72"/>
      <c r="M237" s="72"/>
      <c r="N237" s="72"/>
      <c r="O237" s="271"/>
      <c r="P237" s="59"/>
      <c r="Q237" s="431"/>
      <c r="R237" s="533" t="s">
        <v>606</v>
      </c>
      <c r="S237" s="444">
        <f>(S199*S201/100)</f>
        <v>0.20324999999999999</v>
      </c>
      <c r="T237" s="523" t="s">
        <v>605</v>
      </c>
      <c r="U237" s="72"/>
      <c r="V237" s="272"/>
      <c r="W237" s="72"/>
      <c r="X237" s="72"/>
      <c r="Y237" s="72"/>
      <c r="Z237" s="72"/>
      <c r="AA237" s="72"/>
      <c r="AB237" s="72"/>
      <c r="AC237" s="46"/>
      <c r="AD237" s="72"/>
      <c r="AE237" s="72"/>
      <c r="AF237" s="72"/>
      <c r="AG237" s="72"/>
      <c r="AH237" s="46"/>
      <c r="AI237" s="46"/>
      <c r="AJ237" s="46"/>
      <c r="AK237" s="46"/>
      <c r="AL237" s="46"/>
      <c r="AM237" s="46"/>
      <c r="AN237" s="46"/>
      <c r="AO237" s="46"/>
      <c r="AP237" s="96"/>
      <c r="AQ237" s="46"/>
      <c r="AR237" s="46"/>
      <c r="AS237" s="46"/>
      <c r="AT237" s="46"/>
      <c r="AU237" s="46"/>
      <c r="AV237" s="46"/>
      <c r="AW237" s="46"/>
      <c r="AX237" s="46"/>
      <c r="AY237" s="46"/>
      <c r="AZ237" s="46"/>
      <c r="BA237" s="46"/>
      <c r="BB237" s="46"/>
      <c r="BC237"/>
      <c r="BD237"/>
      <c r="BE237"/>
      <c r="BF237"/>
      <c r="BG237"/>
      <c r="BH237"/>
      <c r="BI237"/>
      <c r="BJ237"/>
      <c r="BK237"/>
      <c r="BL237"/>
      <c r="BM237"/>
      <c r="BN237"/>
    </row>
    <row r="238" spans="1:66" x14ac:dyDescent="0.25">
      <c r="A238" s="46"/>
      <c r="B238" s="46"/>
      <c r="C238" s="72"/>
      <c r="D238" s="865"/>
      <c r="E238" s="72"/>
      <c r="F238" s="72"/>
      <c r="G238" s="72"/>
      <c r="H238" s="72"/>
      <c r="I238" s="72"/>
      <c r="J238" s="72"/>
      <c r="K238" s="72"/>
      <c r="L238" s="72"/>
      <c r="M238" s="72"/>
      <c r="N238" s="72"/>
      <c r="O238" s="271"/>
      <c r="P238" s="72"/>
      <c r="Q238" s="434"/>
      <c r="R238" s="435"/>
      <c r="S238" s="435"/>
      <c r="T238" s="436"/>
      <c r="U238" s="72"/>
      <c r="V238" s="272"/>
      <c r="W238" s="72"/>
      <c r="X238" s="72"/>
      <c r="Y238" s="72"/>
      <c r="Z238" s="72"/>
      <c r="AA238" s="72"/>
      <c r="AB238" s="72"/>
      <c r="AC238" s="46"/>
      <c r="AD238" s="72"/>
      <c r="AE238" s="72"/>
      <c r="AF238" s="72"/>
      <c r="AG238" s="72"/>
      <c r="AH238" s="46"/>
      <c r="AI238" s="46"/>
      <c r="AJ238" s="46"/>
      <c r="AK238" s="46"/>
      <c r="AL238" s="46"/>
      <c r="AM238" s="46"/>
      <c r="AN238" s="46"/>
      <c r="AO238" s="46"/>
      <c r="AP238" s="96"/>
      <c r="AQ238" s="46"/>
      <c r="AR238" s="46"/>
      <c r="AS238" s="46"/>
      <c r="AT238" s="46"/>
      <c r="AU238" s="46"/>
      <c r="AV238" s="46"/>
      <c r="AW238" s="46"/>
      <c r="AX238" s="46"/>
      <c r="AY238" s="46"/>
      <c r="AZ238" s="46"/>
      <c r="BA238" s="46"/>
      <c r="BB238" s="46"/>
      <c r="BC238"/>
      <c r="BD238"/>
      <c r="BE238"/>
      <c r="BF238"/>
      <c r="BG238"/>
      <c r="BH238"/>
      <c r="BI238"/>
      <c r="BJ238"/>
      <c r="BK238"/>
      <c r="BL238"/>
      <c r="BM238"/>
      <c r="BN238"/>
    </row>
    <row r="239" spans="1:66" ht="13.8" thickBot="1" x14ac:dyDescent="0.3">
      <c r="A239" s="46"/>
      <c r="B239" s="46"/>
      <c r="C239" s="46"/>
      <c r="D239" s="865"/>
      <c r="E239" s="46"/>
      <c r="F239" s="46"/>
      <c r="G239" s="46"/>
      <c r="H239" s="46"/>
      <c r="I239" s="46"/>
      <c r="J239" s="46"/>
      <c r="K239" s="46"/>
      <c r="L239" s="46"/>
      <c r="M239" s="46"/>
      <c r="N239" s="46"/>
      <c r="O239" s="271"/>
      <c r="P239" s="72"/>
      <c r="Q239" s="72"/>
      <c r="R239" s="72"/>
      <c r="S239" s="96"/>
      <c r="T239" s="72"/>
      <c r="U239" s="72"/>
      <c r="V239" s="272"/>
      <c r="W239" s="72"/>
      <c r="X239" s="72"/>
      <c r="Y239" s="72"/>
      <c r="Z239" s="72"/>
      <c r="AA239" s="72"/>
      <c r="AB239" s="72"/>
      <c r="AC239" s="46"/>
      <c r="AD239" s="46"/>
      <c r="AE239" s="46"/>
      <c r="AF239" s="46"/>
      <c r="AG239" s="46"/>
      <c r="AH239" s="46"/>
      <c r="AI239" s="46"/>
      <c r="AJ239" s="46"/>
      <c r="AK239" s="46"/>
      <c r="AL239" s="46"/>
      <c r="AM239" s="46"/>
      <c r="AN239" s="46"/>
      <c r="AO239" s="46"/>
      <c r="AP239" s="96"/>
      <c r="AQ239" s="46"/>
      <c r="AR239" s="46"/>
      <c r="AS239" s="46"/>
      <c r="AT239" s="46"/>
      <c r="AU239" s="46"/>
      <c r="AV239" s="46"/>
      <c r="AW239" s="46"/>
      <c r="AX239" s="46"/>
      <c r="AY239" s="46"/>
      <c r="AZ239" s="46"/>
      <c r="BA239" s="46"/>
      <c r="BB239" s="46"/>
      <c r="BC239"/>
      <c r="BD239"/>
      <c r="BE239"/>
      <c r="BF239"/>
      <c r="BG239"/>
      <c r="BH239"/>
      <c r="BI239"/>
      <c r="BJ239"/>
      <c r="BK239"/>
      <c r="BL239"/>
      <c r="BM239"/>
      <c r="BN239"/>
    </row>
    <row r="240" spans="1:66" x14ac:dyDescent="0.25">
      <c r="A240" s="46"/>
      <c r="B240" s="46"/>
      <c r="C240" s="46"/>
      <c r="D240" s="865"/>
      <c r="E240" s="46"/>
      <c r="F240" s="46"/>
      <c r="G240" s="46"/>
      <c r="H240" s="46"/>
      <c r="I240" s="46"/>
      <c r="J240" s="46"/>
      <c r="K240" s="46"/>
      <c r="L240" s="46"/>
      <c r="M240" s="46"/>
      <c r="N240" s="46"/>
      <c r="O240" s="271"/>
      <c r="P240" s="233"/>
      <c r="Q240" s="234"/>
      <c r="R240" s="234"/>
      <c r="S240" s="234"/>
      <c r="T240" s="234"/>
      <c r="U240" s="235"/>
      <c r="V240" s="272"/>
      <c r="W240" s="72"/>
      <c r="X240" s="72"/>
      <c r="Y240" s="72"/>
      <c r="Z240" s="72"/>
      <c r="AA240" s="72"/>
      <c r="AB240" s="72"/>
      <c r="AC240" s="46"/>
      <c r="AD240" s="46"/>
      <c r="AE240" s="46"/>
      <c r="AF240" s="46"/>
      <c r="AG240" s="46"/>
      <c r="AH240" s="46"/>
      <c r="AI240" s="46"/>
      <c r="AJ240" s="46"/>
      <c r="AK240" s="46"/>
      <c r="AL240" s="46"/>
      <c r="AM240" s="46"/>
      <c r="AN240" s="46"/>
      <c r="AO240" s="46"/>
      <c r="AP240" s="96"/>
      <c r="AQ240" s="46"/>
      <c r="AR240" s="46"/>
      <c r="AS240" s="46"/>
      <c r="AT240" s="46"/>
      <c r="AU240" s="46"/>
      <c r="AV240" s="46"/>
      <c r="AW240" s="46"/>
      <c r="AX240" s="46"/>
      <c r="AY240" s="46"/>
      <c r="AZ240" s="46"/>
      <c r="BA240" s="46"/>
      <c r="BB240" s="46"/>
      <c r="BC240"/>
      <c r="BD240"/>
      <c r="BE240"/>
      <c r="BF240"/>
      <c r="BG240"/>
      <c r="BH240"/>
      <c r="BI240"/>
      <c r="BJ240"/>
      <c r="BK240"/>
      <c r="BL240"/>
      <c r="BM240"/>
      <c r="BN240"/>
    </row>
    <row r="241" spans="1:66" x14ac:dyDescent="0.25">
      <c r="A241" s="46"/>
      <c r="B241" s="46"/>
      <c r="C241" s="46"/>
      <c r="D241" s="865"/>
      <c r="E241" s="46"/>
      <c r="F241" s="46"/>
      <c r="G241" s="46"/>
      <c r="H241" s="46"/>
      <c r="I241" s="46"/>
      <c r="J241" s="46"/>
      <c r="K241" s="46"/>
      <c r="L241" s="46"/>
      <c r="M241" s="46"/>
      <c r="N241" s="46"/>
      <c r="O241" s="271"/>
      <c r="P241" s="1551" t="s">
        <v>282</v>
      </c>
      <c r="Q241" s="1559"/>
      <c r="R241" s="1559"/>
      <c r="S241" s="1559"/>
      <c r="T241" s="1559"/>
      <c r="U241" s="1560"/>
      <c r="V241" s="272"/>
      <c r="W241" s="72"/>
      <c r="X241" s="72"/>
      <c r="Y241" s="72"/>
      <c r="Z241" s="72"/>
      <c r="AA241" s="72"/>
      <c r="AB241" s="72"/>
      <c r="AC241" s="46"/>
      <c r="AD241" s="46"/>
      <c r="AE241" s="46"/>
      <c r="AF241" s="46"/>
      <c r="AG241" s="46"/>
      <c r="AH241" s="46"/>
      <c r="AI241" s="46"/>
      <c r="AJ241" s="46"/>
      <c r="AK241" s="46"/>
      <c r="AL241" s="46"/>
      <c r="AM241" s="46"/>
      <c r="AN241" s="46"/>
      <c r="AO241" s="46"/>
      <c r="AP241" s="96"/>
      <c r="AQ241" s="46"/>
      <c r="AR241" s="46"/>
      <c r="AS241" s="46"/>
      <c r="AT241" s="46"/>
      <c r="AU241" s="46"/>
      <c r="AV241" s="46"/>
      <c r="AW241" s="46"/>
      <c r="AX241" s="46"/>
      <c r="AY241" s="46"/>
      <c r="AZ241" s="46"/>
      <c r="BA241" s="46"/>
      <c r="BB241" s="46"/>
      <c r="BC241"/>
      <c r="BD241"/>
      <c r="BE241"/>
      <c r="BF241"/>
      <c r="BG241"/>
      <c r="BH241"/>
      <c r="BI241"/>
      <c r="BJ241"/>
      <c r="BK241"/>
      <c r="BL241"/>
      <c r="BM241"/>
      <c r="BN241"/>
    </row>
    <row r="242" spans="1:66" x14ac:dyDescent="0.25">
      <c r="A242" s="46"/>
      <c r="B242" s="46"/>
      <c r="C242" s="46"/>
      <c r="D242" s="865"/>
      <c r="E242" s="46"/>
      <c r="F242" s="46"/>
      <c r="G242" s="46"/>
      <c r="H242" s="46"/>
      <c r="I242" s="46"/>
      <c r="J242" s="46"/>
      <c r="K242" s="46"/>
      <c r="L242" s="46"/>
      <c r="M242" s="46"/>
      <c r="N242" s="46"/>
      <c r="O242" s="271"/>
      <c r="P242" s="62"/>
      <c r="Q242" s="63"/>
      <c r="R242" s="63"/>
      <c r="S242" s="63"/>
      <c r="T242" s="63"/>
      <c r="U242" s="64"/>
      <c r="V242" s="272"/>
      <c r="W242" s="72"/>
      <c r="X242" s="72"/>
      <c r="Y242" s="72"/>
      <c r="Z242" s="72"/>
      <c r="AA242" s="72"/>
      <c r="AB242" s="72"/>
      <c r="AC242" s="46"/>
      <c r="AD242" s="46"/>
      <c r="AE242" s="46"/>
      <c r="AF242" s="46"/>
      <c r="AG242" s="46"/>
      <c r="AH242" s="46"/>
      <c r="AI242" s="46"/>
      <c r="AJ242" s="46"/>
      <c r="AK242" s="46"/>
      <c r="AL242" s="46"/>
      <c r="AM242" s="46"/>
      <c r="AN242" s="46"/>
      <c r="AO242" s="46"/>
      <c r="AP242" s="96"/>
      <c r="AQ242" s="46"/>
      <c r="AR242" s="46"/>
      <c r="AS242" s="46"/>
      <c r="AT242" s="46"/>
      <c r="AU242" s="46"/>
      <c r="AV242" s="46"/>
      <c r="AW242" s="46"/>
      <c r="AX242" s="46"/>
      <c r="AY242" s="46"/>
      <c r="AZ242" s="46"/>
      <c r="BA242" s="46"/>
      <c r="BB242" s="46"/>
      <c r="BC242"/>
      <c r="BD242"/>
      <c r="BE242"/>
      <c r="BF242"/>
      <c r="BG242"/>
      <c r="BH242"/>
      <c r="BI242"/>
      <c r="BJ242"/>
      <c r="BK242"/>
      <c r="BL242"/>
      <c r="BM242"/>
      <c r="BN242"/>
    </row>
    <row r="243" spans="1:66" x14ac:dyDescent="0.25">
      <c r="A243" s="46"/>
      <c r="B243" s="46"/>
      <c r="C243" s="72"/>
      <c r="D243" s="865"/>
      <c r="E243" s="72"/>
      <c r="F243" s="72"/>
      <c r="G243" s="46"/>
      <c r="H243" s="46"/>
      <c r="I243" s="46"/>
      <c r="J243" s="46"/>
      <c r="K243" s="46"/>
      <c r="L243" s="46"/>
      <c r="M243" s="46"/>
      <c r="N243" s="46"/>
      <c r="O243" s="271"/>
      <c r="P243" s="1562" t="s">
        <v>1585</v>
      </c>
      <c r="Q243" s="1555"/>
      <c r="R243" s="1556"/>
      <c r="S243" s="424">
        <f>yield_et</f>
        <v>0.48299999999999998</v>
      </c>
      <c r="T243" s="1090" t="s">
        <v>1586</v>
      </c>
      <c r="U243" s="64"/>
      <c r="V243" s="272"/>
      <c r="W243" s="72"/>
      <c r="X243" s="72"/>
      <c r="Y243" s="72"/>
      <c r="Z243" s="72"/>
      <c r="AA243" s="72"/>
      <c r="AB243" s="72"/>
      <c r="AC243" s="46"/>
      <c r="AD243" s="46"/>
      <c r="AE243" s="46"/>
      <c r="AF243" s="46"/>
      <c r="AG243" s="46"/>
      <c r="AH243" s="46"/>
      <c r="AI243" s="46"/>
      <c r="AJ243" s="46"/>
      <c r="AK243" s="46"/>
      <c r="AL243" s="46"/>
      <c r="AM243" s="46"/>
      <c r="AN243" s="46"/>
      <c r="AO243" s="46"/>
      <c r="AP243" s="96"/>
      <c r="AQ243" s="46"/>
      <c r="AR243" s="46"/>
      <c r="AS243" s="46"/>
      <c r="AT243" s="46"/>
      <c r="AU243" s="46"/>
      <c r="AV243" s="46"/>
      <c r="AW243" s="46"/>
      <c r="AX243" s="46"/>
      <c r="AY243" s="46"/>
      <c r="AZ243" s="46"/>
      <c r="BA243" s="46"/>
      <c r="BB243" s="46"/>
      <c r="BC243"/>
      <c r="BD243"/>
      <c r="BE243"/>
      <c r="BF243"/>
      <c r="BG243"/>
      <c r="BH243"/>
      <c r="BI243"/>
      <c r="BJ243"/>
      <c r="BK243"/>
      <c r="BL243"/>
      <c r="BM243"/>
      <c r="BN243"/>
    </row>
    <row r="244" spans="1:66" x14ac:dyDescent="0.25">
      <c r="A244" s="46"/>
      <c r="B244" s="46"/>
      <c r="C244" s="72"/>
      <c r="D244" s="865"/>
      <c r="E244" s="72"/>
      <c r="F244" s="72"/>
      <c r="G244" s="72"/>
      <c r="H244" s="72"/>
      <c r="I244" s="72"/>
      <c r="J244" s="72"/>
      <c r="K244" s="72"/>
      <c r="L244" s="72"/>
      <c r="M244" s="72"/>
      <c r="N244" s="72"/>
      <c r="O244" s="306"/>
      <c r="P244" s="62"/>
      <c r="Q244" s="82"/>
      <c r="R244" s="82"/>
      <c r="S244" s="82"/>
      <c r="T244" s="82"/>
      <c r="U244" s="64"/>
      <c r="V244" s="272"/>
      <c r="W244" s="72"/>
      <c r="X244" s="72"/>
      <c r="Y244" s="72"/>
      <c r="Z244" s="72"/>
      <c r="AA244" s="72"/>
      <c r="AB244" s="72"/>
      <c r="AC244" s="46"/>
      <c r="AD244" s="46"/>
      <c r="AE244" s="46"/>
      <c r="AF244" s="46"/>
      <c r="AG244" s="46"/>
      <c r="AH244" s="46"/>
      <c r="AI244" s="46"/>
      <c r="AJ244" s="46"/>
      <c r="AK244" s="46"/>
      <c r="AL244" s="46"/>
      <c r="AM244" s="46"/>
      <c r="AN244" s="46"/>
      <c r="AO244" s="46"/>
      <c r="AP244" s="96"/>
      <c r="AQ244" s="46"/>
      <c r="AR244" s="46"/>
      <c r="AS244" s="46"/>
      <c r="AT244" s="46"/>
      <c r="AU244" s="46"/>
      <c r="AV244" s="46"/>
      <c r="AW244" s="46"/>
      <c r="AX244" s="46"/>
      <c r="AY244" s="46"/>
      <c r="AZ244" s="46"/>
      <c r="BA244" s="46"/>
      <c r="BB244" s="46"/>
      <c r="BC244"/>
      <c r="BD244"/>
      <c r="BE244"/>
      <c r="BF244"/>
      <c r="BG244"/>
      <c r="BH244"/>
      <c r="BI244"/>
      <c r="BJ244"/>
      <c r="BK244"/>
      <c r="BL244"/>
      <c r="BM244"/>
      <c r="BN244"/>
    </row>
    <row r="245" spans="1:66" x14ac:dyDescent="0.25">
      <c r="A245" s="46"/>
      <c r="B245" s="46"/>
      <c r="C245" s="72"/>
      <c r="D245" s="865"/>
      <c r="E245" s="72"/>
      <c r="F245" s="72"/>
      <c r="G245" s="72"/>
      <c r="H245" s="72"/>
      <c r="I245" s="72"/>
      <c r="J245" s="72"/>
      <c r="K245" s="72"/>
      <c r="L245" s="72"/>
      <c r="M245" s="72"/>
      <c r="N245" s="72"/>
      <c r="O245" s="306"/>
      <c r="P245" s="1554" t="s">
        <v>434</v>
      </c>
      <c r="Q245" s="1555"/>
      <c r="R245" s="1556"/>
      <c r="S245" s="112">
        <f>steam_heat*ferment_heat</f>
        <v>0</v>
      </c>
      <c r="T245" s="232" t="s">
        <v>446</v>
      </c>
      <c r="U245" s="64"/>
      <c r="V245" s="272"/>
      <c r="W245" s="72"/>
      <c r="X245" s="72"/>
      <c r="Y245" s="72"/>
      <c r="Z245" s="72"/>
      <c r="AA245" s="72"/>
      <c r="AB245" s="72"/>
      <c r="AC245" s="46"/>
      <c r="AD245" s="46"/>
      <c r="AE245" s="46"/>
      <c r="AF245" s="46"/>
      <c r="AG245" s="46"/>
      <c r="AH245" s="46"/>
      <c r="AI245" s="46"/>
      <c r="AJ245" s="46"/>
      <c r="AK245" s="46"/>
      <c r="AL245" s="46"/>
      <c r="AM245" s="46"/>
      <c r="AN245" s="46"/>
      <c r="AO245" s="46"/>
      <c r="AP245" s="96"/>
      <c r="AQ245" s="46"/>
      <c r="AR245" s="46"/>
      <c r="AS245" s="46"/>
      <c r="AT245" s="46"/>
      <c r="AU245" s="46"/>
      <c r="AV245" s="46"/>
      <c r="AW245" s="46"/>
      <c r="AX245" s="46"/>
      <c r="AY245" s="46"/>
      <c r="AZ245" s="46"/>
      <c r="BA245" s="46"/>
      <c r="BB245" s="46"/>
      <c r="BC245"/>
      <c r="BD245"/>
      <c r="BE245"/>
      <c r="BF245"/>
      <c r="BG245"/>
      <c r="BH245"/>
      <c r="BI245"/>
      <c r="BJ245"/>
      <c r="BK245"/>
      <c r="BL245"/>
      <c r="BM245"/>
      <c r="BN245"/>
    </row>
    <row r="246" spans="1:66" x14ac:dyDescent="0.25">
      <c r="A246" s="46"/>
      <c r="B246" s="46"/>
      <c r="C246" s="72"/>
      <c r="D246" s="865"/>
      <c r="E246" s="72"/>
      <c r="F246" s="72"/>
      <c r="G246" s="72"/>
      <c r="H246" s="72"/>
      <c r="I246" s="72"/>
      <c r="J246" s="72"/>
      <c r="K246" s="72"/>
      <c r="L246" s="72"/>
      <c r="M246" s="72"/>
      <c r="N246" s="72"/>
      <c r="O246" s="306"/>
      <c r="P246" s="257"/>
      <c r="Q246" s="66"/>
      <c r="R246" s="66"/>
      <c r="S246" s="66"/>
      <c r="T246" s="232"/>
      <c r="U246" s="64"/>
      <c r="V246" s="272"/>
      <c r="W246" s="72"/>
      <c r="X246" s="72"/>
      <c r="Y246" s="72"/>
      <c r="Z246" s="72"/>
      <c r="AA246" s="72"/>
      <c r="AB246" s="72"/>
      <c r="AC246" s="46"/>
      <c r="AD246" s="46"/>
      <c r="AE246" s="46"/>
      <c r="AF246" s="46"/>
      <c r="AG246" s="46"/>
      <c r="AH246" s="46"/>
      <c r="AI246" s="46"/>
      <c r="AJ246" s="46"/>
      <c r="AK246" s="46"/>
      <c r="AL246" s="46"/>
      <c r="AM246" s="46"/>
      <c r="AN246" s="46"/>
      <c r="AO246" s="46"/>
      <c r="AP246" s="96"/>
      <c r="AQ246" s="46"/>
      <c r="AR246" s="46"/>
      <c r="AS246" s="46"/>
      <c r="AT246" s="46"/>
      <c r="AU246" s="46"/>
      <c r="AV246" s="46"/>
      <c r="AW246" s="46"/>
      <c r="AX246" s="46"/>
      <c r="AY246" s="46"/>
      <c r="AZ246" s="46"/>
      <c r="BA246" s="46"/>
      <c r="BB246" s="46"/>
      <c r="BC246"/>
      <c r="BD246"/>
      <c r="BE246"/>
      <c r="BF246"/>
      <c r="BG246"/>
      <c r="BH246"/>
      <c r="BI246"/>
      <c r="BJ246"/>
      <c r="BK246"/>
      <c r="BL246"/>
      <c r="BM246"/>
      <c r="BN246"/>
    </row>
    <row r="247" spans="1:66" x14ac:dyDescent="0.25">
      <c r="A247" s="46"/>
      <c r="B247" s="46"/>
      <c r="C247" s="72"/>
      <c r="D247" s="865"/>
      <c r="E247" s="72"/>
      <c r="F247" s="72"/>
      <c r="G247" s="72"/>
      <c r="H247" s="72"/>
      <c r="I247" s="72"/>
      <c r="J247" s="72"/>
      <c r="K247" s="72"/>
      <c r="L247" s="72"/>
      <c r="M247" s="72"/>
      <c r="N247" s="72"/>
      <c r="O247" s="306"/>
      <c r="P247" s="257"/>
      <c r="Q247" s="66"/>
      <c r="R247" s="237" t="s">
        <v>435</v>
      </c>
      <c r="S247" s="517">
        <f>ferment_elec</f>
        <v>12</v>
      </c>
      <c r="T247" s="1090" t="s">
        <v>565</v>
      </c>
      <c r="U247" s="64"/>
      <c r="V247" s="272"/>
      <c r="W247" s="72"/>
      <c r="X247" s="72"/>
      <c r="Y247" s="72"/>
      <c r="Z247" s="72"/>
      <c r="AA247" s="72"/>
      <c r="AB247" s="72"/>
      <c r="AC247" s="46"/>
      <c r="AD247" s="46"/>
      <c r="AE247" s="46"/>
      <c r="AF247" s="46"/>
      <c r="AG247" s="46"/>
      <c r="AH247" s="46"/>
      <c r="AI247" s="46"/>
      <c r="AJ247" s="46"/>
      <c r="AK247" s="46"/>
      <c r="AL247" s="46"/>
      <c r="AM247" s="46"/>
      <c r="AN247" s="46"/>
      <c r="AO247" s="46"/>
      <c r="AP247" s="96"/>
      <c r="AQ247" s="46"/>
      <c r="AR247" s="46"/>
      <c r="AS247" s="46"/>
      <c r="AT247" s="46"/>
      <c r="AU247" s="46"/>
      <c r="AV247" s="46"/>
      <c r="AW247" s="46"/>
      <c r="AX247" s="46"/>
      <c r="AY247" s="46"/>
      <c r="AZ247" s="46"/>
      <c r="BA247" s="46"/>
      <c r="BB247" s="46"/>
      <c r="BC247"/>
      <c r="BD247"/>
      <c r="BE247"/>
      <c r="BF247"/>
      <c r="BG247"/>
      <c r="BH247"/>
      <c r="BI247"/>
      <c r="BJ247"/>
      <c r="BK247"/>
      <c r="BL247"/>
      <c r="BM247"/>
      <c r="BN247"/>
    </row>
    <row r="248" spans="1:66" x14ac:dyDescent="0.25">
      <c r="A248" s="46"/>
      <c r="B248" s="46"/>
      <c r="C248" s="72"/>
      <c r="D248" s="865"/>
      <c r="E248" s="72"/>
      <c r="F248" s="72"/>
      <c r="G248" s="46"/>
      <c r="H248" s="46"/>
      <c r="I248" s="46"/>
      <c r="J248" s="46"/>
      <c r="K248" s="46"/>
      <c r="L248" s="46"/>
      <c r="M248" s="46"/>
      <c r="N248" s="46"/>
      <c r="O248" s="271"/>
      <c r="P248" s="62"/>
      <c r="Q248" s="63"/>
      <c r="R248" s="24"/>
      <c r="S248" s="145"/>
      <c r="T248" s="24"/>
      <c r="U248" s="64"/>
      <c r="V248" s="272"/>
      <c r="W248" s="72"/>
      <c r="X248" s="72"/>
      <c r="Y248" s="72"/>
      <c r="Z248" s="72"/>
      <c r="AA248" s="72"/>
      <c r="AB248" s="72"/>
      <c r="AC248" s="46"/>
      <c r="AD248" s="46"/>
      <c r="AE248" s="46"/>
      <c r="AF248" s="46"/>
      <c r="AG248" s="46"/>
      <c r="AH248" s="46"/>
      <c r="AI248" s="46"/>
      <c r="AJ248" s="46"/>
      <c r="AK248" s="46"/>
      <c r="AL248" s="46"/>
      <c r="AM248" s="46"/>
      <c r="AN248" s="46"/>
      <c r="AO248" s="46"/>
      <c r="AP248" s="96"/>
      <c r="AQ248" s="46"/>
      <c r="AR248" s="46"/>
      <c r="AS248" s="46"/>
      <c r="AT248" s="46"/>
      <c r="AU248" s="46"/>
      <c r="AV248" s="46"/>
      <c r="AW248" s="46"/>
      <c r="AX248" s="46"/>
      <c r="AY248" s="46"/>
      <c r="AZ248" s="46"/>
      <c r="BA248" s="46"/>
      <c r="BB248" s="46"/>
      <c r="BC248"/>
      <c r="BD248"/>
      <c r="BE248"/>
      <c r="BF248"/>
      <c r="BG248"/>
      <c r="BH248"/>
      <c r="BI248"/>
      <c r="BJ248"/>
      <c r="BK248"/>
      <c r="BL248"/>
      <c r="BM248"/>
      <c r="BN248"/>
    </row>
    <row r="249" spans="1:66" x14ac:dyDescent="0.25">
      <c r="A249" s="46"/>
      <c r="B249" s="46"/>
      <c r="C249" s="72"/>
      <c r="D249" s="865"/>
      <c r="E249" s="72"/>
      <c r="F249" s="72"/>
      <c r="G249" s="46"/>
      <c r="H249" s="46"/>
      <c r="I249" s="46"/>
      <c r="J249" s="46"/>
      <c r="K249" s="46"/>
      <c r="L249" s="46"/>
      <c r="M249" s="46"/>
      <c r="N249" s="46"/>
      <c r="O249" s="271"/>
      <c r="P249" s="62"/>
      <c r="Q249" s="63"/>
      <c r="R249" s="237" t="s">
        <v>364</v>
      </c>
      <c r="S249" s="88">
        <f>ferm_loss</f>
        <v>0</v>
      </c>
      <c r="T249" s="82" t="s">
        <v>162</v>
      </c>
      <c r="U249" s="64"/>
      <c r="V249" s="272"/>
      <c r="W249" s="72"/>
      <c r="X249" s="72"/>
      <c r="Y249" s="72"/>
      <c r="Z249" s="72"/>
      <c r="AA249" s="72"/>
      <c r="AB249" s="72"/>
      <c r="AC249" s="46"/>
      <c r="AD249" s="46"/>
      <c r="AE249" s="46"/>
      <c r="AF249" s="46"/>
      <c r="AG249" s="46"/>
      <c r="AH249" s="46"/>
      <c r="AI249" s="46"/>
      <c r="AJ249" s="46"/>
      <c r="AK249" s="46"/>
      <c r="AL249" s="46"/>
      <c r="AM249" s="46"/>
      <c r="AN249" s="46"/>
      <c r="AO249" s="46"/>
      <c r="AP249" s="96"/>
      <c r="AQ249" s="46"/>
      <c r="AR249" s="46"/>
      <c r="AS249" s="46"/>
      <c r="AT249" s="46"/>
      <c r="AU249" s="46"/>
      <c r="AV249" s="46"/>
      <c r="AW249" s="46"/>
      <c r="AX249" s="46"/>
      <c r="AY249" s="46"/>
      <c r="AZ249" s="46"/>
      <c r="BA249" s="46"/>
      <c r="BB249" s="46"/>
      <c r="BC249"/>
      <c r="BD249"/>
      <c r="BE249"/>
      <c r="BF249"/>
      <c r="BG249"/>
      <c r="BH249"/>
      <c r="BI249"/>
      <c r="BJ249"/>
      <c r="BK249"/>
      <c r="BL249"/>
      <c r="BM249"/>
      <c r="BN249"/>
    </row>
    <row r="250" spans="1:66" ht="13.8" thickBot="1" x14ac:dyDescent="0.3">
      <c r="A250" s="46"/>
      <c r="B250" s="46"/>
      <c r="C250" s="72"/>
      <c r="D250" s="865"/>
      <c r="E250" s="72"/>
      <c r="F250" s="72"/>
      <c r="G250" s="46"/>
      <c r="H250" s="46"/>
      <c r="I250" s="46"/>
      <c r="J250" s="46"/>
      <c r="K250" s="46"/>
      <c r="L250" s="46"/>
      <c r="M250" s="46"/>
      <c r="N250" s="46"/>
      <c r="O250" s="271"/>
      <c r="P250" s="69"/>
      <c r="Q250" s="70"/>
      <c r="R250" s="70"/>
      <c r="S250" s="70"/>
      <c r="T250" s="70"/>
      <c r="U250" s="71"/>
      <c r="V250" s="272"/>
      <c r="W250" s="72"/>
      <c r="X250" s="72"/>
      <c r="Y250" s="72"/>
      <c r="Z250" s="72"/>
      <c r="AA250" s="72"/>
      <c r="AB250" s="72"/>
      <c r="AC250" s="46"/>
      <c r="AD250" s="46"/>
      <c r="AE250" s="46"/>
      <c r="AF250" s="46"/>
      <c r="AG250" s="46"/>
      <c r="AH250" s="46"/>
      <c r="AI250" s="46"/>
      <c r="AJ250" s="46"/>
      <c r="AK250" s="46"/>
      <c r="AL250" s="46"/>
      <c r="AM250" s="46"/>
      <c r="AN250" s="46"/>
      <c r="AO250" s="46"/>
      <c r="AP250" s="96"/>
      <c r="AQ250" s="46"/>
      <c r="AR250" s="46"/>
      <c r="AS250" s="46"/>
      <c r="AT250" s="46"/>
      <c r="AU250" s="46"/>
      <c r="AV250" s="46"/>
      <c r="AW250" s="46"/>
      <c r="AX250" s="46"/>
      <c r="AY250" s="46"/>
      <c r="AZ250" s="46"/>
      <c r="BA250" s="46"/>
      <c r="BB250" s="46"/>
      <c r="BC250"/>
      <c r="BD250"/>
      <c r="BE250"/>
      <c r="BF250"/>
      <c r="BG250"/>
      <c r="BH250"/>
      <c r="BI250"/>
      <c r="BJ250"/>
      <c r="BK250"/>
      <c r="BL250"/>
      <c r="BM250"/>
      <c r="BN250"/>
    </row>
    <row r="251" spans="1:66" x14ac:dyDescent="0.25">
      <c r="A251" s="46"/>
      <c r="B251" s="46"/>
      <c r="C251" s="72"/>
      <c r="D251" s="865"/>
      <c r="E251" s="72"/>
      <c r="F251" s="72"/>
      <c r="G251" s="46"/>
      <c r="H251" s="46"/>
      <c r="I251" s="46"/>
      <c r="J251" s="46"/>
      <c r="K251" s="46"/>
      <c r="L251" s="46"/>
      <c r="M251" s="46"/>
      <c r="N251" s="46"/>
      <c r="O251" s="271"/>
      <c r="P251" s="72"/>
      <c r="Q251" s="72"/>
      <c r="R251" s="72"/>
      <c r="S251" s="94"/>
      <c r="T251" s="89"/>
      <c r="U251" s="89"/>
      <c r="V251" s="275"/>
      <c r="W251" s="89"/>
      <c r="X251" s="89"/>
      <c r="Y251" s="89"/>
      <c r="Z251" s="89"/>
      <c r="AA251" s="90"/>
      <c r="AB251" s="428"/>
      <c r="AC251" s="429"/>
      <c r="AD251" s="430"/>
      <c r="AE251" s="46"/>
      <c r="AF251" s="46"/>
      <c r="AG251" s="46"/>
      <c r="AH251" s="72"/>
      <c r="AI251" s="72"/>
      <c r="AJ251" s="46"/>
      <c r="AK251" s="46"/>
      <c r="AL251" s="46"/>
      <c r="AM251" s="46"/>
      <c r="AN251" s="46"/>
      <c r="AO251" s="46"/>
      <c r="AP251" s="96"/>
      <c r="AQ251" s="46"/>
      <c r="AR251" s="46"/>
      <c r="AS251" s="46"/>
      <c r="AT251" s="46"/>
      <c r="AU251" s="46"/>
      <c r="AV251" s="46"/>
      <c r="AW251" s="46"/>
      <c r="AX251" s="46"/>
      <c r="AY251" s="46"/>
      <c r="AZ251" s="46"/>
      <c r="BA251" s="46"/>
      <c r="BB251" s="46"/>
      <c r="BC251"/>
      <c r="BD251"/>
      <c r="BE251"/>
      <c r="BF251"/>
      <c r="BG251"/>
      <c r="BH251"/>
      <c r="BI251"/>
      <c r="BJ251"/>
      <c r="BK251"/>
      <c r="BL251"/>
      <c r="BM251"/>
      <c r="BN251"/>
    </row>
    <row r="252" spans="1:66" x14ac:dyDescent="0.25">
      <c r="A252" s="46"/>
      <c r="B252" s="46"/>
      <c r="C252" s="72"/>
      <c r="D252" s="865"/>
      <c r="E252" s="72"/>
      <c r="F252" s="72"/>
      <c r="G252" s="46"/>
      <c r="H252" s="46"/>
      <c r="I252" s="46"/>
      <c r="J252" s="46"/>
      <c r="K252" s="46"/>
      <c r="L252" s="46"/>
      <c r="M252" s="46"/>
      <c r="N252" s="46"/>
      <c r="O252" s="271"/>
      <c r="P252" s="72"/>
      <c r="Q252" s="72"/>
      <c r="R252" s="72"/>
      <c r="S252" s="96"/>
      <c r="T252" s="72"/>
      <c r="U252" s="72"/>
      <c r="V252" s="272"/>
      <c r="W252" s="72"/>
      <c r="X252" s="72"/>
      <c r="Y252" s="72"/>
      <c r="Z252" s="72"/>
      <c r="AA252" s="72"/>
      <c r="AB252" s="520" t="s">
        <v>613</v>
      </c>
      <c r="AC252" s="88">
        <f>gas_capt</f>
        <v>0</v>
      </c>
      <c r="AD252" s="523" t="s">
        <v>552</v>
      </c>
      <c r="AE252" s="76"/>
      <c r="AF252" s="421"/>
      <c r="AG252" s="94"/>
      <c r="AH252" s="72"/>
      <c r="AI252" s="72"/>
      <c r="AJ252" s="46"/>
      <c r="AK252" s="46"/>
      <c r="AL252" s="46"/>
      <c r="AM252" s="46"/>
      <c r="AN252" s="46"/>
      <c r="AO252" s="46"/>
      <c r="AP252" s="96"/>
      <c r="AQ252" s="46"/>
      <c r="AR252" s="46"/>
      <c r="AS252" s="46"/>
      <c r="AT252" s="46"/>
      <c r="AU252" s="46"/>
      <c r="AV252" s="46"/>
      <c r="AW252" s="46"/>
      <c r="AX252" s="46"/>
      <c r="AY252" s="46"/>
      <c r="AZ252" s="46"/>
      <c r="BA252" s="46"/>
      <c r="BB252" s="46"/>
      <c r="BC252"/>
      <c r="BD252"/>
      <c r="BE252"/>
      <c r="BF252"/>
      <c r="BG252"/>
      <c r="BH252"/>
      <c r="BI252"/>
      <c r="BJ252"/>
      <c r="BK252"/>
      <c r="BL252"/>
      <c r="BM252"/>
      <c r="BN252"/>
    </row>
    <row r="253" spans="1:66" x14ac:dyDescent="0.25">
      <c r="A253" s="46"/>
      <c r="B253" s="46"/>
      <c r="C253" s="72"/>
      <c r="D253" s="865"/>
      <c r="E253" s="72"/>
      <c r="F253" s="72"/>
      <c r="G253" s="46"/>
      <c r="H253" s="46"/>
      <c r="I253" s="46"/>
      <c r="J253" s="46"/>
      <c r="K253" s="46"/>
      <c r="L253" s="46"/>
      <c r="M253" s="46"/>
      <c r="N253" s="46"/>
      <c r="O253" s="271"/>
      <c r="P253" s="258"/>
      <c r="Q253" s="97"/>
      <c r="R253" s="97"/>
      <c r="S253" s="97"/>
      <c r="T253" s="97"/>
      <c r="U253" s="259"/>
      <c r="V253" s="272"/>
      <c r="W253" s="72"/>
      <c r="X253" s="72"/>
      <c r="Y253" s="72"/>
      <c r="Z253" s="72"/>
      <c r="AA253" s="72"/>
      <c r="AB253" s="434"/>
      <c r="AC253" s="435"/>
      <c r="AD253" s="436"/>
      <c r="AE253" s="46"/>
      <c r="AF253" s="95"/>
      <c r="AG253" s="48"/>
      <c r="AH253" s="49"/>
      <c r="AI253" s="46"/>
      <c r="AJ253" s="46"/>
      <c r="AK253" s="46"/>
      <c r="AL253" s="46"/>
      <c r="AM253" s="46"/>
      <c r="AN253" s="46"/>
      <c r="AO253" s="46"/>
      <c r="AP253" s="96"/>
      <c r="AQ253" s="46"/>
      <c r="AR253" s="46"/>
      <c r="AS253" s="46"/>
      <c r="AT253" s="46"/>
      <c r="AU253" s="46"/>
      <c r="AV253" s="46"/>
      <c r="AW253" s="46"/>
      <c r="AX253" s="46"/>
      <c r="AY253" s="46"/>
      <c r="AZ253" s="46"/>
      <c r="BA253" s="46"/>
      <c r="BB253" s="46"/>
      <c r="BC253"/>
      <c r="BD253"/>
      <c r="BE253"/>
      <c r="BF253"/>
      <c r="BG253"/>
      <c r="BH253"/>
      <c r="BI253"/>
      <c r="BJ253"/>
      <c r="BK253"/>
      <c r="BL253"/>
      <c r="BM253"/>
      <c r="BN253"/>
    </row>
    <row r="254" spans="1:66" ht="15.6" x14ac:dyDescent="0.35">
      <c r="A254" s="46"/>
      <c r="B254" s="46"/>
      <c r="C254" s="72"/>
      <c r="D254" s="865"/>
      <c r="E254" s="72"/>
      <c r="F254" s="72"/>
      <c r="G254" s="46"/>
      <c r="H254" s="46"/>
      <c r="I254" s="46"/>
      <c r="J254" s="46"/>
      <c r="K254" s="46"/>
      <c r="L254" s="46"/>
      <c r="M254" s="46"/>
      <c r="N254" s="46"/>
      <c r="O254" s="271"/>
      <c r="P254" s="78"/>
      <c r="Q254" s="79"/>
      <c r="R254" s="1447" t="s">
        <v>1587</v>
      </c>
      <c r="S254" s="80">
        <f>S237*S243*(100-S249)/100</f>
        <v>9.816975E-2</v>
      </c>
      <c r="T254" s="1100" t="s">
        <v>1588</v>
      </c>
      <c r="U254" s="52"/>
      <c r="V254" s="272"/>
      <c r="W254" s="72"/>
      <c r="X254" s="72"/>
      <c r="Y254" s="72"/>
      <c r="Z254" s="72"/>
      <c r="AA254" s="72"/>
      <c r="AB254" s="72"/>
      <c r="AC254" s="46"/>
      <c r="AD254" s="46"/>
      <c r="AE254" s="46"/>
      <c r="AF254" s="78" t="s">
        <v>284</v>
      </c>
      <c r="AG254" s="80">
        <f>AC252*S254*carbondioxide_emit</f>
        <v>0</v>
      </c>
      <c r="AH254" s="238" t="s">
        <v>608</v>
      </c>
      <c r="AI254" s="46"/>
      <c r="AJ254" s="46"/>
      <c r="AK254" s="46"/>
      <c r="AL254" s="46"/>
      <c r="AM254" s="46"/>
      <c r="AN254" s="46"/>
      <c r="AO254" s="46"/>
      <c r="AP254" s="96"/>
      <c r="AQ254" s="46"/>
      <c r="AR254" s="46"/>
      <c r="AS254" s="46"/>
      <c r="AT254" s="46"/>
      <c r="AU254" s="46"/>
      <c r="AV254" s="46"/>
      <c r="AW254" s="46"/>
      <c r="AX254" s="46"/>
      <c r="AY254" s="46"/>
      <c r="AZ254" s="46"/>
      <c r="BA254" s="46"/>
      <c r="BB254" s="46"/>
      <c r="BC254"/>
      <c r="BD254"/>
      <c r="BE254"/>
      <c r="BF254"/>
      <c r="BG254"/>
      <c r="BH254"/>
      <c r="BI254"/>
      <c r="BJ254"/>
      <c r="BK254"/>
      <c r="BL254"/>
      <c r="BM254"/>
      <c r="BN254"/>
    </row>
    <row r="255" spans="1:66" x14ac:dyDescent="0.25">
      <c r="A255" s="46"/>
      <c r="B255" s="46"/>
      <c r="C255" s="46"/>
      <c r="D255" s="865"/>
      <c r="E255" s="46"/>
      <c r="F255" s="46"/>
      <c r="G255" s="46"/>
      <c r="H255" s="46"/>
      <c r="I255" s="46"/>
      <c r="J255" s="46"/>
      <c r="K255" s="46"/>
      <c r="L255" s="46"/>
      <c r="M255" s="46"/>
      <c r="N255" s="46"/>
      <c r="O255" s="271"/>
      <c r="P255" s="78"/>
      <c r="Q255" s="79"/>
      <c r="R255" s="79"/>
      <c r="S255" s="79"/>
      <c r="T255" s="51"/>
      <c r="U255" s="52"/>
      <c r="V255" s="272"/>
      <c r="W255" s="72"/>
      <c r="X255" s="72"/>
      <c r="Y255" s="72"/>
      <c r="Z255" s="72"/>
      <c r="AA255" s="72"/>
      <c r="AB255" s="72"/>
      <c r="AC255" s="46"/>
      <c r="AD255" s="46"/>
      <c r="AE255" s="46"/>
      <c r="AF255" s="78"/>
      <c r="AG255" s="51"/>
      <c r="AH255" s="53"/>
      <c r="AI255" s="46"/>
      <c r="AJ255" s="46"/>
      <c r="AK255" s="46"/>
      <c r="AL255" s="46"/>
      <c r="AM255" s="46"/>
      <c r="AN255" s="46"/>
      <c r="AO255" s="46"/>
      <c r="AP255" s="96"/>
      <c r="AQ255" s="46"/>
      <c r="AR255" s="46"/>
      <c r="AS255" s="46"/>
      <c r="AT255" s="46"/>
      <c r="AU255" s="46"/>
      <c r="AV255" s="46"/>
      <c r="AW255" s="46"/>
      <c r="AX255" s="46"/>
      <c r="AY255" s="46"/>
      <c r="AZ255" s="46"/>
      <c r="BA255" s="46"/>
      <c r="BB255" s="46"/>
      <c r="BC255"/>
      <c r="BD255"/>
      <c r="BE255"/>
      <c r="BF255"/>
      <c r="BG255"/>
      <c r="BH255"/>
      <c r="BI255"/>
      <c r="BJ255"/>
      <c r="BK255"/>
      <c r="BL255"/>
      <c r="BM255"/>
      <c r="BN255"/>
    </row>
    <row r="256" spans="1:66" ht="15.6" x14ac:dyDescent="0.35">
      <c r="A256" s="46"/>
      <c r="B256" s="46"/>
      <c r="C256" s="46"/>
      <c r="D256" s="865"/>
      <c r="E256" s="46"/>
      <c r="F256" s="46"/>
      <c r="G256" s="46"/>
      <c r="H256" s="46"/>
      <c r="I256" s="46"/>
      <c r="J256" s="46"/>
      <c r="K256" s="46"/>
      <c r="L256" s="46"/>
      <c r="M256" s="46"/>
      <c r="N256" s="46"/>
      <c r="O256" s="271"/>
      <c r="P256" s="78"/>
      <c r="Q256" s="79"/>
      <c r="R256" s="228" t="s">
        <v>448</v>
      </c>
      <c r="S256" s="277">
        <f>broth_conc</f>
        <v>50.8</v>
      </c>
      <c r="T256" s="1100" t="s">
        <v>1589</v>
      </c>
      <c r="U256" s="52"/>
      <c r="V256" s="272"/>
      <c r="W256" s="72"/>
      <c r="X256" s="72"/>
      <c r="Y256" s="72"/>
      <c r="Z256" s="72"/>
      <c r="AA256" s="72"/>
      <c r="AB256" s="72"/>
      <c r="AC256" s="46"/>
      <c r="AD256" s="46"/>
      <c r="AE256" s="46"/>
      <c r="AF256" s="78" t="s">
        <v>607</v>
      </c>
      <c r="AG256" s="240">
        <f>price_carbondioxide</f>
        <v>43.31</v>
      </c>
      <c r="AH256" s="238" t="s">
        <v>609</v>
      </c>
      <c r="AI256" s="46"/>
      <c r="AJ256" s="46"/>
      <c r="AK256" s="46"/>
      <c r="AL256" s="46"/>
      <c r="AM256" s="46"/>
      <c r="AN256" s="46"/>
      <c r="AO256" s="46"/>
      <c r="AP256" s="96"/>
      <c r="AQ256" s="46"/>
      <c r="AR256" s="46"/>
      <c r="AS256" s="46"/>
      <c r="AT256" s="46"/>
      <c r="AU256" s="46"/>
      <c r="AV256" s="46"/>
      <c r="AW256" s="46"/>
      <c r="AX256" s="46"/>
      <c r="AY256" s="46"/>
      <c r="AZ256" s="46"/>
      <c r="BA256" s="46"/>
      <c r="BB256" s="46"/>
      <c r="BC256"/>
      <c r="BD256"/>
      <c r="BE256"/>
      <c r="BF256"/>
      <c r="BG256"/>
      <c r="BH256"/>
      <c r="BI256"/>
      <c r="BJ256"/>
      <c r="BK256"/>
      <c r="BL256"/>
      <c r="BM256"/>
      <c r="BN256"/>
    </row>
    <row r="257" spans="1:66" x14ac:dyDescent="0.25">
      <c r="A257" s="46"/>
      <c r="B257" s="46"/>
      <c r="C257" s="46"/>
      <c r="D257" s="865"/>
      <c r="E257" s="46"/>
      <c r="F257" s="46"/>
      <c r="G257" s="46"/>
      <c r="H257" s="46"/>
      <c r="I257" s="46"/>
      <c r="J257" s="46"/>
      <c r="K257" s="46"/>
      <c r="L257" s="46"/>
      <c r="M257" s="46"/>
      <c r="N257" s="46"/>
      <c r="O257" s="271"/>
      <c r="P257" s="78"/>
      <c r="Q257" s="79"/>
      <c r="R257" s="79"/>
      <c r="S257" s="79"/>
      <c r="T257" s="51"/>
      <c r="U257" s="52"/>
      <c r="V257" s="272"/>
      <c r="W257" s="72"/>
      <c r="X257" s="72"/>
      <c r="Y257" s="72"/>
      <c r="Z257" s="72"/>
      <c r="AA257" s="72"/>
      <c r="AB257" s="72"/>
      <c r="AC257" s="46"/>
      <c r="AD257" s="46"/>
      <c r="AE257" s="46"/>
      <c r="AF257" s="78"/>
      <c r="AG257" s="97"/>
      <c r="AH257" s="53"/>
      <c r="AI257" s="46"/>
      <c r="AJ257" s="46"/>
      <c r="AK257" s="46"/>
      <c r="AL257" s="46"/>
      <c r="AM257" s="46"/>
      <c r="AN257" s="46"/>
      <c r="AO257" s="46"/>
      <c r="AP257" s="96"/>
      <c r="AQ257" s="46"/>
      <c r="AR257" s="46"/>
      <c r="AS257" s="46"/>
      <c r="AT257" s="46"/>
      <c r="AU257" s="46"/>
      <c r="AV257" s="46"/>
      <c r="AW257" s="46"/>
      <c r="AX257" s="46"/>
      <c r="AY257" s="46"/>
      <c r="AZ257" s="46"/>
      <c r="BA257" s="46"/>
      <c r="BB257" s="46"/>
      <c r="BC257"/>
      <c r="BD257"/>
      <c r="BE257"/>
      <c r="BF257"/>
      <c r="BG257"/>
      <c r="BH257"/>
      <c r="BI257"/>
      <c r="BJ257"/>
      <c r="BK257"/>
      <c r="BL257"/>
      <c r="BM257"/>
      <c r="BN257"/>
    </row>
    <row r="258" spans="1:66" ht="16.8" x14ac:dyDescent="0.35">
      <c r="A258" s="46"/>
      <c r="B258" s="46"/>
      <c r="C258" s="46"/>
      <c r="D258" s="865"/>
      <c r="E258" s="46"/>
      <c r="F258" s="46"/>
      <c r="G258" s="46"/>
      <c r="H258" s="46"/>
      <c r="I258" s="46"/>
      <c r="J258" s="46"/>
      <c r="K258" s="46"/>
      <c r="L258" s="46"/>
      <c r="M258" s="46"/>
      <c r="N258" s="46"/>
      <c r="O258" s="271"/>
      <c r="P258" s="78"/>
      <c r="Q258" s="79"/>
      <c r="R258" s="79" t="s">
        <v>286</v>
      </c>
      <c r="S258" s="112">
        <f>1000/S256</f>
        <v>19.685039370078741</v>
      </c>
      <c r="T258" s="1100" t="s">
        <v>1592</v>
      </c>
      <c r="U258" s="52"/>
      <c r="V258" s="272"/>
      <c r="W258" s="72"/>
      <c r="X258" s="72"/>
      <c r="Y258" s="72"/>
      <c r="Z258" s="72"/>
      <c r="AA258" s="72"/>
      <c r="AB258" s="72"/>
      <c r="AC258" s="46"/>
      <c r="AD258" s="46"/>
      <c r="AE258" s="46"/>
      <c r="AF258" s="245" t="s">
        <v>610</v>
      </c>
      <c r="AG258" s="709">
        <f>subs_cred_carb_diox</f>
        <v>3932</v>
      </c>
      <c r="AH258" s="238" t="s">
        <v>611</v>
      </c>
      <c r="AI258" s="46"/>
      <c r="AJ258" s="46"/>
      <c r="AK258" s="46"/>
      <c r="AL258" s="46"/>
      <c r="AM258" s="46"/>
      <c r="AN258" s="46"/>
      <c r="AO258" s="46"/>
      <c r="AP258" s="96"/>
      <c r="AQ258" s="46"/>
      <c r="AR258" s="46"/>
      <c r="AS258" s="46"/>
      <c r="AT258" s="46"/>
      <c r="AU258" s="46"/>
      <c r="AV258" s="46"/>
      <c r="AW258" s="46"/>
      <c r="AX258" s="46"/>
      <c r="AY258" s="46"/>
      <c r="AZ258" s="46"/>
      <c r="BA258" s="46"/>
      <c r="BB258" s="46"/>
      <c r="BC258"/>
      <c r="BD258"/>
      <c r="BE258"/>
      <c r="BF258"/>
      <c r="BG258"/>
      <c r="BH258"/>
      <c r="BI258"/>
      <c r="BJ258"/>
      <c r="BK258"/>
      <c r="BL258"/>
      <c r="BM258"/>
      <c r="BN258"/>
    </row>
    <row r="259" spans="1:66" x14ac:dyDescent="0.25">
      <c r="A259" s="46"/>
      <c r="B259" s="46"/>
      <c r="C259" s="46"/>
      <c r="D259" s="865"/>
      <c r="E259" s="46"/>
      <c r="F259" s="46"/>
      <c r="G259" s="46"/>
      <c r="H259" s="46"/>
      <c r="I259" s="46"/>
      <c r="J259" s="46"/>
      <c r="K259" s="46"/>
      <c r="L259" s="46"/>
      <c r="M259" s="46"/>
      <c r="N259" s="46"/>
      <c r="O259" s="271"/>
      <c r="P259" s="78"/>
      <c r="Q259" s="79"/>
      <c r="R259" s="79"/>
      <c r="S259" s="79"/>
      <c r="T259" s="51"/>
      <c r="U259" s="52"/>
      <c r="V259" s="272"/>
      <c r="W259" s="72"/>
      <c r="X259" s="72"/>
      <c r="Y259" s="72"/>
      <c r="Z259" s="72"/>
      <c r="AA259" s="72"/>
      <c r="AB259" s="72"/>
      <c r="AC259" s="46"/>
      <c r="AD259" s="46"/>
      <c r="AE259" s="46"/>
      <c r="AF259" s="226"/>
      <c r="AG259" s="57"/>
      <c r="AH259" s="58"/>
      <c r="AI259" s="46"/>
      <c r="AJ259" s="46"/>
      <c r="AK259" s="46"/>
      <c r="AL259" s="46"/>
      <c r="AM259" s="46"/>
      <c r="AN259" s="46"/>
      <c r="AO259" s="46"/>
      <c r="AP259" s="96"/>
      <c r="AQ259" s="46"/>
      <c r="AR259" s="46"/>
      <c r="AS259" s="46"/>
      <c r="AT259" s="46"/>
      <c r="AU259" s="46"/>
      <c r="AV259" s="46"/>
      <c r="AW259" s="46"/>
      <c r="AX259" s="46"/>
      <c r="AY259" s="46"/>
      <c r="AZ259" s="46"/>
      <c r="BA259" s="46"/>
      <c r="BB259" s="46"/>
      <c r="BC259"/>
      <c r="BD259"/>
      <c r="BE259"/>
      <c r="BF259"/>
      <c r="BG259"/>
      <c r="BH259"/>
      <c r="BI259"/>
      <c r="BJ259"/>
      <c r="BK259"/>
      <c r="BL259"/>
      <c r="BM259"/>
      <c r="BN259"/>
    </row>
    <row r="260" spans="1:66" x14ac:dyDescent="0.25">
      <c r="A260" s="46"/>
      <c r="B260" s="46"/>
      <c r="C260" s="46"/>
      <c r="D260" s="865"/>
      <c r="E260" s="46"/>
      <c r="F260" s="46"/>
      <c r="G260" s="46"/>
      <c r="H260" s="46"/>
      <c r="I260" s="46"/>
      <c r="J260" s="46"/>
      <c r="K260" s="46"/>
      <c r="L260" s="46"/>
      <c r="M260" s="46"/>
      <c r="N260" s="46"/>
      <c r="O260" s="271"/>
      <c r="P260" s="78"/>
      <c r="Q260" s="79"/>
      <c r="R260" s="1447" t="s">
        <v>1594</v>
      </c>
      <c r="S260" s="112">
        <f>price_be_sc</f>
        <v>494</v>
      </c>
      <c r="T260" s="1100" t="s">
        <v>447</v>
      </c>
      <c r="U260" s="52"/>
      <c r="V260" s="272"/>
      <c r="W260" s="72"/>
      <c r="X260" s="72"/>
      <c r="Y260" s="72"/>
      <c r="Z260" s="72"/>
      <c r="AA260" s="72"/>
      <c r="AB260" s="72"/>
      <c r="AC260" s="46"/>
      <c r="AD260" s="46"/>
      <c r="AE260" s="46"/>
      <c r="AF260" s="46"/>
      <c r="AG260" s="46"/>
      <c r="AH260" s="46"/>
      <c r="AI260" s="46"/>
      <c r="AJ260" s="46"/>
      <c r="AK260" s="46"/>
      <c r="AL260" s="46"/>
      <c r="AM260" s="46"/>
      <c r="AN260" s="46"/>
      <c r="AO260" s="46"/>
      <c r="AP260" s="96"/>
      <c r="AQ260" s="46"/>
      <c r="AR260" s="46"/>
      <c r="AS260" s="46"/>
      <c r="AT260" s="46"/>
      <c r="AU260" s="46"/>
      <c r="AV260" s="46"/>
      <c r="AW260" s="46"/>
      <c r="AX260" s="46"/>
      <c r="AY260" s="46"/>
      <c r="AZ260" s="46"/>
      <c r="BA260" s="46"/>
      <c r="BB260" s="46"/>
      <c r="BC260"/>
      <c r="BD260"/>
      <c r="BE260"/>
      <c r="BF260"/>
      <c r="BG260"/>
      <c r="BH260"/>
      <c r="BI260"/>
      <c r="BJ260"/>
      <c r="BK260"/>
      <c r="BL260"/>
      <c r="BM260"/>
      <c r="BN260"/>
    </row>
    <row r="261" spans="1:66" x14ac:dyDescent="0.25">
      <c r="A261" s="46"/>
      <c r="B261" s="46"/>
      <c r="C261" s="46"/>
      <c r="D261" s="865"/>
      <c r="E261" s="46"/>
      <c r="F261" s="46"/>
      <c r="G261" s="46"/>
      <c r="H261" s="46"/>
      <c r="I261" s="46"/>
      <c r="J261" s="46"/>
      <c r="K261" s="46"/>
      <c r="L261" s="46"/>
      <c r="M261" s="46"/>
      <c r="N261" s="46"/>
      <c r="O261" s="271"/>
      <c r="P261" s="78"/>
      <c r="Q261" s="79"/>
      <c r="R261" s="79"/>
      <c r="S261" s="79"/>
      <c r="T261" s="51"/>
      <c r="U261" s="52"/>
      <c r="V261" s="272"/>
      <c r="W261" s="72"/>
      <c r="X261" s="72"/>
      <c r="Y261" s="72"/>
      <c r="Z261" s="72"/>
      <c r="AA261" s="72"/>
      <c r="AB261" s="72"/>
      <c r="AC261" s="46"/>
      <c r="AD261" s="46"/>
      <c r="AE261" s="46"/>
      <c r="AF261" s="46"/>
      <c r="AG261" s="46"/>
      <c r="AH261" s="46"/>
      <c r="AI261" s="46"/>
      <c r="AJ261" s="46"/>
      <c r="AK261" s="46"/>
      <c r="AL261" s="46"/>
      <c r="AM261" s="46"/>
      <c r="AN261" s="46"/>
      <c r="AO261" s="46"/>
      <c r="AP261" s="96"/>
      <c r="AQ261" s="46"/>
      <c r="AR261" s="46"/>
      <c r="AS261" s="46"/>
      <c r="AT261" s="46"/>
      <c r="AU261" s="46"/>
      <c r="AV261" s="46"/>
      <c r="AW261" s="46"/>
      <c r="AX261" s="46"/>
      <c r="AY261" s="46"/>
      <c r="AZ261" s="46"/>
      <c r="BA261" s="46"/>
      <c r="BB261" s="46"/>
      <c r="BC261"/>
      <c r="BD261"/>
      <c r="BE261"/>
      <c r="BF261"/>
      <c r="BG261"/>
      <c r="BH261"/>
      <c r="BI261"/>
      <c r="BJ261"/>
      <c r="BK261"/>
      <c r="BL261"/>
      <c r="BM261"/>
      <c r="BN261"/>
    </row>
    <row r="262" spans="1:66" x14ac:dyDescent="0.25">
      <c r="A262" s="46"/>
      <c r="B262" s="46"/>
      <c r="C262" s="46"/>
      <c r="D262" s="865"/>
      <c r="E262" s="46"/>
      <c r="F262" s="46"/>
      <c r="G262" s="46"/>
      <c r="H262" s="46"/>
      <c r="I262" s="46"/>
      <c r="J262" s="46"/>
      <c r="K262" s="46"/>
      <c r="L262" s="46"/>
      <c r="M262" s="46"/>
      <c r="N262" s="46"/>
      <c r="O262" s="271"/>
      <c r="P262" s="78"/>
      <c r="Q262" s="79"/>
      <c r="R262" s="1447" t="s">
        <v>1593</v>
      </c>
      <c r="S262" s="708">
        <f>CV_be</f>
        <v>26700</v>
      </c>
      <c r="T262" s="1100" t="s">
        <v>446</v>
      </c>
      <c r="U262" s="52"/>
      <c r="V262" s="272"/>
      <c r="W262" s="72"/>
      <c r="X262" s="72"/>
      <c r="Y262" s="72"/>
      <c r="Z262" s="72"/>
      <c r="AA262" s="72"/>
      <c r="AB262" s="72"/>
      <c r="AC262" s="46"/>
      <c r="AD262" s="46"/>
      <c r="AE262" s="46"/>
      <c r="AF262" s="46"/>
      <c r="AG262" s="46"/>
      <c r="AH262" s="46"/>
      <c r="AI262" s="46"/>
      <c r="AJ262" s="46"/>
      <c r="AK262" s="46"/>
      <c r="AL262" s="46"/>
      <c r="AM262" s="46"/>
      <c r="AN262" s="46"/>
      <c r="AO262" s="46"/>
      <c r="AP262" s="96"/>
      <c r="AQ262" s="46"/>
      <c r="AR262" s="46"/>
      <c r="AS262" s="46"/>
      <c r="AT262" s="46"/>
      <c r="AU262" s="46"/>
      <c r="AV262" s="46"/>
      <c r="AW262" s="46"/>
      <c r="AX262" s="46"/>
      <c r="AY262" s="46"/>
      <c r="AZ262" s="46"/>
      <c r="BA262" s="46"/>
      <c r="BB262" s="46"/>
      <c r="BC262"/>
      <c r="BD262"/>
      <c r="BE262"/>
      <c r="BF262"/>
      <c r="BG262"/>
      <c r="BH262"/>
      <c r="BI262"/>
      <c r="BJ262"/>
      <c r="BK262"/>
      <c r="BL262"/>
      <c r="BM262"/>
      <c r="BN262"/>
    </row>
    <row r="263" spans="1:66" x14ac:dyDescent="0.25">
      <c r="A263" s="46"/>
      <c r="B263" s="46"/>
      <c r="C263" s="46"/>
      <c r="D263" s="865"/>
      <c r="E263" s="46"/>
      <c r="F263" s="46"/>
      <c r="G263" s="46"/>
      <c r="H263" s="46"/>
      <c r="I263" s="46"/>
      <c r="J263" s="46"/>
      <c r="K263" s="46"/>
      <c r="L263" s="46"/>
      <c r="M263" s="46"/>
      <c r="N263" s="46"/>
      <c r="O263" s="271"/>
      <c r="P263" s="226"/>
      <c r="Q263" s="98"/>
      <c r="R263" s="98"/>
      <c r="S263" s="98"/>
      <c r="T263" s="98"/>
      <c r="U263" s="225"/>
      <c r="V263" s="272"/>
      <c r="W263" s="72"/>
      <c r="X263" s="72"/>
      <c r="Y263" s="72"/>
      <c r="Z263" s="72"/>
      <c r="AA263" s="72"/>
      <c r="AB263" s="72"/>
      <c r="AC263" s="46"/>
      <c r="AD263" s="46"/>
      <c r="AE263" s="46"/>
      <c r="AF263" s="46"/>
      <c r="AG263" s="46"/>
      <c r="AH263" s="46"/>
      <c r="AI263" s="46"/>
      <c r="AJ263" s="46"/>
      <c r="AK263" s="46"/>
      <c r="AL263" s="46"/>
      <c r="AM263" s="46"/>
      <c r="AN263" s="46"/>
      <c r="AO263" s="46"/>
      <c r="AP263" s="96"/>
      <c r="AQ263" s="46"/>
      <c r="AR263" s="46"/>
      <c r="AS263" s="46"/>
      <c r="AT263" s="46"/>
      <c r="AU263" s="46"/>
      <c r="AV263" s="46"/>
      <c r="AW263" s="46"/>
      <c r="AX263" s="46"/>
      <c r="AY263" s="46"/>
      <c r="AZ263" s="46"/>
      <c r="BA263" s="46"/>
      <c r="BB263" s="46"/>
      <c r="BC263"/>
      <c r="BD263"/>
      <c r="BE263"/>
      <c r="BF263"/>
      <c r="BG263"/>
      <c r="BH263"/>
      <c r="BI263"/>
      <c r="BJ263"/>
      <c r="BK263"/>
      <c r="BL263"/>
      <c r="BM263"/>
      <c r="BN263"/>
    </row>
    <row r="264" spans="1:66" x14ac:dyDescent="0.25">
      <c r="A264" s="46"/>
      <c r="B264" s="46"/>
      <c r="C264" s="46"/>
      <c r="D264" s="865"/>
      <c r="E264" s="46"/>
      <c r="F264" s="46"/>
      <c r="G264" s="46"/>
      <c r="H264" s="46"/>
      <c r="I264" s="46"/>
      <c r="J264" s="46"/>
      <c r="K264" s="46"/>
      <c r="L264" s="46"/>
      <c r="M264" s="46"/>
      <c r="N264" s="46"/>
      <c r="O264" s="271"/>
      <c r="P264" s="72"/>
      <c r="Q264" s="72"/>
      <c r="R264" s="72"/>
      <c r="S264" s="75"/>
      <c r="T264" s="72"/>
      <c r="U264" s="72"/>
      <c r="V264" s="272"/>
      <c r="W264" s="72"/>
      <c r="X264" s="72"/>
      <c r="Y264" s="72"/>
      <c r="Z264" s="72"/>
      <c r="AA264" s="72"/>
      <c r="AB264" s="72"/>
      <c r="AC264" s="46"/>
      <c r="AD264" s="46"/>
      <c r="AE264" s="46"/>
      <c r="AF264" s="46"/>
      <c r="AG264" s="46"/>
      <c r="AH264" s="46"/>
      <c r="AI264" s="46"/>
      <c r="AJ264" s="46"/>
      <c r="AK264" s="46"/>
      <c r="AL264" s="46"/>
      <c r="AM264" s="46"/>
      <c r="AN264" s="46"/>
      <c r="AO264" s="46"/>
      <c r="AP264" s="96"/>
      <c r="AQ264" s="46"/>
      <c r="AR264" s="46"/>
      <c r="AS264" s="46"/>
      <c r="AT264" s="46"/>
      <c r="AU264" s="46"/>
      <c r="AV264" s="46"/>
      <c r="AW264" s="46"/>
      <c r="AX264" s="46"/>
      <c r="AY264" s="46"/>
      <c r="AZ264" s="46"/>
      <c r="BA264" s="46"/>
      <c r="BB264" s="46"/>
      <c r="BC264"/>
      <c r="BD264"/>
      <c r="BE264"/>
      <c r="BF264"/>
      <c r="BG264"/>
      <c r="BH264"/>
      <c r="BI264"/>
      <c r="BJ264"/>
      <c r="BK264"/>
      <c r="BL264"/>
      <c r="BM264"/>
      <c r="BN264"/>
    </row>
    <row r="265" spans="1:66" ht="13.8" thickBot="1" x14ac:dyDescent="0.3">
      <c r="A265" s="46"/>
      <c r="B265" s="46"/>
      <c r="C265" s="46"/>
      <c r="D265" s="865"/>
      <c r="E265" s="46"/>
      <c r="F265" s="46"/>
      <c r="G265" s="46"/>
      <c r="H265" s="46"/>
      <c r="I265" s="46"/>
      <c r="J265" s="46"/>
      <c r="K265" s="46"/>
      <c r="L265" s="46"/>
      <c r="M265" s="46"/>
      <c r="N265" s="46"/>
      <c r="O265" s="271"/>
      <c r="P265" s="72"/>
      <c r="Q265" s="72"/>
      <c r="R265" s="72"/>
      <c r="S265" s="96"/>
      <c r="T265" s="72"/>
      <c r="U265" s="72"/>
      <c r="V265" s="272"/>
      <c r="W265" s="72"/>
      <c r="X265" s="72"/>
      <c r="Y265" s="72"/>
      <c r="Z265" s="72"/>
      <c r="AA265" s="72"/>
      <c r="AB265" s="72"/>
      <c r="AC265" s="46"/>
      <c r="AD265" s="46"/>
      <c r="AE265" s="46"/>
      <c r="AF265" s="46"/>
      <c r="AG265" s="46"/>
      <c r="AH265" s="46"/>
      <c r="AI265" s="46"/>
      <c r="AJ265" s="46"/>
      <c r="AK265" s="46"/>
      <c r="AL265" s="46"/>
      <c r="AM265" s="46"/>
      <c r="AN265" s="46"/>
      <c r="AO265" s="46"/>
      <c r="AP265" s="96"/>
      <c r="AQ265" s="46"/>
      <c r="AR265" s="46"/>
      <c r="AS265" s="46"/>
      <c r="AT265" s="46"/>
      <c r="AU265" s="46"/>
      <c r="AV265" s="46"/>
      <c r="AW265" s="46"/>
      <c r="AX265" s="46"/>
      <c r="AY265" s="46"/>
      <c r="AZ265" s="46"/>
      <c r="BA265" s="46"/>
      <c r="BB265" s="46"/>
      <c r="BC265"/>
      <c r="BD265"/>
      <c r="BE265"/>
      <c r="BF265"/>
      <c r="BG265"/>
      <c r="BH265"/>
      <c r="BI265"/>
      <c r="BJ265"/>
      <c r="BK265"/>
      <c r="BL265"/>
      <c r="BM265"/>
      <c r="BN265"/>
    </row>
    <row r="266" spans="1:66" x14ac:dyDescent="0.25">
      <c r="A266" s="46"/>
      <c r="B266" s="46"/>
      <c r="C266" s="46"/>
      <c r="D266" s="865"/>
      <c r="E266" s="46"/>
      <c r="F266" s="46"/>
      <c r="G266" s="46"/>
      <c r="H266" s="46"/>
      <c r="I266" s="46"/>
      <c r="J266" s="46"/>
      <c r="K266" s="46"/>
      <c r="L266" s="46"/>
      <c r="M266" s="46"/>
      <c r="N266" s="46"/>
      <c r="O266" s="271"/>
      <c r="P266" s="243"/>
      <c r="Q266" s="60"/>
      <c r="R266" s="60"/>
      <c r="S266" s="60"/>
      <c r="T266" s="60"/>
      <c r="U266" s="61"/>
      <c r="V266" s="272"/>
      <c r="W266" s="72"/>
      <c r="X266" s="72"/>
      <c r="Y266" s="72"/>
      <c r="Z266" s="72"/>
      <c r="AA266" s="72"/>
      <c r="AB266" s="72"/>
      <c r="AC266" s="46"/>
      <c r="AD266" s="46"/>
      <c r="AE266" s="46"/>
      <c r="AF266" s="46"/>
      <c r="AG266" s="46"/>
      <c r="AH266" s="46"/>
      <c r="AI266" s="46"/>
      <c r="AJ266" s="46"/>
      <c r="AK266" s="46"/>
      <c r="AL266" s="46"/>
      <c r="AM266" s="46"/>
      <c r="AN266" s="46"/>
      <c r="AO266" s="46"/>
      <c r="AP266" s="96"/>
      <c r="AQ266" s="46"/>
      <c r="AR266" s="46"/>
      <c r="AS266" s="46"/>
      <c r="AT266" s="46"/>
      <c r="AU266" s="46"/>
      <c r="AV266" s="46"/>
      <c r="AW266" s="46"/>
      <c r="AX266" s="46"/>
      <c r="AY266" s="46"/>
      <c r="AZ266" s="46"/>
      <c r="BA266" s="46"/>
      <c r="BB266" s="46"/>
      <c r="BC266"/>
      <c r="BD266"/>
      <c r="BE266"/>
      <c r="BF266"/>
      <c r="BG266"/>
      <c r="BH266"/>
      <c r="BI266"/>
      <c r="BJ266"/>
      <c r="BK266"/>
      <c r="BL266"/>
      <c r="BM266"/>
      <c r="BN266"/>
    </row>
    <row r="267" spans="1:66" x14ac:dyDescent="0.25">
      <c r="A267" s="46"/>
      <c r="B267" s="46"/>
      <c r="C267" s="46"/>
      <c r="D267" s="865"/>
      <c r="E267" s="46"/>
      <c r="F267" s="46"/>
      <c r="G267" s="46"/>
      <c r="H267" s="46"/>
      <c r="I267" s="46"/>
      <c r="J267" s="46"/>
      <c r="K267" s="46"/>
      <c r="L267" s="46"/>
      <c r="M267" s="46"/>
      <c r="N267" s="46"/>
      <c r="O267" s="271"/>
      <c r="P267" s="81"/>
      <c r="Q267" s="1552" t="s">
        <v>1716</v>
      </c>
      <c r="R267" s="1552"/>
      <c r="S267" s="1552"/>
      <c r="T267" s="1552"/>
      <c r="U267" s="554"/>
      <c r="V267" s="272"/>
      <c r="W267" s="72"/>
      <c r="X267" s="72"/>
      <c r="Y267" s="72"/>
      <c r="Z267" s="72"/>
      <c r="AA267" s="72"/>
      <c r="AB267" s="72"/>
      <c r="AC267" s="46"/>
      <c r="AD267" s="46"/>
      <c r="AE267" s="46"/>
      <c r="AF267" s="46"/>
      <c r="AG267" s="46"/>
      <c r="AH267" s="46"/>
      <c r="AI267" s="46"/>
      <c r="AJ267" s="46"/>
      <c r="AK267" s="46"/>
      <c r="AL267" s="46"/>
      <c r="AM267" s="46"/>
      <c r="AN267" s="46"/>
      <c r="AO267" s="46"/>
      <c r="AP267" s="96"/>
      <c r="AQ267" s="46"/>
      <c r="AR267" s="46"/>
      <c r="AS267" s="46"/>
      <c r="AT267" s="46"/>
      <c r="AU267" s="46"/>
      <c r="AV267" s="46"/>
      <c r="AW267" s="46"/>
      <c r="AX267" s="46"/>
      <c r="AY267" s="46"/>
      <c r="AZ267" s="46"/>
      <c r="BA267" s="46"/>
      <c r="BB267" s="46"/>
      <c r="BC267"/>
      <c r="BD267"/>
      <c r="BE267"/>
      <c r="BF267"/>
      <c r="BG267"/>
      <c r="BH267"/>
      <c r="BI267"/>
      <c r="BJ267"/>
      <c r="BK267"/>
      <c r="BL267"/>
      <c r="BM267"/>
      <c r="BN267"/>
    </row>
    <row r="268" spans="1:66" x14ac:dyDescent="0.25">
      <c r="A268" s="46"/>
      <c r="B268" s="46"/>
      <c r="C268" s="46"/>
      <c r="D268" s="865"/>
      <c r="E268" s="46"/>
      <c r="F268" s="46"/>
      <c r="G268" s="46"/>
      <c r="H268" s="46"/>
      <c r="I268" s="46"/>
      <c r="J268" s="46"/>
      <c r="K268" s="46"/>
      <c r="L268" s="46"/>
      <c r="M268" s="46"/>
      <c r="N268" s="46"/>
      <c r="O268" s="271"/>
      <c r="P268" s="62"/>
      <c r="Q268" s="63"/>
      <c r="R268" s="63"/>
      <c r="S268" s="63"/>
      <c r="T268" s="63"/>
      <c r="U268" s="263"/>
      <c r="V268" s="272"/>
      <c r="W268" s="72"/>
      <c r="X268" s="72"/>
      <c r="Y268" s="72"/>
      <c r="Z268" s="72"/>
      <c r="AA268" s="72"/>
      <c r="AB268" s="72"/>
      <c r="AC268" s="46"/>
      <c r="AD268" s="46"/>
      <c r="AE268" s="46"/>
      <c r="AF268" s="46"/>
      <c r="AG268" s="46"/>
      <c r="AH268" s="46"/>
      <c r="AI268" s="46"/>
      <c r="AJ268" s="46"/>
      <c r="AK268" s="46"/>
      <c r="AL268" s="46"/>
      <c r="AM268" s="46"/>
      <c r="AN268" s="46"/>
      <c r="AO268" s="46"/>
      <c r="AP268" s="96"/>
      <c r="AQ268" s="46"/>
      <c r="AR268" s="46"/>
      <c r="AS268" s="46"/>
      <c r="AT268" s="46"/>
      <c r="AU268" s="46"/>
      <c r="AV268" s="46"/>
      <c r="AW268" s="46"/>
      <c r="AX268" s="46"/>
      <c r="AY268" s="46"/>
      <c r="AZ268" s="46"/>
      <c r="BA268" s="46"/>
      <c r="BB268" s="46"/>
      <c r="BC268"/>
      <c r="BD268"/>
      <c r="BE268"/>
      <c r="BF268"/>
      <c r="BG268"/>
      <c r="BH268"/>
      <c r="BI268"/>
      <c r="BJ268"/>
      <c r="BK268"/>
      <c r="BL268"/>
      <c r="BM268"/>
      <c r="BN268"/>
    </row>
    <row r="269" spans="1:66" x14ac:dyDescent="0.25">
      <c r="A269" s="46"/>
      <c r="B269" s="46"/>
      <c r="C269" s="46"/>
      <c r="D269" s="865"/>
      <c r="E269" s="46"/>
      <c r="F269" s="46"/>
      <c r="G269" s="46"/>
      <c r="H269" s="46"/>
      <c r="I269" s="46"/>
      <c r="J269" s="46"/>
      <c r="K269" s="46"/>
      <c r="L269" s="46"/>
      <c r="M269" s="46"/>
      <c r="N269" s="46"/>
      <c r="O269" s="271"/>
      <c r="P269" s="62"/>
      <c r="Q269" s="63"/>
      <c r="R269" s="1457" t="s">
        <v>1717</v>
      </c>
      <c r="S269" s="445">
        <f>steam_heat*distil_heat</f>
        <v>7436.5199999999995</v>
      </c>
      <c r="T269" s="232" t="s">
        <v>446</v>
      </c>
      <c r="U269" s="64"/>
      <c r="V269" s="272"/>
      <c r="W269" s="72"/>
      <c r="X269" s="72"/>
      <c r="Y269" s="72"/>
      <c r="Z269" s="72"/>
      <c r="AA269" s="72"/>
      <c r="AB269" s="72"/>
      <c r="AC269" s="46"/>
      <c r="AD269" s="46"/>
      <c r="AE269" s="46"/>
      <c r="AF269" s="46"/>
      <c r="AG269" s="46"/>
      <c r="AH269" s="46"/>
      <c r="AI269" s="46"/>
      <c r="AJ269" s="46"/>
      <c r="AK269" s="46"/>
      <c r="AL269" s="46"/>
      <c r="AM269" s="46"/>
      <c r="AN269" s="46"/>
      <c r="AO269" s="46"/>
      <c r="AP269" s="96"/>
      <c r="AQ269" s="46"/>
      <c r="AR269" s="46"/>
      <c r="AS269" s="46"/>
      <c r="AT269" s="46"/>
      <c r="AU269" s="46"/>
      <c r="AV269" s="46"/>
      <c r="AW269" s="46"/>
      <c r="AX269" s="46"/>
      <c r="AY269" s="46"/>
      <c r="AZ269" s="46"/>
      <c r="BA269" s="46"/>
      <c r="BB269" s="46"/>
      <c r="BC269"/>
      <c r="BD269"/>
      <c r="BE269"/>
      <c r="BF269"/>
      <c r="BG269"/>
      <c r="BH269"/>
      <c r="BI269"/>
      <c r="BJ269"/>
      <c r="BK269"/>
      <c r="BL269"/>
      <c r="BM269"/>
      <c r="BN269"/>
    </row>
    <row r="270" spans="1:66" x14ac:dyDescent="0.25">
      <c r="A270" s="46"/>
      <c r="B270" s="46"/>
      <c r="C270" s="46"/>
      <c r="D270" s="865"/>
      <c r="E270" s="46"/>
      <c r="F270" s="46"/>
      <c r="G270" s="46"/>
      <c r="H270" s="46"/>
      <c r="I270" s="46"/>
      <c r="J270" s="46"/>
      <c r="K270" s="46"/>
      <c r="L270" s="46"/>
      <c r="M270" s="46"/>
      <c r="N270" s="46"/>
      <c r="O270" s="271"/>
      <c r="P270" s="62"/>
      <c r="Q270" s="63"/>
      <c r="R270" s="66"/>
      <c r="S270" s="82"/>
      <c r="T270" s="82"/>
      <c r="U270" s="64"/>
      <c r="V270" s="272"/>
      <c r="W270" s="72"/>
      <c r="X270" s="72"/>
      <c r="Y270" s="72"/>
      <c r="Z270" s="72"/>
      <c r="AA270" s="72"/>
      <c r="AB270" s="72"/>
      <c r="AC270" s="46"/>
      <c r="AD270" s="46"/>
      <c r="AE270" s="46"/>
      <c r="AF270" s="46"/>
      <c r="AG270" s="46"/>
      <c r="AH270" s="46"/>
      <c r="AI270" s="46"/>
      <c r="AJ270" s="46"/>
      <c r="AK270" s="46"/>
      <c r="AL270" s="46"/>
      <c r="AM270" s="46"/>
      <c r="AN270" s="46"/>
      <c r="AO270" s="46"/>
      <c r="AP270" s="96"/>
      <c r="AQ270" s="46"/>
      <c r="AR270" s="46"/>
      <c r="AS270" s="46"/>
      <c r="AT270" s="46"/>
      <c r="AU270" s="46"/>
      <c r="AV270" s="46"/>
      <c r="AW270" s="46"/>
      <c r="AX270" s="46"/>
      <c r="AY270" s="46"/>
      <c r="AZ270" s="46"/>
      <c r="BA270" s="46"/>
      <c r="BB270" s="46"/>
      <c r="BC270"/>
      <c r="BD270"/>
      <c r="BE270"/>
      <c r="BF270"/>
      <c r="BG270"/>
      <c r="BH270"/>
      <c r="BI270"/>
      <c r="BJ270"/>
      <c r="BK270"/>
      <c r="BL270"/>
      <c r="BM270"/>
      <c r="BN270"/>
    </row>
    <row r="271" spans="1:66" x14ac:dyDescent="0.25">
      <c r="A271" s="46"/>
      <c r="B271" s="46"/>
      <c r="C271" s="46"/>
      <c r="D271" s="865"/>
      <c r="E271" s="46"/>
      <c r="F271" s="46"/>
      <c r="G271" s="46"/>
      <c r="H271" s="46"/>
      <c r="I271" s="46"/>
      <c r="J271" s="46"/>
      <c r="K271" s="46"/>
      <c r="L271" s="46"/>
      <c r="M271" s="46"/>
      <c r="N271" s="46"/>
      <c r="O271" s="271"/>
      <c r="P271" s="62"/>
      <c r="Q271" s="63"/>
      <c r="R271" s="1457" t="s">
        <v>1718</v>
      </c>
      <c r="S271" s="240">
        <f>distil_elec</f>
        <v>93.4</v>
      </c>
      <c r="T271" s="232" t="s">
        <v>565</v>
      </c>
      <c r="U271" s="64"/>
      <c r="V271" s="272"/>
      <c r="W271" s="72"/>
      <c r="X271" s="72"/>
      <c r="Y271" s="72"/>
      <c r="Z271" s="72"/>
      <c r="AA271" s="72"/>
      <c r="AB271" s="72"/>
      <c r="AC271" s="46"/>
      <c r="AD271" s="46"/>
      <c r="AE271" s="46"/>
      <c r="AF271" s="46"/>
      <c r="AG271" s="46"/>
      <c r="AH271" s="46"/>
      <c r="AI271" s="46"/>
      <c r="AJ271" s="46"/>
      <c r="AK271" s="46"/>
      <c r="AL271" s="46"/>
      <c r="AM271" s="46"/>
      <c r="AN271" s="46"/>
      <c r="AO271" s="46"/>
      <c r="AP271" s="96"/>
      <c r="AQ271" s="46"/>
      <c r="AR271" s="46"/>
      <c r="AS271" s="46"/>
      <c r="AT271" s="46"/>
      <c r="AU271" s="46"/>
      <c r="AV271" s="46"/>
      <c r="AW271" s="46"/>
      <c r="AX271" s="46"/>
      <c r="AY271" s="46"/>
      <c r="AZ271" s="46"/>
      <c r="BA271" s="46"/>
      <c r="BB271" s="46"/>
      <c r="BC271"/>
      <c r="BD271"/>
      <c r="BE271"/>
      <c r="BF271"/>
      <c r="BG271"/>
      <c r="BH271"/>
      <c r="BI271"/>
      <c r="BJ271"/>
      <c r="BK271"/>
      <c r="BL271"/>
      <c r="BM271"/>
      <c r="BN271"/>
    </row>
    <row r="272" spans="1:66" x14ac:dyDescent="0.25">
      <c r="A272" s="46"/>
      <c r="B272" s="46"/>
      <c r="C272" s="46"/>
      <c r="D272" s="865"/>
      <c r="E272" s="46"/>
      <c r="F272" s="46"/>
      <c r="G272" s="46"/>
      <c r="H272" s="46"/>
      <c r="I272" s="46"/>
      <c r="J272" s="46"/>
      <c r="K272" s="46"/>
      <c r="L272" s="46"/>
      <c r="M272" s="46"/>
      <c r="N272" s="46"/>
      <c r="O272" s="271"/>
      <c r="P272" s="62"/>
      <c r="Q272" s="63"/>
      <c r="R272" s="66"/>
      <c r="S272" s="63"/>
      <c r="T272" s="82"/>
      <c r="U272" s="64"/>
      <c r="V272" s="272"/>
      <c r="W272" s="72"/>
      <c r="X272" s="72"/>
      <c r="Y272" s="72"/>
      <c r="Z272" s="72"/>
      <c r="AA272" s="72"/>
      <c r="AB272" s="72"/>
      <c r="AC272" s="46"/>
      <c r="AD272" s="46"/>
      <c r="AE272" s="46"/>
      <c r="AF272" s="46"/>
      <c r="AG272" s="46"/>
      <c r="AH272" s="46"/>
      <c r="AI272" s="46"/>
      <c r="AJ272" s="46"/>
      <c r="AK272" s="46"/>
      <c r="AL272" s="46"/>
      <c r="AM272" s="46"/>
      <c r="AN272" s="46"/>
      <c r="AO272" s="46"/>
      <c r="AP272" s="96"/>
      <c r="AQ272" s="46"/>
      <c r="AR272" s="46"/>
      <c r="AS272" s="46"/>
      <c r="AT272" s="46"/>
      <c r="AU272" s="46"/>
      <c r="AV272" s="46"/>
      <c r="AW272" s="46"/>
      <c r="AX272" s="46"/>
      <c r="AY272" s="46"/>
      <c r="AZ272" s="46"/>
      <c r="BA272" s="46"/>
      <c r="BB272" s="46"/>
      <c r="BC272"/>
      <c r="BD272"/>
      <c r="BE272"/>
      <c r="BF272"/>
      <c r="BG272"/>
      <c r="BH272"/>
      <c r="BI272"/>
      <c r="BJ272"/>
      <c r="BK272"/>
      <c r="BL272"/>
      <c r="BM272"/>
      <c r="BN272"/>
    </row>
    <row r="273" spans="1:66" x14ac:dyDescent="0.25">
      <c r="A273" s="46"/>
      <c r="B273" s="46"/>
      <c r="C273" s="46"/>
      <c r="D273" s="865"/>
      <c r="E273" s="46"/>
      <c r="F273" s="46"/>
      <c r="G273" s="46"/>
      <c r="H273" s="46"/>
      <c r="I273" s="46"/>
      <c r="J273" s="46"/>
      <c r="K273" s="46"/>
      <c r="L273" s="46"/>
      <c r="M273" s="46"/>
      <c r="N273" s="46"/>
      <c r="O273" s="271"/>
      <c r="P273" s="62"/>
      <c r="Q273" s="63"/>
      <c r="R273" s="66" t="s">
        <v>165</v>
      </c>
      <c r="S273" s="130">
        <f>distil_loss</f>
        <v>0.6</v>
      </c>
      <c r="T273" s="82" t="s">
        <v>162</v>
      </c>
      <c r="U273" s="64"/>
      <c r="V273" s="272"/>
      <c r="W273" s="72"/>
      <c r="X273" s="72"/>
      <c r="Y273" s="72"/>
      <c r="Z273" s="72"/>
      <c r="AA273" s="72"/>
      <c r="AB273" s="72"/>
      <c r="AC273" s="46"/>
      <c r="AD273" s="46"/>
      <c r="AE273" s="46"/>
      <c r="AF273" s="46"/>
      <c r="AG273" s="46"/>
      <c r="AH273" s="46"/>
      <c r="AI273" s="46"/>
      <c r="AJ273" s="46"/>
      <c r="AK273" s="46"/>
      <c r="AL273" s="46"/>
      <c r="AM273" s="46"/>
      <c r="AN273" s="46"/>
      <c r="AO273" s="46"/>
      <c r="AP273" s="96"/>
      <c r="AQ273" s="46"/>
      <c r="AR273" s="46"/>
      <c r="AS273" s="46"/>
      <c r="AT273" s="46"/>
      <c r="AU273" s="46"/>
      <c r="AV273" s="46"/>
      <c r="AW273" s="46"/>
      <c r="AX273" s="46"/>
      <c r="AY273" s="46"/>
      <c r="AZ273" s="46"/>
      <c r="BA273" s="46"/>
      <c r="BB273" s="46"/>
      <c r="BC273"/>
      <c r="BD273"/>
      <c r="BE273"/>
      <c r="BF273"/>
      <c r="BG273"/>
      <c r="BH273"/>
      <c r="BI273"/>
      <c r="BJ273"/>
      <c r="BK273"/>
      <c r="BL273"/>
      <c r="BM273"/>
      <c r="BN273"/>
    </row>
    <row r="274" spans="1:66" ht="13.8" thickBot="1" x14ac:dyDescent="0.3">
      <c r="A274" s="46"/>
      <c r="B274" s="46"/>
      <c r="C274" s="46"/>
      <c r="D274" s="865"/>
      <c r="E274" s="46"/>
      <c r="F274" s="46"/>
      <c r="G274" s="46"/>
      <c r="H274" s="46"/>
      <c r="I274" s="46"/>
      <c r="J274" s="46"/>
      <c r="K274" s="46"/>
      <c r="L274" s="46"/>
      <c r="M274" s="46"/>
      <c r="N274" s="46"/>
      <c r="O274" s="271"/>
      <c r="P274" s="69"/>
      <c r="Q274" s="261"/>
      <c r="R274" s="262"/>
      <c r="S274" s="278"/>
      <c r="T274" s="70"/>
      <c r="U274" s="71"/>
      <c r="V274" s="272"/>
      <c r="W274" s="72"/>
      <c r="X274" s="72"/>
      <c r="Y274" s="72"/>
      <c r="Z274" s="72"/>
      <c r="AA274" s="72"/>
      <c r="AB274" s="72"/>
      <c r="AC274" s="46"/>
      <c r="AD274" s="46"/>
      <c r="AE274" s="46"/>
      <c r="AF274" s="46"/>
      <c r="AG274" s="46"/>
      <c r="AH274" s="46"/>
      <c r="AI274" s="46"/>
      <c r="AJ274" s="46"/>
      <c r="AK274" s="46"/>
      <c r="AL274" s="46"/>
      <c r="AM274" s="46"/>
      <c r="AN274" s="46"/>
      <c r="AO274" s="46"/>
      <c r="AP274" s="96"/>
      <c r="AQ274" s="46"/>
      <c r="AR274" s="46"/>
      <c r="AS274" s="46"/>
      <c r="AT274" s="46"/>
      <c r="AU274" s="46"/>
      <c r="AV274" s="46"/>
      <c r="AW274" s="46"/>
      <c r="AX274" s="46"/>
      <c r="AY274" s="46"/>
      <c r="AZ274" s="46"/>
      <c r="BA274" s="46"/>
      <c r="BB274" s="46"/>
      <c r="BC274"/>
      <c r="BD274"/>
      <c r="BE274"/>
      <c r="BF274"/>
      <c r="BG274"/>
      <c r="BH274"/>
      <c r="BI274"/>
      <c r="BJ274"/>
      <c r="BK274"/>
      <c r="BL274"/>
      <c r="BM274"/>
      <c r="BN274"/>
    </row>
    <row r="275" spans="1:66" x14ac:dyDescent="0.25">
      <c r="A275" s="46"/>
      <c r="B275" s="46"/>
      <c r="C275" s="46"/>
      <c r="D275" s="865"/>
      <c r="E275" s="46"/>
      <c r="F275" s="46"/>
      <c r="G275" s="46"/>
      <c r="H275" s="46"/>
      <c r="I275" s="46"/>
      <c r="J275" s="46"/>
      <c r="K275" s="46"/>
      <c r="L275" s="46"/>
      <c r="M275" s="46"/>
      <c r="N275" s="46"/>
      <c r="O275" s="271"/>
      <c r="P275" s="72"/>
      <c r="Q275" s="72"/>
      <c r="R275" s="72"/>
      <c r="S275" s="96"/>
      <c r="T275" s="72"/>
      <c r="U275" s="72"/>
      <c r="V275" s="272"/>
      <c r="W275" s="72"/>
      <c r="X275" s="72"/>
      <c r="Y275" s="72"/>
      <c r="Z275" s="72"/>
      <c r="AA275" s="72"/>
      <c r="AB275" s="72"/>
      <c r="AC275" s="46"/>
      <c r="AD275" s="46"/>
      <c r="AE275" s="46"/>
      <c r="AF275" s="89"/>
      <c r="AG275" s="46"/>
      <c r="AH275" s="46"/>
      <c r="AI275" s="46"/>
      <c r="AJ275" s="46"/>
      <c r="AK275" s="46"/>
      <c r="AL275" s="46"/>
      <c r="AM275" s="46"/>
      <c r="AN275" s="46"/>
      <c r="AO275" s="46"/>
      <c r="AP275" s="96"/>
      <c r="AQ275" s="46"/>
      <c r="AR275" s="46"/>
      <c r="AS275" s="46"/>
      <c r="AT275" s="46"/>
      <c r="AU275" s="46"/>
      <c r="AV275" s="46"/>
      <c r="AW275" s="46"/>
      <c r="AX275" s="46"/>
      <c r="AY275" s="46"/>
      <c r="AZ275" s="46"/>
      <c r="BA275" s="46"/>
      <c r="BB275" s="46"/>
      <c r="BC275"/>
      <c r="BD275"/>
      <c r="BE275"/>
      <c r="BF275"/>
      <c r="BG275"/>
      <c r="BH275"/>
      <c r="BI275"/>
      <c r="BJ275"/>
      <c r="BK275"/>
      <c r="BL275"/>
      <c r="BM275"/>
      <c r="BN275"/>
    </row>
    <row r="276" spans="1:66" x14ac:dyDescent="0.25">
      <c r="A276" s="46"/>
      <c r="B276" s="46"/>
      <c r="C276" s="46"/>
      <c r="D276" s="865"/>
      <c r="E276" s="46"/>
      <c r="F276" s="46"/>
      <c r="G276" s="46"/>
      <c r="H276" s="46"/>
      <c r="I276" s="46"/>
      <c r="J276" s="46"/>
      <c r="K276" s="46"/>
      <c r="L276" s="46"/>
      <c r="M276" s="46"/>
      <c r="N276" s="46"/>
      <c r="O276" s="271"/>
      <c r="P276" s="72"/>
      <c r="Q276" s="72"/>
      <c r="R276" s="72"/>
      <c r="S276" s="75"/>
      <c r="T276" s="76"/>
      <c r="U276" s="76"/>
      <c r="V276" s="276"/>
      <c r="W276" s="556"/>
      <c r="X276" s="76"/>
      <c r="Y276" s="76"/>
      <c r="Z276" s="76"/>
      <c r="AA276" s="76"/>
      <c r="AB276" s="76"/>
      <c r="AC276" s="76"/>
      <c r="AD276" s="76"/>
      <c r="AE276" s="76"/>
      <c r="AF276" s="421"/>
      <c r="AG276" s="46"/>
      <c r="AH276" s="46"/>
      <c r="AI276" s="46"/>
      <c r="AJ276" s="46"/>
      <c r="AK276" s="46"/>
      <c r="AL276" s="46"/>
      <c r="AM276" s="46"/>
      <c r="AN276" s="46"/>
      <c r="AO276" s="46"/>
      <c r="AP276" s="96"/>
      <c r="AQ276" s="46"/>
      <c r="AR276" s="46"/>
      <c r="AS276" s="46"/>
      <c r="AT276" s="46"/>
      <c r="AU276" s="46"/>
      <c r="AV276" s="46"/>
      <c r="AW276" s="46"/>
      <c r="AX276" s="46"/>
      <c r="AY276" s="46"/>
      <c r="AZ276" s="46"/>
      <c r="BA276" s="46"/>
      <c r="BB276" s="46"/>
      <c r="BC276"/>
      <c r="BD276"/>
      <c r="BE276"/>
      <c r="BF276"/>
      <c r="BG276"/>
      <c r="BH276"/>
      <c r="BI276"/>
      <c r="BJ276"/>
      <c r="BK276"/>
      <c r="BL276"/>
      <c r="BM276"/>
      <c r="BN276"/>
    </row>
    <row r="277" spans="1:66" x14ac:dyDescent="0.25">
      <c r="A277" s="46"/>
      <c r="B277" s="46"/>
      <c r="C277" s="46"/>
      <c r="D277" s="865"/>
      <c r="E277" s="46"/>
      <c r="F277" s="46"/>
      <c r="G277" s="46"/>
      <c r="H277" s="46"/>
      <c r="I277" s="46"/>
      <c r="J277" s="46"/>
      <c r="K277" s="46"/>
      <c r="L277" s="46"/>
      <c r="M277" s="46"/>
      <c r="N277" s="46"/>
      <c r="O277" s="271"/>
      <c r="P277" s="95"/>
      <c r="Q277" s="48"/>
      <c r="R277" s="48"/>
      <c r="S277" s="48"/>
      <c r="T277" s="48"/>
      <c r="U277" s="49"/>
      <c r="V277" s="272"/>
      <c r="W277" s="271"/>
      <c r="X277" s="72"/>
      <c r="Y277" s="72"/>
      <c r="Z277" s="72"/>
      <c r="AA277" s="72"/>
      <c r="AB277" s="72"/>
      <c r="AC277" s="46"/>
      <c r="AD277" s="46"/>
      <c r="AE277" s="46"/>
      <c r="AF277" s="241"/>
      <c r="AG277" s="48"/>
      <c r="AH277" s="49"/>
      <c r="AI277" s="46"/>
      <c r="AJ277" s="46"/>
      <c r="AK277" s="46"/>
      <c r="AL277" s="46"/>
      <c r="AM277" s="46"/>
      <c r="AN277" s="46"/>
      <c r="AO277" s="46"/>
      <c r="AP277" s="96"/>
      <c r="AQ277" s="46"/>
      <c r="AR277" s="46"/>
      <c r="AS277" s="46"/>
      <c r="AT277" s="46"/>
      <c r="AU277" s="46"/>
      <c r="AV277" s="46"/>
      <c r="AW277" s="46"/>
      <c r="AX277" s="46"/>
      <c r="AY277" s="46"/>
      <c r="AZ277" s="46"/>
      <c r="BA277" s="46"/>
      <c r="BB277" s="46"/>
      <c r="BC277"/>
      <c r="BD277"/>
      <c r="BE277"/>
      <c r="BF277"/>
      <c r="BG277"/>
      <c r="BH277"/>
      <c r="BI277"/>
      <c r="BJ277"/>
      <c r="BK277"/>
      <c r="BL277"/>
      <c r="BM277"/>
      <c r="BN277"/>
    </row>
    <row r="278" spans="1:66" x14ac:dyDescent="0.25">
      <c r="A278" s="46"/>
      <c r="B278" s="46"/>
      <c r="C278" s="46"/>
      <c r="D278" s="865"/>
      <c r="E278" s="46"/>
      <c r="F278" s="46"/>
      <c r="G278" s="46"/>
      <c r="H278" s="46"/>
      <c r="I278" s="46"/>
      <c r="J278" s="46"/>
      <c r="K278" s="46"/>
      <c r="L278" s="46"/>
      <c r="M278" s="46"/>
      <c r="N278" s="46"/>
      <c r="O278" s="271"/>
      <c r="P278" s="50"/>
      <c r="Q278" s="79"/>
      <c r="R278" s="79" t="s">
        <v>1595</v>
      </c>
      <c r="S278" s="80">
        <f>S254*(100-S273)/100</f>
        <v>9.7580731500000017E-2</v>
      </c>
      <c r="T278" s="1100" t="s">
        <v>441</v>
      </c>
      <c r="U278" s="53"/>
      <c r="V278" s="272"/>
      <c r="W278" s="271"/>
      <c r="X278" s="72"/>
      <c r="Y278" s="72"/>
      <c r="Z278" s="72"/>
      <c r="AA278" s="72"/>
      <c r="AB278" s="72"/>
      <c r="AC278" s="46"/>
      <c r="AD278" s="46"/>
      <c r="AE278" s="46"/>
      <c r="AF278" s="530" t="s">
        <v>614</v>
      </c>
      <c r="AG278" s="277">
        <f>vol_ws</f>
        <v>10</v>
      </c>
      <c r="AH278" s="238" t="s">
        <v>615</v>
      </c>
      <c r="AI278" s="46"/>
      <c r="AJ278" s="46"/>
      <c r="AK278" s="46"/>
      <c r="AL278" s="46"/>
      <c r="AM278" s="46"/>
      <c r="AN278" s="46"/>
      <c r="AO278" s="46"/>
      <c r="AP278" s="96"/>
      <c r="AQ278" s="46"/>
      <c r="AR278" s="46"/>
      <c r="AS278" s="46"/>
      <c r="AT278" s="46"/>
      <c r="AU278" s="46"/>
      <c r="AV278" s="46"/>
      <c r="AW278" s="46"/>
      <c r="AX278" s="46"/>
      <c r="AY278" s="46"/>
      <c r="AZ278" s="46"/>
      <c r="BA278" s="46"/>
      <c r="BB278" s="46"/>
      <c r="BC278"/>
      <c r="BD278"/>
      <c r="BE278"/>
      <c r="BF278"/>
      <c r="BG278"/>
      <c r="BH278"/>
      <c r="BI278"/>
      <c r="BJ278"/>
      <c r="BK278"/>
      <c r="BL278"/>
      <c r="BM278"/>
      <c r="BN278"/>
    </row>
    <row r="279" spans="1:66" x14ac:dyDescent="0.25">
      <c r="A279" s="46"/>
      <c r="B279" s="46"/>
      <c r="C279" s="46"/>
      <c r="D279" s="865"/>
      <c r="E279" s="46"/>
      <c r="F279" s="46"/>
      <c r="G279" s="46"/>
      <c r="H279" s="46"/>
      <c r="I279" s="46"/>
      <c r="J279" s="46"/>
      <c r="K279" s="46"/>
      <c r="L279" s="46"/>
      <c r="M279" s="46"/>
      <c r="N279" s="46"/>
      <c r="O279" s="271"/>
      <c r="P279" s="50"/>
      <c r="Q279" s="51"/>
      <c r="R279" s="51"/>
      <c r="S279" s="51"/>
      <c r="T279" s="51"/>
      <c r="U279" s="53"/>
      <c r="V279" s="272"/>
      <c r="W279" s="271"/>
      <c r="X279" s="72"/>
      <c r="Y279" s="72"/>
      <c r="Z279" s="72"/>
      <c r="AA279" s="72"/>
      <c r="AB279" s="72"/>
      <c r="AC279" s="46"/>
      <c r="AD279" s="46"/>
      <c r="AE279" s="46"/>
      <c r="AF279" s="50"/>
      <c r="AG279" s="51"/>
      <c r="AH279" s="53"/>
      <c r="AI279" s="46"/>
      <c r="AJ279" s="46"/>
      <c r="AK279" s="46"/>
      <c r="AL279" s="46"/>
      <c r="AM279" s="46"/>
      <c r="AN279" s="46"/>
      <c r="AO279" s="46"/>
      <c r="AP279" s="96"/>
      <c r="AQ279" s="46"/>
      <c r="AR279" s="46"/>
      <c r="AS279" s="46"/>
      <c r="AT279" s="46"/>
      <c r="AU279" s="46"/>
      <c r="AV279" s="46"/>
      <c r="AW279" s="46"/>
      <c r="AX279" s="46"/>
      <c r="AY279" s="46"/>
      <c r="AZ279" s="46"/>
      <c r="BA279" s="46"/>
      <c r="BB279" s="46"/>
      <c r="BC279"/>
      <c r="BD279"/>
      <c r="BE279"/>
      <c r="BF279"/>
      <c r="BG279"/>
      <c r="BH279"/>
      <c r="BI279"/>
      <c r="BJ279"/>
      <c r="BK279"/>
      <c r="BL279"/>
      <c r="BM279"/>
      <c r="BN279"/>
    </row>
    <row r="280" spans="1:66" ht="15.6" x14ac:dyDescent="0.25">
      <c r="A280" s="46"/>
      <c r="B280" s="46"/>
      <c r="C280" s="46"/>
      <c r="D280" s="865"/>
      <c r="E280" s="46"/>
      <c r="F280" s="46"/>
      <c r="G280" s="46"/>
      <c r="H280" s="46"/>
      <c r="I280" s="46"/>
      <c r="J280" s="46"/>
      <c r="K280" s="46"/>
      <c r="L280" s="46"/>
      <c r="M280" s="46"/>
      <c r="N280" s="46"/>
      <c r="O280" s="271"/>
      <c r="P280" s="50"/>
      <c r="Q280" s="51"/>
      <c r="R280" s="79" t="s">
        <v>564</v>
      </c>
      <c r="S280" s="445">
        <f>S258*((100-AG278)/100)</f>
        <v>17.716535433070867</v>
      </c>
      <c r="T280" s="1100" t="s">
        <v>1592</v>
      </c>
      <c r="U280" s="53"/>
      <c r="V280" s="272"/>
      <c r="W280" s="271"/>
      <c r="X280" s="72"/>
      <c r="Y280" s="72"/>
      <c r="Z280" s="72"/>
      <c r="AA280" s="72"/>
      <c r="AB280" s="72"/>
      <c r="AC280" s="72"/>
      <c r="AD280" s="72"/>
      <c r="AE280" s="46"/>
      <c r="AF280" s="530" t="s">
        <v>634</v>
      </c>
      <c r="AG280" s="80">
        <f>S254*S258*(AG278/100)</f>
        <v>0.19324753937007877</v>
      </c>
      <c r="AH280" s="238" t="s">
        <v>636</v>
      </c>
      <c r="AI280" s="46"/>
      <c r="AJ280" s="46"/>
      <c r="AK280" s="46"/>
      <c r="AL280" s="46"/>
      <c r="AM280" s="46"/>
      <c r="AN280" s="46"/>
      <c r="AO280" s="46"/>
      <c r="AP280" s="96"/>
      <c r="AQ280" s="46"/>
      <c r="AR280" s="46"/>
      <c r="AS280" s="46"/>
      <c r="AT280" s="46"/>
      <c r="AU280" s="46"/>
      <c r="AV280" s="46"/>
      <c r="AW280" s="46"/>
      <c r="AX280" s="46"/>
      <c r="AY280" s="46"/>
      <c r="AZ280" s="46"/>
      <c r="BA280" s="46"/>
      <c r="BB280" s="46"/>
      <c r="BC280"/>
      <c r="BD280"/>
      <c r="BE280"/>
      <c r="BF280"/>
      <c r="BG280"/>
      <c r="BH280"/>
      <c r="BI280"/>
      <c r="BJ280"/>
      <c r="BK280"/>
      <c r="BL280"/>
      <c r="BM280"/>
      <c r="BN280"/>
    </row>
    <row r="281" spans="1:66" x14ac:dyDescent="0.25">
      <c r="A281" s="46"/>
      <c r="B281" s="46"/>
      <c r="C281" s="46"/>
      <c r="D281" s="865"/>
      <c r="E281" s="46"/>
      <c r="F281" s="46"/>
      <c r="G281" s="46"/>
      <c r="H281" s="46"/>
      <c r="I281" s="46"/>
      <c r="J281" s="46"/>
      <c r="K281" s="46"/>
      <c r="L281" s="46"/>
      <c r="M281" s="46"/>
      <c r="N281" s="46"/>
      <c r="O281" s="271"/>
      <c r="P281" s="56"/>
      <c r="Q281" s="57"/>
      <c r="R281" s="57"/>
      <c r="S281" s="57"/>
      <c r="T281" s="57"/>
      <c r="U281" s="58"/>
      <c r="V281" s="272"/>
      <c r="W281" s="271"/>
      <c r="X281" s="72"/>
      <c r="Y281" s="72"/>
      <c r="Z281" s="72"/>
      <c r="AA281" s="72"/>
      <c r="AB281" s="72"/>
      <c r="AC281" s="279"/>
      <c r="AD281" s="46"/>
      <c r="AE281" s="46"/>
      <c r="AF281" s="50"/>
      <c r="AG281" s="51"/>
      <c r="AH281" s="53"/>
      <c r="AI281" s="46"/>
      <c r="AJ281" s="46"/>
      <c r="AK281" s="46"/>
      <c r="AL281" s="46"/>
      <c r="AM281" s="46"/>
      <c r="AN281" s="46"/>
      <c r="AO281" s="46"/>
      <c r="AP281" s="96"/>
      <c r="AQ281" s="46"/>
      <c r="AR281" s="46"/>
      <c r="AS281" s="46"/>
      <c r="AT281" s="46"/>
      <c r="AU281" s="46"/>
      <c r="AV281" s="46"/>
      <c r="AW281" s="46"/>
      <c r="AX281" s="46"/>
      <c r="AY281" s="46"/>
      <c r="AZ281" s="46"/>
      <c r="BA281" s="46"/>
      <c r="BB281" s="46"/>
      <c r="BC281"/>
      <c r="BD281"/>
      <c r="BE281"/>
      <c r="BF281"/>
      <c r="BG281"/>
      <c r="BH281"/>
      <c r="BI281"/>
      <c r="BJ281"/>
      <c r="BK281"/>
      <c r="BL281"/>
      <c r="BM281"/>
      <c r="BN281"/>
    </row>
    <row r="282" spans="1:66" x14ac:dyDescent="0.25">
      <c r="A282" s="46"/>
      <c r="B282" s="46"/>
      <c r="C282" s="46"/>
      <c r="D282" s="865"/>
      <c r="E282" s="46"/>
      <c r="F282" s="46"/>
      <c r="G282" s="46"/>
      <c r="H282" s="46"/>
      <c r="I282" s="46"/>
      <c r="J282" s="46"/>
      <c r="K282" s="46"/>
      <c r="L282" s="46"/>
      <c r="M282" s="46"/>
      <c r="N282" s="46"/>
      <c r="O282" s="271"/>
      <c r="P282" s="72"/>
      <c r="Q282" s="72"/>
      <c r="R282" s="72"/>
      <c r="S282" s="96"/>
      <c r="T282" s="72"/>
      <c r="U282" s="72"/>
      <c r="V282" s="272"/>
      <c r="W282" s="72"/>
      <c r="X282" s="72"/>
      <c r="Y282" s="72"/>
      <c r="Z282" s="72"/>
      <c r="AA282" s="72"/>
      <c r="AB282" s="72"/>
      <c r="AC282" s="46"/>
      <c r="AD282" s="46"/>
      <c r="AE282" s="46"/>
      <c r="AF282" s="245" t="s">
        <v>635</v>
      </c>
      <c r="AG282" s="1484">
        <f>moist_ws</f>
        <v>85</v>
      </c>
      <c r="AH282" s="238" t="s">
        <v>283</v>
      </c>
      <c r="AI282" s="46"/>
      <c r="AJ282" s="46"/>
      <c r="AK282" s="46"/>
      <c r="AL282" s="46"/>
      <c r="AM282" s="46"/>
      <c r="AN282" s="46"/>
      <c r="AO282" s="46"/>
      <c r="AP282" s="96"/>
      <c r="AQ282" s="46"/>
      <c r="AR282" s="46"/>
      <c r="AS282" s="46"/>
      <c r="AT282" s="46"/>
      <c r="AU282" s="46"/>
      <c r="AV282" s="46"/>
      <c r="AW282" s="46"/>
      <c r="AX282" s="46"/>
      <c r="AY282" s="46"/>
      <c r="AZ282" s="46"/>
      <c r="BA282" s="46"/>
      <c r="BB282" s="46"/>
      <c r="BC282"/>
      <c r="BD282"/>
      <c r="BE282"/>
      <c r="BF282"/>
      <c r="BG282"/>
      <c r="BH282"/>
      <c r="BI282"/>
      <c r="BJ282"/>
      <c r="BK282"/>
      <c r="BL282"/>
      <c r="BM282"/>
      <c r="BN282"/>
    </row>
    <row r="283" spans="1:66" ht="13.8" thickBot="1" x14ac:dyDescent="0.3">
      <c r="A283" s="46"/>
      <c r="B283" s="46"/>
      <c r="C283" s="46"/>
      <c r="D283" s="865"/>
      <c r="E283" s="46"/>
      <c r="F283" s="46"/>
      <c r="G283" s="46"/>
      <c r="H283" s="46"/>
      <c r="I283" s="46"/>
      <c r="J283" s="46"/>
      <c r="K283" s="46"/>
      <c r="L283" s="46"/>
      <c r="M283" s="46"/>
      <c r="N283" s="46"/>
      <c r="O283" s="271"/>
      <c r="P283" s="72"/>
      <c r="Q283" s="72"/>
      <c r="R283" s="72"/>
      <c r="S283" s="96"/>
      <c r="T283" s="72"/>
      <c r="U283" s="72"/>
      <c r="V283" s="272"/>
      <c r="W283" s="72"/>
      <c r="X283" s="72"/>
      <c r="Y283" s="72"/>
      <c r="Z283" s="72"/>
      <c r="AA283" s="72"/>
      <c r="AB283" s="72"/>
      <c r="AC283" s="46"/>
      <c r="AD283" s="46"/>
      <c r="AE283" s="46"/>
      <c r="AF283" s="56"/>
      <c r="AG283" s="57"/>
      <c r="AH283" s="58"/>
      <c r="AI283" s="46"/>
      <c r="AJ283" s="46"/>
      <c r="AK283" s="46"/>
      <c r="AL283" s="46"/>
      <c r="AM283" s="46"/>
      <c r="AN283" s="46"/>
      <c r="AO283" s="46"/>
      <c r="AP283" s="96"/>
      <c r="AQ283" s="46"/>
      <c r="AR283" s="46"/>
      <c r="AS283" s="46"/>
      <c r="AT283" s="46"/>
      <c r="AU283" s="46"/>
      <c r="AV283" s="46"/>
      <c r="AW283" s="46"/>
      <c r="AX283" s="46"/>
      <c r="AY283" s="46"/>
      <c r="AZ283" s="46"/>
      <c r="BA283" s="46"/>
      <c r="BB283" s="46"/>
      <c r="BC283"/>
      <c r="BD283"/>
      <c r="BE283"/>
      <c r="BF283"/>
      <c r="BG283"/>
      <c r="BH283"/>
      <c r="BI283"/>
      <c r="BJ283"/>
      <c r="BK283"/>
      <c r="BL283"/>
      <c r="BM283"/>
      <c r="BN283"/>
    </row>
    <row r="284" spans="1:66" x14ac:dyDescent="0.25">
      <c r="A284" s="46"/>
      <c r="B284" s="46"/>
      <c r="C284" s="46"/>
      <c r="D284" s="865"/>
      <c r="E284" s="46"/>
      <c r="F284" s="46"/>
      <c r="G284" s="46"/>
      <c r="H284" s="46"/>
      <c r="I284" s="46"/>
      <c r="J284" s="46"/>
      <c r="K284" s="46"/>
      <c r="L284" s="46"/>
      <c r="M284" s="46"/>
      <c r="N284" s="46"/>
      <c r="O284" s="271"/>
      <c r="P284" s="573"/>
      <c r="Q284" s="248"/>
      <c r="R284" s="248"/>
      <c r="S284" s="248"/>
      <c r="T284" s="248"/>
      <c r="U284" s="574"/>
      <c r="V284" s="272"/>
      <c r="W284" s="72"/>
      <c r="X284" s="72"/>
      <c r="Y284" s="72"/>
      <c r="Z284" s="72"/>
      <c r="AA284" s="72"/>
      <c r="AB284" s="72"/>
      <c r="AC284" s="46"/>
      <c r="AD284" s="867"/>
      <c r="AE284" s="46"/>
      <c r="AF284" s="46"/>
      <c r="AG284" s="75"/>
      <c r="AH284" s="46"/>
      <c r="AI284" s="46"/>
      <c r="AJ284" s="46"/>
      <c r="AK284" s="46"/>
      <c r="AL284" s="46"/>
      <c r="AM284" s="46"/>
      <c r="AN284" s="46"/>
      <c r="AO284" s="46"/>
      <c r="AP284" s="96"/>
      <c r="AQ284" s="46"/>
      <c r="AR284" s="46"/>
      <c r="AS284" s="46"/>
      <c r="AT284" s="46"/>
      <c r="AU284" s="46"/>
      <c r="AV284" s="46"/>
      <c r="AW284" s="46"/>
      <c r="AX284" s="46"/>
      <c r="AY284" s="46"/>
      <c r="AZ284" s="46"/>
      <c r="BA284" s="46"/>
      <c r="BB284" s="46"/>
      <c r="BC284"/>
      <c r="BD284"/>
      <c r="BE284"/>
      <c r="BF284"/>
      <c r="BG284"/>
      <c r="BH284"/>
      <c r="BI284"/>
      <c r="BJ284"/>
      <c r="BK284"/>
      <c r="BL284"/>
      <c r="BM284"/>
      <c r="BN284"/>
    </row>
    <row r="285" spans="1:66" x14ac:dyDescent="0.25">
      <c r="A285" s="46"/>
      <c r="B285" s="46"/>
      <c r="C285" s="46"/>
      <c r="D285" s="865"/>
      <c r="E285" s="46"/>
      <c r="F285" s="46"/>
      <c r="G285" s="46"/>
      <c r="H285" s="46"/>
      <c r="I285" s="46"/>
      <c r="J285" s="46"/>
      <c r="K285" s="46"/>
      <c r="L285" s="46"/>
      <c r="M285" s="46"/>
      <c r="N285" s="46"/>
      <c r="O285" s="271"/>
      <c r="P285" s="1563" t="s">
        <v>1719</v>
      </c>
      <c r="Q285" s="1564"/>
      <c r="R285" s="1564"/>
      <c r="S285" s="1564"/>
      <c r="T285" s="1564"/>
      <c r="U285" s="1565"/>
      <c r="V285" s="272"/>
      <c r="W285" s="72"/>
      <c r="X285" s="72"/>
      <c r="Y285" s="72"/>
      <c r="Z285" s="72"/>
      <c r="AA285" s="72"/>
      <c r="AB285" s="428"/>
      <c r="AC285" s="429"/>
      <c r="AD285" s="430"/>
      <c r="AE285" s="46"/>
      <c r="AF285" s="428"/>
      <c r="AG285" s="429"/>
      <c r="AH285" s="430"/>
      <c r="AI285" s="46"/>
      <c r="AJ285" s="46"/>
      <c r="AK285" s="46"/>
      <c r="AL285" s="46"/>
      <c r="AM285" s="46"/>
      <c r="AN285" s="46"/>
      <c r="AO285" s="46"/>
      <c r="AP285" s="96"/>
      <c r="AQ285" s="46"/>
      <c r="AR285" s="46"/>
      <c r="AS285" s="46"/>
      <c r="AT285" s="46"/>
      <c r="AU285" s="46"/>
      <c r="AV285" s="46"/>
      <c r="AW285" s="46"/>
      <c r="AX285" s="46"/>
      <c r="AY285" s="46"/>
      <c r="AZ285" s="46"/>
      <c r="BA285" s="46"/>
      <c r="BB285" s="46"/>
      <c r="BC285"/>
      <c r="BD285"/>
      <c r="BE285"/>
      <c r="BF285"/>
      <c r="BG285"/>
      <c r="BH285"/>
      <c r="BI285"/>
      <c r="BJ285"/>
      <c r="BK285"/>
      <c r="BL285"/>
      <c r="BM285"/>
      <c r="BN285"/>
    </row>
    <row r="286" spans="1:66" x14ac:dyDescent="0.25">
      <c r="A286" s="46"/>
      <c r="B286" s="46"/>
      <c r="C286" s="46"/>
      <c r="D286" s="865"/>
      <c r="E286" s="46"/>
      <c r="F286" s="46"/>
      <c r="G286" s="46"/>
      <c r="H286" s="46"/>
      <c r="I286" s="46"/>
      <c r="J286" s="46"/>
      <c r="K286" s="46"/>
      <c r="L286" s="46"/>
      <c r="M286" s="46"/>
      <c r="N286" s="46"/>
      <c r="O286" s="271"/>
      <c r="P286" s="425"/>
      <c r="Q286" s="256"/>
      <c r="R286" s="256"/>
      <c r="S286" s="256"/>
      <c r="T286" s="256"/>
      <c r="U286" s="546"/>
      <c r="V286" s="272"/>
      <c r="W286" s="271"/>
      <c r="X286" s="72"/>
      <c r="Y286" s="72"/>
      <c r="Z286" s="72"/>
      <c r="AA286" s="72"/>
      <c r="AB286" s="564" t="s">
        <v>1021</v>
      </c>
      <c r="AC286" s="444">
        <f>J199</f>
        <v>3.2324380165289273</v>
      </c>
      <c r="AD286" s="433" t="s">
        <v>633</v>
      </c>
      <c r="AE286" s="555"/>
      <c r="AF286" s="564" t="s">
        <v>637</v>
      </c>
      <c r="AG286" s="444">
        <f>AG280+AC286</f>
        <v>3.425685555899006</v>
      </c>
      <c r="AH286" s="433" t="s">
        <v>639</v>
      </c>
      <c r="AI286" s="46"/>
      <c r="AJ286" s="46"/>
      <c r="AK286" s="46"/>
      <c r="AL286" s="46"/>
      <c r="AM286" s="46"/>
      <c r="AN286" s="46"/>
      <c r="AO286" s="46"/>
      <c r="AP286" s="96"/>
      <c r="AQ286" s="46"/>
      <c r="AR286" s="46"/>
      <c r="AS286" s="46"/>
      <c r="AT286" s="46"/>
      <c r="AU286" s="46"/>
      <c r="AV286" s="46"/>
      <c r="AW286" s="46"/>
      <c r="AX286" s="46"/>
      <c r="AY286" s="46"/>
      <c r="AZ286" s="46"/>
      <c r="BA286" s="46"/>
      <c r="BB286" s="46"/>
      <c r="BC286"/>
      <c r="BD286"/>
      <c r="BE286"/>
      <c r="BF286"/>
      <c r="BG286"/>
      <c r="BH286"/>
      <c r="BI286"/>
      <c r="BJ286"/>
      <c r="BK286"/>
      <c r="BL286"/>
      <c r="BM286"/>
      <c r="BN286"/>
    </row>
    <row r="287" spans="1:66" x14ac:dyDescent="0.25">
      <c r="A287" s="46"/>
      <c r="B287" s="46"/>
      <c r="C287" s="46"/>
      <c r="D287" s="865"/>
      <c r="E287" s="46"/>
      <c r="F287" s="46"/>
      <c r="G287" s="46"/>
      <c r="H287" s="46"/>
      <c r="I287" s="46"/>
      <c r="J287" s="46"/>
      <c r="K287" s="46"/>
      <c r="L287" s="46"/>
      <c r="M287" s="46"/>
      <c r="N287" s="46"/>
      <c r="O287" s="271"/>
      <c r="P287" s="425"/>
      <c r="Q287" s="256"/>
      <c r="R287" s="1456" t="s">
        <v>1720</v>
      </c>
      <c r="S287" s="517">
        <f>util_elec</f>
        <v>150.4</v>
      </c>
      <c r="T287" s="1483" t="s">
        <v>565</v>
      </c>
      <c r="U287" s="546"/>
      <c r="V287" s="272"/>
      <c r="W287" s="271"/>
      <c r="X287" s="72"/>
      <c r="Y287" s="72"/>
      <c r="Z287" s="72"/>
      <c r="AA287" s="72"/>
      <c r="AB287" s="431"/>
      <c r="AC287" s="432"/>
      <c r="AD287" s="433"/>
      <c r="AE287" s="46"/>
      <c r="AF287" s="431"/>
      <c r="AG287" s="432"/>
      <c r="AH287" s="433"/>
      <c r="AI287" s="46"/>
      <c r="AJ287" s="46"/>
      <c r="AK287" s="46"/>
      <c r="AL287" s="46"/>
      <c r="AM287" s="46"/>
      <c r="AN287" s="46"/>
      <c r="AO287" s="46"/>
      <c r="AP287" s="96"/>
      <c r="AQ287" s="46"/>
      <c r="AR287" s="46"/>
      <c r="AS287" s="46"/>
      <c r="AT287" s="46"/>
      <c r="AU287" s="46"/>
      <c r="AV287" s="46"/>
      <c r="AW287" s="46"/>
      <c r="AX287" s="46"/>
      <c r="AY287" s="46"/>
      <c r="AZ287" s="46"/>
      <c r="BA287" s="46"/>
      <c r="BB287" s="46"/>
      <c r="BC287"/>
      <c r="BD287"/>
      <c r="BE287"/>
      <c r="BF287"/>
      <c r="BG287"/>
      <c r="BH287"/>
      <c r="BI287"/>
      <c r="BJ287"/>
      <c r="BK287"/>
      <c r="BL287"/>
      <c r="BM287"/>
      <c r="BN287"/>
    </row>
    <row r="288" spans="1:66" ht="13.8" thickBot="1" x14ac:dyDescent="0.3">
      <c r="A288" s="46"/>
      <c r="B288" s="46"/>
      <c r="C288" s="46"/>
      <c r="D288" s="865"/>
      <c r="E288" s="46"/>
      <c r="F288" s="46"/>
      <c r="G288" s="46"/>
      <c r="H288" s="46"/>
      <c r="I288" s="46"/>
      <c r="J288" s="46"/>
      <c r="K288" s="46"/>
      <c r="L288" s="46"/>
      <c r="M288" s="46"/>
      <c r="N288" s="46"/>
      <c r="O288" s="271"/>
      <c r="P288" s="1480"/>
      <c r="Q288" s="1481"/>
      <c r="R288" s="1481"/>
      <c r="S288" s="1481"/>
      <c r="T288" s="1481"/>
      <c r="U288" s="1482"/>
      <c r="V288" s="272"/>
      <c r="W288" s="271"/>
      <c r="X288" s="72"/>
      <c r="Y288" s="72"/>
      <c r="Z288" s="72"/>
      <c r="AA288" s="72"/>
      <c r="AB288" s="564" t="s">
        <v>1022</v>
      </c>
      <c r="AC288" s="532">
        <f>J201</f>
        <v>87.9</v>
      </c>
      <c r="AD288" s="433" t="s">
        <v>283</v>
      </c>
      <c r="AE288" s="46"/>
      <c r="AF288" s="564" t="s">
        <v>638</v>
      </c>
      <c r="AG288" s="1485">
        <f>((AG280*AG282)+(AC286*AC288))/AG286</f>
        <v>87.736407091360689</v>
      </c>
      <c r="AH288" s="433" t="s">
        <v>283</v>
      </c>
      <c r="AI288" s="46"/>
      <c r="AJ288" s="46"/>
      <c r="AK288" s="46"/>
      <c r="AL288" s="46"/>
      <c r="AM288" s="46"/>
      <c r="AN288" s="46"/>
      <c r="AO288" s="46"/>
      <c r="AP288" s="96"/>
      <c r="AQ288" s="46"/>
      <c r="AR288" s="46"/>
      <c r="AS288" s="46"/>
      <c r="AT288" s="46"/>
      <c r="AU288" s="46"/>
      <c r="AV288" s="46"/>
      <c r="AW288" s="46"/>
      <c r="AX288" s="46"/>
      <c r="AY288" s="46"/>
      <c r="AZ288" s="46"/>
      <c r="BA288" s="46"/>
      <c r="BB288" s="46"/>
      <c r="BC288"/>
      <c r="BD288"/>
      <c r="BE288"/>
      <c r="BF288"/>
      <c r="BG288"/>
      <c r="BH288"/>
      <c r="BI288"/>
      <c r="BJ288"/>
      <c r="BK288"/>
      <c r="BL288"/>
      <c r="BM288"/>
      <c r="BN288"/>
    </row>
    <row r="289" spans="1:66" x14ac:dyDescent="0.25">
      <c r="A289" s="46"/>
      <c r="B289" s="46"/>
      <c r="C289" s="46"/>
      <c r="D289" s="865"/>
      <c r="E289" s="46"/>
      <c r="F289" s="46"/>
      <c r="G289" s="46"/>
      <c r="H289" s="46"/>
      <c r="I289" s="46"/>
      <c r="J289" s="46"/>
      <c r="K289" s="46"/>
      <c r="L289" s="46"/>
      <c r="M289" s="46"/>
      <c r="N289" s="46"/>
      <c r="O289" s="271"/>
      <c r="P289" s="72"/>
      <c r="Q289" s="72"/>
      <c r="R289" s="59"/>
      <c r="S289" s="72"/>
      <c r="T289" s="72"/>
      <c r="U289" s="72"/>
      <c r="V289" s="272"/>
      <c r="W289" s="271"/>
      <c r="X289" s="72"/>
      <c r="Y289" s="72"/>
      <c r="Z289" s="72"/>
      <c r="AA289" s="72"/>
      <c r="AB289" s="434"/>
      <c r="AC289" s="435"/>
      <c r="AD289" s="436"/>
      <c r="AE289" s="46"/>
      <c r="AF289" s="434"/>
      <c r="AG289" s="435"/>
      <c r="AH289" s="436"/>
      <c r="AI289" s="46"/>
      <c r="AJ289" s="46"/>
      <c r="AK289" s="46"/>
      <c r="AL289" s="46"/>
      <c r="AM289" s="46"/>
      <c r="AN289" s="46"/>
      <c r="AO289" s="46"/>
      <c r="AP289" s="96"/>
      <c r="AQ289" s="46"/>
      <c r="AR289" s="46"/>
      <c r="AS289" s="46"/>
      <c r="AT289" s="46"/>
      <c r="AU289" s="46"/>
      <c r="AV289" s="46"/>
      <c r="AW289" s="46"/>
      <c r="AX289" s="46"/>
      <c r="AY289" s="46"/>
      <c r="AZ289" s="46"/>
      <c r="BA289" s="46"/>
      <c r="BB289" s="46"/>
      <c r="BC289"/>
      <c r="BD289"/>
      <c r="BE289"/>
      <c r="BF289"/>
      <c r="BG289"/>
      <c r="BH289"/>
      <c r="BI289"/>
      <c r="BJ289"/>
      <c r="BK289"/>
      <c r="BL289"/>
      <c r="BM289"/>
      <c r="BN289"/>
    </row>
    <row r="290" spans="1:66" ht="13.8" thickBot="1" x14ac:dyDescent="0.3">
      <c r="A290" s="46"/>
      <c r="B290" s="46"/>
      <c r="C290" s="46"/>
      <c r="D290" s="865"/>
      <c r="E290" s="46"/>
      <c r="F290" s="46"/>
      <c r="G290" s="46"/>
      <c r="H290" s="46"/>
      <c r="I290" s="46"/>
      <c r="J290" s="46"/>
      <c r="K290" s="46"/>
      <c r="L290" s="46"/>
      <c r="M290" s="46"/>
      <c r="N290" s="46"/>
      <c r="O290" s="271"/>
      <c r="P290" s="72"/>
      <c r="Q290" s="72"/>
      <c r="R290" s="59"/>
      <c r="S290" s="72"/>
      <c r="T290" s="72"/>
      <c r="U290" s="72"/>
      <c r="V290" s="272"/>
      <c r="W290" s="271"/>
      <c r="X290" s="72"/>
      <c r="Y290" s="72"/>
      <c r="Z290" s="72"/>
      <c r="AA290" s="72"/>
      <c r="AB290" s="72"/>
      <c r="AC290" s="77"/>
      <c r="AD290" s="46"/>
      <c r="AE290" s="46"/>
      <c r="AF290" s="565"/>
      <c r="AG290" s="46"/>
      <c r="AH290" s="46"/>
      <c r="AI290" s="46"/>
      <c r="AJ290" s="46"/>
      <c r="AK290" s="46"/>
      <c r="AL290" s="46"/>
      <c r="AM290" s="46"/>
      <c r="AN290" s="46"/>
      <c r="AO290" s="46"/>
      <c r="AP290" s="96"/>
      <c r="AQ290" s="46"/>
      <c r="AR290" s="46"/>
      <c r="AS290" s="46"/>
      <c r="AT290" s="46"/>
      <c r="AU290" s="46"/>
      <c r="AV290" s="46"/>
      <c r="AW290" s="46"/>
      <c r="AX290" s="46"/>
      <c r="AY290" s="46"/>
      <c r="AZ290" s="46"/>
      <c r="BA290" s="46"/>
      <c r="BB290" s="46"/>
      <c r="BC290"/>
      <c r="BD290"/>
      <c r="BE290"/>
      <c r="BF290"/>
      <c r="BG290"/>
      <c r="BH290"/>
      <c r="BI290"/>
      <c r="BJ290"/>
      <c r="BK290"/>
      <c r="BL290"/>
      <c r="BM290"/>
      <c r="BN290"/>
    </row>
    <row r="291" spans="1:66" x14ac:dyDescent="0.25">
      <c r="A291" s="46"/>
      <c r="B291" s="46"/>
      <c r="C291" s="46"/>
      <c r="D291" s="865"/>
      <c r="E291" s="46"/>
      <c r="F291" s="46"/>
      <c r="G291" s="46"/>
      <c r="H291" s="46"/>
      <c r="I291" s="46"/>
      <c r="J291" s="46"/>
      <c r="K291" s="46"/>
      <c r="L291" s="46"/>
      <c r="M291" s="46"/>
      <c r="N291" s="46"/>
      <c r="O291" s="271"/>
      <c r="P291" s="72"/>
      <c r="Q291" s="72"/>
      <c r="R291" s="59"/>
      <c r="S291" s="72"/>
      <c r="T291" s="72"/>
      <c r="U291" s="72"/>
      <c r="V291" s="272"/>
      <c r="W291" s="271"/>
      <c r="X291" s="72"/>
      <c r="Y291" s="72"/>
      <c r="Z291" s="72"/>
      <c r="AA291" s="72"/>
      <c r="AB291" s="72"/>
      <c r="AC291" s="59"/>
      <c r="AD291" s="46"/>
      <c r="AE291" s="46"/>
      <c r="AF291" s="260"/>
      <c r="AG291" s="60"/>
      <c r="AH291" s="61"/>
      <c r="AI291" s="46"/>
      <c r="AJ291" s="46"/>
      <c r="AK291" s="46"/>
      <c r="AL291" s="46"/>
      <c r="AM291" s="46"/>
      <c r="AN291" s="46"/>
      <c r="AO291" s="46"/>
      <c r="AP291" s="96"/>
      <c r="AQ291" s="46"/>
      <c r="AR291" s="46"/>
      <c r="AS291" s="46"/>
      <c r="AT291" s="46"/>
      <c r="AU291" s="46"/>
      <c r="AV291" s="46"/>
      <c r="AW291" s="46"/>
      <c r="AX291" s="46"/>
      <c r="AY291" s="46"/>
      <c r="AZ291" s="46"/>
      <c r="BA291" s="46"/>
      <c r="BB291" s="46"/>
      <c r="BC291"/>
      <c r="BD291"/>
      <c r="BE291"/>
      <c r="BF291"/>
      <c r="BG291"/>
      <c r="BH291"/>
      <c r="BI291"/>
      <c r="BJ291"/>
      <c r="BK291"/>
      <c r="BL291"/>
      <c r="BM291"/>
      <c r="BN291"/>
    </row>
    <row r="292" spans="1:66" x14ac:dyDescent="0.25">
      <c r="A292" s="46"/>
      <c r="B292" s="46"/>
      <c r="C292" s="46"/>
      <c r="D292" s="865"/>
      <c r="E292" s="46"/>
      <c r="F292" s="46"/>
      <c r="G292" s="46"/>
      <c r="H292" s="46"/>
      <c r="I292" s="46"/>
      <c r="J292" s="46"/>
      <c r="K292" s="46"/>
      <c r="L292" s="46"/>
      <c r="M292" s="46"/>
      <c r="N292" s="46"/>
      <c r="O292" s="271"/>
      <c r="P292" s="72"/>
      <c r="Q292" s="72"/>
      <c r="R292" s="59"/>
      <c r="S292" s="72"/>
      <c r="T292" s="72"/>
      <c r="U292" s="72"/>
      <c r="V292" s="272"/>
      <c r="W292" s="271"/>
      <c r="X292" s="72"/>
      <c r="Y292" s="72"/>
      <c r="Z292" s="72"/>
      <c r="AA292" s="72"/>
      <c r="AB292" s="72"/>
      <c r="AC292" s="59"/>
      <c r="AD292" s="46"/>
      <c r="AE292" s="46"/>
      <c r="AF292" s="1551" t="s">
        <v>1721</v>
      </c>
      <c r="AG292" s="1552"/>
      <c r="AH292" s="1553"/>
      <c r="AI292" s="46"/>
      <c r="AJ292" s="46"/>
      <c r="AK292" s="46"/>
      <c r="AL292" s="46"/>
      <c r="AM292" s="46"/>
      <c r="AN292" s="46"/>
      <c r="AO292" s="46"/>
      <c r="AP292" s="96"/>
      <c r="AQ292" s="46"/>
      <c r="AR292" s="46"/>
      <c r="AS292" s="46"/>
      <c r="AT292" s="46"/>
      <c r="AU292" s="46"/>
      <c r="AV292" s="46"/>
      <c r="AW292" s="46"/>
      <c r="AX292" s="46"/>
      <c r="AY292" s="46"/>
      <c r="AZ292" s="46"/>
      <c r="BA292" s="46"/>
      <c r="BB292" s="46"/>
      <c r="BC292"/>
      <c r="BD292"/>
      <c r="BE292"/>
      <c r="BF292"/>
      <c r="BG292"/>
      <c r="BH292"/>
      <c r="BI292"/>
      <c r="BJ292"/>
      <c r="BK292"/>
      <c r="BL292"/>
      <c r="BM292"/>
      <c r="BN292"/>
    </row>
    <row r="293" spans="1:66" ht="13.8" thickBot="1" x14ac:dyDescent="0.3">
      <c r="A293" s="46"/>
      <c r="B293" s="46"/>
      <c r="C293" s="46"/>
      <c r="D293" s="865"/>
      <c r="E293" s="46"/>
      <c r="F293" s="46"/>
      <c r="G293" s="46"/>
      <c r="H293" s="46"/>
      <c r="I293" s="46"/>
      <c r="J293" s="46"/>
      <c r="K293" s="46"/>
      <c r="L293" s="46"/>
      <c r="M293" s="46"/>
      <c r="N293" s="46"/>
      <c r="O293" s="271"/>
      <c r="P293" s="72"/>
      <c r="Q293" s="72"/>
      <c r="R293" s="72"/>
      <c r="S293" s="528"/>
      <c r="T293" s="72"/>
      <c r="U293" s="72"/>
      <c r="V293" s="272"/>
      <c r="W293" s="271"/>
      <c r="X293" s="72"/>
      <c r="Y293" s="72"/>
      <c r="Z293" s="72"/>
      <c r="AA293" s="72"/>
      <c r="AB293" s="72"/>
      <c r="AC293" s="59"/>
      <c r="AD293" s="46"/>
      <c r="AE293" s="46"/>
      <c r="AF293" s="62"/>
      <c r="AG293" s="82"/>
      <c r="AH293" s="64"/>
      <c r="AI293" s="46"/>
      <c r="AJ293" s="46"/>
      <c r="AK293" s="561"/>
      <c r="AL293" s="46"/>
      <c r="AM293" s="46"/>
      <c r="AN293" s="46"/>
      <c r="AO293" s="46"/>
      <c r="AP293" s="96"/>
      <c r="AQ293" s="46"/>
      <c r="AR293" s="46"/>
      <c r="AS293" s="46"/>
      <c r="AT293" s="46"/>
      <c r="AU293" s="46"/>
      <c r="AV293" s="46"/>
      <c r="AW293" s="46"/>
      <c r="AX293" s="46"/>
      <c r="AY293" s="46"/>
      <c r="AZ293" s="46"/>
      <c r="BA293" s="46"/>
      <c r="BB293" s="46"/>
      <c r="BC293"/>
      <c r="BD293"/>
      <c r="BE293"/>
      <c r="BF293"/>
      <c r="BG293"/>
      <c r="BH293"/>
      <c r="BI293"/>
      <c r="BJ293"/>
      <c r="BK293"/>
      <c r="BL293"/>
      <c r="BM293"/>
      <c r="BN293"/>
    </row>
    <row r="294" spans="1:66" x14ac:dyDescent="0.25">
      <c r="A294" s="46"/>
      <c r="B294" s="46"/>
      <c r="C294" s="46"/>
      <c r="D294" s="865"/>
      <c r="E294" s="46"/>
      <c r="F294" s="46"/>
      <c r="G294" s="46"/>
      <c r="H294" s="46"/>
      <c r="I294" s="46"/>
      <c r="J294" s="46"/>
      <c r="K294" s="46"/>
      <c r="L294" s="46"/>
      <c r="M294" s="46"/>
      <c r="N294" s="46"/>
      <c r="O294" s="269"/>
      <c r="P294" s="269"/>
      <c r="Q294" s="269"/>
      <c r="R294" s="269"/>
      <c r="S294" s="274"/>
      <c r="T294" s="269"/>
      <c r="U294" s="269"/>
      <c r="V294" s="269"/>
      <c r="W294" s="72"/>
      <c r="X294" s="72"/>
      <c r="Y294" s="72"/>
      <c r="Z294" s="72"/>
      <c r="AA294" s="72"/>
      <c r="AB294" s="72"/>
      <c r="AC294" s="59"/>
      <c r="AD294" s="46"/>
      <c r="AE294" s="46"/>
      <c r="AF294" s="257" t="s">
        <v>1722</v>
      </c>
      <c r="AG294" s="112">
        <f>((AG286*AG288/100)-(AG301*AG303/100))*1000*h_req_ws*steam_heat/S320</f>
        <v>0</v>
      </c>
      <c r="AH294" s="236" t="s">
        <v>446</v>
      </c>
      <c r="AI294" s="230"/>
      <c r="AJ294" s="77"/>
      <c r="AK294" s="562" t="s">
        <v>285</v>
      </c>
      <c r="AL294" s="46"/>
      <c r="AM294" s="46"/>
      <c r="AN294" s="46"/>
      <c r="AO294" s="46"/>
      <c r="AP294" s="96"/>
      <c r="AQ294" s="46"/>
      <c r="AR294" s="46"/>
      <c r="AS294" s="46"/>
      <c r="AT294" s="46"/>
      <c r="AU294" s="46"/>
      <c r="AV294" s="46"/>
      <c r="AW294" s="46"/>
      <c r="AX294" s="46"/>
      <c r="AY294" s="46"/>
      <c r="AZ294" s="46"/>
      <c r="BA294" s="46"/>
      <c r="BB294" s="46"/>
      <c r="BC294"/>
      <c r="BD294"/>
      <c r="BE294"/>
      <c r="BF294"/>
      <c r="BG294"/>
      <c r="BH294"/>
      <c r="BI294"/>
      <c r="BJ294"/>
      <c r="BK294"/>
      <c r="BL294"/>
      <c r="BM294"/>
      <c r="BN294"/>
    </row>
    <row r="295" spans="1:66" x14ac:dyDescent="0.25">
      <c r="A295" s="46"/>
      <c r="B295" s="46"/>
      <c r="C295" s="46"/>
      <c r="D295" s="865"/>
      <c r="E295" s="46"/>
      <c r="F295" s="46"/>
      <c r="G295" s="46"/>
      <c r="H295" s="46"/>
      <c r="I295" s="46"/>
      <c r="J295" s="46"/>
      <c r="K295" s="46"/>
      <c r="L295" s="46"/>
      <c r="M295" s="46"/>
      <c r="N295" s="46"/>
      <c r="O295" s="72"/>
      <c r="P295" s="72"/>
      <c r="Q295" s="72"/>
      <c r="R295" s="72"/>
      <c r="S295" s="96"/>
      <c r="T295" s="72"/>
      <c r="U295" s="72"/>
      <c r="V295" s="72"/>
      <c r="W295" s="72"/>
      <c r="X295" s="72"/>
      <c r="Y295" s="72"/>
      <c r="Z295" s="72"/>
      <c r="AA295" s="72"/>
      <c r="AB295" s="72"/>
      <c r="AC295" s="59"/>
      <c r="AD295" s="46"/>
      <c r="AE295" s="46"/>
      <c r="AF295" s="254"/>
      <c r="AG295" s="82"/>
      <c r="AH295" s="64"/>
      <c r="AI295" s="46"/>
      <c r="AJ295" s="46"/>
      <c r="AK295" s="560"/>
      <c r="AL295" s="46"/>
      <c r="AM295" s="46"/>
      <c r="AN295" s="46"/>
      <c r="AO295" s="46"/>
      <c r="AP295" s="96"/>
      <c r="AQ295" s="46"/>
      <c r="AR295" s="46"/>
      <c r="AS295" s="46"/>
      <c r="AT295" s="46"/>
      <c r="AU295" s="46"/>
      <c r="AV295" s="46"/>
      <c r="AW295" s="46"/>
      <c r="AX295" s="46"/>
      <c r="AY295" s="46"/>
      <c r="AZ295" s="46"/>
      <c r="BA295" s="46"/>
      <c r="BB295" s="46"/>
      <c r="BC295"/>
      <c r="BD295"/>
      <c r="BE295"/>
      <c r="BF295"/>
      <c r="BG295"/>
      <c r="BH295"/>
      <c r="BI295"/>
      <c r="BJ295"/>
      <c r="BK295"/>
      <c r="BL295"/>
      <c r="BM295"/>
      <c r="BN295"/>
    </row>
    <row r="296" spans="1:66" x14ac:dyDescent="0.25">
      <c r="A296" s="46"/>
      <c r="B296" s="46"/>
      <c r="C296" s="46"/>
      <c r="D296" s="865"/>
      <c r="E296" s="46"/>
      <c r="F296" s="46"/>
      <c r="G296" s="46"/>
      <c r="H296" s="46"/>
      <c r="I296" s="46"/>
      <c r="J296" s="46"/>
      <c r="K296" s="46"/>
      <c r="L296" s="46"/>
      <c r="M296" s="46"/>
      <c r="N296" s="46"/>
      <c r="O296" s="72"/>
      <c r="P296" s="72"/>
      <c r="Q296" s="72"/>
      <c r="R296" s="72"/>
      <c r="S296" s="96"/>
      <c r="T296" s="72"/>
      <c r="U296" s="72"/>
      <c r="V296" s="72"/>
      <c r="W296" s="72"/>
      <c r="X296" s="72"/>
      <c r="Y296" s="72"/>
      <c r="Z296" s="72"/>
      <c r="AA296" s="72"/>
      <c r="AB296" s="72"/>
      <c r="AC296" s="59"/>
      <c r="AD296" s="46"/>
      <c r="AE296" s="46"/>
      <c r="AF296" s="257" t="s">
        <v>1723</v>
      </c>
      <c r="AG296" s="112">
        <f>((AG286*AG288/100)-(AG301*AG303/100))*1000*e_req_ws/S320</f>
        <v>89.187685487566696</v>
      </c>
      <c r="AH296" s="236" t="s">
        <v>565</v>
      </c>
      <c r="AI296" s="443"/>
      <c r="AJ296" s="443"/>
      <c r="AK296" s="563"/>
      <c r="AL296" s="46"/>
      <c r="AM296" s="46"/>
      <c r="AN296" s="46"/>
      <c r="AO296" s="46"/>
      <c r="AP296" s="96"/>
      <c r="AQ296" s="46"/>
      <c r="AR296" s="46"/>
      <c r="AS296" s="46"/>
      <c r="AT296" s="46"/>
      <c r="AU296" s="46"/>
      <c r="AV296" s="46"/>
      <c r="AW296" s="46"/>
      <c r="AX296" s="46"/>
      <c r="AY296" s="46"/>
      <c r="AZ296" s="46"/>
      <c r="BA296" s="46"/>
      <c r="BB296" s="46"/>
      <c r="BC296"/>
      <c r="BD296"/>
      <c r="BE296"/>
      <c r="BF296"/>
      <c r="BG296"/>
      <c r="BH296"/>
      <c r="BI296"/>
      <c r="BJ296"/>
      <c r="BK296"/>
      <c r="BL296"/>
      <c r="BM296"/>
      <c r="BN296"/>
    </row>
    <row r="297" spans="1:66" ht="13.8" thickBot="1" x14ac:dyDescent="0.3">
      <c r="A297" s="46"/>
      <c r="B297" s="46"/>
      <c r="C297" s="46"/>
      <c r="D297" s="865"/>
      <c r="E297" s="46"/>
      <c r="F297" s="46"/>
      <c r="G297" s="46"/>
      <c r="H297" s="46"/>
      <c r="I297" s="46"/>
      <c r="J297" s="46"/>
      <c r="K297" s="46"/>
      <c r="L297" s="46"/>
      <c r="M297" s="46"/>
      <c r="N297" s="46"/>
      <c r="O297" s="72"/>
      <c r="P297" s="72"/>
      <c r="Q297" s="72"/>
      <c r="R297" s="72"/>
      <c r="S297" s="96"/>
      <c r="T297" s="72"/>
      <c r="U297" s="72"/>
      <c r="V297" s="72"/>
      <c r="W297" s="72"/>
      <c r="X297" s="72"/>
      <c r="Y297" s="72"/>
      <c r="Z297" s="72"/>
      <c r="AA297" s="72"/>
      <c r="AB297" s="72"/>
      <c r="AC297" s="59"/>
      <c r="AD297" s="46"/>
      <c r="AE297" s="46"/>
      <c r="AF297" s="69"/>
      <c r="AG297" s="70"/>
      <c r="AH297" s="71"/>
      <c r="AI297" s="558"/>
      <c r="AJ297" s="559"/>
      <c r="AK297" s="559"/>
      <c r="AL297" s="46"/>
      <c r="AM297" s="46"/>
      <c r="AN297" s="46"/>
      <c r="AO297" s="46"/>
      <c r="AP297" s="96"/>
      <c r="AQ297" s="46"/>
      <c r="AR297" s="46"/>
      <c r="AS297" s="46"/>
      <c r="AT297" s="46"/>
      <c r="AU297" s="46"/>
      <c r="AV297" s="46"/>
      <c r="AW297" s="46"/>
      <c r="AX297" s="46"/>
      <c r="AY297" s="46"/>
      <c r="AZ297" s="46"/>
      <c r="BA297" s="46"/>
      <c r="BB297" s="46"/>
      <c r="BC297"/>
      <c r="BD297"/>
      <c r="BE297"/>
      <c r="BF297"/>
      <c r="BG297"/>
      <c r="BH297"/>
      <c r="BI297"/>
      <c r="BJ297"/>
      <c r="BK297"/>
      <c r="BL297"/>
      <c r="BM297"/>
      <c r="BN297"/>
    </row>
    <row r="298" spans="1:66" x14ac:dyDescent="0.25">
      <c r="A298" s="46"/>
      <c r="B298" s="46"/>
      <c r="C298" s="46"/>
      <c r="D298" s="865"/>
      <c r="E298" s="46"/>
      <c r="F298" s="46"/>
      <c r="G298" s="46"/>
      <c r="H298" s="46"/>
      <c r="I298" s="46"/>
      <c r="J298" s="46"/>
      <c r="K298" s="46"/>
      <c r="L298" s="46"/>
      <c r="M298" s="46"/>
      <c r="N298" s="46"/>
      <c r="O298" s="72"/>
      <c r="P298" s="72"/>
      <c r="Q298" s="72"/>
      <c r="R298" s="72"/>
      <c r="S298" s="96"/>
      <c r="T298" s="72"/>
      <c r="U298" s="72"/>
      <c r="V298" s="72"/>
      <c r="W298" s="72"/>
      <c r="X298" s="72"/>
      <c r="Y298" s="72"/>
      <c r="Z298" s="72"/>
      <c r="AA298" s="72"/>
      <c r="AB298" s="72"/>
      <c r="AC298" s="59"/>
      <c r="AD298" s="46"/>
      <c r="AE298" s="46"/>
      <c r="AF298" s="59"/>
      <c r="AG298" s="231"/>
      <c r="AH298" s="46"/>
      <c r="AI298" s="559"/>
      <c r="AJ298" s="559"/>
      <c r="AK298" s="559"/>
      <c r="AL298" s="46"/>
      <c r="AM298" s="46"/>
      <c r="AN298" s="46"/>
      <c r="AO298" s="46"/>
      <c r="AP298" s="96"/>
      <c r="AQ298" s="46"/>
      <c r="AR298" s="46"/>
      <c r="AS298" s="46"/>
      <c r="AT298" s="46"/>
      <c r="AU298" s="46"/>
      <c r="AV298" s="46"/>
      <c r="AW298" s="46"/>
      <c r="AX298" s="46"/>
      <c r="AY298" s="46"/>
      <c r="AZ298" s="46"/>
      <c r="BA298" s="46"/>
      <c r="BB298" s="46"/>
      <c r="BC298"/>
      <c r="BD298"/>
      <c r="BE298"/>
      <c r="BF298"/>
      <c r="BG298"/>
      <c r="BH298"/>
      <c r="BI298"/>
      <c r="BJ298"/>
      <c r="BK298"/>
      <c r="BL298"/>
      <c r="BM298"/>
      <c r="BN298"/>
    </row>
    <row r="299" spans="1:66" x14ac:dyDescent="0.25">
      <c r="A299" s="46"/>
      <c r="B299" s="46"/>
      <c r="C299" s="46"/>
      <c r="D299" s="865"/>
      <c r="E299" s="46"/>
      <c r="F299" s="46"/>
      <c r="G299" s="46"/>
      <c r="H299" s="46"/>
      <c r="I299" s="46"/>
      <c r="J299" s="46"/>
      <c r="K299" s="46"/>
      <c r="L299" s="46"/>
      <c r="M299" s="46"/>
      <c r="N299" s="46"/>
      <c r="O299" s="72"/>
      <c r="P299" s="72"/>
      <c r="Q299" s="72"/>
      <c r="R299" s="72"/>
      <c r="S299" s="96"/>
      <c r="T299" s="72"/>
      <c r="U299" s="72"/>
      <c r="V299" s="72"/>
      <c r="W299" s="72"/>
      <c r="X299" s="72"/>
      <c r="Y299" s="72"/>
      <c r="Z299" s="72"/>
      <c r="AA299" s="72"/>
      <c r="AB299" s="72"/>
      <c r="AC299" s="59"/>
      <c r="AD299" s="46"/>
      <c r="AE299" s="46"/>
      <c r="AF299" s="46"/>
      <c r="AG299" s="96"/>
      <c r="AH299" s="46"/>
      <c r="AI299" s="443"/>
      <c r="AJ299" s="443"/>
      <c r="AK299" s="72"/>
      <c r="AL299" s="72"/>
      <c r="AM299" s="72"/>
      <c r="AN299" s="72"/>
      <c r="AO299" s="72"/>
      <c r="AP299" s="96"/>
      <c r="AQ299" s="46"/>
      <c r="AR299" s="46"/>
      <c r="AS299" s="46"/>
      <c r="AT299" s="46"/>
      <c r="AU299" s="46"/>
      <c r="AV299" s="46"/>
      <c r="AW299" s="46"/>
      <c r="AX299" s="46"/>
      <c r="AY299" s="46"/>
      <c r="AZ299" s="46"/>
      <c r="BA299" s="46"/>
      <c r="BB299" s="46"/>
      <c r="BC299"/>
      <c r="BD299"/>
      <c r="BE299"/>
      <c r="BF299"/>
      <c r="BG299"/>
      <c r="BH299"/>
      <c r="BI299"/>
      <c r="BJ299"/>
      <c r="BK299"/>
      <c r="BL299"/>
      <c r="BM299"/>
      <c r="BN299"/>
    </row>
    <row r="300" spans="1:66" x14ac:dyDescent="0.25">
      <c r="A300" s="46"/>
      <c r="B300" s="46"/>
      <c r="C300" s="46"/>
      <c r="D300" s="865"/>
      <c r="E300" s="46"/>
      <c r="F300" s="46"/>
      <c r="G300" s="46"/>
      <c r="H300" s="46"/>
      <c r="I300" s="46"/>
      <c r="J300" s="46"/>
      <c r="K300" s="46"/>
      <c r="L300" s="46"/>
      <c r="M300" s="46"/>
      <c r="N300" s="46"/>
      <c r="O300" s="72"/>
      <c r="P300" s="72"/>
      <c r="Q300" s="72"/>
      <c r="R300" s="72"/>
      <c r="S300" s="96"/>
      <c r="T300" s="72"/>
      <c r="U300" s="72"/>
      <c r="V300" s="72"/>
      <c r="W300" s="72"/>
      <c r="X300" s="72"/>
      <c r="Y300" s="72"/>
      <c r="Z300" s="72"/>
      <c r="AA300" s="72"/>
      <c r="AB300" s="72"/>
      <c r="AC300" s="59"/>
      <c r="AD300" s="46"/>
      <c r="AE300" s="46"/>
      <c r="AF300" s="258"/>
      <c r="AG300" s="48"/>
      <c r="AH300" s="49"/>
      <c r="AI300" s="72"/>
      <c r="AJ300" s="72"/>
      <c r="AK300" s="72"/>
      <c r="AL300" s="72"/>
      <c r="AM300" s="72"/>
      <c r="AN300" s="72"/>
      <c r="AO300" s="72"/>
      <c r="AP300" s="96"/>
      <c r="AQ300" s="46"/>
      <c r="AR300" s="46"/>
      <c r="AS300" s="46"/>
      <c r="AT300" s="46"/>
      <c r="AU300" s="46"/>
      <c r="AV300" s="46"/>
      <c r="AW300" s="46"/>
      <c r="AX300" s="46"/>
      <c r="AY300" s="46"/>
      <c r="AZ300" s="46"/>
      <c r="BA300" s="46"/>
      <c r="BB300" s="46"/>
      <c r="BC300"/>
      <c r="BD300"/>
      <c r="BE300"/>
      <c r="BF300"/>
      <c r="BG300"/>
      <c r="BH300"/>
      <c r="BI300"/>
      <c r="BJ300"/>
      <c r="BK300"/>
      <c r="BL300"/>
      <c r="BM300"/>
      <c r="BN300"/>
    </row>
    <row r="301" spans="1:66" x14ac:dyDescent="0.25">
      <c r="A301" s="46"/>
      <c r="B301" s="46"/>
      <c r="C301" s="46"/>
      <c r="D301" s="865"/>
      <c r="E301" s="46"/>
      <c r="F301" s="46"/>
      <c r="G301" s="46"/>
      <c r="H301" s="46"/>
      <c r="I301" s="46"/>
      <c r="J301" s="46"/>
      <c r="K301" s="46"/>
      <c r="L301" s="46"/>
      <c r="M301" s="46"/>
      <c r="N301" s="46"/>
      <c r="O301" s="72"/>
      <c r="P301" s="72"/>
      <c r="Q301" s="72"/>
      <c r="R301" s="59"/>
      <c r="S301" s="72"/>
      <c r="T301" s="72"/>
      <c r="U301" s="72"/>
      <c r="V301" s="72"/>
      <c r="W301" s="72"/>
      <c r="X301" s="72"/>
      <c r="Y301" s="72"/>
      <c r="Z301" s="72"/>
      <c r="AA301" s="72"/>
      <c r="AB301" s="72"/>
      <c r="AC301" s="59"/>
      <c r="AD301" s="46"/>
      <c r="AE301" s="46"/>
      <c r="AF301" s="530" t="s">
        <v>1724</v>
      </c>
      <c r="AG301" s="80">
        <f>AG286*((100-AG288)/(100-AG303))</f>
        <v>0.94619849303043158</v>
      </c>
      <c r="AH301" s="1428" t="s">
        <v>1567</v>
      </c>
      <c r="AI301" s="76"/>
      <c r="AJ301" s="76"/>
      <c r="AK301" s="76"/>
      <c r="AL301" s="76"/>
      <c r="AM301" s="76"/>
      <c r="AN301" s="76"/>
      <c r="AO301" s="76"/>
      <c r="AP301" s="96"/>
      <c r="AQ301" s="46"/>
      <c r="AR301" s="46"/>
      <c r="AS301" s="46"/>
      <c r="AT301" s="46"/>
      <c r="AU301" s="46"/>
      <c r="AV301" s="46"/>
      <c r="AW301" s="46"/>
      <c r="AX301" s="46"/>
      <c r="AY301" s="46"/>
      <c r="AZ301" s="46"/>
      <c r="BA301" s="46"/>
      <c r="BB301" s="46"/>
      <c r="BC301"/>
      <c r="BD301"/>
      <c r="BE301"/>
      <c r="BF301"/>
      <c r="BG301"/>
      <c r="BH301"/>
      <c r="BI301"/>
      <c r="BJ301"/>
      <c r="BK301"/>
      <c r="BL301"/>
      <c r="BM301"/>
      <c r="BN301"/>
    </row>
    <row r="302" spans="1:66" x14ac:dyDescent="0.25">
      <c r="A302" s="46"/>
      <c r="B302" s="46"/>
      <c r="C302" s="46"/>
      <c r="D302" s="865"/>
      <c r="E302" s="46"/>
      <c r="F302" s="46"/>
      <c r="G302" s="46"/>
      <c r="H302" s="46"/>
      <c r="I302" s="46"/>
      <c r="J302" s="46"/>
      <c r="K302" s="46"/>
      <c r="L302" s="46"/>
      <c r="M302" s="46"/>
      <c r="N302" s="46"/>
      <c r="O302" s="72"/>
      <c r="P302" s="72"/>
      <c r="Q302" s="72"/>
      <c r="R302" s="59"/>
      <c r="S302" s="72"/>
      <c r="T302" s="72"/>
      <c r="U302" s="72"/>
      <c r="V302" s="72"/>
      <c r="W302" s="72"/>
      <c r="X302" s="72"/>
      <c r="Y302" s="72"/>
      <c r="Z302" s="72"/>
      <c r="AA302" s="72"/>
      <c r="AB302" s="72"/>
      <c r="AC302" s="59"/>
      <c r="AD302" s="46"/>
      <c r="AE302" s="46"/>
      <c r="AF302" s="78"/>
      <c r="AG302" s="51"/>
      <c r="AH302" s="53"/>
      <c r="AI302" s="72"/>
      <c r="AJ302" s="72"/>
      <c r="AK302" s="72"/>
      <c r="AL302" s="72"/>
      <c r="AM302" s="72"/>
      <c r="AN302" s="72"/>
      <c r="AO302" s="72"/>
      <c r="AP302" s="96"/>
      <c r="AQ302" s="46"/>
      <c r="AR302" s="46"/>
      <c r="AS302" s="46"/>
      <c r="AT302" s="46"/>
      <c r="AU302" s="46"/>
      <c r="AV302" s="46"/>
      <c r="AW302" s="46"/>
      <c r="AX302" s="46"/>
      <c r="AY302" s="46"/>
      <c r="AZ302" s="46"/>
      <c r="BA302" s="46"/>
      <c r="BB302" s="46"/>
      <c r="BC302"/>
      <c r="BD302"/>
      <c r="BE302"/>
      <c r="BF302"/>
      <c r="BG302"/>
      <c r="BH302"/>
      <c r="BI302"/>
      <c r="BJ302"/>
      <c r="BK302"/>
      <c r="BL302"/>
      <c r="BM302"/>
      <c r="BN302"/>
    </row>
    <row r="303" spans="1:66" x14ac:dyDescent="0.25">
      <c r="A303" s="46"/>
      <c r="B303" s="46"/>
      <c r="C303" s="46"/>
      <c r="D303" s="865"/>
      <c r="E303" s="46"/>
      <c r="F303" s="46"/>
      <c r="G303" s="46"/>
      <c r="H303" s="46"/>
      <c r="I303" s="46"/>
      <c r="J303" s="46"/>
      <c r="K303" s="46"/>
      <c r="L303" s="46"/>
      <c r="M303" s="46"/>
      <c r="N303" s="46"/>
      <c r="O303" s="72"/>
      <c r="P303" s="72"/>
      <c r="Q303" s="72"/>
      <c r="R303" s="59"/>
      <c r="S303" s="72"/>
      <c r="T303" s="72"/>
      <c r="U303" s="72"/>
      <c r="V303" s="72"/>
      <c r="W303" s="72"/>
      <c r="X303" s="72"/>
      <c r="Y303" s="72"/>
      <c r="Z303" s="72"/>
      <c r="AA303" s="72"/>
      <c r="AB303" s="72"/>
      <c r="AC303" s="59"/>
      <c r="AD303" s="46"/>
      <c r="AE303" s="46"/>
      <c r="AF303" s="245" t="s">
        <v>1725</v>
      </c>
      <c r="AG303" s="277">
        <f>moist_dry_feed</f>
        <v>55.6</v>
      </c>
      <c r="AH303" s="238" t="s">
        <v>283</v>
      </c>
      <c r="AI303" s="46"/>
      <c r="AJ303" s="46"/>
      <c r="AK303" s="46"/>
      <c r="AL303" s="46"/>
      <c r="AM303" s="46"/>
      <c r="AN303" s="46"/>
      <c r="AO303" s="46"/>
      <c r="AP303" s="96"/>
      <c r="AQ303" s="46"/>
      <c r="AR303" s="46"/>
      <c r="AS303" s="46"/>
      <c r="AT303" s="46"/>
      <c r="AU303" s="46"/>
      <c r="AV303" s="46"/>
      <c r="AW303" s="46"/>
      <c r="AX303" s="46"/>
      <c r="AY303" s="46"/>
      <c r="AZ303" s="46"/>
      <c r="BA303" s="46"/>
      <c r="BB303" s="46"/>
      <c r="BC303"/>
      <c r="BD303"/>
      <c r="BE303"/>
      <c r="BF303"/>
      <c r="BG303"/>
      <c r="BH303"/>
      <c r="BI303"/>
      <c r="BJ303"/>
      <c r="BK303"/>
      <c r="BL303"/>
      <c r="BM303"/>
      <c r="BN303"/>
    </row>
    <row r="304" spans="1:66" x14ac:dyDescent="0.25">
      <c r="A304" s="46"/>
      <c r="B304" s="46"/>
      <c r="C304" s="46"/>
      <c r="D304" s="865"/>
      <c r="E304" s="46"/>
      <c r="F304" s="46"/>
      <c r="G304" s="46"/>
      <c r="H304" s="46"/>
      <c r="I304" s="46"/>
      <c r="J304" s="46"/>
      <c r="K304" s="46"/>
      <c r="L304" s="46"/>
      <c r="M304" s="46"/>
      <c r="N304" s="46"/>
      <c r="O304" s="72"/>
      <c r="P304" s="72"/>
      <c r="Q304" s="72"/>
      <c r="R304" s="72"/>
      <c r="S304" s="96"/>
      <c r="T304" s="72"/>
      <c r="U304" s="72"/>
      <c r="V304" s="72"/>
      <c r="W304" s="72"/>
      <c r="X304" s="72"/>
      <c r="Y304" s="72"/>
      <c r="Z304" s="72"/>
      <c r="AA304" s="72"/>
      <c r="AB304" s="72"/>
      <c r="AC304" s="59"/>
      <c r="AD304" s="46"/>
      <c r="AE304" s="46"/>
      <c r="AF304" s="50"/>
      <c r="AG304" s="51"/>
      <c r="AH304" s="53"/>
      <c r="AI304" s="46"/>
      <c r="AJ304" s="46"/>
      <c r="AK304" s="46"/>
      <c r="AL304" s="46"/>
      <c r="AM304" s="46"/>
      <c r="AN304" s="46"/>
      <c r="AO304" s="46"/>
      <c r="AP304" s="96"/>
      <c r="AQ304" s="46"/>
      <c r="AR304" s="46"/>
      <c r="AS304" s="46"/>
      <c r="AT304" s="46"/>
      <c r="AU304" s="46"/>
      <c r="AV304" s="46"/>
      <c r="AW304" s="46"/>
      <c r="AX304" s="46"/>
      <c r="AY304" s="46"/>
      <c r="AZ304" s="46"/>
      <c r="BA304" s="46"/>
      <c r="BB304" s="46"/>
      <c r="BC304"/>
      <c r="BD304"/>
      <c r="BE304"/>
      <c r="BF304"/>
      <c r="BG304"/>
      <c r="BH304"/>
      <c r="BI304"/>
      <c r="BJ304"/>
      <c r="BK304"/>
      <c r="BL304"/>
      <c r="BM304"/>
      <c r="BN304"/>
    </row>
    <row r="305" spans="1:66" x14ac:dyDescent="0.25">
      <c r="A305" s="46"/>
      <c r="B305" s="46"/>
      <c r="C305" s="46"/>
      <c r="D305" s="865"/>
      <c r="E305" s="46"/>
      <c r="F305" s="46"/>
      <c r="G305" s="46"/>
      <c r="H305" s="46"/>
      <c r="I305" s="46"/>
      <c r="J305" s="46"/>
      <c r="K305" s="46"/>
      <c r="L305" s="46"/>
      <c r="M305" s="46"/>
      <c r="N305" s="46"/>
      <c r="O305" s="46"/>
      <c r="P305" s="46"/>
      <c r="Q305" s="46"/>
      <c r="R305" s="46"/>
      <c r="S305" s="96"/>
      <c r="T305" s="46"/>
      <c r="U305" s="46"/>
      <c r="V305" s="46"/>
      <c r="W305" s="72"/>
      <c r="X305" s="72"/>
      <c r="Y305" s="72"/>
      <c r="Z305" s="72"/>
      <c r="AA305" s="72"/>
      <c r="AB305" s="72"/>
      <c r="AC305" s="59"/>
      <c r="AD305" s="46"/>
      <c r="AE305" s="46"/>
      <c r="AF305" s="245" t="s">
        <v>1726</v>
      </c>
      <c r="AG305" s="277">
        <f>CV_ws</f>
        <v>6700</v>
      </c>
      <c r="AH305" s="238" t="s">
        <v>618</v>
      </c>
      <c r="AI305" s="46"/>
      <c r="AJ305" s="46"/>
      <c r="AK305" s="46"/>
      <c r="AL305" s="46"/>
      <c r="AM305" s="46"/>
      <c r="AN305" s="46"/>
      <c r="AO305" s="46"/>
      <c r="AP305" s="96"/>
      <c r="AQ305" s="46"/>
      <c r="AR305" s="46"/>
      <c r="AS305" s="46"/>
      <c r="AT305" s="46"/>
      <c r="AU305" s="46"/>
      <c r="AV305" s="46"/>
      <c r="AW305" s="46"/>
      <c r="AX305" s="46"/>
      <c r="AY305" s="46"/>
      <c r="AZ305" s="46"/>
      <c r="BA305" s="46"/>
      <c r="BB305" s="46"/>
      <c r="BC305"/>
      <c r="BD305"/>
      <c r="BE305"/>
      <c r="BF305"/>
      <c r="BG305"/>
      <c r="BH305"/>
      <c r="BI305"/>
      <c r="BJ305"/>
      <c r="BK305"/>
      <c r="BL305"/>
      <c r="BM305"/>
      <c r="BN305"/>
    </row>
    <row r="306" spans="1:66" x14ac:dyDescent="0.25">
      <c r="A306" s="46"/>
      <c r="B306" s="46"/>
      <c r="C306" s="46"/>
      <c r="D306" s="865"/>
      <c r="E306" s="46"/>
      <c r="F306" s="46"/>
      <c r="G306" s="46"/>
      <c r="H306" s="46"/>
      <c r="I306" s="46"/>
      <c r="J306" s="46"/>
      <c r="K306" s="46"/>
      <c r="L306" s="72"/>
      <c r="M306" s="72"/>
      <c r="N306" s="72"/>
      <c r="O306" s="46"/>
      <c r="P306" s="46"/>
      <c r="Q306" s="46"/>
      <c r="R306" s="46"/>
      <c r="S306" s="96"/>
      <c r="T306" s="46"/>
      <c r="U306" s="46"/>
      <c r="V306" s="46"/>
      <c r="W306" s="72"/>
      <c r="X306" s="72"/>
      <c r="Y306" s="72"/>
      <c r="Z306" s="72"/>
      <c r="AA306" s="72"/>
      <c r="AB306" s="72"/>
      <c r="AC306" s="59"/>
      <c r="AD306" s="46"/>
      <c r="AE306" s="46"/>
      <c r="AF306" s="50"/>
      <c r="AG306" s="51"/>
      <c r="AH306" s="53"/>
      <c r="AI306" s="46"/>
      <c r="AJ306" s="46"/>
      <c r="AK306" s="46"/>
      <c r="AL306" s="46"/>
      <c r="AM306" s="46"/>
      <c r="AN306" s="46"/>
      <c r="AO306" s="46"/>
      <c r="AP306" s="96"/>
      <c r="AQ306" s="46"/>
      <c r="AR306" s="46"/>
      <c r="AS306" s="46"/>
      <c r="AT306" s="46"/>
      <c r="AU306" s="46"/>
      <c r="AV306" s="46"/>
      <c r="AW306" s="46"/>
      <c r="AX306" s="46"/>
      <c r="AY306" s="46"/>
      <c r="AZ306" s="46"/>
      <c r="BA306" s="46"/>
      <c r="BB306" s="46"/>
      <c r="BC306"/>
      <c r="BD306"/>
      <c r="BE306"/>
      <c r="BF306"/>
      <c r="BG306"/>
      <c r="BH306"/>
      <c r="BI306"/>
      <c r="BJ306"/>
      <c r="BK306"/>
      <c r="BL306"/>
      <c r="BM306"/>
      <c r="BN306"/>
    </row>
    <row r="307" spans="1:66" x14ac:dyDescent="0.25">
      <c r="A307" s="46"/>
      <c r="B307" s="46"/>
      <c r="C307" s="46"/>
      <c r="D307" s="865"/>
      <c r="E307" s="46"/>
      <c r="F307" s="46"/>
      <c r="G307" s="46"/>
      <c r="H307" s="46"/>
      <c r="I307" s="46"/>
      <c r="J307" s="46"/>
      <c r="K307" s="46"/>
      <c r="L307" s="46"/>
      <c r="M307" s="46"/>
      <c r="N307" s="46"/>
      <c r="O307" s="46"/>
      <c r="P307" s="46"/>
      <c r="Q307" s="46"/>
      <c r="R307" s="46"/>
      <c r="S307" s="96"/>
      <c r="T307" s="46"/>
      <c r="U307" s="46"/>
      <c r="V307" s="46"/>
      <c r="W307" s="72"/>
      <c r="X307" s="72"/>
      <c r="Y307" s="72"/>
      <c r="Z307" s="72"/>
      <c r="AA307" s="72"/>
      <c r="AB307" s="72"/>
      <c r="AC307" s="59"/>
      <c r="AD307" s="46"/>
      <c r="AE307" s="46"/>
      <c r="AF307" s="530" t="s">
        <v>1727</v>
      </c>
      <c r="AG307" s="112">
        <f>(AG305*AG301)/S320</f>
        <v>64967.025824190408</v>
      </c>
      <c r="AH307" s="242" t="s">
        <v>446</v>
      </c>
      <c r="AI307" s="46"/>
      <c r="AJ307" s="46"/>
      <c r="AK307" s="46"/>
      <c r="AL307" s="46"/>
      <c r="AM307" s="46"/>
      <c r="AN307" s="46"/>
      <c r="AO307" s="46"/>
      <c r="AP307" s="96"/>
      <c r="AQ307" s="46"/>
      <c r="AR307" s="46"/>
      <c r="AS307" s="46"/>
      <c r="AT307" s="46"/>
      <c r="AU307" s="46"/>
      <c r="AV307" s="46"/>
      <c r="AW307" s="46"/>
      <c r="AX307" s="46"/>
      <c r="AY307" s="46"/>
      <c r="AZ307" s="46"/>
      <c r="BA307" s="46"/>
      <c r="BB307" s="46"/>
      <c r="BC307"/>
      <c r="BD307"/>
      <c r="BE307"/>
      <c r="BF307"/>
      <c r="BG307"/>
      <c r="BH307"/>
      <c r="BI307"/>
      <c r="BJ307"/>
      <c r="BK307"/>
      <c r="BL307"/>
      <c r="BM307"/>
      <c r="BN307"/>
    </row>
    <row r="308" spans="1:66" x14ac:dyDescent="0.25">
      <c r="A308" s="46"/>
      <c r="B308" s="46"/>
      <c r="C308" s="46"/>
      <c r="D308" s="865"/>
      <c r="E308" s="46"/>
      <c r="F308" s="46"/>
      <c r="G308" s="46"/>
      <c r="H308" s="46"/>
      <c r="I308" s="46"/>
      <c r="J308" s="46"/>
      <c r="K308" s="46"/>
      <c r="L308" s="46"/>
      <c r="M308" s="46"/>
      <c r="N308" s="46"/>
      <c r="O308" s="46"/>
      <c r="P308" s="46"/>
      <c r="Q308" s="46"/>
      <c r="R308" s="46"/>
      <c r="S308" s="96"/>
      <c r="T308" s="46"/>
      <c r="U308" s="46"/>
      <c r="V308" s="46"/>
      <c r="W308" s="72"/>
      <c r="X308" s="72"/>
      <c r="Y308" s="72"/>
      <c r="Z308" s="72"/>
      <c r="AA308" s="72"/>
      <c r="AB308" s="72"/>
      <c r="AC308" s="59"/>
      <c r="AD308" s="46"/>
      <c r="AE308" s="46"/>
      <c r="AF308" s="56"/>
      <c r="AG308" s="57"/>
      <c r="AH308" s="58"/>
      <c r="AI308" s="46"/>
      <c r="AJ308" s="46"/>
      <c r="AK308" s="46"/>
      <c r="AL308" s="46"/>
      <c r="AM308" s="46"/>
      <c r="AN308" s="46"/>
      <c r="AO308" s="46"/>
      <c r="AP308" s="96"/>
      <c r="AQ308" s="46"/>
      <c r="AR308" s="46"/>
      <c r="AS308" s="46"/>
      <c r="AT308" s="46"/>
      <c r="AU308" s="46"/>
      <c r="AV308" s="46"/>
      <c r="AW308" s="46"/>
      <c r="AX308" s="46"/>
      <c r="AY308" s="46"/>
      <c r="AZ308" s="46"/>
      <c r="BA308" s="46"/>
      <c r="BB308" s="46"/>
      <c r="BC308"/>
      <c r="BD308"/>
      <c r="BE308"/>
      <c r="BF308"/>
      <c r="BG308"/>
      <c r="BH308"/>
      <c r="BI308"/>
      <c r="BJ308"/>
      <c r="BK308"/>
      <c r="BL308"/>
      <c r="BM308"/>
      <c r="BN308"/>
    </row>
    <row r="309" spans="1:66" x14ac:dyDescent="0.25">
      <c r="A309" s="46"/>
      <c r="B309" s="46"/>
      <c r="C309" s="46"/>
      <c r="D309" s="865"/>
      <c r="E309" s="46"/>
      <c r="F309" s="46"/>
      <c r="G309" s="72"/>
      <c r="H309" s="46"/>
      <c r="I309" s="46"/>
      <c r="J309" s="46"/>
      <c r="K309" s="46"/>
      <c r="L309" s="46"/>
      <c r="M309" s="46"/>
      <c r="N309" s="46"/>
      <c r="O309" s="46"/>
      <c r="P309" s="72"/>
      <c r="Q309" s="72"/>
      <c r="R309" s="59"/>
      <c r="S309" s="46"/>
      <c r="T309" s="46"/>
      <c r="U309" s="72" t="s">
        <v>161</v>
      </c>
      <c r="V309" s="46"/>
      <c r="W309" s="72"/>
      <c r="X309" s="72"/>
      <c r="Y309" s="72"/>
      <c r="Z309" s="72"/>
      <c r="AA309" s="72"/>
      <c r="AB309" s="72"/>
      <c r="AC309" s="557"/>
      <c r="AD309" s="46"/>
      <c r="AE309" s="46"/>
      <c r="AF309" s="72"/>
      <c r="AG309" s="72"/>
      <c r="AH309" s="46"/>
      <c r="AI309" s="46"/>
      <c r="AJ309" s="46"/>
      <c r="AK309" s="46"/>
      <c r="AL309" s="72"/>
      <c r="AM309" s="46"/>
      <c r="AN309" s="46"/>
      <c r="AO309" s="46"/>
      <c r="AP309" s="96"/>
      <c r="AQ309" s="46"/>
      <c r="AR309" s="46"/>
      <c r="AS309" s="46"/>
      <c r="AT309" s="46"/>
      <c r="AU309" s="46"/>
      <c r="AV309" s="46"/>
      <c r="AW309" s="46"/>
      <c r="AX309" s="46"/>
      <c r="AY309" s="46"/>
      <c r="AZ309" s="46"/>
      <c r="BA309" s="46"/>
      <c r="BB309" s="46"/>
      <c r="BC309"/>
      <c r="BD309"/>
      <c r="BE309"/>
      <c r="BF309"/>
      <c r="BG309"/>
      <c r="BH309"/>
      <c r="BI309"/>
      <c r="BJ309"/>
      <c r="BK309"/>
      <c r="BL309"/>
      <c r="BM309"/>
      <c r="BN309"/>
    </row>
    <row r="310" spans="1:66" x14ac:dyDescent="0.25">
      <c r="A310" s="46"/>
      <c r="B310" s="46"/>
      <c r="C310" s="46"/>
      <c r="D310" s="865"/>
      <c r="E310" s="46"/>
      <c r="F310" s="46"/>
      <c r="G310" s="46"/>
      <c r="H310" s="46"/>
      <c r="I310" s="46"/>
      <c r="J310" s="46"/>
      <c r="K310" s="46"/>
      <c r="L310" s="46"/>
      <c r="M310" s="46"/>
      <c r="N310" s="46"/>
      <c r="O310" s="46"/>
      <c r="P310" s="72"/>
      <c r="Q310" s="89"/>
      <c r="R310" s="90"/>
      <c r="S310" s="280"/>
      <c r="T310" s="76"/>
      <c r="U310" s="76"/>
      <c r="V310" s="76"/>
      <c r="W310" s="76"/>
      <c r="X310" s="76"/>
      <c r="Y310" s="76"/>
      <c r="Z310" s="76"/>
      <c r="AA310" s="76"/>
      <c r="AB310" s="76"/>
      <c r="AC310" s="527"/>
      <c r="AD310" s="76"/>
      <c r="AE310" s="76"/>
      <c r="AF310" s="76"/>
      <c r="AG310" s="94"/>
      <c r="AH310" s="72"/>
      <c r="AI310" s="72"/>
      <c r="AJ310" s="46"/>
      <c r="AK310" s="46"/>
      <c r="AL310" s="46"/>
      <c r="AM310" s="72"/>
      <c r="AN310" s="72"/>
      <c r="AO310" s="72"/>
      <c r="AP310" s="96"/>
      <c r="AQ310" s="46"/>
      <c r="AR310" s="46"/>
      <c r="AS310" s="46"/>
      <c r="AT310" s="46"/>
      <c r="AU310" s="46"/>
      <c r="AV310" s="46"/>
      <c r="AW310" s="46"/>
      <c r="AX310" s="46"/>
      <c r="AY310" s="46"/>
      <c r="AZ310" s="46"/>
      <c r="BA310" s="46"/>
      <c r="BB310" s="46"/>
      <c r="BC310"/>
      <c r="BD310"/>
      <c r="BE310"/>
      <c r="BF310"/>
      <c r="BG310"/>
      <c r="BH310"/>
      <c r="BI310"/>
      <c r="BJ310"/>
      <c r="BK310"/>
      <c r="BL310"/>
      <c r="BM310"/>
      <c r="BN310"/>
    </row>
    <row r="311" spans="1:66" x14ac:dyDescent="0.25">
      <c r="A311" s="46"/>
      <c r="B311" s="46"/>
      <c r="C311" s="46"/>
      <c r="D311" s="865"/>
      <c r="E311" s="46"/>
      <c r="F311" s="46"/>
      <c r="G311" s="46"/>
      <c r="H311" s="46"/>
      <c r="I311" s="46"/>
      <c r="J311" s="46"/>
      <c r="K311" s="46"/>
      <c r="L311" s="46"/>
      <c r="M311" s="46"/>
      <c r="N311" s="46"/>
      <c r="O311" s="46"/>
      <c r="P311" s="289"/>
      <c r="Q311" s="97"/>
      <c r="R311" s="97"/>
      <c r="S311" s="48"/>
      <c r="T311" s="48"/>
      <c r="U311" s="49"/>
      <c r="V311" s="72"/>
      <c r="W311" s="46"/>
      <c r="X311" s="72"/>
      <c r="Y311" s="72"/>
      <c r="Z311" s="72"/>
      <c r="AA311" s="72"/>
      <c r="AB311" s="72"/>
      <c r="AC311" s="59"/>
      <c r="AD311" s="46"/>
      <c r="AE311" s="289"/>
      <c r="AF311" s="48"/>
      <c r="AG311" s="48"/>
      <c r="AH311" s="49"/>
      <c r="AI311" s="72"/>
      <c r="AJ311" s="46"/>
      <c r="AK311" s="46"/>
      <c r="AL311" s="46"/>
      <c r="AM311" s="46"/>
      <c r="AN311" s="46"/>
      <c r="AO311" s="46"/>
      <c r="AP311" s="96"/>
      <c r="AQ311" s="46"/>
      <c r="AR311" s="46"/>
      <c r="AS311" s="46"/>
      <c r="AT311" s="46"/>
      <c r="AU311" s="46"/>
      <c r="AV311" s="46"/>
      <c r="AW311" s="46"/>
      <c r="AX311" s="46"/>
      <c r="AY311" s="46"/>
      <c r="AZ311" s="46"/>
      <c r="BA311" s="46"/>
      <c r="BB311" s="46"/>
      <c r="BC311"/>
      <c r="BD311"/>
      <c r="BE311"/>
      <c r="BF311"/>
      <c r="BG311"/>
      <c r="BH311"/>
      <c r="BI311"/>
      <c r="BJ311"/>
      <c r="BK311"/>
      <c r="BL311"/>
      <c r="BM311"/>
      <c r="BN311"/>
    </row>
    <row r="312" spans="1:66" x14ac:dyDescent="0.25">
      <c r="A312" s="46"/>
      <c r="B312" s="46"/>
      <c r="C312" s="46"/>
      <c r="D312" s="865"/>
      <c r="E312" s="46"/>
      <c r="F312" s="46"/>
      <c r="G312" s="46"/>
      <c r="H312" s="46"/>
      <c r="I312" s="46"/>
      <c r="J312" s="46"/>
      <c r="K312" s="46"/>
      <c r="L312" s="46"/>
      <c r="M312" s="46"/>
      <c r="N312" s="46"/>
      <c r="O312" s="46"/>
      <c r="P312" s="1446"/>
      <c r="Q312" s="1444"/>
      <c r="R312" s="1446" t="s">
        <v>445</v>
      </c>
      <c r="S312" s="80">
        <f>S278</f>
        <v>9.7580731500000017E-2</v>
      </c>
      <c r="T312" s="229" t="s">
        <v>441</v>
      </c>
      <c r="U312" s="53"/>
      <c r="V312" s="72"/>
      <c r="W312" s="46"/>
      <c r="X312" s="72"/>
      <c r="Y312" s="72"/>
      <c r="Z312" s="72"/>
      <c r="AA312" s="72"/>
      <c r="AB312" s="72"/>
      <c r="AC312" s="59"/>
      <c r="AD312" s="46"/>
      <c r="AE312" s="1561" t="s">
        <v>1728</v>
      </c>
      <c r="AF312" s="1558"/>
      <c r="AG312" s="444">
        <f>S312*vinasse</f>
        <v>1.2197591437500002</v>
      </c>
      <c r="AH312" s="1428" t="s">
        <v>1729</v>
      </c>
      <c r="AI312" s="72"/>
      <c r="AJ312" s="46"/>
      <c r="AK312" s="46"/>
      <c r="AL312" s="46"/>
      <c r="AM312" s="46"/>
      <c r="AN312" s="46"/>
      <c r="AO312" s="46"/>
      <c r="AP312" s="96"/>
      <c r="AQ312" s="46"/>
      <c r="AR312" s="46"/>
      <c r="AS312" s="46"/>
      <c r="AT312" s="46"/>
      <c r="AU312" s="46"/>
      <c r="AV312" s="46"/>
      <c r="AW312" s="46"/>
      <c r="AX312" s="46"/>
      <c r="AY312" s="46"/>
      <c r="AZ312" s="46"/>
      <c r="BA312" s="46"/>
      <c r="BB312" s="46"/>
      <c r="BC312"/>
      <c r="BD312"/>
      <c r="BE312"/>
      <c r="BF312"/>
      <c r="BG312"/>
      <c r="BH312"/>
      <c r="BI312"/>
      <c r="BJ312"/>
      <c r="BK312"/>
      <c r="BL312"/>
      <c r="BM312"/>
      <c r="BN312"/>
    </row>
    <row r="313" spans="1:66" x14ac:dyDescent="0.25">
      <c r="A313" s="46"/>
      <c r="B313" s="46"/>
      <c r="C313" s="46"/>
      <c r="D313" s="865"/>
      <c r="E313" s="46"/>
      <c r="F313" s="46"/>
      <c r="G313" s="46"/>
      <c r="H313" s="46"/>
      <c r="I313" s="46"/>
      <c r="J313" s="46"/>
      <c r="K313" s="46"/>
      <c r="L313" s="46"/>
      <c r="M313" s="46"/>
      <c r="N313" s="46"/>
      <c r="O313" s="46"/>
      <c r="P313" s="50"/>
      <c r="Q313" s="1444"/>
      <c r="R313" s="1444"/>
      <c r="S313" s="54"/>
      <c r="T313" s="51"/>
      <c r="U313" s="53"/>
      <c r="V313" s="72"/>
      <c r="W313" s="46"/>
      <c r="X313" s="72"/>
      <c r="Y313" s="72"/>
      <c r="Z313" s="72"/>
      <c r="AA313" s="72"/>
      <c r="AB313" s="72"/>
      <c r="AC313" s="59"/>
      <c r="AD313" s="46"/>
      <c r="AE313" s="543"/>
      <c r="AF313" s="537"/>
      <c r="AG313" s="537"/>
      <c r="AH313" s="53"/>
      <c r="AI313" s="72"/>
      <c r="AJ313" s="46"/>
      <c r="AK313" s="46"/>
      <c r="AL313" s="46"/>
      <c r="AM313" s="46"/>
      <c r="AN313" s="46"/>
      <c r="AO313" s="46"/>
      <c r="AP313" s="96"/>
      <c r="AQ313" s="46"/>
      <c r="AR313" s="46"/>
      <c r="AS313" s="46"/>
      <c r="AT313" s="46"/>
      <c r="AU313" s="46"/>
      <c r="AV313" s="46"/>
      <c r="AW313" s="46"/>
      <c r="AX313" s="46"/>
      <c r="AY313" s="46"/>
      <c r="AZ313" s="46"/>
      <c r="BA313" s="46"/>
      <c r="BB313" s="46"/>
      <c r="BC313"/>
      <c r="BD313"/>
      <c r="BE313"/>
      <c r="BF313"/>
      <c r="BG313"/>
      <c r="BH313"/>
      <c r="BI313"/>
      <c r="BJ313"/>
      <c r="BK313"/>
      <c r="BL313"/>
      <c r="BM313"/>
      <c r="BN313"/>
    </row>
    <row r="314" spans="1:66" x14ac:dyDescent="0.25">
      <c r="A314" s="46"/>
      <c r="B314" s="46"/>
      <c r="C314" s="46"/>
      <c r="D314" s="865"/>
      <c r="E314" s="46"/>
      <c r="F314" s="46"/>
      <c r="G314" s="46"/>
      <c r="H314" s="46"/>
      <c r="I314" s="46"/>
      <c r="J314" s="46"/>
      <c r="K314" s="46"/>
      <c r="L314" s="46"/>
      <c r="M314" s="46"/>
      <c r="N314" s="46"/>
      <c r="O314" s="46"/>
      <c r="P314" s="50"/>
      <c r="Q314" s="1444"/>
      <c r="R314" s="1448" t="s">
        <v>443</v>
      </c>
      <c r="S314" s="55">
        <f>price_be_sc</f>
        <v>494</v>
      </c>
      <c r="T314" s="229" t="s">
        <v>447</v>
      </c>
      <c r="U314" s="53"/>
      <c r="V314" s="72"/>
      <c r="W314" s="46"/>
      <c r="X314" s="72"/>
      <c r="Y314" s="72"/>
      <c r="Z314" s="72"/>
      <c r="AA314" s="72"/>
      <c r="AB314" s="72"/>
      <c r="AC314" s="59"/>
      <c r="AD314" s="46"/>
      <c r="AE314" s="1082"/>
      <c r="AF314" s="545"/>
      <c r="AG314" s="563"/>
      <c r="AH314" s="563"/>
      <c r="AI314" s="46"/>
      <c r="AJ314" s="46"/>
      <c r="AK314" s="46"/>
      <c r="AL314" s="46"/>
      <c r="AM314" s="46"/>
      <c r="AN314" s="46"/>
      <c r="AO314" s="46"/>
      <c r="AP314" s="96"/>
      <c r="AQ314" s="46"/>
      <c r="AR314" s="46"/>
      <c r="AS314" s="46"/>
      <c r="AT314" s="46"/>
      <c r="AU314" s="46"/>
      <c r="AV314" s="46"/>
      <c r="AW314" s="46"/>
      <c r="AX314" s="46"/>
      <c r="AY314" s="46"/>
      <c r="AZ314" s="46"/>
      <c r="BA314" s="46"/>
      <c r="BB314" s="46"/>
      <c r="BC314"/>
      <c r="BD314"/>
      <c r="BE314"/>
      <c r="BF314"/>
      <c r="BG314"/>
      <c r="BH314"/>
      <c r="BI314"/>
      <c r="BJ314"/>
      <c r="BK314"/>
      <c r="BL314"/>
      <c r="BM314"/>
      <c r="BN314"/>
    </row>
    <row r="315" spans="1:66" x14ac:dyDescent="0.25">
      <c r="A315" s="46"/>
      <c r="B315" s="46"/>
      <c r="C315" s="46"/>
      <c r="D315" s="865"/>
      <c r="E315" s="46"/>
      <c r="F315" s="46"/>
      <c r="G315" s="46"/>
      <c r="H315" s="46"/>
      <c r="I315" s="46"/>
      <c r="J315" s="46"/>
      <c r="K315" s="46"/>
      <c r="L315" s="46"/>
      <c r="M315" s="46"/>
      <c r="N315" s="46"/>
      <c r="O315" s="46"/>
      <c r="P315" s="50"/>
      <c r="Q315" s="1444"/>
      <c r="R315" s="1444"/>
      <c r="S315" s="1444"/>
      <c r="T315" s="51"/>
      <c r="U315" s="53"/>
      <c r="V315" s="72"/>
      <c r="W315" s="46"/>
      <c r="X315" s="72"/>
      <c r="Y315" s="72"/>
      <c r="Z315" s="72"/>
      <c r="AA315" s="72"/>
      <c r="AB315" s="72"/>
      <c r="AC315" s="59"/>
      <c r="AD315" s="46"/>
      <c r="AE315" s="544"/>
      <c r="AF315" s="529"/>
      <c r="AG315" s="443"/>
      <c r="AH315" s="443"/>
      <c r="AI315" s="72"/>
      <c r="AJ315" s="46"/>
      <c r="AK315" s="46"/>
      <c r="AL315" s="46"/>
      <c r="AM315" s="46"/>
      <c r="AN315" s="46"/>
      <c r="AO315" s="46"/>
      <c r="AP315" s="96"/>
      <c r="AQ315" s="46"/>
      <c r="AR315" s="46"/>
      <c r="AS315" s="46"/>
      <c r="AT315" s="46"/>
      <c r="AU315" s="46"/>
      <c r="AV315" s="46"/>
      <c r="AW315" s="46"/>
      <c r="AX315" s="46"/>
      <c r="AY315" s="46"/>
      <c r="AZ315" s="46"/>
      <c r="BA315" s="46"/>
      <c r="BB315" s="46"/>
      <c r="BC315"/>
      <c r="BD315"/>
      <c r="BE315"/>
      <c r="BF315"/>
      <c r="BG315"/>
      <c r="BH315"/>
      <c r="BI315"/>
      <c r="BJ315"/>
      <c r="BK315"/>
      <c r="BL315"/>
      <c r="BM315"/>
      <c r="BN315"/>
    </row>
    <row r="316" spans="1:66" x14ac:dyDescent="0.25">
      <c r="A316" s="46"/>
      <c r="B316" s="46"/>
      <c r="C316" s="46"/>
      <c r="D316" s="865"/>
      <c r="E316" s="46"/>
      <c r="F316" s="46"/>
      <c r="G316" s="46"/>
      <c r="H316" s="46"/>
      <c r="I316" s="46"/>
      <c r="J316" s="46"/>
      <c r="K316" s="46"/>
      <c r="L316" s="46"/>
      <c r="M316" s="46"/>
      <c r="N316" s="46"/>
      <c r="O316" s="46"/>
      <c r="P316" s="50"/>
      <c r="Q316" s="1444"/>
      <c r="R316" s="1446" t="s">
        <v>444</v>
      </c>
      <c r="S316" s="420">
        <f>CV_be</f>
        <v>26700</v>
      </c>
      <c r="T316" s="229" t="s">
        <v>446</v>
      </c>
      <c r="U316" s="53"/>
      <c r="V316" s="72"/>
      <c r="W316" s="46"/>
      <c r="X316" s="72"/>
      <c r="Y316" s="72"/>
      <c r="Z316" s="72"/>
      <c r="AA316" s="72"/>
      <c r="AB316" s="72"/>
      <c r="AC316" s="59"/>
      <c r="AD316" s="46"/>
      <c r="AE316" s="544"/>
      <c r="AF316" s="529"/>
      <c r="AG316" s="443"/>
      <c r="AH316" s="443"/>
      <c r="AI316" s="46"/>
      <c r="AJ316" s="46"/>
      <c r="AK316" s="46"/>
      <c r="AL316" s="46"/>
      <c r="AM316" s="46"/>
      <c r="AN316" s="46"/>
      <c r="AO316" s="46"/>
      <c r="AP316" s="96"/>
      <c r="AQ316" s="46"/>
      <c r="AR316" s="46"/>
      <c r="AS316" s="46"/>
      <c r="AT316" s="46"/>
      <c r="AU316" s="46"/>
      <c r="AV316" s="46"/>
      <c r="AW316" s="46"/>
      <c r="AX316" s="46"/>
      <c r="AY316" s="46"/>
      <c r="AZ316" s="46"/>
      <c r="BA316" s="46"/>
      <c r="BB316" s="46"/>
      <c r="BC316"/>
      <c r="BD316"/>
      <c r="BE316"/>
      <c r="BF316"/>
      <c r="BG316"/>
      <c r="BH316"/>
      <c r="BI316"/>
      <c r="BJ316"/>
      <c r="BK316"/>
      <c r="BL316"/>
      <c r="BM316"/>
      <c r="BN316"/>
    </row>
    <row r="317" spans="1:66" x14ac:dyDescent="0.25">
      <c r="A317" s="46"/>
      <c r="B317" s="46"/>
      <c r="C317" s="46"/>
      <c r="D317" s="865"/>
      <c r="E317" s="46"/>
      <c r="F317" s="46"/>
      <c r="G317" s="46"/>
      <c r="H317" s="46"/>
      <c r="I317" s="46"/>
      <c r="J317" s="46"/>
      <c r="K317" s="46"/>
      <c r="L317" s="46"/>
      <c r="M317" s="46"/>
      <c r="N317" s="46"/>
      <c r="O317" s="46"/>
      <c r="P317" s="56"/>
      <c r="Q317" s="847"/>
      <c r="R317" s="847"/>
      <c r="S317" s="57"/>
      <c r="T317" s="57"/>
      <c r="U317" s="58"/>
      <c r="V317" s="72"/>
      <c r="W317" s="46"/>
      <c r="X317" s="72"/>
      <c r="Y317" s="72"/>
      <c r="Z317" s="72"/>
      <c r="AA317" s="72"/>
      <c r="AB317" s="72"/>
      <c r="AC317" s="59"/>
      <c r="AD317" s="46"/>
      <c r="AE317" s="544"/>
      <c r="AF317" s="529"/>
      <c r="AG317" s="443"/>
      <c r="AH317" s="443"/>
      <c r="AI317" s="46"/>
      <c r="AJ317" s="46"/>
      <c r="AK317" s="46"/>
      <c r="AL317" s="46"/>
      <c r="AM317" s="46"/>
      <c r="AN317" s="46"/>
      <c r="AO317" s="46"/>
      <c r="AP317" s="96"/>
      <c r="AQ317" s="46"/>
      <c r="AR317" s="46"/>
      <c r="AS317" s="46"/>
      <c r="AT317" s="46"/>
      <c r="AU317" s="46"/>
      <c r="AV317" s="46"/>
      <c r="AW317" s="46"/>
      <c r="AX317" s="46"/>
      <c r="AY317" s="46"/>
      <c r="AZ317" s="46"/>
      <c r="BA317" s="46"/>
      <c r="BB317" s="46"/>
      <c r="BC317"/>
      <c r="BD317"/>
      <c r="BE317"/>
      <c r="BF317"/>
      <c r="BG317"/>
      <c r="BH317"/>
      <c r="BI317"/>
      <c r="BJ317"/>
      <c r="BK317"/>
      <c r="BL317"/>
      <c r="BM317"/>
      <c r="BN317"/>
    </row>
    <row r="318" spans="1:66" x14ac:dyDescent="0.25">
      <c r="A318" s="46"/>
      <c r="B318" s="46"/>
      <c r="C318" s="46"/>
      <c r="D318" s="865"/>
      <c r="E318" s="46"/>
      <c r="F318" s="46"/>
      <c r="G318" s="46"/>
      <c r="H318" s="46"/>
      <c r="I318" s="46"/>
      <c r="J318" s="46"/>
      <c r="K318" s="46"/>
      <c r="L318" s="46"/>
      <c r="M318" s="46"/>
      <c r="N318" s="46"/>
      <c r="O318" s="46"/>
      <c r="P318" s="46"/>
      <c r="Q318" s="46"/>
      <c r="R318" s="46"/>
      <c r="S318" s="96"/>
      <c r="T318" s="46"/>
      <c r="U318" s="46"/>
      <c r="V318" s="72"/>
      <c r="W318" s="46"/>
      <c r="X318" s="72"/>
      <c r="Y318" s="72"/>
      <c r="Z318" s="72"/>
      <c r="AA318" s="72"/>
      <c r="AB318" s="72"/>
      <c r="AC318" s="59"/>
      <c r="AD318" s="46"/>
      <c r="AE318" s="544"/>
      <c r="AF318" s="529"/>
      <c r="AG318" s="443"/>
      <c r="AH318" s="46"/>
      <c r="AI318" s="46"/>
      <c r="AJ318" s="46"/>
      <c r="AK318" s="46"/>
      <c r="AL318" s="46"/>
      <c r="AM318" s="46"/>
      <c r="AN318" s="46"/>
      <c r="AO318" s="46"/>
      <c r="AP318" s="96"/>
      <c r="AQ318" s="46"/>
      <c r="AR318" s="46"/>
      <c r="AS318" s="46"/>
      <c r="AT318" s="46"/>
      <c r="AU318" s="46"/>
      <c r="AV318" s="46"/>
      <c r="AW318" s="46"/>
      <c r="AX318" s="46"/>
      <c r="AY318" s="46"/>
      <c r="AZ318" s="46"/>
      <c r="BA318" s="46"/>
      <c r="BB318" s="46"/>
      <c r="BC318"/>
      <c r="BD318"/>
      <c r="BE318"/>
      <c r="BF318"/>
      <c r="BG318"/>
      <c r="BH318"/>
      <c r="BI318"/>
      <c r="BJ318"/>
      <c r="BK318"/>
      <c r="BL318"/>
      <c r="BM318"/>
      <c r="BN318"/>
    </row>
    <row r="319" spans="1:66" x14ac:dyDescent="0.25">
      <c r="A319" s="46"/>
      <c r="B319" s="46"/>
      <c r="C319" s="46"/>
      <c r="D319" s="865"/>
      <c r="E319" s="46"/>
      <c r="F319" s="46"/>
      <c r="G319" s="46"/>
      <c r="H319" s="46"/>
      <c r="I319" s="46"/>
      <c r="J319" s="46"/>
      <c r="K319" s="46"/>
      <c r="L319" s="46"/>
      <c r="M319" s="46"/>
      <c r="N319" s="46"/>
      <c r="O319" s="46"/>
      <c r="P319" s="289"/>
      <c r="Q319" s="48"/>
      <c r="R319" s="48"/>
      <c r="S319" s="48"/>
      <c r="T319" s="48"/>
      <c r="U319" s="49"/>
      <c r="V319" s="72"/>
      <c r="W319" s="46"/>
      <c r="X319" s="72"/>
      <c r="Y319" s="72"/>
      <c r="Z319" s="72"/>
      <c r="AA319" s="72"/>
      <c r="AB319" s="72"/>
      <c r="AC319" s="59"/>
      <c r="AD319" s="46"/>
      <c r="AE319" s="544"/>
      <c r="AF319" s="529"/>
      <c r="AG319" s="443"/>
      <c r="AH319" s="46"/>
      <c r="AI319" s="46"/>
      <c r="AJ319" s="46"/>
      <c r="AK319" s="46"/>
      <c r="AL319" s="46"/>
      <c r="AM319" s="46"/>
      <c r="AN319" s="46"/>
      <c r="AO319" s="46"/>
      <c r="AP319" s="96"/>
      <c r="AQ319" s="46"/>
      <c r="AR319" s="46"/>
      <c r="AS319" s="46"/>
      <c r="AT319" s="46"/>
      <c r="AU319" s="46"/>
      <c r="AV319" s="46"/>
      <c r="AW319" s="46"/>
      <c r="AX319" s="46"/>
      <c r="AY319" s="46"/>
      <c r="AZ319" s="46"/>
      <c r="BA319" s="46"/>
      <c r="BB319" s="46"/>
      <c r="BC319"/>
      <c r="BD319"/>
      <c r="BE319"/>
      <c r="BF319"/>
      <c r="BG319"/>
      <c r="BH319"/>
      <c r="BI319"/>
      <c r="BJ319"/>
      <c r="BK319"/>
      <c r="BL319"/>
      <c r="BM319"/>
      <c r="BN319"/>
    </row>
    <row r="320" spans="1:66" x14ac:dyDescent="0.25">
      <c r="A320" s="46"/>
      <c r="B320" s="46"/>
      <c r="C320" s="46"/>
      <c r="D320" s="865"/>
      <c r="E320" s="46"/>
      <c r="F320" s="46"/>
      <c r="G320" s="46"/>
      <c r="H320" s="46"/>
      <c r="I320" s="46"/>
      <c r="J320" s="46"/>
      <c r="K320" s="46"/>
      <c r="L320" s="46"/>
      <c r="M320" s="46"/>
      <c r="N320" s="46"/>
      <c r="O320" s="46"/>
      <c r="P320" s="1446"/>
      <c r="Q320" s="1448"/>
      <c r="R320" s="1446" t="s">
        <v>572</v>
      </c>
      <c r="S320" s="80">
        <f>S312</f>
        <v>9.7580731500000017E-2</v>
      </c>
      <c r="T320" s="229" t="s">
        <v>441</v>
      </c>
      <c r="U320" s="53"/>
      <c r="V320" s="72"/>
      <c r="W320" s="46"/>
      <c r="X320" s="72"/>
      <c r="Y320" s="72"/>
      <c r="Z320" s="72"/>
      <c r="AA320" s="72"/>
      <c r="AB320" s="72"/>
      <c r="AC320" s="59"/>
      <c r="AD320" s="46"/>
      <c r="AE320" s="46"/>
      <c r="AF320" s="529"/>
      <c r="AG320" s="443"/>
      <c r="AH320" s="46"/>
      <c r="AI320" s="46"/>
      <c r="AJ320" s="46"/>
      <c r="AK320" s="46"/>
      <c r="AL320" s="46"/>
      <c r="AM320" s="46"/>
      <c r="AN320" s="46"/>
      <c r="AO320" s="46"/>
      <c r="AP320" s="96"/>
      <c r="AQ320" s="46"/>
      <c r="AR320" s="46"/>
      <c r="AS320" s="46"/>
      <c r="AT320" s="46"/>
      <c r="AU320" s="46"/>
      <c r="AV320" s="46"/>
      <c r="AW320" s="46"/>
      <c r="AX320" s="46"/>
      <c r="AY320" s="46"/>
      <c r="AZ320" s="46"/>
      <c r="BA320" s="46"/>
      <c r="BB320" s="46"/>
      <c r="BC320"/>
      <c r="BD320"/>
      <c r="BE320"/>
      <c r="BF320"/>
      <c r="BG320"/>
      <c r="BH320"/>
      <c r="BI320"/>
      <c r="BJ320"/>
      <c r="BK320"/>
      <c r="BL320"/>
      <c r="BM320"/>
      <c r="BN320"/>
    </row>
    <row r="321" spans="1:66" ht="13.8" thickBot="1" x14ac:dyDescent="0.3">
      <c r="A321" s="46"/>
      <c r="B321" s="46"/>
      <c r="C321" s="46"/>
      <c r="D321" s="865"/>
      <c r="E321" s="46"/>
      <c r="F321" s="46"/>
      <c r="G321" s="46"/>
      <c r="H321" s="46"/>
      <c r="I321" s="46"/>
      <c r="J321" s="46"/>
      <c r="K321" s="46"/>
      <c r="L321" s="46"/>
      <c r="M321" s="46"/>
      <c r="N321" s="46"/>
      <c r="O321" s="46"/>
      <c r="P321" s="56"/>
      <c r="Q321" s="57"/>
      <c r="R321" s="57"/>
      <c r="S321" s="57"/>
      <c r="T321" s="57"/>
      <c r="U321" s="58"/>
      <c r="V321" s="72"/>
      <c r="W321" s="46"/>
      <c r="X321" s="72"/>
      <c r="Y321" s="72"/>
      <c r="Z321" s="72"/>
      <c r="AA321" s="72"/>
      <c r="AB321" s="72"/>
      <c r="AC321" s="59"/>
      <c r="AD321" s="46"/>
      <c r="AE321" s="46"/>
      <c r="AF321" s="518"/>
      <c r="AG321" s="443"/>
      <c r="AH321" s="283"/>
      <c r="AI321" s="72"/>
      <c r="AJ321" s="46"/>
      <c r="AK321" s="46"/>
      <c r="AL321" s="46"/>
      <c r="AM321" s="46"/>
      <c r="AN321" s="46"/>
      <c r="AO321" s="46"/>
      <c r="AP321" s="96"/>
      <c r="AQ321" s="46"/>
      <c r="AR321" s="46"/>
      <c r="AS321" s="46"/>
      <c r="AT321" s="46"/>
      <c r="AU321" s="46"/>
      <c r="AV321" s="46"/>
      <c r="AW321" s="46"/>
      <c r="AX321" s="46"/>
      <c r="AY321" s="46"/>
      <c r="AZ321" s="46"/>
      <c r="BA321" s="46"/>
      <c r="BB321" s="46"/>
      <c r="BC321"/>
      <c r="BD321"/>
      <c r="BE321"/>
      <c r="BF321"/>
      <c r="BG321"/>
      <c r="BH321"/>
      <c r="BI321"/>
      <c r="BJ321"/>
      <c r="BK321"/>
      <c r="BL321"/>
      <c r="BM321"/>
      <c r="BN321"/>
    </row>
    <row r="322" spans="1:66" ht="13.8" thickBot="1" x14ac:dyDescent="0.3">
      <c r="A322" s="46"/>
      <c r="B322" s="46"/>
      <c r="C322" s="46"/>
      <c r="D322" s="865"/>
      <c r="E322" s="46"/>
      <c r="F322" s="46"/>
      <c r="G322" s="46"/>
      <c r="H322" s="46"/>
      <c r="I322" s="46"/>
      <c r="J322" s="46"/>
      <c r="K322" s="46"/>
      <c r="L322" s="46"/>
      <c r="M322" s="46"/>
      <c r="N322" s="46"/>
      <c r="O322" s="46"/>
      <c r="P322" s="46"/>
      <c r="Q322" s="46"/>
      <c r="R322" s="46"/>
      <c r="S322" s="75"/>
      <c r="T322" s="46"/>
      <c r="U322" s="46"/>
      <c r="V322" s="72"/>
      <c r="W322" s="46"/>
      <c r="X322" s="72"/>
      <c r="Y322" s="72"/>
      <c r="Z322" s="72"/>
      <c r="AA322" s="72"/>
      <c r="AB322" s="72"/>
      <c r="AC322" s="59"/>
      <c r="AD322" s="46"/>
      <c r="AE322" s="243"/>
      <c r="AF322" s="60"/>
      <c r="AG322" s="60"/>
      <c r="AH322" s="61"/>
      <c r="AI322" s="72"/>
      <c r="AJ322" s="46"/>
      <c r="AK322" s="46"/>
      <c r="AL322" s="46"/>
      <c r="AM322" s="46"/>
      <c r="AN322" s="46"/>
      <c r="AO322" s="46"/>
      <c r="AP322" s="96"/>
      <c r="AQ322" s="46"/>
      <c r="AR322" s="46"/>
      <c r="AS322" s="46"/>
      <c r="AT322" s="46"/>
      <c r="AU322" s="46"/>
      <c r="AV322" s="46"/>
      <c r="AW322" s="46"/>
      <c r="AX322" s="46"/>
      <c r="AY322" s="46"/>
      <c r="AZ322" s="46"/>
      <c r="BA322" s="46"/>
      <c r="BB322" s="46"/>
      <c r="BC322"/>
      <c r="BD322"/>
      <c r="BE322"/>
      <c r="BF322"/>
      <c r="BG322"/>
      <c r="BH322"/>
      <c r="BI322"/>
      <c r="BJ322"/>
      <c r="BK322"/>
      <c r="BL322"/>
      <c r="BM322"/>
      <c r="BN322"/>
    </row>
    <row r="323" spans="1:66" x14ac:dyDescent="0.25">
      <c r="A323" s="46"/>
      <c r="B323" s="46"/>
      <c r="C323" s="46"/>
      <c r="D323" s="865"/>
      <c r="E323" s="46"/>
      <c r="F323" s="46"/>
      <c r="G323" s="46"/>
      <c r="H323" s="46"/>
      <c r="I323" s="46"/>
      <c r="J323" s="46"/>
      <c r="K323" s="46"/>
      <c r="L323" s="46"/>
      <c r="M323" s="46"/>
      <c r="N323" s="46"/>
      <c r="O323" s="46"/>
      <c r="P323" s="843"/>
      <c r="Q323" s="60"/>
      <c r="R323" s="60"/>
      <c r="S323" s="60"/>
      <c r="T323" s="60"/>
      <c r="U323" s="61"/>
      <c r="V323" s="72"/>
      <c r="W323" s="46"/>
      <c r="X323" s="72"/>
      <c r="Y323" s="72"/>
      <c r="Z323" s="72"/>
      <c r="AA323" s="72"/>
      <c r="AB323" s="72"/>
      <c r="AC323" s="59"/>
      <c r="AD323" s="46"/>
      <c r="AE323" s="1551" t="s">
        <v>577</v>
      </c>
      <c r="AF323" s="1552"/>
      <c r="AG323" s="1552"/>
      <c r="AH323" s="1553"/>
      <c r="AI323" s="72"/>
      <c r="AJ323" s="46"/>
      <c r="AK323" s="46"/>
      <c r="AL323" s="46"/>
      <c r="AM323" s="46"/>
      <c r="AN323" s="46"/>
      <c r="AO323" s="46"/>
      <c r="AP323" s="96"/>
      <c r="AQ323" s="46"/>
      <c r="AR323" s="46"/>
      <c r="AS323" s="46"/>
      <c r="AT323" s="46"/>
      <c r="AU323" s="46"/>
      <c r="AV323" s="46"/>
      <c r="AW323" s="46"/>
      <c r="AX323" s="46"/>
      <c r="AY323" s="46"/>
      <c r="AZ323" s="46"/>
      <c r="BA323" s="46"/>
      <c r="BB323" s="46"/>
      <c r="BC323"/>
      <c r="BD323"/>
      <c r="BE323"/>
      <c r="BF323"/>
      <c r="BG323"/>
      <c r="BH323"/>
      <c r="BI323"/>
      <c r="BJ323"/>
      <c r="BK323"/>
      <c r="BL323"/>
      <c r="BM323"/>
      <c r="BN323"/>
    </row>
    <row r="324" spans="1:66" x14ac:dyDescent="0.25">
      <c r="A324" s="46"/>
      <c r="B324" s="46"/>
      <c r="C324" s="46"/>
      <c r="D324" s="865"/>
      <c r="E324" s="46"/>
      <c r="F324" s="46"/>
      <c r="G324" s="46"/>
      <c r="H324" s="46"/>
      <c r="I324" s="46"/>
      <c r="J324" s="46"/>
      <c r="K324" s="46"/>
      <c r="L324" s="46"/>
      <c r="M324" s="46"/>
      <c r="N324" s="46"/>
      <c r="O324" s="46"/>
      <c r="P324" s="1551" t="s">
        <v>166</v>
      </c>
      <c r="Q324" s="1552"/>
      <c r="R324" s="1552"/>
      <c r="S324" s="1552"/>
      <c r="T324" s="1552"/>
      <c r="U324" s="1553"/>
      <c r="V324" s="72"/>
      <c r="W324" s="46"/>
      <c r="X324" s="72"/>
      <c r="Y324" s="72"/>
      <c r="Z324" s="72"/>
      <c r="AA324" s="72"/>
      <c r="AB324" s="72"/>
      <c r="AC324" s="59"/>
      <c r="AD324" s="46"/>
      <c r="AE324" s="1551" t="s">
        <v>274</v>
      </c>
      <c r="AF324" s="1552"/>
      <c r="AG324" s="1552"/>
      <c r="AH324" s="1553"/>
      <c r="AI324" s="72"/>
      <c r="AJ324" s="46"/>
      <c r="AK324" s="46"/>
      <c r="AL324" s="46"/>
      <c r="AM324" s="46"/>
      <c r="AN324" s="46"/>
      <c r="AO324" s="46"/>
      <c r="AP324" s="96"/>
      <c r="AQ324" s="46"/>
      <c r="AR324" s="46"/>
      <c r="AS324" s="46"/>
      <c r="AT324" s="46"/>
      <c r="AU324" s="46"/>
      <c r="AV324" s="46"/>
      <c r="AW324" s="46"/>
      <c r="AX324" s="46"/>
      <c r="AY324" s="46"/>
      <c r="AZ324" s="46"/>
      <c r="BA324" s="46"/>
      <c r="BB324" s="46"/>
      <c r="BC324"/>
      <c r="BD324"/>
      <c r="BE324"/>
      <c r="BF324"/>
      <c r="BG324"/>
      <c r="BH324"/>
      <c r="BI324"/>
      <c r="BJ324"/>
      <c r="BK324"/>
      <c r="BL324"/>
      <c r="BM324"/>
      <c r="BN324"/>
    </row>
    <row r="325" spans="1:66" x14ac:dyDescent="0.25">
      <c r="A325" s="46"/>
      <c r="B325" s="46"/>
      <c r="C325" s="46"/>
      <c r="D325" s="865"/>
      <c r="E325" s="46"/>
      <c r="F325" s="46"/>
      <c r="G325" s="46"/>
      <c r="H325" s="46"/>
      <c r="I325" s="46"/>
      <c r="J325" s="46"/>
      <c r="K325" s="46"/>
      <c r="L325" s="46"/>
      <c r="M325" s="46"/>
      <c r="N325" s="46"/>
      <c r="O325" s="46"/>
      <c r="P325" s="1548" t="s">
        <v>164</v>
      </c>
      <c r="Q325" s="1549"/>
      <c r="R325" s="1549"/>
      <c r="S325" s="1549"/>
      <c r="T325" s="1549"/>
      <c r="U325" s="1550"/>
      <c r="V325" s="72"/>
      <c r="W325" s="46"/>
      <c r="X325" s="72"/>
      <c r="Y325" s="72"/>
      <c r="Z325" s="72"/>
      <c r="AA325" s="72"/>
      <c r="AB325" s="72"/>
      <c r="AC325" s="59"/>
      <c r="AD325" s="46"/>
      <c r="AE325" s="425"/>
      <c r="AF325" s="256"/>
      <c r="AG325" s="256"/>
      <c r="AH325" s="546"/>
      <c r="AI325" s="72"/>
      <c r="AJ325" s="46"/>
      <c r="AK325" s="46"/>
      <c r="AL325" s="46"/>
      <c r="AM325" s="46"/>
      <c r="AN325" s="46"/>
      <c r="AO325" s="46"/>
      <c r="AP325" s="96"/>
      <c r="AQ325" s="46"/>
      <c r="AR325" s="46"/>
      <c r="AS325" s="46"/>
      <c r="AT325" s="46"/>
      <c r="AU325" s="46"/>
      <c r="AV325" s="46"/>
      <c r="AW325" s="46"/>
      <c r="AX325" s="46"/>
      <c r="AY325" s="46"/>
      <c r="AZ325" s="46"/>
      <c r="BA325" s="46"/>
      <c r="BB325" s="46"/>
      <c r="BC325"/>
      <c r="BD325"/>
      <c r="BE325"/>
      <c r="BF325"/>
      <c r="BG325"/>
      <c r="BH325"/>
      <c r="BI325"/>
      <c r="BJ325"/>
      <c r="BK325"/>
      <c r="BL325"/>
      <c r="BM325"/>
      <c r="BN325"/>
    </row>
    <row r="326" spans="1:66" x14ac:dyDescent="0.25">
      <c r="A326" s="46"/>
      <c r="B326" s="46"/>
      <c r="C326" s="46"/>
      <c r="D326" s="865"/>
      <c r="E326" s="46"/>
      <c r="F326" s="46"/>
      <c r="G326" s="46"/>
      <c r="H326" s="46"/>
      <c r="I326" s="46"/>
      <c r="J326" s="46"/>
      <c r="K326" s="46"/>
      <c r="L326" s="46"/>
      <c r="M326" s="46"/>
      <c r="N326" s="46"/>
      <c r="O326" s="46"/>
      <c r="P326" s="62"/>
      <c r="Q326" s="1443"/>
      <c r="R326" s="1445"/>
      <c r="S326" s="1445"/>
      <c r="T326" s="1445"/>
      <c r="U326" s="64"/>
      <c r="V326" s="72"/>
      <c r="W326" s="46"/>
      <c r="X326" s="72"/>
      <c r="Y326" s="72"/>
      <c r="Z326" s="72"/>
      <c r="AA326" s="72"/>
      <c r="AB326" s="72"/>
      <c r="AC326" s="59"/>
      <c r="AD326" s="46"/>
      <c r="AE326" s="425"/>
      <c r="AF326" s="534" t="s">
        <v>1730</v>
      </c>
      <c r="AG326" s="444">
        <f>AG312</f>
        <v>1.2197591437500002</v>
      </c>
      <c r="AH326" s="550" t="s">
        <v>1734</v>
      </c>
      <c r="AI326" s="72"/>
      <c r="AJ326" s="46"/>
      <c r="AK326" s="46"/>
      <c r="AL326" s="46"/>
      <c r="AM326" s="46"/>
      <c r="AN326" s="46"/>
      <c r="AO326" s="46"/>
      <c r="AP326" s="96"/>
      <c r="AQ326" s="46"/>
      <c r="AR326" s="46"/>
      <c r="AS326" s="46"/>
      <c r="AT326" s="46"/>
      <c r="AU326" s="46"/>
      <c r="AV326" s="46"/>
      <c r="AW326" s="46"/>
      <c r="AX326" s="46"/>
      <c r="AY326" s="46"/>
      <c r="AZ326" s="46"/>
      <c r="BA326" s="46"/>
      <c r="BB326" s="46"/>
      <c r="BC326"/>
      <c r="BD326"/>
      <c r="BE326"/>
      <c r="BF326"/>
      <c r="BG326"/>
      <c r="BH326"/>
      <c r="BI326"/>
      <c r="BJ326"/>
      <c r="BK326"/>
      <c r="BL326"/>
      <c r="BM326"/>
      <c r="BN326"/>
    </row>
    <row r="327" spans="1:66" x14ac:dyDescent="0.25">
      <c r="A327" s="46"/>
      <c r="B327" s="46"/>
      <c r="C327" s="46"/>
      <c r="D327" s="865"/>
      <c r="E327" s="46"/>
      <c r="F327" s="46"/>
      <c r="G327" s="46"/>
      <c r="H327" s="46"/>
      <c r="I327" s="46"/>
      <c r="J327" s="46"/>
      <c r="K327" s="46"/>
      <c r="L327" s="46"/>
      <c r="M327" s="46"/>
      <c r="N327" s="46"/>
      <c r="O327" s="46"/>
      <c r="P327" s="425"/>
      <c r="Q327" s="256"/>
      <c r="R327" s="1442" t="s">
        <v>677</v>
      </c>
      <c r="S327" s="437">
        <f>tr_pl_dtb_1_truck</f>
        <v>44</v>
      </c>
      <c r="T327" s="256" t="s">
        <v>586</v>
      </c>
      <c r="U327" s="546"/>
      <c r="V327" s="72"/>
      <c r="W327" s="46"/>
      <c r="X327" s="72"/>
      <c r="Y327" s="72"/>
      <c r="Z327" s="72"/>
      <c r="AA327" s="72"/>
      <c r="AB327" s="72"/>
      <c r="AC327" s="59"/>
      <c r="AD327" s="46"/>
      <c r="AE327" s="425"/>
      <c r="AF327" s="256"/>
      <c r="AG327" s="256"/>
      <c r="AH327" s="546"/>
      <c r="AI327" s="72"/>
      <c r="AJ327" s="46"/>
      <c r="AK327" s="46"/>
      <c r="AL327" s="46"/>
      <c r="AM327" s="46"/>
      <c r="AN327" s="46"/>
      <c r="AO327" s="46"/>
      <c r="AP327" s="96"/>
      <c r="AQ327" s="46"/>
      <c r="AR327" s="46"/>
      <c r="AS327" s="46"/>
      <c r="AT327" s="46"/>
      <c r="AU327" s="46"/>
      <c r="AV327" s="46"/>
      <c r="AW327" s="46"/>
      <c r="AX327" s="46"/>
      <c r="AY327" s="46"/>
      <c r="AZ327" s="46"/>
      <c r="BA327" s="46"/>
      <c r="BB327" s="46"/>
      <c r="BC327"/>
      <c r="BD327"/>
      <c r="BE327"/>
      <c r="BF327"/>
      <c r="BG327"/>
      <c r="BH327"/>
      <c r="BI327"/>
      <c r="BJ327"/>
      <c r="BK327"/>
      <c r="BL327"/>
      <c r="BM327"/>
      <c r="BN327"/>
    </row>
    <row r="328" spans="1:66" x14ac:dyDescent="0.25">
      <c r="A328" s="46"/>
      <c r="B328" s="46"/>
      <c r="C328" s="46"/>
      <c r="D328" s="865"/>
      <c r="E328" s="46"/>
      <c r="F328" s="46"/>
      <c r="G328" s="46"/>
      <c r="H328" s="46"/>
      <c r="I328" s="46"/>
      <c r="J328" s="46"/>
      <c r="K328" s="46"/>
      <c r="L328" s="46"/>
      <c r="M328" s="46"/>
      <c r="N328" s="46"/>
      <c r="O328" s="46"/>
      <c r="P328" s="425"/>
      <c r="Q328" s="256"/>
      <c r="R328" s="256"/>
      <c r="S328" s="256"/>
      <c r="T328" s="256"/>
      <c r="U328" s="546"/>
      <c r="V328" s="72"/>
      <c r="W328" s="46"/>
      <c r="X328" s="72"/>
      <c r="Y328" s="72"/>
      <c r="Z328" s="72"/>
      <c r="AA328" s="72"/>
      <c r="AB328" s="72"/>
      <c r="AC328" s="59"/>
      <c r="AD328" s="46"/>
      <c r="AE328" s="425"/>
      <c r="AF328" s="534" t="s">
        <v>1731</v>
      </c>
      <c r="AG328" s="445">
        <f>vinasse_COD</f>
        <v>69000</v>
      </c>
      <c r="AH328" s="547" t="s">
        <v>1735</v>
      </c>
      <c r="AI328" s="72"/>
      <c r="AJ328" s="46"/>
      <c r="AK328" s="46"/>
      <c r="AL328" s="46"/>
      <c r="AM328" s="46"/>
      <c r="AN328" s="46"/>
      <c r="AO328" s="46"/>
      <c r="AP328" s="96"/>
      <c r="AQ328" s="46"/>
      <c r="AR328" s="46"/>
      <c r="AS328" s="46"/>
      <c r="AT328" s="46"/>
      <c r="AU328" s="46"/>
      <c r="AV328" s="46"/>
      <c r="AW328" s="46"/>
      <c r="AX328" s="46"/>
      <c r="AY328" s="46"/>
      <c r="AZ328" s="46"/>
      <c r="BA328" s="46"/>
      <c r="BB328" s="46"/>
      <c r="BC328"/>
      <c r="BD328"/>
      <c r="BE328"/>
      <c r="BF328"/>
      <c r="BG328"/>
      <c r="BH328"/>
      <c r="BI328"/>
      <c r="BJ328"/>
      <c r="BK328"/>
      <c r="BL328"/>
      <c r="BM328"/>
      <c r="BN328"/>
    </row>
    <row r="329" spans="1:66" x14ac:dyDescent="0.25">
      <c r="A329" s="46"/>
      <c r="B329" s="46"/>
      <c r="C329" s="46"/>
      <c r="D329" s="865"/>
      <c r="E329" s="46"/>
      <c r="F329" s="46"/>
      <c r="G329" s="46"/>
      <c r="H329" s="46"/>
      <c r="I329" s="46"/>
      <c r="J329" s="46"/>
      <c r="K329" s="46"/>
      <c r="L329" s="46"/>
      <c r="M329" s="46"/>
      <c r="N329" s="46"/>
      <c r="O329" s="46"/>
      <c r="P329" s="425"/>
      <c r="Q329" s="1442"/>
      <c r="R329" s="1069" t="s">
        <v>733</v>
      </c>
      <c r="S329" s="67">
        <f>IF(tr_pl_dtb_1_mode="road",tr_pl_dtb_1_km,0)</f>
        <v>1200</v>
      </c>
      <c r="T329" s="232" t="s">
        <v>436</v>
      </c>
      <c r="U329" s="64"/>
      <c r="V329" s="72"/>
      <c r="W329" s="46"/>
      <c r="X329" s="72"/>
      <c r="Y329" s="72"/>
      <c r="Z329" s="72"/>
      <c r="AA329" s="72"/>
      <c r="AB329" s="72"/>
      <c r="AC329" s="59"/>
      <c r="AD329" s="46"/>
      <c r="AE329" s="425"/>
      <c r="AF329" s="538"/>
      <c r="AG329" s="538"/>
      <c r="AH329" s="548"/>
      <c r="AI329" s="72"/>
      <c r="AJ329" s="46"/>
      <c r="AK329" s="46"/>
      <c r="AL329" s="46"/>
      <c r="AM329" s="46"/>
      <c r="AN329" s="46"/>
      <c r="AO329" s="46"/>
      <c r="AP329" s="96"/>
      <c r="AQ329" s="46"/>
      <c r="AR329" s="46"/>
      <c r="AS329" s="46"/>
      <c r="AT329" s="46"/>
      <c r="AU329" s="46"/>
      <c r="AV329" s="46"/>
      <c r="AW329" s="46"/>
      <c r="AX329" s="46"/>
      <c r="AY329" s="46"/>
      <c r="AZ329" s="46"/>
      <c r="BA329" s="46"/>
      <c r="BB329" s="46"/>
      <c r="BC329"/>
      <c r="BD329"/>
      <c r="BE329"/>
      <c r="BF329"/>
      <c r="BG329"/>
      <c r="BH329"/>
      <c r="BI329"/>
      <c r="BJ329"/>
      <c r="BK329"/>
      <c r="BL329"/>
      <c r="BM329"/>
      <c r="BN329"/>
    </row>
    <row r="330" spans="1:66" x14ac:dyDescent="0.25">
      <c r="A330" s="46"/>
      <c r="B330" s="46"/>
      <c r="C330" s="46"/>
      <c r="D330" s="865"/>
      <c r="E330" s="46"/>
      <c r="F330" s="46"/>
      <c r="G330" s="46"/>
      <c r="H330" s="46"/>
      <c r="I330" s="46"/>
      <c r="J330" s="46"/>
      <c r="K330" s="46"/>
      <c r="L330" s="46"/>
      <c r="M330" s="46"/>
      <c r="N330" s="46"/>
      <c r="O330" s="46"/>
      <c r="P330" s="425"/>
      <c r="Q330" s="1442"/>
      <c r="R330" s="82"/>
      <c r="S330" s="84"/>
      <c r="T330" s="82"/>
      <c r="U330" s="64"/>
      <c r="V330" s="72"/>
      <c r="W330" s="46"/>
      <c r="X330" s="72"/>
      <c r="Y330" s="72"/>
      <c r="Z330" s="72"/>
      <c r="AA330" s="72"/>
      <c r="AB330" s="72"/>
      <c r="AC330" s="59"/>
      <c r="AD330" s="46"/>
      <c r="AE330" s="425"/>
      <c r="AF330" s="534" t="s">
        <v>1732</v>
      </c>
      <c r="AG330" s="445">
        <f>total_solids</f>
        <v>63000</v>
      </c>
      <c r="AH330" s="547" t="s">
        <v>1736</v>
      </c>
      <c r="AI330" s="72"/>
      <c r="AJ330" s="46"/>
      <c r="AK330" s="46"/>
      <c r="AL330" s="46"/>
      <c r="AM330" s="46"/>
      <c r="AN330" s="46"/>
      <c r="AO330" s="46"/>
      <c r="AP330" s="96"/>
      <c r="AQ330" s="46"/>
      <c r="AR330" s="46"/>
      <c r="AS330" s="46"/>
      <c r="AT330" s="46"/>
      <c r="AU330" s="46"/>
      <c r="AV330" s="46"/>
      <c r="AW330" s="46"/>
      <c r="AX330" s="46"/>
      <c r="AY330" s="46"/>
      <c r="AZ330" s="46"/>
      <c r="BA330" s="46"/>
      <c r="BB330" s="46"/>
      <c r="BC330"/>
      <c r="BD330"/>
      <c r="BE330"/>
      <c r="BF330"/>
      <c r="BG330"/>
      <c r="BH330"/>
      <c r="BI330"/>
      <c r="BJ330"/>
      <c r="BK330"/>
      <c r="BL330"/>
      <c r="BM330"/>
      <c r="BN330"/>
    </row>
    <row r="331" spans="1:66" x14ac:dyDescent="0.25">
      <c r="A331" s="46"/>
      <c r="B331" s="46"/>
      <c r="C331" s="46"/>
      <c r="D331" s="865"/>
      <c r="E331" s="46"/>
      <c r="F331" s="46"/>
      <c r="G331" s="46"/>
      <c r="H331" s="46"/>
      <c r="I331" s="46"/>
      <c r="J331" s="46"/>
      <c r="K331" s="46"/>
      <c r="L331" s="46"/>
      <c r="M331" s="46"/>
      <c r="N331" s="46"/>
      <c r="O331" s="46"/>
      <c r="P331" s="425"/>
      <c r="Q331" s="1442"/>
      <c r="R331" s="1069" t="s">
        <v>734</v>
      </c>
      <c r="S331" s="67">
        <f>IF(tr_pl_dtb_1_mode="rail",tr_pl_dtb_1_km,0)</f>
        <v>0</v>
      </c>
      <c r="T331" s="232" t="s">
        <v>436</v>
      </c>
      <c r="U331" s="64"/>
      <c r="V331" s="72"/>
      <c r="W331" s="46"/>
      <c r="X331" s="72"/>
      <c r="Y331" s="72"/>
      <c r="Z331" s="72"/>
      <c r="AA331" s="72"/>
      <c r="AB331" s="72"/>
      <c r="AC331" s="59"/>
      <c r="AD331" s="46"/>
      <c r="AE331" s="541"/>
      <c r="AF331" s="535"/>
      <c r="AG331" s="535"/>
      <c r="AH331" s="540"/>
      <c r="AI331" s="72"/>
      <c r="AJ331" s="46"/>
      <c r="AK331" s="46"/>
      <c r="AL331" s="46"/>
      <c r="AM331" s="46"/>
      <c r="AN331" s="46"/>
      <c r="AO331" s="46"/>
      <c r="AP331" s="96"/>
      <c r="AQ331" s="46"/>
      <c r="AR331" s="46"/>
      <c r="AS331" s="46"/>
      <c r="AT331" s="46"/>
      <c r="AU331" s="46"/>
      <c r="AV331" s="46"/>
      <c r="AW331" s="46"/>
      <c r="AX331" s="46"/>
      <c r="AY331" s="46"/>
      <c r="AZ331" s="46"/>
      <c r="BA331" s="46"/>
      <c r="BB331" s="46"/>
      <c r="BC331"/>
      <c r="BD331"/>
      <c r="BE331"/>
      <c r="BF331"/>
      <c r="BG331"/>
      <c r="BH331"/>
      <c r="BI331"/>
      <c r="BJ331"/>
      <c r="BK331"/>
      <c r="BL331"/>
      <c r="BM331"/>
      <c r="BN331"/>
    </row>
    <row r="332" spans="1:66" x14ac:dyDescent="0.25">
      <c r="A332" s="46"/>
      <c r="B332" s="46"/>
      <c r="C332" s="46"/>
      <c r="D332" s="865"/>
      <c r="E332" s="46"/>
      <c r="F332" s="46"/>
      <c r="G332" s="46"/>
      <c r="H332" s="46"/>
      <c r="I332" s="46"/>
      <c r="J332" s="46"/>
      <c r="K332" s="46"/>
      <c r="L332" s="46"/>
      <c r="M332" s="46"/>
      <c r="N332" s="46"/>
      <c r="O332" s="46"/>
      <c r="P332" s="425"/>
      <c r="Q332" s="1442"/>
      <c r="R332" s="82"/>
      <c r="S332" s="84"/>
      <c r="T332" s="82"/>
      <c r="U332" s="64"/>
      <c r="V332" s="72"/>
      <c r="W332" s="46"/>
      <c r="X332" s="72"/>
      <c r="Y332" s="72"/>
      <c r="Z332" s="72"/>
      <c r="AA332" s="72"/>
      <c r="AB332" s="72"/>
      <c r="AC332" s="59"/>
      <c r="AD332" s="46"/>
      <c r="AE332" s="541"/>
      <c r="AF332" s="539" t="s">
        <v>624</v>
      </c>
      <c r="AG332" s="112">
        <f>wwt_elec*AG326/S320</f>
        <v>223.74999999999994</v>
      </c>
      <c r="AH332" s="549" t="s">
        <v>565</v>
      </c>
      <c r="AI332" s="72"/>
      <c r="AJ332" s="46"/>
      <c r="AK332" s="46"/>
      <c r="AL332" s="46"/>
      <c r="AM332" s="46"/>
      <c r="AN332" s="46"/>
      <c r="AO332" s="46"/>
      <c r="AP332" s="96"/>
      <c r="AQ332" s="46"/>
      <c r="AR332" s="46"/>
      <c r="AS332" s="46"/>
      <c r="AT332" s="46"/>
      <c r="AU332" s="46"/>
      <c r="AV332" s="46"/>
      <c r="AW332" s="46"/>
      <c r="AX332" s="46"/>
      <c r="AY332" s="46"/>
      <c r="AZ332" s="46"/>
      <c r="BA332" s="46"/>
      <c r="BB332" s="46"/>
      <c r="BC332"/>
      <c r="BD332"/>
      <c r="BE332"/>
      <c r="BF332"/>
      <c r="BG332"/>
      <c r="BH332"/>
      <c r="BI332"/>
      <c r="BJ332"/>
      <c r="BK332"/>
      <c r="BL332"/>
      <c r="BM332"/>
      <c r="BN332"/>
    </row>
    <row r="333" spans="1:66" x14ac:dyDescent="0.25">
      <c r="A333" s="46"/>
      <c r="B333" s="46"/>
      <c r="C333" s="46"/>
      <c r="D333" s="865"/>
      <c r="E333" s="46"/>
      <c r="F333" s="46"/>
      <c r="G333" s="46"/>
      <c r="H333" s="46"/>
      <c r="I333" s="46"/>
      <c r="J333" s="46"/>
      <c r="K333" s="46"/>
      <c r="L333" s="46"/>
      <c r="M333" s="46"/>
      <c r="N333" s="46"/>
      <c r="O333" s="46"/>
      <c r="P333" s="425"/>
      <c r="Q333" s="1442"/>
      <c r="R333" s="1069" t="s">
        <v>735</v>
      </c>
      <c r="S333" s="67">
        <f>IF(tr_pl_dtb_1_mode="barge",tr_pl_dtb_1_km,0)</f>
        <v>0</v>
      </c>
      <c r="T333" s="232" t="s">
        <v>436</v>
      </c>
      <c r="U333" s="64"/>
      <c r="V333" s="72"/>
      <c r="W333" s="46"/>
      <c r="X333" s="72"/>
      <c r="Y333" s="72"/>
      <c r="Z333" s="72"/>
      <c r="AA333" s="72"/>
      <c r="AB333" s="72"/>
      <c r="AC333" s="59"/>
      <c r="AD333" s="46"/>
      <c r="AE333" s="244"/>
      <c r="AF333" s="66"/>
      <c r="AG333" s="82"/>
      <c r="AH333" s="64"/>
      <c r="AI333" s="72"/>
      <c r="AJ333" s="72"/>
      <c r="AK333" s="46"/>
      <c r="AL333" s="46"/>
      <c r="AM333" s="46"/>
      <c r="AN333" s="46"/>
      <c r="AO333" s="46"/>
      <c r="AP333" s="96"/>
      <c r="AQ333" s="46"/>
      <c r="AR333" s="46"/>
      <c r="AS333" s="46"/>
      <c r="AT333" s="46"/>
      <c r="AU333" s="46"/>
      <c r="AV333" s="46"/>
      <c r="AW333" s="46"/>
      <c r="AX333" s="46"/>
      <c r="AY333" s="46"/>
      <c r="AZ333" s="46"/>
      <c r="BA333" s="46"/>
      <c r="BB333" s="46"/>
      <c r="BC333"/>
      <c r="BD333"/>
      <c r="BE333"/>
      <c r="BF333"/>
      <c r="BG333"/>
      <c r="BH333"/>
      <c r="BI333"/>
      <c r="BJ333"/>
      <c r="BK333"/>
      <c r="BL333"/>
      <c r="BM333"/>
      <c r="BN333"/>
    </row>
    <row r="334" spans="1:66" x14ac:dyDescent="0.25">
      <c r="A334" s="46"/>
      <c r="B334" s="46"/>
      <c r="C334" s="46"/>
      <c r="D334" s="865"/>
      <c r="E334" s="46"/>
      <c r="F334" s="46"/>
      <c r="G334" s="46"/>
      <c r="H334" s="46"/>
      <c r="I334" s="46"/>
      <c r="J334" s="46"/>
      <c r="K334" s="46"/>
      <c r="L334" s="46"/>
      <c r="M334" s="46"/>
      <c r="N334" s="46"/>
      <c r="O334" s="46"/>
      <c r="P334" s="425"/>
      <c r="Q334" s="1442"/>
      <c r="R334" s="82"/>
      <c r="S334" s="84"/>
      <c r="T334" s="82"/>
      <c r="U334" s="64"/>
      <c r="V334" s="72"/>
      <c r="W334" s="46"/>
      <c r="X334" s="72"/>
      <c r="Y334" s="72"/>
      <c r="Z334" s="72"/>
      <c r="AA334" s="72"/>
      <c r="AB334" s="72"/>
      <c r="AC334" s="59"/>
      <c r="AD334" s="46"/>
      <c r="AE334" s="62"/>
      <c r="AF334" s="539" t="s">
        <v>1733</v>
      </c>
      <c r="AG334" s="240">
        <f>vinasse_loss</f>
        <v>0</v>
      </c>
      <c r="AH334" s="64" t="s">
        <v>38</v>
      </c>
      <c r="AI334" s="72"/>
      <c r="AJ334" s="72"/>
      <c r="AK334" s="46"/>
      <c r="AL334" s="46"/>
      <c r="AM334" s="46"/>
      <c r="AN334" s="46"/>
      <c r="AO334" s="46"/>
      <c r="AP334" s="96"/>
      <c r="AQ334" s="46"/>
      <c r="AR334" s="46"/>
      <c r="AS334" s="46"/>
      <c r="AT334" s="46"/>
      <c r="AU334" s="46"/>
      <c r="AV334" s="46"/>
      <c r="AW334" s="46"/>
      <c r="AX334" s="46"/>
      <c r="AY334" s="46"/>
      <c r="AZ334" s="46"/>
      <c r="BA334" s="46"/>
      <c r="BB334" s="46"/>
      <c r="BC334"/>
      <c r="BD334"/>
      <c r="BE334"/>
      <c r="BF334"/>
      <c r="BG334"/>
      <c r="BH334"/>
      <c r="BI334"/>
      <c r="BJ334"/>
      <c r="BK334"/>
      <c r="BL334"/>
      <c r="BM334"/>
      <c r="BN334"/>
    </row>
    <row r="335" spans="1:66" ht="13.8" thickBot="1" x14ac:dyDescent="0.3">
      <c r="A335" s="46"/>
      <c r="B335" s="46"/>
      <c r="C335" s="46"/>
      <c r="D335" s="865"/>
      <c r="E335" s="46"/>
      <c r="F335" s="46"/>
      <c r="G335" s="46"/>
      <c r="H335" s="46"/>
      <c r="I335" s="46"/>
      <c r="J335" s="46"/>
      <c r="K335" s="46"/>
      <c r="L335" s="46"/>
      <c r="M335" s="46"/>
      <c r="N335" s="46"/>
      <c r="O335" s="46"/>
      <c r="P335" s="425"/>
      <c r="Q335" s="1442"/>
      <c r="R335" s="1069" t="s">
        <v>736</v>
      </c>
      <c r="S335" s="67">
        <f>IF(tr_pl_dtb_1_mode="ship",tr_pl_dtb_1_km,0)</f>
        <v>0</v>
      </c>
      <c r="T335" s="232" t="s">
        <v>436</v>
      </c>
      <c r="U335" s="64"/>
      <c r="V335" s="72"/>
      <c r="W335" s="46"/>
      <c r="X335" s="72"/>
      <c r="Y335" s="72"/>
      <c r="Z335" s="72"/>
      <c r="AA335" s="72"/>
      <c r="AB335" s="72"/>
      <c r="AC335" s="59"/>
      <c r="AD335" s="46"/>
      <c r="AE335" s="250"/>
      <c r="AF335" s="251"/>
      <c r="AG335" s="284"/>
      <c r="AH335" s="71"/>
      <c r="AI335" s="72"/>
      <c r="AJ335" s="46"/>
      <c r="AK335" s="46"/>
      <c r="AL335" s="46"/>
      <c r="AM335" s="46"/>
      <c r="AN335" s="46"/>
      <c r="AO335" s="46"/>
      <c r="AP335" s="96"/>
      <c r="AQ335" s="46"/>
      <c r="AR335" s="46"/>
      <c r="AS335" s="46"/>
      <c r="AT335" s="46"/>
      <c r="AU335" s="46"/>
      <c r="AV335" s="46"/>
      <c r="AW335" s="46"/>
      <c r="AX335" s="46"/>
      <c r="AY335" s="46"/>
      <c r="AZ335" s="46"/>
      <c r="BA335" s="46"/>
      <c r="BB335" s="46"/>
      <c r="BC335"/>
      <c r="BD335"/>
      <c r="BE335"/>
      <c r="BF335"/>
      <c r="BG335"/>
      <c r="BH335"/>
      <c r="BI335"/>
      <c r="BJ335"/>
      <c r="BK335"/>
      <c r="BL335"/>
      <c r="BM335"/>
      <c r="BN335"/>
    </row>
    <row r="336" spans="1:66" x14ac:dyDescent="0.25">
      <c r="A336" s="46"/>
      <c r="B336" s="46"/>
      <c r="C336" s="46"/>
      <c r="D336" s="865"/>
      <c r="E336" s="46"/>
      <c r="F336" s="46"/>
      <c r="G336" s="46"/>
      <c r="H336" s="46"/>
      <c r="I336" s="46"/>
      <c r="J336" s="46"/>
      <c r="K336" s="46"/>
      <c r="L336" s="46"/>
      <c r="M336" s="46"/>
      <c r="N336" s="46"/>
      <c r="O336" s="46"/>
      <c r="P336" s="62"/>
      <c r="Q336" s="82"/>
      <c r="R336" s="24"/>
      <c r="S336" s="82"/>
      <c r="T336" s="24"/>
      <c r="U336" s="64"/>
      <c r="V336" s="72"/>
      <c r="W336" s="46"/>
      <c r="X336" s="72"/>
      <c r="Y336" s="72"/>
      <c r="Z336" s="72"/>
      <c r="AA336" s="72"/>
      <c r="AB336" s="72"/>
      <c r="AC336" s="59"/>
      <c r="AD336" s="46"/>
      <c r="AE336" s="72"/>
      <c r="AF336" s="46"/>
      <c r="AG336" s="231"/>
      <c r="AH336" s="46"/>
      <c r="AI336" s="72"/>
      <c r="AJ336" s="46"/>
      <c r="AK336" s="46"/>
      <c r="AL336" s="46"/>
      <c r="AM336" s="46"/>
      <c r="AN336" s="46"/>
      <c r="AO336" s="46"/>
      <c r="AP336" s="96"/>
      <c r="AQ336" s="46"/>
      <c r="AR336" s="46"/>
      <c r="AS336" s="46"/>
      <c r="AT336" s="46"/>
      <c r="AU336" s="46"/>
      <c r="AV336" s="46"/>
      <c r="AW336" s="46"/>
      <c r="AX336" s="46"/>
      <c r="AY336" s="46"/>
      <c r="AZ336" s="46"/>
      <c r="BA336" s="46"/>
      <c r="BB336" s="46"/>
      <c r="BC336"/>
      <c r="BD336"/>
      <c r="BE336"/>
      <c r="BF336"/>
      <c r="BG336"/>
      <c r="BH336"/>
      <c r="BI336"/>
      <c r="BJ336"/>
      <c r="BK336"/>
      <c r="BL336"/>
      <c r="BM336"/>
      <c r="BN336"/>
    </row>
    <row r="337" spans="1:66" x14ac:dyDescent="0.25">
      <c r="A337" s="46"/>
      <c r="B337" s="46"/>
      <c r="C337" s="46"/>
      <c r="D337" s="865"/>
      <c r="E337" s="46"/>
      <c r="F337" s="46"/>
      <c r="G337" s="46"/>
      <c r="H337" s="46"/>
      <c r="I337" s="46"/>
      <c r="J337" s="46"/>
      <c r="K337" s="46"/>
      <c r="L337" s="46"/>
      <c r="M337" s="46"/>
      <c r="N337" s="46"/>
      <c r="O337" s="46"/>
      <c r="P337" s="62"/>
      <c r="Q337" s="82"/>
      <c r="R337" s="1069" t="s">
        <v>364</v>
      </c>
      <c r="S337" s="83">
        <f>tr_pl_dtb_1_loss</f>
        <v>0</v>
      </c>
      <c r="T337" s="232" t="s">
        <v>283</v>
      </c>
      <c r="U337" s="64"/>
      <c r="V337" s="72"/>
      <c r="W337" s="46"/>
      <c r="X337" s="72"/>
      <c r="Y337" s="72"/>
      <c r="Z337" s="72"/>
      <c r="AA337" s="72"/>
      <c r="AB337" s="72"/>
      <c r="AC337" s="59"/>
      <c r="AD337" s="46"/>
      <c r="AE337" s="72"/>
      <c r="AF337" s="46"/>
      <c r="AG337" s="94"/>
      <c r="AH337" s="46"/>
      <c r="AI337" s="72"/>
      <c r="AJ337" s="72"/>
      <c r="AK337" s="72"/>
      <c r="AL337" s="72"/>
      <c r="AM337" s="72"/>
      <c r="AN337" s="72"/>
      <c r="AO337" s="72"/>
      <c r="AP337" s="96"/>
      <c r="AQ337" s="46"/>
      <c r="AR337" s="46"/>
      <c r="AS337" s="46"/>
      <c r="AT337" s="46"/>
      <c r="AU337" s="46"/>
      <c r="AV337" s="46"/>
      <c r="AW337" s="46"/>
      <c r="AX337" s="46"/>
      <c r="AY337" s="46"/>
      <c r="AZ337" s="46"/>
      <c r="BA337" s="46"/>
      <c r="BB337" s="46"/>
      <c r="BC337"/>
      <c r="BD337"/>
      <c r="BE337"/>
      <c r="BF337"/>
      <c r="BG337"/>
      <c r="BH337"/>
      <c r="BI337"/>
      <c r="BJ337"/>
      <c r="BK337"/>
      <c r="BL337"/>
      <c r="BM337"/>
      <c r="BN337"/>
    </row>
    <row r="338" spans="1:66" ht="13.8" thickBot="1" x14ac:dyDescent="0.3">
      <c r="A338" s="46"/>
      <c r="B338" s="46"/>
      <c r="C338" s="46"/>
      <c r="D338" s="865"/>
      <c r="E338" s="46"/>
      <c r="F338" s="46"/>
      <c r="G338" s="46"/>
      <c r="H338" s="46"/>
      <c r="I338" s="46"/>
      <c r="J338" s="46"/>
      <c r="K338" s="46"/>
      <c r="L338" s="46"/>
      <c r="M338" s="46"/>
      <c r="N338" s="46"/>
      <c r="O338" s="46"/>
      <c r="P338" s="69"/>
      <c r="Q338" s="86"/>
      <c r="R338" s="86"/>
      <c r="S338" s="87"/>
      <c r="T338" s="70"/>
      <c r="U338" s="71"/>
      <c r="V338" s="72"/>
      <c r="W338" s="46"/>
      <c r="X338" s="72"/>
      <c r="Y338" s="72"/>
      <c r="Z338" s="72"/>
      <c r="AA338" s="72"/>
      <c r="AB338" s="72"/>
      <c r="AC338" s="59"/>
      <c r="AD338" s="46"/>
      <c r="AE338" s="241"/>
      <c r="AF338" s="48"/>
      <c r="AG338" s="48"/>
      <c r="AH338" s="49"/>
      <c r="AI338" s="96"/>
      <c r="AJ338" s="72"/>
      <c r="AK338" s="72"/>
      <c r="AL338" s="72"/>
      <c r="AM338" s="72"/>
      <c r="AN338" s="72"/>
      <c r="AO338" s="72"/>
      <c r="AP338" s="96"/>
      <c r="AQ338" s="46"/>
      <c r="AR338" s="46"/>
      <c r="AS338" s="46"/>
      <c r="AT338" s="46"/>
      <c r="AU338" s="46"/>
      <c r="AV338" s="46"/>
      <c r="AW338" s="46"/>
      <c r="AX338" s="46"/>
      <c r="AY338" s="46"/>
      <c r="AZ338" s="46"/>
      <c r="BA338" s="46"/>
      <c r="BB338" s="46"/>
      <c r="BC338"/>
      <c r="BD338"/>
      <c r="BE338"/>
      <c r="BF338"/>
      <c r="BG338"/>
      <c r="BH338"/>
      <c r="BI338"/>
      <c r="BJ338"/>
      <c r="BK338"/>
      <c r="BL338"/>
      <c r="BM338"/>
      <c r="BN338"/>
    </row>
    <row r="339" spans="1:66" x14ac:dyDescent="0.25">
      <c r="A339" s="46"/>
      <c r="B339" s="46"/>
      <c r="C339" s="46"/>
      <c r="D339" s="865"/>
      <c r="E339" s="46"/>
      <c r="F339" s="46"/>
      <c r="G339" s="46"/>
      <c r="H339" s="46"/>
      <c r="I339" s="46"/>
      <c r="J339" s="46"/>
      <c r="K339" s="46"/>
      <c r="L339" s="46"/>
      <c r="M339" s="46"/>
      <c r="N339" s="46"/>
      <c r="O339" s="46"/>
      <c r="P339" s="46"/>
      <c r="Q339" s="72"/>
      <c r="R339" s="99"/>
      <c r="S339" s="72"/>
      <c r="T339" s="72"/>
      <c r="U339" s="46"/>
      <c r="V339" s="72"/>
      <c r="W339" s="46"/>
      <c r="X339" s="72"/>
      <c r="Y339" s="72"/>
      <c r="Z339" s="72"/>
      <c r="AA339" s="72"/>
      <c r="AB339" s="72"/>
      <c r="AC339" s="59"/>
      <c r="AD339" s="46"/>
      <c r="AE339" s="536"/>
      <c r="AF339" s="542" t="s">
        <v>1737</v>
      </c>
      <c r="AG339" s="551">
        <f>AG326*(100-AG334)/100</f>
        <v>1.2197591437500002</v>
      </c>
      <c r="AH339" s="1486" t="s">
        <v>1734</v>
      </c>
      <c r="AI339" s="96"/>
      <c r="AJ339" s="72"/>
      <c r="AK339" s="72"/>
      <c r="AL339" s="72"/>
      <c r="AM339" s="72"/>
      <c r="AN339" s="72"/>
      <c r="AO339" s="72"/>
      <c r="AP339" s="96"/>
      <c r="AQ339" s="46"/>
      <c r="AR339" s="46"/>
      <c r="AS339" s="46"/>
      <c r="AT339" s="46"/>
      <c r="AU339" s="46"/>
      <c r="AV339" s="46"/>
      <c r="AW339" s="46"/>
      <c r="AX339" s="46"/>
      <c r="AY339" s="46"/>
      <c r="AZ339" s="46"/>
      <c r="BA339" s="46"/>
      <c r="BB339" s="46"/>
      <c r="BC339"/>
      <c r="BD339"/>
      <c r="BE339"/>
      <c r="BF339"/>
      <c r="BG339"/>
      <c r="BH339"/>
      <c r="BI339"/>
      <c r="BJ339"/>
      <c r="BK339"/>
      <c r="BL339"/>
      <c r="BM339"/>
      <c r="BN339"/>
    </row>
    <row r="340" spans="1:66" x14ac:dyDescent="0.25">
      <c r="A340" s="46"/>
      <c r="B340" s="46"/>
      <c r="C340" s="46"/>
      <c r="D340" s="865"/>
      <c r="E340" s="46"/>
      <c r="F340" s="46"/>
      <c r="G340" s="46"/>
      <c r="H340" s="46"/>
      <c r="I340" s="46"/>
      <c r="J340" s="46"/>
      <c r="K340" s="46"/>
      <c r="L340" s="46"/>
      <c r="M340" s="46"/>
      <c r="N340" s="46"/>
      <c r="O340" s="46"/>
      <c r="P340" s="289"/>
      <c r="Q340" s="48"/>
      <c r="R340" s="48"/>
      <c r="S340" s="48"/>
      <c r="T340" s="48"/>
      <c r="U340" s="49"/>
      <c r="V340" s="72"/>
      <c r="W340" s="46"/>
      <c r="X340" s="72"/>
      <c r="Y340" s="72"/>
      <c r="Z340" s="72"/>
      <c r="AA340" s="72"/>
      <c r="AB340" s="72"/>
      <c r="AC340" s="59"/>
      <c r="AD340" s="46"/>
      <c r="AE340" s="536"/>
      <c r="AF340" s="286"/>
      <c r="AG340" s="286"/>
      <c r="AH340" s="310"/>
      <c r="AI340" s="96"/>
      <c r="AJ340" s="72"/>
      <c r="AK340" s="72"/>
      <c r="AL340" s="72"/>
      <c r="AM340" s="72"/>
      <c r="AN340" s="72"/>
      <c r="AO340" s="72"/>
      <c r="AP340" s="96"/>
      <c r="AQ340" s="46"/>
      <c r="AR340" s="46"/>
      <c r="AS340" s="46"/>
      <c r="AT340" s="46"/>
      <c r="AU340" s="46"/>
      <c r="AV340" s="46"/>
      <c r="AW340" s="46"/>
      <c r="AX340" s="46"/>
      <c r="AY340" s="46"/>
      <c r="AZ340" s="46"/>
      <c r="BA340" s="46"/>
      <c r="BB340" s="46"/>
      <c r="BC340"/>
      <c r="BD340"/>
      <c r="BE340"/>
      <c r="BF340"/>
      <c r="BG340"/>
      <c r="BH340"/>
      <c r="BI340"/>
      <c r="BJ340"/>
      <c r="BK340"/>
      <c r="BL340"/>
      <c r="BM340"/>
      <c r="BN340"/>
    </row>
    <row r="341" spans="1:66" ht="15.6" x14ac:dyDescent="0.25">
      <c r="A341" s="46"/>
      <c r="B341" s="46"/>
      <c r="C341" s="46"/>
      <c r="D341" s="865"/>
      <c r="E341" s="46"/>
      <c r="F341" s="46"/>
      <c r="G341" s="46"/>
      <c r="H341" s="46"/>
      <c r="I341" s="46"/>
      <c r="J341" s="46"/>
      <c r="K341" s="46"/>
      <c r="L341" s="46"/>
      <c r="M341" s="46"/>
      <c r="N341" s="46"/>
      <c r="O341" s="46"/>
      <c r="P341" s="1446"/>
      <c r="Q341" s="580"/>
      <c r="R341" s="1446" t="s">
        <v>706</v>
      </c>
      <c r="S341" s="80">
        <f>IF((S329+S331+S333+S335)&gt;0,S320*(100-S337)/100,S320)</f>
        <v>9.7580731500000017E-2</v>
      </c>
      <c r="T341" s="229" t="s">
        <v>441</v>
      </c>
      <c r="U341" s="53"/>
      <c r="V341" s="72"/>
      <c r="W341" s="46"/>
      <c r="X341" s="72"/>
      <c r="Y341" s="72"/>
      <c r="Z341" s="72"/>
      <c r="AA341" s="72"/>
      <c r="AB341" s="72"/>
      <c r="AC341" s="59"/>
      <c r="AD341" s="46"/>
      <c r="AE341" s="536"/>
      <c r="AF341" s="542" t="s">
        <v>625</v>
      </c>
      <c r="AG341" s="80">
        <f>biogas_gen*AG339*1000*AG330/1000000000</f>
        <v>30.737930422500003</v>
      </c>
      <c r="AH341" s="310" t="s">
        <v>640</v>
      </c>
      <c r="AI341" s="96"/>
      <c r="AJ341" s="72"/>
      <c r="AK341" s="72"/>
      <c r="AL341" s="72"/>
      <c r="AM341" s="72"/>
      <c r="AN341" s="72"/>
      <c r="AO341" s="72"/>
      <c r="AP341" s="96"/>
      <c r="AQ341" s="46"/>
      <c r="AR341" s="46"/>
      <c r="AS341" s="46"/>
      <c r="AT341" s="46"/>
      <c r="AU341" s="46"/>
      <c r="AV341" s="46"/>
      <c r="AW341" s="46"/>
      <c r="AX341" s="46"/>
      <c r="AY341" s="46"/>
      <c r="AZ341" s="46"/>
      <c r="BA341" s="46"/>
      <c r="BB341" s="46"/>
      <c r="BC341"/>
      <c r="BD341"/>
      <c r="BE341"/>
      <c r="BF341"/>
      <c r="BG341"/>
      <c r="BH341"/>
      <c r="BI341"/>
      <c r="BJ341"/>
      <c r="BK341"/>
      <c r="BL341"/>
      <c r="BM341"/>
      <c r="BN341"/>
    </row>
    <row r="342" spans="1:66" x14ac:dyDescent="0.25">
      <c r="A342" s="46"/>
      <c r="B342" s="46"/>
      <c r="C342" s="46"/>
      <c r="D342" s="865"/>
      <c r="E342" s="46"/>
      <c r="F342" s="46"/>
      <c r="G342" s="46"/>
      <c r="H342" s="46"/>
      <c r="I342" s="46"/>
      <c r="J342" s="46"/>
      <c r="K342" s="46"/>
      <c r="L342" s="46"/>
      <c r="M342" s="46"/>
      <c r="N342" s="46"/>
      <c r="O342" s="46"/>
      <c r="P342" s="56"/>
      <c r="Q342" s="57"/>
      <c r="R342" s="57"/>
      <c r="S342" s="57"/>
      <c r="T342" s="57"/>
      <c r="U342" s="58"/>
      <c r="V342" s="72"/>
      <c r="W342" s="46"/>
      <c r="X342" s="72"/>
      <c r="Y342" s="72"/>
      <c r="Z342" s="72"/>
      <c r="AA342" s="72"/>
      <c r="AB342" s="72"/>
      <c r="AC342" s="59"/>
      <c r="AD342" s="46"/>
      <c r="AE342" s="536"/>
      <c r="AF342" s="542"/>
      <c r="AG342" s="542"/>
      <c r="AH342" s="310"/>
      <c r="AI342" s="288"/>
      <c r="AJ342" s="89"/>
      <c r="AK342" s="89"/>
      <c r="AL342" s="89"/>
      <c r="AM342" s="89"/>
      <c r="AN342" s="89"/>
      <c r="AO342" s="89"/>
      <c r="AP342" s="96"/>
      <c r="AQ342" s="46"/>
      <c r="AR342" s="46"/>
      <c r="AS342" s="46"/>
      <c r="AT342" s="46"/>
      <c r="AU342" s="46"/>
      <c r="AV342" s="46"/>
      <c r="AW342" s="46"/>
      <c r="AX342" s="46"/>
      <c r="AY342" s="46"/>
      <c r="AZ342" s="46"/>
      <c r="BA342" s="46"/>
      <c r="BB342" s="46"/>
      <c r="BC342"/>
      <c r="BD342"/>
      <c r="BE342"/>
      <c r="BF342"/>
      <c r="BG342"/>
      <c r="BH342"/>
      <c r="BI342"/>
      <c r="BJ342"/>
      <c r="BK342"/>
      <c r="BL342"/>
      <c r="BM342"/>
      <c r="BN342"/>
    </row>
    <row r="343" spans="1:66" ht="13.8" thickBot="1" x14ac:dyDescent="0.3">
      <c r="A343" s="46"/>
      <c r="B343" s="46"/>
      <c r="C343" s="46"/>
      <c r="D343" s="865"/>
      <c r="E343" s="46"/>
      <c r="F343" s="46"/>
      <c r="G343" s="46"/>
      <c r="H343" s="46"/>
      <c r="I343" s="46"/>
      <c r="J343" s="46"/>
      <c r="K343" s="46"/>
      <c r="L343" s="46"/>
      <c r="M343" s="46"/>
      <c r="N343" s="46"/>
      <c r="O343" s="46"/>
      <c r="P343" s="72"/>
      <c r="Q343" s="72"/>
      <c r="R343" s="72"/>
      <c r="S343" s="100"/>
      <c r="T343" s="72"/>
      <c r="U343" s="72"/>
      <c r="V343" s="72"/>
      <c r="W343" s="46"/>
      <c r="X343" s="72"/>
      <c r="Y343" s="72"/>
      <c r="Z343" s="72"/>
      <c r="AA343" s="72"/>
      <c r="AB343" s="72"/>
      <c r="AC343" s="59"/>
      <c r="AD343" s="46"/>
      <c r="AE343" s="536"/>
      <c r="AF343" s="542" t="s">
        <v>626</v>
      </c>
      <c r="AG343" s="240">
        <f>biogas_ch4</f>
        <v>78.2</v>
      </c>
      <c r="AH343" s="310" t="s">
        <v>283</v>
      </c>
      <c r="AI343" s="75"/>
      <c r="AJ343" s="76"/>
      <c r="AK343" s="76"/>
      <c r="AL343" s="76"/>
      <c r="AM343" s="76"/>
      <c r="AN343" s="76"/>
      <c r="AO343" s="76"/>
      <c r="AP343" s="96"/>
      <c r="AQ343" s="46"/>
      <c r="AR343" s="46"/>
      <c r="AS343" s="46"/>
      <c r="AT343" s="46"/>
      <c r="AU343" s="46"/>
      <c r="AV343" s="46"/>
      <c r="AW343" s="46"/>
      <c r="AX343" s="46"/>
      <c r="AY343" s="46"/>
      <c r="AZ343" s="46"/>
      <c r="BA343" s="46"/>
      <c r="BB343" s="46"/>
      <c r="BC343"/>
      <c r="BD343"/>
      <c r="BE343"/>
      <c r="BF343"/>
      <c r="BG343"/>
      <c r="BH343"/>
      <c r="BI343"/>
      <c r="BJ343"/>
      <c r="BK343"/>
      <c r="BL343"/>
      <c r="BM343"/>
      <c r="BN343"/>
    </row>
    <row r="344" spans="1:66" x14ac:dyDescent="0.25">
      <c r="A344" s="46"/>
      <c r="B344" s="46"/>
      <c r="C344" s="46"/>
      <c r="D344" s="865"/>
      <c r="E344" s="46"/>
      <c r="F344" s="46"/>
      <c r="G344" s="46"/>
      <c r="H344" s="46"/>
      <c r="I344" s="46"/>
      <c r="J344" s="46"/>
      <c r="K344" s="46"/>
      <c r="L344" s="46"/>
      <c r="M344" s="46"/>
      <c r="N344" s="46"/>
      <c r="O344" s="46"/>
      <c r="P344" s="281"/>
      <c r="Q344" s="60"/>
      <c r="R344" s="60"/>
      <c r="S344" s="60"/>
      <c r="T344" s="60"/>
      <c r="U344" s="61"/>
      <c r="V344" s="72"/>
      <c r="W344" s="46"/>
      <c r="X344" s="72"/>
      <c r="Y344" s="72"/>
      <c r="Z344" s="72"/>
      <c r="AA344" s="72"/>
      <c r="AB344" s="72"/>
      <c r="AC344" s="59"/>
      <c r="AD344" s="46"/>
      <c r="AE344" s="536"/>
      <c r="AF344" s="542"/>
      <c r="AG344" s="542"/>
      <c r="AH344" s="310"/>
      <c r="AI344" s="96"/>
      <c r="AJ344" s="72"/>
      <c r="AK344" s="72"/>
      <c r="AL344" s="72"/>
      <c r="AM344" s="72"/>
      <c r="AN344" s="72"/>
      <c r="AO344" s="72"/>
      <c r="AP344" s="96"/>
      <c r="AQ344" s="46"/>
      <c r="AR344" s="46"/>
      <c r="AS344" s="46"/>
      <c r="AT344" s="46"/>
      <c r="AU344" s="46"/>
      <c r="AV344" s="46"/>
      <c r="AW344" s="46"/>
      <c r="AX344" s="46"/>
      <c r="AY344" s="46"/>
      <c r="AZ344" s="46"/>
      <c r="BA344" s="46"/>
      <c r="BB344" s="46"/>
      <c r="BC344"/>
      <c r="BD344"/>
      <c r="BE344"/>
      <c r="BF344"/>
      <c r="BG344"/>
      <c r="BH344"/>
      <c r="BI344"/>
      <c r="BJ344"/>
      <c r="BK344"/>
      <c r="BL344"/>
      <c r="BM344"/>
      <c r="BN344"/>
    </row>
    <row r="345" spans="1:66" ht="15.6" x14ac:dyDescent="0.25">
      <c r="A345" s="46"/>
      <c r="B345" s="46"/>
      <c r="C345" s="46"/>
      <c r="D345" s="865"/>
      <c r="E345" s="46"/>
      <c r="F345" s="46"/>
      <c r="G345" s="46"/>
      <c r="H345" s="46"/>
      <c r="I345" s="46"/>
      <c r="J345" s="46"/>
      <c r="K345" s="46"/>
      <c r="L345" s="46"/>
      <c r="M345" s="46"/>
      <c r="N345" s="46"/>
      <c r="O345" s="46"/>
      <c r="P345" s="1551" t="s">
        <v>167</v>
      </c>
      <c r="Q345" s="1552"/>
      <c r="R345" s="1552"/>
      <c r="S345" s="1552"/>
      <c r="T345" s="1552"/>
      <c r="U345" s="1553"/>
      <c r="V345" s="72"/>
      <c r="W345" s="46"/>
      <c r="X345" s="72"/>
      <c r="Y345" s="72"/>
      <c r="Z345" s="72"/>
      <c r="AA345" s="72"/>
      <c r="AB345" s="72"/>
      <c r="AC345" s="59"/>
      <c r="AD345" s="46"/>
      <c r="AE345" s="536"/>
      <c r="AF345" s="542" t="s">
        <v>630</v>
      </c>
      <c r="AG345" s="1429">
        <f>CV_methane</f>
        <v>33.950000000000003</v>
      </c>
      <c r="AH345" s="310" t="s">
        <v>631</v>
      </c>
      <c r="AI345" s="96"/>
      <c r="AJ345" s="72"/>
      <c r="AK345" s="72"/>
      <c r="AL345" s="72"/>
      <c r="AM345" s="72"/>
      <c r="AN345" s="72"/>
      <c r="AO345" s="72"/>
      <c r="AP345" s="96"/>
      <c r="AQ345" s="46"/>
      <c r="AR345" s="46"/>
      <c r="AS345" s="46"/>
      <c r="AT345" s="46"/>
      <c r="AU345" s="46"/>
      <c r="AV345" s="46"/>
      <c r="AW345" s="46"/>
      <c r="AX345" s="46"/>
      <c r="AY345" s="46"/>
      <c r="AZ345" s="46"/>
      <c r="BA345" s="46"/>
      <c r="BB345" s="46"/>
      <c r="BC345"/>
      <c r="BD345"/>
      <c r="BE345"/>
      <c r="BF345"/>
      <c r="BG345"/>
      <c r="BH345"/>
      <c r="BI345"/>
      <c r="BJ345"/>
      <c r="BK345"/>
      <c r="BL345"/>
      <c r="BM345"/>
      <c r="BN345"/>
    </row>
    <row r="346" spans="1:66" x14ac:dyDescent="0.25">
      <c r="A346" s="46"/>
      <c r="B346" s="46"/>
      <c r="C346" s="46"/>
      <c r="D346" s="865"/>
      <c r="E346" s="46"/>
      <c r="F346" s="46"/>
      <c r="G346" s="46"/>
      <c r="H346" s="46"/>
      <c r="I346" s="46"/>
      <c r="J346" s="46"/>
      <c r="K346" s="46"/>
      <c r="L346" s="46"/>
      <c r="M346" s="46"/>
      <c r="N346" s="46"/>
      <c r="O346" s="46"/>
      <c r="P346" s="1548" t="s">
        <v>164</v>
      </c>
      <c r="Q346" s="1549"/>
      <c r="R346" s="1549"/>
      <c r="S346" s="1549"/>
      <c r="T346" s="1549"/>
      <c r="U346" s="1550"/>
      <c r="V346" s="72"/>
      <c r="W346" s="46"/>
      <c r="X346" s="72"/>
      <c r="Y346" s="72"/>
      <c r="Z346" s="72"/>
      <c r="AA346" s="72"/>
      <c r="AB346" s="72"/>
      <c r="AC346" s="59"/>
      <c r="AD346" s="46"/>
      <c r="AE346" s="536"/>
      <c r="AF346" s="542"/>
      <c r="AG346" s="542"/>
      <c r="AH346" s="310"/>
      <c r="AI346" s="96"/>
      <c r="AJ346" s="72"/>
      <c r="AK346" s="72"/>
      <c r="AL346" s="72"/>
      <c r="AM346" s="72"/>
      <c r="AN346" s="72"/>
      <c r="AO346" s="72"/>
      <c r="AP346" s="96"/>
      <c r="AQ346" s="46"/>
      <c r="AR346" s="46"/>
      <c r="AS346" s="46"/>
      <c r="AT346" s="46"/>
      <c r="AU346" s="46"/>
      <c r="AV346" s="46"/>
      <c r="AW346" s="46"/>
      <c r="AX346" s="46"/>
      <c r="AY346" s="46"/>
      <c r="AZ346" s="46"/>
      <c r="BA346" s="46"/>
      <c r="BB346" s="46"/>
      <c r="BC346"/>
      <c r="BD346"/>
      <c r="BE346"/>
      <c r="BF346"/>
      <c r="BG346"/>
      <c r="BH346"/>
      <c r="BI346"/>
      <c r="BJ346"/>
      <c r="BK346"/>
      <c r="BL346"/>
      <c r="BM346"/>
      <c r="BN346"/>
    </row>
    <row r="347" spans="1:66" ht="15.6" x14ac:dyDescent="0.25">
      <c r="A347" s="46"/>
      <c r="B347" s="46"/>
      <c r="C347" s="46"/>
      <c r="D347" s="865"/>
      <c r="E347" s="46"/>
      <c r="F347" s="46"/>
      <c r="G347" s="46"/>
      <c r="H347" s="46"/>
      <c r="I347" s="46"/>
      <c r="J347" s="46"/>
      <c r="K347" s="46"/>
      <c r="L347" s="46"/>
      <c r="M347" s="46"/>
      <c r="N347" s="46"/>
      <c r="O347" s="46"/>
      <c r="P347" s="62"/>
      <c r="Q347" s="1443"/>
      <c r="R347" s="1445"/>
      <c r="S347" s="1445"/>
      <c r="T347" s="1445"/>
      <c r="U347" s="64"/>
      <c r="V347" s="72"/>
      <c r="W347" s="46"/>
      <c r="X347" s="72"/>
      <c r="Y347" s="72"/>
      <c r="Z347" s="72"/>
      <c r="AA347" s="72"/>
      <c r="AB347" s="72"/>
      <c r="AC347" s="59"/>
      <c r="AD347" s="46"/>
      <c r="AE347" s="536"/>
      <c r="AF347" s="285" t="s">
        <v>632</v>
      </c>
      <c r="AG347" s="112">
        <f>AG345*(AG343/100)</f>
        <v>26.548900000000003</v>
      </c>
      <c r="AH347" s="310" t="s">
        <v>631</v>
      </c>
      <c r="AI347" s="96"/>
      <c r="AJ347" s="72"/>
      <c r="AK347" s="72"/>
      <c r="AL347" s="72"/>
      <c r="AM347" s="72"/>
      <c r="AN347" s="72"/>
      <c r="AO347" s="72"/>
      <c r="AP347" s="96"/>
      <c r="AQ347" s="46"/>
      <c r="AR347" s="46"/>
      <c r="AS347" s="46"/>
      <c r="AT347" s="46"/>
      <c r="AU347" s="46"/>
      <c r="AV347" s="46"/>
      <c r="AW347" s="46"/>
      <c r="AX347" s="46"/>
      <c r="AY347" s="46"/>
      <c r="AZ347" s="46"/>
      <c r="BA347" s="46"/>
      <c r="BB347" s="46"/>
      <c r="BC347"/>
      <c r="BD347"/>
      <c r="BE347"/>
      <c r="BF347"/>
      <c r="BG347"/>
      <c r="BH347"/>
      <c r="BI347"/>
      <c r="BJ347"/>
      <c r="BK347"/>
      <c r="BL347"/>
      <c r="BM347"/>
      <c r="BN347"/>
    </row>
    <row r="348" spans="1:66" x14ac:dyDescent="0.25">
      <c r="A348" s="46"/>
      <c r="B348" s="46"/>
      <c r="C348" s="46"/>
      <c r="D348" s="865"/>
      <c r="E348" s="46"/>
      <c r="F348" s="46"/>
      <c r="G348" s="46"/>
      <c r="H348" s="46"/>
      <c r="I348" s="46"/>
      <c r="J348" s="46"/>
      <c r="K348" s="46"/>
      <c r="L348" s="46"/>
      <c r="M348" s="46"/>
      <c r="N348" s="46"/>
      <c r="O348" s="46"/>
      <c r="P348" s="425"/>
      <c r="Q348" s="256"/>
      <c r="R348" s="1442" t="s">
        <v>677</v>
      </c>
      <c r="S348" s="437">
        <f>tr_pl_dtb_2_truck</f>
        <v>44</v>
      </c>
      <c r="T348" s="256" t="s">
        <v>586</v>
      </c>
      <c r="U348" s="546"/>
      <c r="V348" s="72"/>
      <c r="W348" s="46"/>
      <c r="X348" s="72"/>
      <c r="Y348" s="72"/>
      <c r="Z348" s="72"/>
      <c r="AA348" s="72"/>
      <c r="AB348" s="72"/>
      <c r="AC348" s="59"/>
      <c r="AD348" s="46"/>
      <c r="AE348" s="536"/>
      <c r="AF348" s="542"/>
      <c r="AG348" s="542"/>
      <c r="AH348" s="310"/>
      <c r="AI348" s="96"/>
      <c r="AJ348" s="46"/>
      <c r="AK348" s="46"/>
      <c r="AL348" s="46"/>
      <c r="AM348" s="46"/>
      <c r="AN348" s="46"/>
      <c r="AO348" s="46"/>
      <c r="AP348" s="96"/>
      <c r="AQ348" s="46"/>
      <c r="AR348" s="46"/>
      <c r="AS348" s="46"/>
      <c r="AT348" s="46"/>
      <c r="AU348" s="46"/>
      <c r="AV348" s="46"/>
      <c r="AW348" s="46"/>
      <c r="AX348" s="46"/>
      <c r="AY348" s="46"/>
      <c r="AZ348" s="46"/>
      <c r="BA348" s="46"/>
      <c r="BB348" s="46"/>
      <c r="BC348"/>
      <c r="BD348"/>
      <c r="BE348"/>
      <c r="BF348"/>
      <c r="BG348"/>
      <c r="BH348"/>
      <c r="BI348"/>
      <c r="BJ348"/>
      <c r="BK348"/>
      <c r="BL348"/>
      <c r="BM348"/>
      <c r="BN348"/>
    </row>
    <row r="349" spans="1:66" x14ac:dyDescent="0.25">
      <c r="A349" s="46"/>
      <c r="B349" s="46"/>
      <c r="C349" s="46"/>
      <c r="D349" s="865"/>
      <c r="E349" s="46"/>
      <c r="F349" s="46"/>
      <c r="G349" s="46"/>
      <c r="H349" s="46"/>
      <c r="I349" s="46"/>
      <c r="J349" s="46"/>
      <c r="K349" s="46"/>
      <c r="L349" s="46"/>
      <c r="M349" s="46"/>
      <c r="N349" s="46"/>
      <c r="O349" s="46"/>
      <c r="P349" s="425"/>
      <c r="Q349" s="256"/>
      <c r="R349" s="256"/>
      <c r="S349" s="256"/>
      <c r="T349" s="256"/>
      <c r="U349" s="546"/>
      <c r="V349" s="72"/>
      <c r="W349" s="46"/>
      <c r="X349" s="72"/>
      <c r="Y349" s="72"/>
      <c r="Z349" s="72"/>
      <c r="AA349" s="72"/>
      <c r="AB349" s="72"/>
      <c r="AC349" s="59"/>
      <c r="AD349" s="46"/>
      <c r="AE349" s="536"/>
      <c r="AF349" s="542" t="s">
        <v>644</v>
      </c>
      <c r="AG349" s="445">
        <f>(AG341*AG347)/S320</f>
        <v>8362.9035000000003</v>
      </c>
      <c r="AH349" s="310" t="s">
        <v>446</v>
      </c>
      <c r="AI349" s="96"/>
      <c r="AJ349" s="46"/>
      <c r="AK349" s="46"/>
      <c r="AL349" s="46"/>
      <c r="AM349" s="46"/>
      <c r="AN349" s="46"/>
      <c r="AO349" s="46"/>
      <c r="AP349" s="96"/>
      <c r="AQ349" s="46"/>
      <c r="AR349" s="46"/>
      <c r="AS349" s="46"/>
      <c r="AT349" s="46"/>
      <c r="AU349" s="46"/>
      <c r="AV349" s="46"/>
      <c r="AW349" s="46"/>
      <c r="AX349" s="46"/>
      <c r="AY349" s="46"/>
      <c r="AZ349" s="46"/>
      <c r="BA349" s="46"/>
      <c r="BB349" s="46"/>
      <c r="BC349"/>
      <c r="BD349"/>
      <c r="BE349"/>
      <c r="BF349"/>
      <c r="BG349"/>
      <c r="BH349"/>
      <c r="BI349"/>
      <c r="BJ349"/>
      <c r="BK349"/>
      <c r="BL349"/>
      <c r="BM349"/>
      <c r="BN349"/>
    </row>
    <row r="350" spans="1:66" x14ac:dyDescent="0.25">
      <c r="A350" s="46"/>
      <c r="B350" s="46"/>
      <c r="C350" s="46"/>
      <c r="D350" s="865"/>
      <c r="E350" s="46"/>
      <c r="F350" s="46"/>
      <c r="G350" s="46"/>
      <c r="H350" s="46"/>
      <c r="I350" s="46"/>
      <c r="J350" s="46"/>
      <c r="K350" s="46"/>
      <c r="L350" s="46"/>
      <c r="M350" s="46"/>
      <c r="N350" s="46"/>
      <c r="O350" s="46"/>
      <c r="P350" s="425"/>
      <c r="Q350" s="1442"/>
      <c r="R350" s="1069" t="s">
        <v>439</v>
      </c>
      <c r="S350" s="67">
        <f>IF(tr_pl_dtb_2_mode="road",tr_pl_dtb_2_km,0)</f>
        <v>0</v>
      </c>
      <c r="T350" s="232" t="s">
        <v>436</v>
      </c>
      <c r="U350" s="64"/>
      <c r="V350" s="72"/>
      <c r="W350" s="46"/>
      <c r="X350" s="72"/>
      <c r="Y350" s="72"/>
      <c r="Z350" s="72"/>
      <c r="AA350" s="72"/>
      <c r="AB350" s="72"/>
      <c r="AC350" s="59"/>
      <c r="AD350" s="46"/>
      <c r="AE350" s="287"/>
      <c r="AF350" s="552"/>
      <c r="AG350" s="552"/>
      <c r="AH350" s="553"/>
      <c r="AI350" s="96"/>
      <c r="AJ350" s="46"/>
      <c r="AK350" s="46"/>
      <c r="AL350" s="46"/>
      <c r="AM350" s="46"/>
      <c r="AN350" s="46"/>
      <c r="AO350" s="46"/>
      <c r="AP350" s="96"/>
      <c r="AQ350" s="46"/>
      <c r="AR350" s="46"/>
      <c r="AS350" s="46"/>
      <c r="AT350" s="46"/>
      <c r="AU350" s="46"/>
      <c r="AV350" s="46"/>
      <c r="AW350" s="46"/>
      <c r="AX350" s="46"/>
      <c r="AY350" s="46"/>
      <c r="AZ350" s="46"/>
      <c r="BA350" s="46"/>
      <c r="BB350" s="46"/>
      <c r="BC350"/>
      <c r="BD350"/>
      <c r="BE350"/>
      <c r="BF350"/>
      <c r="BG350"/>
      <c r="BH350"/>
      <c r="BI350"/>
      <c r="BJ350"/>
      <c r="BK350"/>
      <c r="BL350"/>
      <c r="BM350"/>
      <c r="BN350"/>
    </row>
    <row r="351" spans="1:66" x14ac:dyDescent="0.25">
      <c r="A351" s="46"/>
      <c r="B351" s="46"/>
      <c r="C351" s="46"/>
      <c r="D351" s="865"/>
      <c r="E351" s="46"/>
      <c r="F351" s="46"/>
      <c r="G351" s="46"/>
      <c r="H351" s="46"/>
      <c r="I351" s="46"/>
      <c r="J351" s="46"/>
      <c r="K351" s="46"/>
      <c r="L351" s="46"/>
      <c r="M351" s="46"/>
      <c r="N351" s="46"/>
      <c r="O351" s="46"/>
      <c r="P351" s="425"/>
      <c r="Q351" s="1442"/>
      <c r="R351" s="82"/>
      <c r="S351" s="84"/>
      <c r="T351" s="82"/>
      <c r="U351" s="64"/>
      <c r="V351" s="72"/>
      <c r="W351" s="46"/>
      <c r="X351" s="72"/>
      <c r="Y351" s="72"/>
      <c r="Z351" s="72"/>
      <c r="AA351" s="72"/>
      <c r="AB351" s="72"/>
      <c r="AC351" s="59"/>
      <c r="AD351" s="46"/>
      <c r="AE351" s="46"/>
      <c r="AF351" s="46"/>
      <c r="AG351" s="46"/>
      <c r="AH351" s="46"/>
      <c r="AI351" s="46"/>
      <c r="AJ351" s="72"/>
      <c r="AK351" s="46"/>
      <c r="AL351" s="46"/>
      <c r="AM351" s="46"/>
      <c r="AN351" s="46"/>
      <c r="AO351" s="46"/>
      <c r="AP351" s="96"/>
      <c r="AQ351" s="46"/>
      <c r="AR351" s="46"/>
      <c r="AS351" s="46"/>
      <c r="AT351" s="46"/>
      <c r="AU351" s="46"/>
      <c r="AV351" s="46"/>
      <c r="AW351" s="46"/>
      <c r="AX351" s="46"/>
      <c r="AY351" s="46"/>
      <c r="AZ351" s="46"/>
      <c r="BA351" s="46"/>
      <c r="BB351" s="46"/>
      <c r="BC351"/>
      <c r="BD351"/>
      <c r="BE351"/>
      <c r="BF351"/>
      <c r="BG351"/>
      <c r="BH351"/>
      <c r="BI351"/>
      <c r="BJ351"/>
      <c r="BK351"/>
      <c r="BL351"/>
      <c r="BM351"/>
      <c r="BN351"/>
    </row>
    <row r="352" spans="1:66" x14ac:dyDescent="0.25">
      <c r="A352" s="46"/>
      <c r="B352" s="46"/>
      <c r="C352" s="46"/>
      <c r="D352" s="865"/>
      <c r="E352" s="46"/>
      <c r="F352" s="46"/>
      <c r="G352" s="46"/>
      <c r="H352" s="46"/>
      <c r="I352" s="46"/>
      <c r="J352" s="46"/>
      <c r="K352" s="46"/>
      <c r="L352" s="46"/>
      <c r="M352" s="46"/>
      <c r="N352" s="46"/>
      <c r="O352" s="46"/>
      <c r="P352" s="425"/>
      <c r="Q352" s="1442"/>
      <c r="R352" s="1069" t="s">
        <v>737</v>
      </c>
      <c r="S352" s="67">
        <f>IF(tr_pl_dtb_2_mode="rail",tr_pl_dtb_2_km,0)</f>
        <v>0</v>
      </c>
      <c r="T352" s="232" t="s">
        <v>436</v>
      </c>
      <c r="U352" s="64"/>
      <c r="V352" s="72"/>
      <c r="W352" s="46"/>
      <c r="X352" s="72"/>
      <c r="Y352" s="72"/>
      <c r="Z352" s="72"/>
      <c r="AA352" s="72"/>
      <c r="AB352" s="72"/>
      <c r="AC352" s="59"/>
      <c r="AD352" s="46"/>
      <c r="AE352" s="46"/>
      <c r="AF352" s="46"/>
      <c r="AG352" s="46"/>
      <c r="AH352" s="46"/>
      <c r="AI352" s="46"/>
      <c r="AJ352" s="72"/>
      <c r="AK352" s="46"/>
      <c r="AL352" s="46"/>
      <c r="AM352" s="46"/>
      <c r="AN352" s="46"/>
      <c r="AO352" s="46"/>
      <c r="AP352" s="96"/>
      <c r="AQ352" s="46"/>
      <c r="AR352" s="46"/>
      <c r="AS352" s="46"/>
      <c r="AT352" s="46"/>
      <c r="AU352" s="46"/>
      <c r="AV352" s="46"/>
      <c r="AW352" s="46"/>
      <c r="AX352" s="46"/>
      <c r="AY352" s="46"/>
      <c r="AZ352" s="46"/>
      <c r="BA352" s="46"/>
      <c r="BB352" s="46"/>
      <c r="BC352"/>
      <c r="BD352"/>
      <c r="BE352"/>
      <c r="BF352"/>
      <c r="BG352"/>
      <c r="BH352"/>
      <c r="BI352"/>
      <c r="BJ352"/>
      <c r="BK352"/>
      <c r="BL352"/>
      <c r="BM352"/>
      <c r="BN352"/>
    </row>
    <row r="353" spans="1:66" x14ac:dyDescent="0.25">
      <c r="A353" s="46"/>
      <c r="B353" s="46"/>
      <c r="C353" s="46"/>
      <c r="D353" s="865"/>
      <c r="E353" s="46"/>
      <c r="F353" s="46"/>
      <c r="G353" s="46"/>
      <c r="H353" s="46"/>
      <c r="I353" s="46"/>
      <c r="J353" s="46"/>
      <c r="K353" s="46"/>
      <c r="L353" s="46"/>
      <c r="M353" s="46"/>
      <c r="N353" s="46"/>
      <c r="O353" s="46"/>
      <c r="P353" s="425"/>
      <c r="Q353" s="1442"/>
      <c r="R353" s="82"/>
      <c r="S353" s="84"/>
      <c r="T353" s="82"/>
      <c r="U353" s="64"/>
      <c r="V353" s="72"/>
      <c r="W353" s="46"/>
      <c r="X353" s="72"/>
      <c r="Y353" s="72"/>
      <c r="Z353" s="72"/>
      <c r="AA353" s="72"/>
      <c r="AB353" s="72"/>
      <c r="AC353" s="59"/>
      <c r="AD353" s="46"/>
      <c r="AE353" s="46"/>
      <c r="AF353" s="46"/>
      <c r="AG353" s="46"/>
      <c r="AH353" s="46"/>
      <c r="AI353" s="46"/>
      <c r="AJ353" s="72"/>
      <c r="AK353" s="46"/>
      <c r="AL353" s="46"/>
      <c r="AM353" s="46"/>
      <c r="AN353" s="46"/>
      <c r="AO353" s="46"/>
      <c r="AP353" s="96"/>
      <c r="AQ353" s="46"/>
      <c r="AR353" s="46"/>
      <c r="AS353" s="46"/>
      <c r="AT353" s="46"/>
      <c r="AU353" s="46"/>
      <c r="AV353" s="46"/>
      <c r="AW353" s="46"/>
      <c r="AX353" s="46"/>
      <c r="AY353" s="46"/>
      <c r="AZ353" s="46"/>
      <c r="BA353" s="46"/>
      <c r="BB353" s="46"/>
      <c r="BC353"/>
      <c r="BD353"/>
      <c r="BE353"/>
      <c r="BF353"/>
      <c r="BG353"/>
      <c r="BH353"/>
      <c r="BI353"/>
      <c r="BJ353"/>
      <c r="BK353"/>
      <c r="BL353"/>
      <c r="BM353"/>
      <c r="BN353"/>
    </row>
    <row r="354" spans="1:66" x14ac:dyDescent="0.25">
      <c r="A354" s="46"/>
      <c r="B354" s="46"/>
      <c r="C354" s="46"/>
      <c r="D354" s="865"/>
      <c r="E354" s="46"/>
      <c r="F354" s="46"/>
      <c r="G354" s="46"/>
      <c r="H354" s="46"/>
      <c r="I354" s="46"/>
      <c r="J354" s="46"/>
      <c r="K354" s="46"/>
      <c r="L354" s="46"/>
      <c r="M354" s="46"/>
      <c r="N354" s="46"/>
      <c r="O354" s="46"/>
      <c r="P354" s="425"/>
      <c r="Q354" s="1442"/>
      <c r="R354" s="1069" t="s">
        <v>438</v>
      </c>
      <c r="S354" s="67">
        <f>IF(tr_pl_dtb_2_mode="barge",tr_pl_dtb_2_km,0)</f>
        <v>0</v>
      </c>
      <c r="T354" s="232" t="s">
        <v>436</v>
      </c>
      <c r="U354" s="64"/>
      <c r="V354" s="72"/>
      <c r="W354" s="46"/>
      <c r="X354" s="72"/>
      <c r="Y354" s="72"/>
      <c r="Z354" s="72"/>
      <c r="AA354" s="72"/>
      <c r="AB354" s="72"/>
      <c r="AC354" s="59"/>
      <c r="AD354" s="46"/>
      <c r="AE354" s="46"/>
      <c r="AF354" s="46"/>
      <c r="AG354" s="46"/>
      <c r="AH354" s="46"/>
      <c r="AI354" s="46"/>
      <c r="AJ354" s="72"/>
      <c r="AK354" s="46"/>
      <c r="AL354" s="46"/>
      <c r="AM354" s="46"/>
      <c r="AN354" s="46"/>
      <c r="AO354" s="46"/>
      <c r="AP354" s="96"/>
      <c r="AQ354" s="46"/>
      <c r="AR354" s="46"/>
      <c r="AS354" s="46"/>
      <c r="AT354" s="46"/>
      <c r="AU354" s="46"/>
      <c r="AV354" s="46"/>
      <c r="AW354" s="46"/>
      <c r="AX354" s="46"/>
      <c r="AY354" s="46"/>
      <c r="AZ354" s="46"/>
      <c r="BA354" s="46"/>
      <c r="BB354" s="46"/>
      <c r="BC354"/>
      <c r="BD354"/>
      <c r="BE354"/>
      <c r="BF354"/>
      <c r="BG354"/>
      <c r="BH354"/>
      <c r="BI354"/>
      <c r="BJ354"/>
      <c r="BK354"/>
      <c r="BL354"/>
      <c r="BM354"/>
      <c r="BN354"/>
    </row>
    <row r="355" spans="1:66" x14ac:dyDescent="0.25">
      <c r="A355" s="46"/>
      <c r="B355" s="46"/>
      <c r="C355" s="46"/>
      <c r="D355" s="865"/>
      <c r="E355" s="46"/>
      <c r="F355" s="46"/>
      <c r="G355" s="46"/>
      <c r="H355" s="46"/>
      <c r="I355" s="46"/>
      <c r="J355" s="46"/>
      <c r="K355" s="46"/>
      <c r="L355" s="46"/>
      <c r="M355" s="46"/>
      <c r="N355" s="46"/>
      <c r="O355" s="46"/>
      <c r="P355" s="425"/>
      <c r="Q355" s="1442"/>
      <c r="R355" s="82"/>
      <c r="S355" s="84"/>
      <c r="T355" s="82"/>
      <c r="U355" s="64"/>
      <c r="V355" s="72"/>
      <c r="W355" s="46"/>
      <c r="X355" s="72"/>
      <c r="Y355" s="72"/>
      <c r="Z355" s="72"/>
      <c r="AA355" s="72"/>
      <c r="AB355" s="72"/>
      <c r="AC355" s="59"/>
      <c r="AD355" s="46"/>
      <c r="AE355" s="46"/>
      <c r="AF355" s="46"/>
      <c r="AG355" s="46"/>
      <c r="AH355" s="46"/>
      <c r="AI355" s="46"/>
      <c r="AJ355" s="72"/>
      <c r="AK355" s="46"/>
      <c r="AL355" s="46"/>
      <c r="AM355" s="46"/>
      <c r="AN355" s="46"/>
      <c r="AO355" s="46"/>
      <c r="AP355" s="96"/>
      <c r="AQ355" s="46"/>
      <c r="AR355" s="46"/>
      <c r="AS355" s="46"/>
      <c r="AT355" s="46"/>
      <c r="AU355" s="46"/>
      <c r="AV355" s="46"/>
      <c r="AW355" s="46"/>
      <c r="AX355" s="46"/>
      <c r="AY355" s="46"/>
      <c r="AZ355" s="46"/>
      <c r="BA355" s="46"/>
      <c r="BB355" s="46"/>
      <c r="BC355"/>
      <c r="BD355"/>
      <c r="BE355"/>
      <c r="BF355"/>
      <c r="BG355"/>
      <c r="BH355"/>
      <c r="BI355"/>
      <c r="BJ355"/>
      <c r="BK355"/>
      <c r="BL355"/>
      <c r="BM355"/>
      <c r="BN355"/>
    </row>
    <row r="356" spans="1:66" x14ac:dyDescent="0.25">
      <c r="A356" s="46"/>
      <c r="B356" s="46"/>
      <c r="C356" s="46"/>
      <c r="D356" s="865"/>
      <c r="E356" s="46"/>
      <c r="F356" s="46"/>
      <c r="G356" s="46"/>
      <c r="H356" s="46"/>
      <c r="I356" s="46"/>
      <c r="J356" s="46"/>
      <c r="K356" s="46"/>
      <c r="L356" s="46"/>
      <c r="M356" s="46"/>
      <c r="N356" s="46"/>
      <c r="O356" s="46"/>
      <c r="P356" s="425"/>
      <c r="Q356" s="1442"/>
      <c r="R356" s="1069" t="s">
        <v>437</v>
      </c>
      <c r="S356" s="67">
        <f>IF(tr_pl_dtb_2_mode="ship",tr_pl_dtb_2_km,0)</f>
        <v>0</v>
      </c>
      <c r="T356" s="232" t="s">
        <v>436</v>
      </c>
      <c r="U356" s="64"/>
      <c r="V356" s="72"/>
      <c r="W356" s="46"/>
      <c r="X356" s="72"/>
      <c r="Y356" s="72"/>
      <c r="Z356" s="72"/>
      <c r="AA356" s="72"/>
      <c r="AB356" s="72"/>
      <c r="AC356" s="59"/>
      <c r="AD356" s="46"/>
      <c r="AE356" s="46"/>
      <c r="AF356" s="46"/>
      <c r="AG356" s="46"/>
      <c r="AH356" s="46"/>
      <c r="AI356" s="46"/>
      <c r="AJ356" s="72"/>
      <c r="AK356" s="46"/>
      <c r="AL356" s="46"/>
      <c r="AM356" s="46"/>
      <c r="AN356" s="46"/>
      <c r="AO356" s="46"/>
      <c r="AP356" s="96"/>
      <c r="AQ356" s="46"/>
      <c r="AR356" s="46"/>
      <c r="AS356" s="46"/>
      <c r="AT356" s="46"/>
      <c r="AU356" s="46"/>
      <c r="AV356" s="46"/>
      <c r="AW356" s="46"/>
      <c r="AX356" s="46"/>
      <c r="AY356" s="46"/>
      <c r="AZ356" s="46"/>
      <c r="BA356" s="46"/>
      <c r="BB356" s="46"/>
      <c r="BC356"/>
      <c r="BD356"/>
      <c r="BE356"/>
      <c r="BF356"/>
      <c r="BG356"/>
      <c r="BH356"/>
      <c r="BI356"/>
      <c r="BJ356"/>
      <c r="BK356"/>
      <c r="BL356"/>
      <c r="BM356"/>
      <c r="BN356"/>
    </row>
    <row r="357" spans="1:66" x14ac:dyDescent="0.25">
      <c r="A357" s="46"/>
      <c r="B357" s="46"/>
      <c r="C357" s="46"/>
      <c r="D357" s="865"/>
      <c r="E357" s="46"/>
      <c r="F357" s="46"/>
      <c r="G357" s="46"/>
      <c r="H357" s="46"/>
      <c r="I357" s="46"/>
      <c r="J357" s="46"/>
      <c r="K357" s="46"/>
      <c r="L357" s="46"/>
      <c r="M357" s="46"/>
      <c r="N357" s="46"/>
      <c r="O357" s="46"/>
      <c r="P357" s="62"/>
      <c r="Q357" s="82"/>
      <c r="R357" s="82"/>
      <c r="S357" s="82"/>
      <c r="T357" s="82"/>
      <c r="U357" s="64"/>
      <c r="V357" s="72"/>
      <c r="W357" s="46"/>
      <c r="X357" s="72"/>
      <c r="Y357" s="72"/>
      <c r="Z357" s="72"/>
      <c r="AA357" s="72"/>
      <c r="AB357" s="72"/>
      <c r="AC357" s="59"/>
      <c r="AD357" s="46"/>
      <c r="AE357" s="46"/>
      <c r="AF357" s="46"/>
      <c r="AG357" s="46"/>
      <c r="AH357" s="46"/>
      <c r="AI357" s="46"/>
      <c r="AJ357" s="72"/>
      <c r="AK357" s="46"/>
      <c r="AL357" s="46"/>
      <c r="AM357" s="46"/>
      <c r="AN357" s="46"/>
      <c r="AO357" s="46"/>
      <c r="AP357" s="96"/>
      <c r="AQ357" s="46"/>
      <c r="AR357" s="46"/>
      <c r="AS357" s="46"/>
      <c r="AT357" s="46"/>
      <c r="AU357" s="46"/>
      <c r="AV357" s="46"/>
      <c r="AW357" s="46"/>
      <c r="AX357" s="46"/>
      <c r="AY357" s="46"/>
      <c r="AZ357" s="46"/>
      <c r="BA357" s="46"/>
      <c r="BB357" s="46"/>
      <c r="BC357"/>
      <c r="BD357"/>
      <c r="BE357"/>
      <c r="BF357"/>
      <c r="BG357"/>
      <c r="BH357"/>
      <c r="BI357"/>
      <c r="BJ357"/>
      <c r="BK357"/>
      <c r="BL357"/>
      <c r="BM357"/>
      <c r="BN357"/>
    </row>
    <row r="358" spans="1:66" x14ac:dyDescent="0.25">
      <c r="A358" s="46"/>
      <c r="B358" s="46"/>
      <c r="C358" s="46"/>
      <c r="D358" s="865"/>
      <c r="E358" s="46"/>
      <c r="F358" s="46"/>
      <c r="G358" s="46"/>
      <c r="H358" s="46"/>
      <c r="I358" s="46"/>
      <c r="J358" s="46"/>
      <c r="K358" s="46"/>
      <c r="L358" s="46"/>
      <c r="M358" s="46"/>
      <c r="N358" s="46"/>
      <c r="O358" s="46"/>
      <c r="P358" s="62"/>
      <c r="Q358" s="82"/>
      <c r="R358" s="1069" t="s">
        <v>364</v>
      </c>
      <c r="S358" s="83">
        <f>tr_pl_dtb_2_loss</f>
        <v>0</v>
      </c>
      <c r="T358" s="232" t="s">
        <v>283</v>
      </c>
      <c r="U358" s="64"/>
      <c r="V358" s="72"/>
      <c r="W358" s="46"/>
      <c r="X358" s="72"/>
      <c r="Y358" s="72"/>
      <c r="Z358" s="72"/>
      <c r="AA358" s="72"/>
      <c r="AB358" s="72"/>
      <c r="AC358" s="59"/>
      <c r="AD358" s="46"/>
      <c r="AE358" s="46"/>
      <c r="AF358" s="46"/>
      <c r="AG358" s="46"/>
      <c r="AH358" s="46"/>
      <c r="AI358" s="72"/>
      <c r="AJ358" s="72"/>
      <c r="AK358" s="46"/>
      <c r="AL358" s="46"/>
      <c r="AM358" s="46"/>
      <c r="AN358" s="46"/>
      <c r="AO358" s="46"/>
      <c r="AP358" s="96"/>
      <c r="AQ358" s="46"/>
      <c r="AR358" s="46"/>
      <c r="AS358" s="46"/>
      <c r="AT358" s="46"/>
      <c r="AU358" s="46"/>
      <c r="AV358" s="46"/>
      <c r="AW358" s="46"/>
      <c r="AX358" s="46"/>
      <c r="AY358" s="46"/>
      <c r="AZ358" s="46"/>
      <c r="BA358" s="46"/>
      <c r="BB358" s="46"/>
      <c r="BC358"/>
      <c r="BD358"/>
      <c r="BE358"/>
      <c r="BF358"/>
      <c r="BG358"/>
      <c r="BH358"/>
      <c r="BI358"/>
      <c r="BJ358"/>
      <c r="BK358"/>
      <c r="BL358"/>
      <c r="BM358"/>
      <c r="BN358"/>
    </row>
    <row r="359" spans="1:66" ht="13.8" thickBot="1" x14ac:dyDescent="0.3">
      <c r="A359" s="46"/>
      <c r="B359" s="46"/>
      <c r="C359" s="46"/>
      <c r="D359" s="865"/>
      <c r="E359" s="46"/>
      <c r="F359" s="46"/>
      <c r="G359" s="46"/>
      <c r="H359" s="46"/>
      <c r="I359" s="46"/>
      <c r="J359" s="46"/>
      <c r="K359" s="46"/>
      <c r="L359" s="46"/>
      <c r="M359" s="46"/>
      <c r="N359" s="46"/>
      <c r="O359" s="46"/>
      <c r="P359" s="69"/>
      <c r="Q359" s="86"/>
      <c r="R359" s="86"/>
      <c r="S359" s="87"/>
      <c r="T359" s="70"/>
      <c r="U359" s="71"/>
      <c r="V359" s="72"/>
      <c r="W359" s="46"/>
      <c r="X359" s="72"/>
      <c r="Y359" s="72"/>
      <c r="Z359" s="72"/>
      <c r="AA359" s="72"/>
      <c r="AB359" s="72"/>
      <c r="AC359" s="59"/>
      <c r="AD359" s="46"/>
      <c r="AE359" s="46"/>
      <c r="AF359" s="46"/>
      <c r="AG359" s="46"/>
      <c r="AH359" s="46"/>
      <c r="AI359" s="72"/>
      <c r="AJ359" s="72"/>
      <c r="AK359" s="46"/>
      <c r="AL359" s="46"/>
      <c r="AM359" s="46"/>
      <c r="AN359" s="46"/>
      <c r="AO359" s="46"/>
      <c r="AP359" s="96"/>
      <c r="AQ359" s="46"/>
      <c r="AR359" s="46"/>
      <c r="AS359" s="46"/>
      <c r="AT359" s="46"/>
      <c r="AU359" s="46"/>
      <c r="AV359" s="46"/>
      <c r="AW359" s="46"/>
      <c r="AX359" s="46"/>
      <c r="AY359" s="46"/>
      <c r="AZ359" s="46"/>
      <c r="BA359" s="46"/>
      <c r="BB359" s="46"/>
      <c r="BC359"/>
      <c r="BD359"/>
      <c r="BE359"/>
      <c r="BF359"/>
      <c r="BG359"/>
      <c r="BH359"/>
      <c r="BI359"/>
      <c r="BJ359"/>
      <c r="BK359"/>
      <c r="BL359"/>
      <c r="BM359"/>
      <c r="BN359"/>
    </row>
    <row r="360" spans="1:66" x14ac:dyDescent="0.25">
      <c r="A360" s="46"/>
      <c r="B360" s="46"/>
      <c r="C360" s="46"/>
      <c r="D360" s="865"/>
      <c r="E360" s="46"/>
      <c r="F360" s="46"/>
      <c r="G360" s="46"/>
      <c r="H360" s="46"/>
      <c r="I360" s="46"/>
      <c r="J360" s="46"/>
      <c r="K360" s="46"/>
      <c r="L360" s="46"/>
      <c r="M360" s="46"/>
      <c r="N360" s="46"/>
      <c r="O360" s="46"/>
      <c r="P360" s="46"/>
      <c r="Q360" s="46"/>
      <c r="R360" s="99"/>
      <c r="S360" s="46"/>
      <c r="T360" s="46"/>
      <c r="U360" s="46"/>
      <c r="V360" s="72"/>
      <c r="W360" s="46"/>
      <c r="X360" s="72"/>
      <c r="Y360" s="72"/>
      <c r="Z360" s="72"/>
      <c r="AA360" s="72"/>
      <c r="AB360" s="72"/>
      <c r="AC360" s="59"/>
      <c r="AD360" s="46"/>
      <c r="AE360" s="46"/>
      <c r="AF360" s="46"/>
      <c r="AG360" s="46"/>
      <c r="AH360" s="46"/>
      <c r="AI360" s="72"/>
      <c r="AJ360" s="72"/>
      <c r="AK360" s="46"/>
      <c r="AL360" s="46"/>
      <c r="AM360" s="46"/>
      <c r="AN360" s="46"/>
      <c r="AO360" s="46"/>
      <c r="AP360" s="96"/>
      <c r="AQ360" s="46"/>
      <c r="AR360" s="46"/>
      <c r="AS360" s="46"/>
      <c r="AT360" s="46"/>
      <c r="AU360" s="46"/>
      <c r="AV360" s="46"/>
      <c r="AW360" s="46"/>
      <c r="AX360" s="46"/>
      <c r="AY360" s="46"/>
      <c r="AZ360" s="46"/>
      <c r="BA360" s="46"/>
      <c r="BB360" s="46"/>
      <c r="BC360"/>
      <c r="BD360"/>
      <c r="BE360"/>
      <c r="BF360"/>
      <c r="BG360"/>
      <c r="BH360"/>
      <c r="BI360"/>
      <c r="BJ360"/>
      <c r="BK360"/>
      <c r="BL360"/>
      <c r="BM360"/>
      <c r="BN360"/>
    </row>
    <row r="361" spans="1:66" x14ac:dyDescent="0.25">
      <c r="A361" s="46"/>
      <c r="B361" s="46"/>
      <c r="C361" s="46"/>
      <c r="D361" s="865"/>
      <c r="E361" s="46"/>
      <c r="F361" s="46"/>
      <c r="G361" s="46"/>
      <c r="H361" s="46"/>
      <c r="I361" s="46"/>
      <c r="J361" s="46"/>
      <c r="K361" s="46"/>
      <c r="L361" s="46"/>
      <c r="M361" s="46"/>
      <c r="N361" s="46"/>
      <c r="O361" s="46"/>
      <c r="P361" s="428"/>
      <c r="Q361" s="609"/>
      <c r="R361" s="609"/>
      <c r="S361" s="610"/>
      <c r="T361" s="429"/>
      <c r="U361" s="430"/>
      <c r="V361" s="72"/>
      <c r="W361" s="46"/>
      <c r="X361" s="72"/>
      <c r="Y361" s="72"/>
      <c r="Z361" s="72"/>
      <c r="AA361" s="72"/>
      <c r="AB361" s="72"/>
      <c r="AC361" s="59"/>
      <c r="AD361" s="46"/>
      <c r="AE361" s="46"/>
      <c r="AF361" s="46"/>
      <c r="AG361" s="46"/>
      <c r="AH361" s="46"/>
      <c r="AI361" s="72"/>
      <c r="AJ361" s="72"/>
      <c r="AK361" s="46"/>
      <c r="AL361" s="46"/>
      <c r="AM361" s="46"/>
      <c r="AN361" s="46"/>
      <c r="AO361" s="46"/>
      <c r="AP361" s="96"/>
      <c r="AQ361" s="46"/>
      <c r="AR361" s="46"/>
      <c r="AS361" s="46"/>
      <c r="AT361" s="46"/>
      <c r="AU361" s="46"/>
      <c r="AV361" s="46"/>
      <c r="AW361" s="46"/>
      <c r="AX361" s="46"/>
      <c r="AY361" s="46"/>
      <c r="AZ361" s="46"/>
      <c r="BA361" s="46"/>
      <c r="BB361" s="46"/>
      <c r="BC361"/>
      <c r="BD361"/>
      <c r="BE361"/>
      <c r="BF361"/>
      <c r="BG361"/>
      <c r="BH361"/>
      <c r="BI361"/>
      <c r="BJ361"/>
      <c r="BK361"/>
      <c r="BL361"/>
      <c r="BM361"/>
      <c r="BN361"/>
    </row>
    <row r="362" spans="1:66" x14ac:dyDescent="0.25">
      <c r="A362" s="46"/>
      <c r="B362" s="46"/>
      <c r="C362" s="46"/>
      <c r="D362" s="865"/>
      <c r="E362" s="46"/>
      <c r="F362" s="46"/>
      <c r="G362" s="46"/>
      <c r="H362" s="46"/>
      <c r="I362" s="46"/>
      <c r="J362" s="46"/>
      <c r="K362" s="46"/>
      <c r="L362" s="46"/>
      <c r="M362" s="46"/>
      <c r="N362" s="46"/>
      <c r="O362" s="46"/>
      <c r="P362" s="431"/>
      <c r="Q362" s="611"/>
      <c r="R362" s="614" t="s">
        <v>707</v>
      </c>
      <c r="S362" s="1501">
        <f>IF((S350+S352+S354+S356)&gt;0,S341*(100-S358)/100,S341)</f>
        <v>9.7580731500000017E-2</v>
      </c>
      <c r="T362" s="432" t="s">
        <v>441</v>
      </c>
      <c r="U362" s="433"/>
      <c r="V362" s="72"/>
      <c r="W362" s="46"/>
      <c r="X362" s="72"/>
      <c r="Y362" s="72"/>
      <c r="Z362" s="72"/>
      <c r="AA362" s="72"/>
      <c r="AB362" s="72"/>
      <c r="AC362" s="59"/>
      <c r="AD362" s="46"/>
      <c r="AE362" s="46"/>
      <c r="AF362" s="46"/>
      <c r="AG362" s="46"/>
      <c r="AH362" s="46"/>
      <c r="AI362" s="72"/>
      <c r="AJ362" s="72"/>
      <c r="AK362" s="46"/>
      <c r="AL362" s="46"/>
      <c r="AM362" s="46"/>
      <c r="AN362" s="46"/>
      <c r="AO362" s="46"/>
      <c r="AP362" s="96"/>
      <c r="AQ362" s="46"/>
      <c r="AR362" s="46"/>
      <c r="AS362" s="46"/>
      <c r="AT362" s="46"/>
      <c r="AU362" s="46"/>
      <c r="AV362" s="46"/>
      <c r="AW362" s="46"/>
      <c r="AX362" s="46"/>
      <c r="AY362" s="46"/>
      <c r="AZ362" s="46"/>
      <c r="BA362" s="46"/>
      <c r="BB362" s="46"/>
      <c r="BC362"/>
      <c r="BD362"/>
      <c r="BE362"/>
      <c r="BF362"/>
      <c r="BG362"/>
      <c r="BH362"/>
      <c r="BI362"/>
      <c r="BJ362"/>
      <c r="BK362"/>
      <c r="BL362"/>
      <c r="BM362"/>
      <c r="BN362"/>
    </row>
    <row r="363" spans="1:66" x14ac:dyDescent="0.25">
      <c r="A363" s="46"/>
      <c r="B363" s="46"/>
      <c r="C363" s="46"/>
      <c r="D363" s="865"/>
      <c r="E363" s="46"/>
      <c r="F363" s="46"/>
      <c r="G363" s="46"/>
      <c r="H363" s="46"/>
      <c r="I363" s="46"/>
      <c r="J363" s="46"/>
      <c r="K363" s="46"/>
      <c r="L363" s="46"/>
      <c r="M363" s="46"/>
      <c r="N363" s="46"/>
      <c r="O363" s="46"/>
      <c r="P363" s="434"/>
      <c r="Q363" s="612"/>
      <c r="R363" s="612"/>
      <c r="S363" s="613"/>
      <c r="T363" s="435"/>
      <c r="U363" s="436"/>
      <c r="V363" s="72"/>
      <c r="W363" s="46"/>
      <c r="X363" s="72"/>
      <c r="Y363" s="72"/>
      <c r="Z363" s="72"/>
      <c r="AA363" s="72"/>
      <c r="AB363" s="72"/>
      <c r="AC363" s="59"/>
      <c r="AD363" s="46"/>
      <c r="AE363" s="46"/>
      <c r="AF363" s="46"/>
      <c r="AG363" s="46"/>
      <c r="AH363" s="46"/>
      <c r="AI363" s="72"/>
      <c r="AJ363" s="72"/>
      <c r="AK363" s="46"/>
      <c r="AL363" s="46"/>
      <c r="AM363" s="46"/>
      <c r="AN363" s="46"/>
      <c r="AO363" s="46"/>
      <c r="AP363" s="96"/>
      <c r="AQ363" s="46"/>
      <c r="AR363" s="46"/>
      <c r="AS363" s="46"/>
      <c r="AT363" s="46"/>
      <c r="AU363" s="46"/>
      <c r="AV363" s="46"/>
      <c r="AW363" s="46"/>
      <c r="AX363" s="46"/>
      <c r="AY363" s="46"/>
      <c r="AZ363" s="46"/>
      <c r="BA363" s="46"/>
      <c r="BB363" s="46"/>
      <c r="BC363"/>
      <c r="BD363"/>
      <c r="BE363"/>
      <c r="BF363"/>
      <c r="BG363"/>
      <c r="BH363"/>
      <c r="BI363"/>
      <c r="BJ363"/>
      <c r="BK363"/>
      <c r="BL363"/>
      <c r="BM363"/>
      <c r="BN363"/>
    </row>
    <row r="364" spans="1:66" ht="13.8" thickBot="1" x14ac:dyDescent="0.3">
      <c r="A364" s="46"/>
      <c r="B364" s="46"/>
      <c r="C364" s="46"/>
      <c r="D364" s="865"/>
      <c r="E364" s="46"/>
      <c r="F364" s="46"/>
      <c r="G364" s="46"/>
      <c r="H364" s="46"/>
      <c r="I364" s="46"/>
      <c r="J364" s="46"/>
      <c r="K364" s="46"/>
      <c r="L364" s="46"/>
      <c r="M364" s="46"/>
      <c r="N364" s="46"/>
      <c r="O364" s="46"/>
      <c r="P364" s="46"/>
      <c r="Q364" s="46"/>
      <c r="R364" s="77"/>
      <c r="S364" s="46"/>
      <c r="T364" s="46"/>
      <c r="U364" s="46"/>
      <c r="V364" s="72"/>
      <c r="W364" s="46"/>
      <c r="X364" s="72"/>
      <c r="Y364" s="72"/>
      <c r="Z364" s="72"/>
      <c r="AA364" s="72"/>
      <c r="AB364" s="72"/>
      <c r="AC364" s="59"/>
      <c r="AD364" s="46"/>
      <c r="AE364" s="46"/>
      <c r="AF364" s="46"/>
      <c r="AG364" s="46"/>
      <c r="AH364" s="46"/>
      <c r="AI364" s="72"/>
      <c r="AJ364" s="72"/>
      <c r="AK364" s="46"/>
      <c r="AL364" s="46"/>
      <c r="AM364" s="46"/>
      <c r="AN364" s="46"/>
      <c r="AO364" s="46"/>
      <c r="AP364" s="96"/>
      <c r="AQ364" s="46"/>
      <c r="AR364" s="46"/>
      <c r="AS364" s="46"/>
      <c r="AT364" s="46"/>
      <c r="AU364" s="46"/>
      <c r="AV364" s="46"/>
      <c r="AW364" s="46"/>
      <c r="AX364" s="46"/>
      <c r="AY364" s="46"/>
      <c r="AZ364" s="46"/>
      <c r="BA364" s="46"/>
      <c r="BB364" s="46"/>
      <c r="BC364"/>
      <c r="BD364"/>
      <c r="BE364"/>
      <c r="BF364"/>
      <c r="BG364"/>
      <c r="BH364"/>
      <c r="BI364"/>
      <c r="BJ364"/>
      <c r="BK364"/>
      <c r="BL364"/>
      <c r="BM364"/>
      <c r="BN364"/>
    </row>
    <row r="365" spans="1:66" x14ac:dyDescent="0.25">
      <c r="A365" s="46"/>
      <c r="B365" s="46"/>
      <c r="C365" s="46"/>
      <c r="D365" s="865"/>
      <c r="E365" s="46"/>
      <c r="F365" s="46"/>
      <c r="G365" s="46"/>
      <c r="H365" s="46"/>
      <c r="I365" s="46"/>
      <c r="J365" s="46"/>
      <c r="K365" s="46"/>
      <c r="L365" s="46"/>
      <c r="M365" s="46"/>
      <c r="N365" s="46"/>
      <c r="O365" s="46"/>
      <c r="P365" s="281"/>
      <c r="Q365" s="60"/>
      <c r="R365" s="60"/>
      <c r="S365" s="60"/>
      <c r="T365" s="60"/>
      <c r="U365" s="61"/>
      <c r="V365" s="72"/>
      <c r="W365" s="46"/>
      <c r="X365" s="72"/>
      <c r="Y365" s="72"/>
      <c r="Z365" s="72"/>
      <c r="AA365" s="72"/>
      <c r="AB365" s="72"/>
      <c r="AC365" s="59"/>
      <c r="AD365" s="46"/>
      <c r="AE365" s="46"/>
      <c r="AF365" s="46"/>
      <c r="AG365" s="46"/>
      <c r="AH365" s="46"/>
      <c r="AI365" s="72"/>
      <c r="AJ365" s="72"/>
      <c r="AK365" s="46"/>
      <c r="AL365" s="46"/>
      <c r="AM365" s="46"/>
      <c r="AN365" s="46"/>
      <c r="AO365" s="46"/>
      <c r="AP365" s="96"/>
      <c r="AQ365" s="46"/>
      <c r="AR365" s="46"/>
      <c r="AS365" s="46"/>
      <c r="AT365" s="46"/>
      <c r="AU365" s="46"/>
      <c r="AV365" s="46"/>
      <c r="AW365" s="46"/>
      <c r="AX365" s="46"/>
      <c r="AY365" s="46"/>
      <c r="AZ365" s="46"/>
      <c r="BA365" s="46"/>
      <c r="BB365" s="46"/>
      <c r="BC365"/>
      <c r="BD365"/>
      <c r="BE365"/>
      <c r="BF365"/>
      <c r="BG365"/>
      <c r="BH365"/>
      <c r="BI365"/>
      <c r="BJ365"/>
      <c r="BK365"/>
      <c r="BL365"/>
      <c r="BM365"/>
      <c r="BN365"/>
    </row>
    <row r="366" spans="1:66" x14ac:dyDescent="0.25">
      <c r="A366" s="46"/>
      <c r="B366" s="46"/>
      <c r="C366" s="46"/>
      <c r="D366" s="865"/>
      <c r="E366" s="46"/>
      <c r="F366" s="46"/>
      <c r="G366" s="46"/>
      <c r="H366" s="46"/>
      <c r="I366" s="46"/>
      <c r="J366" s="46"/>
      <c r="K366" s="46"/>
      <c r="L366" s="46"/>
      <c r="M366" s="46"/>
      <c r="N366" s="46"/>
      <c r="O366" s="46"/>
      <c r="P366" s="1551" t="s">
        <v>708</v>
      </c>
      <c r="Q366" s="1552"/>
      <c r="R366" s="1552"/>
      <c r="S366" s="1552"/>
      <c r="T366" s="1552"/>
      <c r="U366" s="1553"/>
      <c r="V366" s="72"/>
      <c r="W366" s="46"/>
      <c r="X366" s="72"/>
      <c r="Y366" s="72"/>
      <c r="Z366" s="72"/>
      <c r="AA366" s="72"/>
      <c r="AB366" s="72"/>
      <c r="AC366" s="59"/>
      <c r="AD366" s="46"/>
      <c r="AE366" s="46"/>
      <c r="AF366" s="46"/>
      <c r="AG366" s="46"/>
      <c r="AH366" s="46"/>
      <c r="AI366" s="72"/>
      <c r="AJ366" s="72"/>
      <c r="AK366" s="46"/>
      <c r="AL366" s="46"/>
      <c r="AM366" s="46"/>
      <c r="AN366" s="46"/>
      <c r="AO366" s="46"/>
      <c r="AP366" s="96"/>
      <c r="AQ366" s="46"/>
      <c r="AR366" s="46"/>
      <c r="AS366" s="46"/>
      <c r="AT366" s="46"/>
      <c r="AU366" s="46"/>
      <c r="AV366" s="46"/>
      <c r="AW366" s="46"/>
      <c r="AX366" s="46"/>
      <c r="AY366" s="46"/>
      <c r="AZ366" s="46"/>
      <c r="BA366" s="46"/>
      <c r="BB366" s="46"/>
      <c r="BC366"/>
      <c r="BD366"/>
      <c r="BE366"/>
      <c r="BF366"/>
      <c r="BG366"/>
      <c r="BH366"/>
      <c r="BI366"/>
      <c r="BJ366"/>
      <c r="BK366"/>
      <c r="BL366"/>
      <c r="BM366"/>
      <c r="BN366"/>
    </row>
    <row r="367" spans="1:66" x14ac:dyDescent="0.25">
      <c r="A367" s="46"/>
      <c r="B367" s="46"/>
      <c r="C367" s="46"/>
      <c r="D367" s="865"/>
      <c r="E367" s="46"/>
      <c r="F367" s="46"/>
      <c r="G367" s="46"/>
      <c r="H367" s="46"/>
      <c r="I367" s="46"/>
      <c r="J367" s="46"/>
      <c r="K367" s="46"/>
      <c r="L367" s="46"/>
      <c r="M367" s="46"/>
      <c r="N367" s="46"/>
      <c r="O367" s="46"/>
      <c r="P367" s="1548" t="s">
        <v>164</v>
      </c>
      <c r="Q367" s="1549"/>
      <c r="R367" s="1549"/>
      <c r="S367" s="1549"/>
      <c r="T367" s="1549"/>
      <c r="U367" s="1550"/>
      <c r="V367" s="72"/>
      <c r="W367" s="46"/>
      <c r="X367" s="72"/>
      <c r="Y367" s="72"/>
      <c r="Z367" s="72"/>
      <c r="AA367" s="72"/>
      <c r="AB367" s="72"/>
      <c r="AC367" s="59"/>
      <c r="AD367" s="46"/>
      <c r="AE367" s="46"/>
      <c r="AF367" s="46"/>
      <c r="AG367" s="46"/>
      <c r="AH367" s="46"/>
      <c r="AI367" s="72"/>
      <c r="AJ367" s="72"/>
      <c r="AK367" s="46"/>
      <c r="AL367" s="46"/>
      <c r="AM367" s="46"/>
      <c r="AN367" s="46"/>
      <c r="AO367" s="46"/>
      <c r="AP367" s="96"/>
      <c r="AQ367" s="46"/>
      <c r="AR367" s="46"/>
      <c r="AS367" s="46"/>
      <c r="AT367" s="46"/>
      <c r="AU367" s="46"/>
      <c r="AV367" s="46"/>
      <c r="AW367" s="46"/>
      <c r="AX367" s="46"/>
      <c r="AY367" s="46"/>
      <c r="AZ367" s="46"/>
      <c r="BA367" s="46"/>
      <c r="BB367" s="46"/>
      <c r="BC367"/>
      <c r="BD367"/>
      <c r="BE367"/>
      <c r="BF367"/>
      <c r="BG367"/>
      <c r="BH367"/>
      <c r="BI367"/>
      <c r="BJ367"/>
      <c r="BK367"/>
      <c r="BL367"/>
      <c r="BM367"/>
      <c r="BN367"/>
    </row>
    <row r="368" spans="1:66" x14ac:dyDescent="0.25">
      <c r="A368" s="46"/>
      <c r="B368" s="46"/>
      <c r="C368" s="46"/>
      <c r="D368" s="865"/>
      <c r="E368" s="46"/>
      <c r="F368" s="46"/>
      <c r="G368" s="46"/>
      <c r="H368" s="46"/>
      <c r="I368" s="46"/>
      <c r="J368" s="46"/>
      <c r="K368" s="46"/>
      <c r="L368" s="46"/>
      <c r="M368" s="46"/>
      <c r="N368" s="46"/>
      <c r="O368" s="46"/>
      <c r="P368" s="62"/>
      <c r="Q368" s="1443"/>
      <c r="R368" s="1445"/>
      <c r="S368" s="1445"/>
      <c r="T368" s="1445"/>
      <c r="U368" s="64"/>
      <c r="V368" s="72"/>
      <c r="W368" s="46"/>
      <c r="X368" s="72"/>
      <c r="Y368" s="72"/>
      <c r="Z368" s="72"/>
      <c r="AA368" s="72"/>
      <c r="AB368" s="72"/>
      <c r="AC368" s="59"/>
      <c r="AD368" s="46"/>
      <c r="AE368" s="46"/>
      <c r="AF368" s="46"/>
      <c r="AG368" s="46"/>
      <c r="AH368" s="46"/>
      <c r="AI368" s="72"/>
      <c r="AJ368" s="72"/>
      <c r="AK368" s="46"/>
      <c r="AL368" s="46"/>
      <c r="AM368" s="46"/>
      <c r="AN368" s="46"/>
      <c r="AO368" s="46"/>
      <c r="AP368" s="96"/>
      <c r="AQ368" s="46"/>
      <c r="AR368" s="46"/>
      <c r="AS368" s="46"/>
      <c r="AT368" s="46"/>
      <c r="AU368" s="46"/>
      <c r="AV368" s="46"/>
      <c r="AW368" s="46"/>
      <c r="AX368" s="46"/>
      <c r="AY368" s="46"/>
      <c r="AZ368" s="46"/>
      <c r="BA368" s="46"/>
      <c r="BB368" s="46"/>
      <c r="BC368"/>
      <c r="BD368"/>
      <c r="BE368"/>
      <c r="BF368"/>
      <c r="BG368"/>
      <c r="BH368"/>
      <c r="BI368"/>
      <c r="BJ368"/>
      <c r="BK368"/>
      <c r="BL368"/>
      <c r="BM368"/>
      <c r="BN368"/>
    </row>
    <row r="369" spans="1:66" x14ac:dyDescent="0.25">
      <c r="A369" s="46"/>
      <c r="B369" s="46"/>
      <c r="C369" s="46"/>
      <c r="D369" s="865"/>
      <c r="E369" s="46"/>
      <c r="F369" s="46"/>
      <c r="G369" s="46"/>
      <c r="H369" s="46"/>
      <c r="I369" s="46"/>
      <c r="J369" s="46"/>
      <c r="K369" s="46"/>
      <c r="L369" s="46"/>
      <c r="M369" s="46"/>
      <c r="N369" s="46"/>
      <c r="O369" s="46"/>
      <c r="P369" s="425"/>
      <c r="Q369" s="256"/>
      <c r="R369" s="1442" t="s">
        <v>677</v>
      </c>
      <c r="S369" s="437">
        <f>tr_pl_dtb_3_truck</f>
        <v>44</v>
      </c>
      <c r="T369" s="256" t="s">
        <v>586</v>
      </c>
      <c r="U369" s="546"/>
      <c r="V369" s="72"/>
      <c r="W369" s="46"/>
      <c r="X369" s="72"/>
      <c r="Y369" s="72"/>
      <c r="Z369" s="72"/>
      <c r="AA369" s="72"/>
      <c r="AB369" s="72"/>
      <c r="AC369" s="59"/>
      <c r="AD369" s="46"/>
      <c r="AE369" s="46"/>
      <c r="AF369" s="46"/>
      <c r="AG369" s="46"/>
      <c r="AH369" s="46"/>
      <c r="AI369" s="72"/>
      <c r="AJ369" s="72"/>
      <c r="AK369" s="46"/>
      <c r="AL369" s="46"/>
      <c r="AM369" s="46"/>
      <c r="AN369" s="46"/>
      <c r="AO369" s="46"/>
      <c r="AP369" s="96"/>
      <c r="AQ369" s="46"/>
      <c r="AR369" s="46"/>
      <c r="AS369" s="46"/>
      <c r="AT369" s="46"/>
      <c r="AU369" s="46"/>
      <c r="AV369" s="46"/>
      <c r="AW369" s="46"/>
      <c r="AX369" s="46"/>
      <c r="AY369" s="46"/>
      <c r="AZ369" s="46"/>
      <c r="BA369" s="46"/>
      <c r="BB369" s="46"/>
      <c r="BC369"/>
      <c r="BD369"/>
      <c r="BE369"/>
      <c r="BF369"/>
      <c r="BG369"/>
      <c r="BH369"/>
      <c r="BI369"/>
      <c r="BJ369"/>
      <c r="BK369"/>
      <c r="BL369"/>
      <c r="BM369"/>
      <c r="BN369"/>
    </row>
    <row r="370" spans="1:66" x14ac:dyDescent="0.25">
      <c r="A370" s="46"/>
      <c r="B370" s="46"/>
      <c r="C370" s="46"/>
      <c r="D370" s="865"/>
      <c r="E370" s="46"/>
      <c r="F370" s="46"/>
      <c r="G370" s="46"/>
      <c r="H370" s="46"/>
      <c r="I370" s="46"/>
      <c r="J370" s="46"/>
      <c r="K370" s="46"/>
      <c r="L370" s="46"/>
      <c r="M370" s="46"/>
      <c r="N370" s="46"/>
      <c r="O370" s="46"/>
      <c r="P370" s="425"/>
      <c r="Q370" s="256"/>
      <c r="R370" s="256"/>
      <c r="S370" s="256"/>
      <c r="T370" s="256"/>
      <c r="U370" s="546"/>
      <c r="V370" s="72"/>
      <c r="W370" s="46"/>
      <c r="X370" s="72"/>
      <c r="Y370" s="72"/>
      <c r="Z370" s="72"/>
      <c r="AA370" s="72"/>
      <c r="AB370" s="72"/>
      <c r="AC370" s="59"/>
      <c r="AD370" s="46"/>
      <c r="AE370" s="46"/>
      <c r="AF370" s="46"/>
      <c r="AG370" s="46"/>
      <c r="AH370" s="46"/>
      <c r="AI370" s="72"/>
      <c r="AJ370" s="72"/>
      <c r="AK370" s="46"/>
      <c r="AL370" s="46"/>
      <c r="AM370" s="46"/>
      <c r="AN370" s="46"/>
      <c r="AO370" s="46"/>
      <c r="AP370" s="96"/>
      <c r="AQ370" s="46"/>
      <c r="AR370" s="46"/>
      <c r="AS370" s="46"/>
      <c r="AT370" s="46"/>
      <c r="AU370" s="46"/>
      <c r="AV370" s="46"/>
      <c r="AW370" s="46"/>
      <c r="AX370" s="46"/>
      <c r="AY370" s="46"/>
      <c r="AZ370" s="46"/>
      <c r="BA370" s="46"/>
      <c r="BB370" s="46"/>
      <c r="BC370"/>
      <c r="BD370"/>
      <c r="BE370"/>
      <c r="BF370"/>
      <c r="BG370"/>
      <c r="BH370"/>
      <c r="BI370"/>
      <c r="BJ370"/>
      <c r="BK370"/>
      <c r="BL370"/>
      <c r="BM370"/>
      <c r="BN370"/>
    </row>
    <row r="371" spans="1:66" x14ac:dyDescent="0.25">
      <c r="A371" s="46"/>
      <c r="B371" s="46"/>
      <c r="C371" s="46"/>
      <c r="D371" s="865"/>
      <c r="E371" s="46"/>
      <c r="F371" s="46"/>
      <c r="G371" s="46"/>
      <c r="H371" s="46"/>
      <c r="I371" s="46"/>
      <c r="J371" s="46"/>
      <c r="K371" s="46"/>
      <c r="L371" s="46"/>
      <c r="M371" s="46"/>
      <c r="N371" s="46"/>
      <c r="O371" s="46"/>
      <c r="P371" s="425"/>
      <c r="Q371" s="1442"/>
      <c r="R371" s="1069" t="s">
        <v>439</v>
      </c>
      <c r="S371" s="67">
        <f>IF(tr_pl_dtb_3_mode="road",tr_pl_dtb_3_km,0)</f>
        <v>0</v>
      </c>
      <c r="T371" s="232" t="s">
        <v>436</v>
      </c>
      <c r="U371" s="64"/>
      <c r="V371" s="72"/>
      <c r="W371" s="46"/>
      <c r="X371" s="72"/>
      <c r="Y371" s="72"/>
      <c r="Z371" s="72"/>
      <c r="AA371" s="72"/>
      <c r="AB371" s="72"/>
      <c r="AC371" s="59"/>
      <c r="AD371" s="46"/>
      <c r="AE371" s="46"/>
      <c r="AF371" s="46"/>
      <c r="AG371" s="46"/>
      <c r="AH371" s="46"/>
      <c r="AI371" s="72"/>
      <c r="AJ371" s="72"/>
      <c r="AK371" s="46"/>
      <c r="AL371" s="46"/>
      <c r="AM371" s="46"/>
      <c r="AN371" s="46"/>
      <c r="AO371" s="46"/>
      <c r="AP371" s="96"/>
      <c r="AQ371" s="46"/>
      <c r="AR371" s="46"/>
      <c r="AS371" s="46"/>
      <c r="AT371" s="46"/>
      <c r="AU371" s="46"/>
      <c r="AV371" s="46"/>
      <c r="AW371" s="46"/>
      <c r="AX371" s="46"/>
      <c r="AY371" s="46"/>
      <c r="AZ371" s="46"/>
      <c r="BA371" s="46"/>
      <c r="BB371" s="46"/>
      <c r="BC371"/>
      <c r="BD371"/>
      <c r="BE371"/>
      <c r="BF371"/>
      <c r="BG371"/>
      <c r="BH371"/>
      <c r="BI371"/>
      <c r="BJ371"/>
      <c r="BK371"/>
      <c r="BL371"/>
      <c r="BM371"/>
      <c r="BN371"/>
    </row>
    <row r="372" spans="1:66" x14ac:dyDescent="0.25">
      <c r="A372" s="46"/>
      <c r="B372" s="46"/>
      <c r="C372" s="46"/>
      <c r="D372" s="865"/>
      <c r="E372" s="46"/>
      <c r="F372" s="46"/>
      <c r="G372" s="46"/>
      <c r="H372" s="46"/>
      <c r="I372" s="46"/>
      <c r="J372" s="46"/>
      <c r="K372" s="46"/>
      <c r="L372" s="46"/>
      <c r="M372" s="46"/>
      <c r="N372" s="46"/>
      <c r="O372" s="46"/>
      <c r="P372" s="425"/>
      <c r="Q372" s="1442"/>
      <c r="R372" s="82"/>
      <c r="S372" s="84"/>
      <c r="T372" s="82"/>
      <c r="U372" s="64"/>
      <c r="V372" s="72"/>
      <c r="W372" s="46"/>
      <c r="X372" s="72"/>
      <c r="Y372" s="72"/>
      <c r="Z372" s="72"/>
      <c r="AA372" s="72"/>
      <c r="AB372" s="72"/>
      <c r="AC372" s="59"/>
      <c r="AD372" s="46"/>
      <c r="AE372" s="46"/>
      <c r="AF372" s="46"/>
      <c r="AG372" s="46"/>
      <c r="AH372" s="46"/>
      <c r="AI372" s="72"/>
      <c r="AJ372" s="72"/>
      <c r="AK372" s="46"/>
      <c r="AL372" s="46"/>
      <c r="AM372" s="46"/>
      <c r="AN372" s="46"/>
      <c r="AO372" s="46"/>
      <c r="AP372" s="96"/>
      <c r="AQ372" s="46"/>
      <c r="AR372" s="46"/>
      <c r="AS372" s="46"/>
      <c r="AT372" s="46"/>
      <c r="AU372" s="46"/>
      <c r="AV372" s="46"/>
      <c r="AW372" s="46"/>
      <c r="AX372" s="46"/>
      <c r="AY372" s="46"/>
      <c r="AZ372" s="46"/>
      <c r="BA372" s="46"/>
      <c r="BB372" s="46"/>
      <c r="BC372"/>
      <c r="BD372"/>
      <c r="BE372"/>
      <c r="BF372"/>
      <c r="BG372"/>
      <c r="BH372"/>
      <c r="BI372"/>
      <c r="BJ372"/>
      <c r="BK372"/>
      <c r="BL372"/>
      <c r="BM372"/>
      <c r="BN372"/>
    </row>
    <row r="373" spans="1:66" x14ac:dyDescent="0.25">
      <c r="A373" s="46"/>
      <c r="B373" s="46"/>
      <c r="C373" s="46"/>
      <c r="D373" s="865"/>
      <c r="E373" s="46"/>
      <c r="F373" s="46"/>
      <c r="G373" s="46"/>
      <c r="H373" s="46"/>
      <c r="I373" s="46"/>
      <c r="J373" s="46"/>
      <c r="K373" s="46"/>
      <c r="L373" s="46"/>
      <c r="M373" s="46"/>
      <c r="N373" s="46"/>
      <c r="O373" s="46"/>
      <c r="P373" s="425"/>
      <c r="Q373" s="1442"/>
      <c r="R373" s="1069" t="s">
        <v>737</v>
      </c>
      <c r="S373" s="67">
        <f>IF(tr_pl_dtb_3_mode="rail",tr_pl_dtb_3_km,0)</f>
        <v>0</v>
      </c>
      <c r="T373" s="232" t="s">
        <v>436</v>
      </c>
      <c r="U373" s="64"/>
      <c r="V373" s="72"/>
      <c r="W373" s="46"/>
      <c r="X373" s="72"/>
      <c r="Y373" s="72"/>
      <c r="Z373" s="72"/>
      <c r="AA373" s="72"/>
      <c r="AB373" s="72"/>
      <c r="AC373" s="59"/>
      <c r="AD373" s="46"/>
      <c r="AE373" s="46"/>
      <c r="AF373" s="46"/>
      <c r="AG373" s="46"/>
      <c r="AH373" s="46"/>
      <c r="AI373" s="72"/>
      <c r="AJ373" s="72"/>
      <c r="AK373" s="46"/>
      <c r="AL373" s="46"/>
      <c r="AM373" s="46"/>
      <c r="AN373" s="46"/>
      <c r="AO373" s="46"/>
      <c r="AP373" s="96"/>
      <c r="AQ373" s="46"/>
      <c r="AR373" s="46"/>
      <c r="AS373" s="46"/>
      <c r="AT373" s="46"/>
      <c r="AU373" s="46"/>
      <c r="AV373" s="46"/>
      <c r="AW373" s="46"/>
      <c r="AX373" s="46"/>
      <c r="AY373" s="46"/>
      <c r="AZ373" s="46"/>
      <c r="BA373" s="46"/>
      <c r="BB373" s="46"/>
      <c r="BC373"/>
      <c r="BD373"/>
      <c r="BE373"/>
      <c r="BF373"/>
      <c r="BG373"/>
      <c r="BH373"/>
      <c r="BI373"/>
      <c r="BJ373"/>
      <c r="BK373"/>
      <c r="BL373"/>
      <c r="BM373"/>
      <c r="BN373"/>
    </row>
    <row r="374" spans="1:66" x14ac:dyDescent="0.25">
      <c r="A374" s="46"/>
      <c r="B374" s="46"/>
      <c r="C374" s="46"/>
      <c r="D374" s="865"/>
      <c r="E374" s="46"/>
      <c r="F374" s="46"/>
      <c r="G374" s="46"/>
      <c r="H374" s="46"/>
      <c r="I374" s="46"/>
      <c r="J374" s="46"/>
      <c r="K374" s="46"/>
      <c r="L374" s="46"/>
      <c r="M374" s="46"/>
      <c r="N374" s="46"/>
      <c r="O374" s="46"/>
      <c r="P374" s="425"/>
      <c r="Q374" s="1442"/>
      <c r="R374" s="82"/>
      <c r="S374" s="84"/>
      <c r="T374" s="82"/>
      <c r="U374" s="64"/>
      <c r="V374" s="72"/>
      <c r="W374" s="46"/>
      <c r="X374" s="72"/>
      <c r="Y374" s="72"/>
      <c r="Z374" s="72"/>
      <c r="AA374" s="72"/>
      <c r="AB374" s="72"/>
      <c r="AC374" s="59"/>
      <c r="AD374" s="46"/>
      <c r="AE374" s="46"/>
      <c r="AF374" s="46"/>
      <c r="AG374" s="46"/>
      <c r="AH374" s="46"/>
      <c r="AI374" s="72"/>
      <c r="AJ374" s="72"/>
      <c r="AK374" s="46"/>
      <c r="AL374" s="46"/>
      <c r="AM374" s="46"/>
      <c r="AN374" s="46"/>
      <c r="AO374" s="46"/>
      <c r="AP374" s="96"/>
      <c r="AQ374" s="46"/>
      <c r="AR374" s="46"/>
      <c r="AS374" s="46"/>
      <c r="AT374" s="46"/>
      <c r="AU374" s="46"/>
      <c r="AV374" s="46"/>
      <c r="AW374" s="46"/>
      <c r="AX374" s="46"/>
      <c r="AY374" s="46"/>
      <c r="AZ374" s="46"/>
      <c r="BA374" s="46"/>
      <c r="BB374" s="46"/>
      <c r="BC374"/>
      <c r="BD374"/>
      <c r="BE374"/>
      <c r="BF374"/>
      <c r="BG374"/>
      <c r="BH374"/>
      <c r="BI374"/>
      <c r="BJ374"/>
      <c r="BK374"/>
      <c r="BL374"/>
      <c r="BM374"/>
      <c r="BN374"/>
    </row>
    <row r="375" spans="1:66" x14ac:dyDescent="0.25">
      <c r="A375" s="46"/>
      <c r="B375" s="46"/>
      <c r="C375" s="46"/>
      <c r="D375" s="865"/>
      <c r="E375" s="46"/>
      <c r="F375" s="46"/>
      <c r="G375" s="46"/>
      <c r="H375" s="46"/>
      <c r="I375" s="46"/>
      <c r="J375" s="46"/>
      <c r="K375" s="46"/>
      <c r="L375" s="46"/>
      <c r="M375" s="46"/>
      <c r="N375" s="46"/>
      <c r="O375" s="46"/>
      <c r="P375" s="425"/>
      <c r="Q375" s="1442"/>
      <c r="R375" s="1069" t="s">
        <v>438</v>
      </c>
      <c r="S375" s="67">
        <f>IF(tr_pl_dtb_3_mode="barge",tr_pl_dtb_3_km,0)</f>
        <v>0</v>
      </c>
      <c r="T375" s="232" t="s">
        <v>436</v>
      </c>
      <c r="U375" s="64"/>
      <c r="V375" s="72"/>
      <c r="W375" s="46"/>
      <c r="X375" s="72"/>
      <c r="Y375" s="72"/>
      <c r="Z375" s="72"/>
      <c r="AA375" s="72"/>
      <c r="AB375" s="72"/>
      <c r="AC375" s="59"/>
      <c r="AD375" s="46"/>
      <c r="AE375" s="46"/>
      <c r="AF375" s="46"/>
      <c r="AG375" s="46"/>
      <c r="AH375" s="46"/>
      <c r="AI375" s="72"/>
      <c r="AJ375" s="72"/>
      <c r="AK375" s="46"/>
      <c r="AL375" s="46"/>
      <c r="AM375" s="46"/>
      <c r="AN375" s="46"/>
      <c r="AO375" s="46"/>
      <c r="AP375" s="96"/>
      <c r="AQ375" s="46"/>
      <c r="AR375" s="46"/>
      <c r="AS375" s="46"/>
      <c r="AT375" s="46"/>
      <c r="AU375" s="46"/>
      <c r="AV375" s="46"/>
      <c r="AW375" s="46"/>
      <c r="AX375" s="46"/>
      <c r="AY375" s="46"/>
      <c r="AZ375" s="46"/>
      <c r="BA375" s="46"/>
      <c r="BB375" s="46"/>
      <c r="BC375"/>
      <c r="BD375"/>
      <c r="BE375"/>
      <c r="BF375"/>
      <c r="BG375"/>
      <c r="BH375"/>
      <c r="BI375"/>
      <c r="BJ375"/>
      <c r="BK375"/>
      <c r="BL375"/>
      <c r="BM375"/>
      <c r="BN375"/>
    </row>
    <row r="376" spans="1:66" x14ac:dyDescent="0.25">
      <c r="A376" s="46"/>
      <c r="B376" s="46"/>
      <c r="C376" s="46"/>
      <c r="D376" s="865"/>
      <c r="E376" s="46"/>
      <c r="F376" s="46"/>
      <c r="G376" s="46"/>
      <c r="H376" s="46"/>
      <c r="I376" s="46"/>
      <c r="J376" s="46"/>
      <c r="K376" s="46"/>
      <c r="L376" s="46"/>
      <c r="M376" s="46"/>
      <c r="N376" s="46"/>
      <c r="O376" s="46"/>
      <c r="P376" s="425"/>
      <c r="Q376" s="1442"/>
      <c r="R376" s="82"/>
      <c r="S376" s="84"/>
      <c r="T376" s="82"/>
      <c r="U376" s="64"/>
      <c r="V376" s="72"/>
      <c r="W376" s="46"/>
      <c r="X376" s="72"/>
      <c r="Y376" s="72"/>
      <c r="Z376" s="72"/>
      <c r="AA376" s="72"/>
      <c r="AB376" s="72"/>
      <c r="AC376" s="59"/>
      <c r="AD376" s="46"/>
      <c r="AE376" s="46"/>
      <c r="AF376" s="46"/>
      <c r="AG376" s="46"/>
      <c r="AH376" s="46"/>
      <c r="AI376" s="72"/>
      <c r="AJ376" s="72"/>
      <c r="AK376" s="46"/>
      <c r="AL376" s="46"/>
      <c r="AM376" s="46"/>
      <c r="AN376" s="46"/>
      <c r="AO376" s="46"/>
      <c r="AP376" s="96"/>
      <c r="AQ376" s="46"/>
      <c r="AR376" s="46"/>
      <c r="AS376" s="46"/>
      <c r="AT376" s="46"/>
      <c r="AU376" s="46"/>
      <c r="AV376" s="46"/>
      <c r="AW376" s="46"/>
      <c r="AX376" s="46"/>
      <c r="AY376" s="46"/>
      <c r="AZ376" s="46"/>
      <c r="BA376" s="46"/>
      <c r="BB376" s="46"/>
      <c r="BC376"/>
      <c r="BD376"/>
      <c r="BE376"/>
      <c r="BF376"/>
      <c r="BG376"/>
      <c r="BH376"/>
      <c r="BI376"/>
      <c r="BJ376"/>
      <c r="BK376"/>
      <c r="BL376"/>
      <c r="BM376"/>
      <c r="BN376"/>
    </row>
    <row r="377" spans="1:66" x14ac:dyDescent="0.25">
      <c r="A377" s="46"/>
      <c r="B377" s="46"/>
      <c r="C377" s="46"/>
      <c r="D377" s="865"/>
      <c r="E377" s="46"/>
      <c r="F377" s="46"/>
      <c r="G377" s="46"/>
      <c r="H377" s="46"/>
      <c r="I377" s="46"/>
      <c r="J377" s="46"/>
      <c r="K377" s="46"/>
      <c r="L377" s="46"/>
      <c r="M377" s="46"/>
      <c r="N377" s="46"/>
      <c r="O377" s="46"/>
      <c r="P377" s="425"/>
      <c r="Q377" s="1442"/>
      <c r="R377" s="1069" t="s">
        <v>437</v>
      </c>
      <c r="S377" s="67">
        <f>IF(tr_pl_dtb_3_mode="ship",tr_pl_dtb_3_km,0)</f>
        <v>0</v>
      </c>
      <c r="T377" s="232" t="s">
        <v>436</v>
      </c>
      <c r="U377" s="64"/>
      <c r="V377" s="72"/>
      <c r="W377" s="46"/>
      <c r="X377" s="72"/>
      <c r="Y377" s="72"/>
      <c r="Z377" s="72"/>
      <c r="AA377" s="72"/>
      <c r="AB377" s="72"/>
      <c r="AC377" s="59"/>
      <c r="AD377" s="46"/>
      <c r="AE377" s="46"/>
      <c r="AF377" s="46"/>
      <c r="AG377" s="46"/>
      <c r="AH377" s="46"/>
      <c r="AI377" s="72"/>
      <c r="AJ377" s="72"/>
      <c r="AK377" s="46"/>
      <c r="AL377" s="46"/>
      <c r="AM377" s="46"/>
      <c r="AN377" s="46"/>
      <c r="AO377" s="46"/>
      <c r="AP377" s="96"/>
      <c r="AQ377" s="46"/>
      <c r="AR377" s="46"/>
      <c r="AS377" s="46"/>
      <c r="AT377" s="46"/>
      <c r="AU377" s="46"/>
      <c r="AV377" s="46"/>
      <c r="AW377" s="46"/>
      <c r="AX377" s="46"/>
      <c r="AY377" s="46"/>
      <c r="AZ377" s="46"/>
      <c r="BA377" s="46"/>
      <c r="BB377" s="46"/>
      <c r="BC377"/>
      <c r="BD377"/>
      <c r="BE377"/>
      <c r="BF377"/>
      <c r="BG377"/>
      <c r="BH377"/>
      <c r="BI377"/>
      <c r="BJ377"/>
      <c r="BK377"/>
      <c r="BL377"/>
      <c r="BM377"/>
      <c r="BN377"/>
    </row>
    <row r="378" spans="1:66" x14ac:dyDescent="0.25">
      <c r="A378" s="46"/>
      <c r="B378" s="46"/>
      <c r="C378" s="46"/>
      <c r="D378" s="865"/>
      <c r="E378" s="46"/>
      <c r="F378" s="46"/>
      <c r="G378" s="46"/>
      <c r="H378" s="46"/>
      <c r="I378" s="46"/>
      <c r="J378" s="46"/>
      <c r="K378" s="46"/>
      <c r="L378" s="46"/>
      <c r="M378" s="46"/>
      <c r="N378" s="46"/>
      <c r="O378" s="46"/>
      <c r="P378" s="62"/>
      <c r="Q378" s="82"/>
      <c r="R378" s="82"/>
      <c r="S378" s="82"/>
      <c r="T378" s="82"/>
      <c r="U378" s="64"/>
      <c r="V378" s="72"/>
      <c r="W378" s="46"/>
      <c r="X378" s="72"/>
      <c r="Y378" s="72"/>
      <c r="Z378" s="72"/>
      <c r="AA378" s="72"/>
      <c r="AB378" s="72"/>
      <c r="AC378" s="59"/>
      <c r="AD378" s="46"/>
      <c r="AE378" s="46"/>
      <c r="AF378" s="46"/>
      <c r="AG378" s="46"/>
      <c r="AH378" s="46"/>
      <c r="AI378" s="72"/>
      <c r="AJ378" s="72"/>
      <c r="AK378" s="46"/>
      <c r="AL378" s="46"/>
      <c r="AM378" s="46"/>
      <c r="AN378" s="46"/>
      <c r="AO378" s="46"/>
      <c r="AP378" s="96"/>
      <c r="AQ378" s="46"/>
      <c r="AR378" s="46"/>
      <c r="AS378" s="46"/>
      <c r="AT378" s="46"/>
      <c r="AU378" s="46"/>
      <c r="AV378" s="46"/>
      <c r="AW378" s="46"/>
      <c r="AX378" s="46"/>
      <c r="AY378" s="46"/>
      <c r="AZ378" s="46"/>
      <c r="BA378" s="46"/>
      <c r="BB378" s="46"/>
      <c r="BC378"/>
      <c r="BD378"/>
      <c r="BE378"/>
      <c r="BF378"/>
      <c r="BG378"/>
      <c r="BH378"/>
      <c r="BI378"/>
      <c r="BJ378"/>
      <c r="BK378"/>
      <c r="BL378"/>
      <c r="BM378"/>
      <c r="BN378"/>
    </row>
    <row r="379" spans="1:66" x14ac:dyDescent="0.25">
      <c r="A379" s="46"/>
      <c r="B379" s="46"/>
      <c r="C379" s="46"/>
      <c r="D379" s="865"/>
      <c r="E379" s="46"/>
      <c r="F379" s="46"/>
      <c r="G379" s="46"/>
      <c r="H379" s="46"/>
      <c r="I379" s="46"/>
      <c r="J379" s="46"/>
      <c r="K379" s="46"/>
      <c r="L379" s="46"/>
      <c r="M379" s="46"/>
      <c r="N379" s="46"/>
      <c r="O379" s="46"/>
      <c r="P379" s="62"/>
      <c r="Q379" s="82"/>
      <c r="R379" s="1069" t="s">
        <v>364</v>
      </c>
      <c r="S379" s="83">
        <f>tr_pl_dtb_3_loss</f>
        <v>0</v>
      </c>
      <c r="T379" s="232" t="s">
        <v>283</v>
      </c>
      <c r="U379" s="64"/>
      <c r="V379" s="72"/>
      <c r="W379" s="46"/>
      <c r="X379" s="72"/>
      <c r="Y379" s="72"/>
      <c r="Z379" s="72"/>
      <c r="AA379" s="72"/>
      <c r="AB379" s="72"/>
      <c r="AC379" s="59"/>
      <c r="AD379" s="46"/>
      <c r="AE379" s="46"/>
      <c r="AF379" s="46"/>
      <c r="AG379" s="46"/>
      <c r="AH379" s="46"/>
      <c r="AI379" s="72"/>
      <c r="AJ379" s="72"/>
      <c r="AK379" s="46"/>
      <c r="AL379" s="46"/>
      <c r="AM379" s="46"/>
      <c r="AN379" s="46"/>
      <c r="AO379" s="46"/>
      <c r="AP379" s="96"/>
      <c r="AQ379" s="46"/>
      <c r="AR379" s="46"/>
      <c r="AS379" s="46"/>
      <c r="AT379" s="46"/>
      <c r="AU379" s="46"/>
      <c r="AV379" s="46"/>
      <c r="AW379" s="46"/>
      <c r="AX379" s="46"/>
      <c r="AY379" s="46"/>
      <c r="AZ379" s="46"/>
      <c r="BA379" s="46"/>
      <c r="BB379" s="46"/>
      <c r="BC379"/>
      <c r="BD379"/>
      <c r="BE379"/>
      <c r="BF379"/>
      <c r="BG379"/>
      <c r="BH379"/>
      <c r="BI379"/>
      <c r="BJ379"/>
      <c r="BK379"/>
      <c r="BL379"/>
      <c r="BM379"/>
      <c r="BN379"/>
    </row>
    <row r="380" spans="1:66" ht="13.8" thickBot="1" x14ac:dyDescent="0.3">
      <c r="A380" s="46"/>
      <c r="B380" s="46"/>
      <c r="C380" s="46"/>
      <c r="D380" s="865"/>
      <c r="E380" s="46"/>
      <c r="F380" s="46"/>
      <c r="G380" s="46"/>
      <c r="H380" s="46"/>
      <c r="I380" s="46"/>
      <c r="J380" s="46"/>
      <c r="K380" s="46"/>
      <c r="L380" s="46"/>
      <c r="M380" s="46"/>
      <c r="N380" s="46"/>
      <c r="O380" s="46"/>
      <c r="P380" s="69"/>
      <c r="Q380" s="86"/>
      <c r="R380" s="86"/>
      <c r="S380" s="87"/>
      <c r="T380" s="70"/>
      <c r="U380" s="71"/>
      <c r="V380" s="72"/>
      <c r="W380" s="46"/>
      <c r="X380" s="72"/>
      <c r="Y380" s="72"/>
      <c r="Z380" s="72"/>
      <c r="AA380" s="72"/>
      <c r="AB380" s="72"/>
      <c r="AC380" s="59"/>
      <c r="AD380" s="46"/>
      <c r="AE380" s="46"/>
      <c r="AF380" s="46"/>
      <c r="AG380" s="46"/>
      <c r="AH380" s="46"/>
      <c r="AI380" s="72"/>
      <c r="AJ380" s="72"/>
      <c r="AK380" s="46"/>
      <c r="AL380" s="46"/>
      <c r="AM380" s="46"/>
      <c r="AN380" s="46"/>
      <c r="AO380" s="46"/>
      <c r="AP380" s="96"/>
      <c r="AQ380" s="46"/>
      <c r="AR380" s="46"/>
      <c r="AS380" s="46"/>
      <c r="AT380" s="46"/>
      <c r="AU380" s="46"/>
      <c r="AV380" s="46"/>
      <c r="AW380" s="46"/>
      <c r="AX380" s="46"/>
      <c r="AY380" s="46"/>
      <c r="AZ380" s="46"/>
      <c r="BA380" s="46"/>
      <c r="BB380" s="46"/>
      <c r="BC380"/>
      <c r="BD380"/>
      <c r="BE380"/>
      <c r="BF380"/>
      <c r="BG380"/>
      <c r="BH380"/>
      <c r="BI380"/>
      <c r="BJ380"/>
      <c r="BK380"/>
      <c r="BL380"/>
      <c r="BM380"/>
      <c r="BN380"/>
    </row>
    <row r="381" spans="1:66" x14ac:dyDescent="0.25">
      <c r="A381" s="46"/>
      <c r="B381" s="46"/>
      <c r="C381" s="46"/>
      <c r="D381" s="865"/>
      <c r="E381" s="46"/>
      <c r="F381" s="46"/>
      <c r="G381" s="46"/>
      <c r="H381" s="46"/>
      <c r="I381" s="46"/>
      <c r="J381" s="46"/>
      <c r="K381" s="46"/>
      <c r="L381" s="46"/>
      <c r="M381" s="46"/>
      <c r="N381" s="46"/>
      <c r="O381" s="46"/>
      <c r="P381" s="46"/>
      <c r="Q381" s="46"/>
      <c r="R381" s="59"/>
      <c r="S381" s="46"/>
      <c r="T381" s="46"/>
      <c r="U381" s="46"/>
      <c r="V381" s="72"/>
      <c r="W381" s="46"/>
      <c r="X381" s="72"/>
      <c r="Y381" s="72"/>
      <c r="Z381" s="72"/>
      <c r="AA381" s="72"/>
      <c r="AB381" s="72"/>
      <c r="AC381" s="59"/>
      <c r="AD381" s="46"/>
      <c r="AE381" s="46"/>
      <c r="AF381" s="46"/>
      <c r="AG381" s="46"/>
      <c r="AH381" s="46"/>
      <c r="AI381" s="72"/>
      <c r="AJ381" s="72"/>
      <c r="AK381" s="46"/>
      <c r="AL381" s="46"/>
      <c r="AM381" s="46"/>
      <c r="AN381" s="46"/>
      <c r="AO381" s="46"/>
      <c r="AP381" s="96"/>
      <c r="AQ381" s="46"/>
      <c r="AR381" s="46"/>
      <c r="AS381" s="46"/>
      <c r="AT381" s="46"/>
      <c r="AU381" s="46"/>
      <c r="AV381" s="46"/>
      <c r="AW381" s="46"/>
      <c r="AX381" s="46"/>
      <c r="AY381" s="46"/>
      <c r="AZ381" s="46"/>
      <c r="BA381" s="46"/>
      <c r="BB381" s="46"/>
      <c r="BC381"/>
      <c r="BD381"/>
      <c r="BE381"/>
      <c r="BF381"/>
      <c r="BG381"/>
      <c r="BH381"/>
      <c r="BI381"/>
      <c r="BJ381"/>
      <c r="BK381"/>
      <c r="BL381"/>
      <c r="BM381"/>
      <c r="BN381"/>
    </row>
    <row r="382" spans="1:66" x14ac:dyDescent="0.25">
      <c r="A382" s="46"/>
      <c r="B382" s="46"/>
      <c r="C382" s="46"/>
      <c r="D382" s="865"/>
      <c r="E382" s="46"/>
      <c r="F382" s="46"/>
      <c r="G382" s="46"/>
      <c r="H382" s="46"/>
      <c r="I382" s="46"/>
      <c r="J382" s="46"/>
      <c r="K382" s="46"/>
      <c r="L382" s="46"/>
      <c r="M382" s="46"/>
      <c r="N382" s="46"/>
      <c r="O382" s="46"/>
      <c r="P382" s="289"/>
      <c r="Q382" s="48"/>
      <c r="R382" s="48"/>
      <c r="S382" s="48"/>
      <c r="T382" s="48"/>
      <c r="U382" s="49"/>
      <c r="V382" s="72"/>
      <c r="W382" s="46"/>
      <c r="X382" s="72"/>
      <c r="Y382" s="72"/>
      <c r="Z382" s="72"/>
      <c r="AA382" s="72"/>
      <c r="AB382" s="72"/>
      <c r="AC382" s="59"/>
      <c r="AD382" s="46"/>
      <c r="AE382" s="46"/>
      <c r="AF382" s="46"/>
      <c r="AG382" s="46"/>
      <c r="AH382" s="46"/>
      <c r="AI382" s="72"/>
      <c r="AJ382" s="72"/>
      <c r="AK382" s="46"/>
      <c r="AL382" s="46"/>
      <c r="AM382" s="46"/>
      <c r="AN382" s="46"/>
      <c r="AO382" s="46"/>
      <c r="AP382" s="96"/>
      <c r="AQ382" s="46"/>
      <c r="AR382" s="46"/>
      <c r="AS382" s="46"/>
      <c r="AT382" s="46"/>
      <c r="AU382" s="46"/>
      <c r="AV382" s="46"/>
      <c r="AW382" s="46"/>
      <c r="AX382" s="46"/>
      <c r="AY382" s="46"/>
      <c r="AZ382" s="46"/>
      <c r="BA382" s="46"/>
      <c r="BB382" s="46"/>
      <c r="BC382"/>
      <c r="BD382"/>
      <c r="BE382"/>
      <c r="BF382"/>
      <c r="BG382"/>
      <c r="BH382"/>
      <c r="BI382"/>
      <c r="BJ382"/>
      <c r="BK382"/>
      <c r="BL382"/>
      <c r="BM382"/>
      <c r="BN382"/>
    </row>
    <row r="383" spans="1:66" x14ac:dyDescent="0.25">
      <c r="A383" s="46"/>
      <c r="B383" s="46"/>
      <c r="C383" s="46"/>
      <c r="D383" s="865"/>
      <c r="E383" s="46"/>
      <c r="F383" s="46"/>
      <c r="G383" s="46"/>
      <c r="H383" s="46"/>
      <c r="I383" s="46"/>
      <c r="J383" s="46"/>
      <c r="K383" s="46"/>
      <c r="L383" s="46"/>
      <c r="M383" s="46"/>
      <c r="N383" s="46"/>
      <c r="O383" s="46"/>
      <c r="P383" s="426"/>
      <c r="Q383" s="427"/>
      <c r="R383" s="1446" t="s">
        <v>442</v>
      </c>
      <c r="S383" s="444">
        <f>IF((S371+S373+S375+S377)&gt;0,S362*(100-S379)/100,S362)</f>
        <v>9.7580731500000017E-2</v>
      </c>
      <c r="T383" s="229" t="s">
        <v>441</v>
      </c>
      <c r="U383" s="53" t="s">
        <v>161</v>
      </c>
      <c r="V383" s="72"/>
      <c r="W383" s="46"/>
      <c r="X383" s="72"/>
      <c r="Y383" s="72"/>
      <c r="Z383" s="72"/>
      <c r="AA383" s="72"/>
      <c r="AB383" s="72"/>
      <c r="AC383" s="59"/>
      <c r="AD383" s="46"/>
      <c r="AE383" s="46"/>
      <c r="AF383" s="46"/>
      <c r="AG383" s="46"/>
      <c r="AH383" s="46"/>
      <c r="AI383" s="72"/>
      <c r="AJ383" s="72"/>
      <c r="AK383" s="46"/>
      <c r="AL383" s="46"/>
      <c r="AM383" s="46"/>
      <c r="AN383" s="46"/>
      <c r="AO383" s="46"/>
      <c r="AP383" s="96"/>
      <c r="AQ383" s="46"/>
      <c r="AR383" s="46"/>
      <c r="AS383" s="46"/>
      <c r="AT383" s="46"/>
      <c r="AU383" s="46"/>
      <c r="AV383" s="46"/>
      <c r="AW383" s="46"/>
      <c r="AX383" s="46"/>
      <c r="AY383" s="46"/>
      <c r="AZ383" s="46"/>
      <c r="BA383" s="46"/>
      <c r="BB383" s="46"/>
      <c r="BC383"/>
      <c r="BD383"/>
      <c r="BE383"/>
      <c r="BF383"/>
      <c r="BG383"/>
      <c r="BH383"/>
      <c r="BI383"/>
      <c r="BJ383"/>
      <c r="BK383"/>
      <c r="BL383"/>
      <c r="BM383"/>
      <c r="BN383"/>
    </row>
    <row r="384" spans="1:66" x14ac:dyDescent="0.25">
      <c r="A384" s="46"/>
      <c r="B384" s="46"/>
      <c r="C384" s="46"/>
      <c r="D384" s="865"/>
      <c r="E384" s="46"/>
      <c r="F384" s="46"/>
      <c r="G384" s="46"/>
      <c r="H384" s="46"/>
      <c r="I384" s="46"/>
      <c r="J384" s="46"/>
      <c r="K384" s="46"/>
      <c r="L384" s="46"/>
      <c r="M384" s="46"/>
      <c r="N384" s="46"/>
      <c r="O384" s="46"/>
      <c r="P384" s="56"/>
      <c r="Q384" s="57"/>
      <c r="R384" s="57"/>
      <c r="S384" s="57"/>
      <c r="T384" s="57"/>
      <c r="U384" s="58"/>
      <c r="V384" s="72"/>
      <c r="W384" s="46"/>
      <c r="X384" s="72"/>
      <c r="Y384" s="72"/>
      <c r="Z384" s="72"/>
      <c r="AA384" s="72"/>
      <c r="AB384" s="72"/>
      <c r="AC384" s="59"/>
      <c r="AD384" s="46"/>
      <c r="AE384" s="46"/>
      <c r="AF384" s="46"/>
      <c r="AG384" s="46"/>
      <c r="AH384" s="46"/>
      <c r="AI384" s="72"/>
      <c r="AJ384" s="72"/>
      <c r="AK384" s="46"/>
      <c r="AL384" s="46"/>
      <c r="AM384" s="46"/>
      <c r="AN384" s="46"/>
      <c r="AO384" s="46"/>
      <c r="AP384" s="96"/>
      <c r="AQ384" s="46"/>
      <c r="AR384" s="46"/>
      <c r="AS384" s="46"/>
      <c r="AT384" s="46"/>
      <c r="AU384" s="46"/>
      <c r="AV384" s="46"/>
      <c r="AW384" s="46"/>
      <c r="AX384" s="46"/>
      <c r="AY384" s="46"/>
      <c r="AZ384" s="46"/>
      <c r="BA384" s="46"/>
      <c r="BB384" s="46"/>
      <c r="BC384"/>
      <c r="BD384"/>
      <c r="BE384"/>
      <c r="BF384"/>
      <c r="BG384"/>
      <c r="BH384"/>
      <c r="BI384"/>
      <c r="BJ384"/>
      <c r="BK384"/>
      <c r="BL384"/>
      <c r="BM384"/>
      <c r="BN384"/>
    </row>
    <row r="385" spans="1:66" x14ac:dyDescent="0.25">
      <c r="A385" s="46"/>
      <c r="B385" s="46"/>
      <c r="C385" s="46"/>
      <c r="D385" s="865"/>
      <c r="E385" s="46"/>
      <c r="F385" s="46"/>
      <c r="G385" s="46"/>
      <c r="H385" s="46"/>
      <c r="I385" s="46"/>
      <c r="J385" s="46"/>
      <c r="K385" s="46"/>
      <c r="L385" s="46"/>
      <c r="M385" s="46"/>
      <c r="N385" s="46"/>
      <c r="O385" s="46"/>
      <c r="P385" s="46"/>
      <c r="Q385" s="46"/>
      <c r="R385" s="46"/>
      <c r="S385" s="46"/>
      <c r="T385" s="46"/>
      <c r="U385" s="46"/>
      <c r="V385" s="72"/>
      <c r="W385" s="72"/>
      <c r="X385" s="72"/>
      <c r="Y385" s="72"/>
      <c r="Z385" s="72"/>
      <c r="AA385" s="72"/>
      <c r="AB385" s="72"/>
      <c r="AC385" s="59"/>
      <c r="AD385" s="46"/>
      <c r="AE385" s="46"/>
      <c r="AF385" s="46"/>
      <c r="AG385" s="72"/>
      <c r="AH385" s="72"/>
      <c r="AI385" s="46"/>
      <c r="AJ385" s="46"/>
      <c r="AK385" s="46"/>
      <c r="AL385" s="46"/>
      <c r="AM385" s="46"/>
      <c r="AN385" s="46"/>
      <c r="AO385" s="46"/>
      <c r="AP385" s="96"/>
      <c r="AQ385" s="46"/>
      <c r="AR385" s="46"/>
      <c r="AS385" s="46"/>
      <c r="AT385" s="46"/>
      <c r="AU385" s="46"/>
      <c r="AV385" s="46"/>
      <c r="AW385" s="46"/>
      <c r="AX385" s="46"/>
      <c r="AY385" s="46"/>
      <c r="AZ385" s="46"/>
      <c r="BA385" s="46"/>
      <c r="BB385" s="46"/>
      <c r="BC385"/>
      <c r="BD385"/>
      <c r="BE385"/>
      <c r="BF385"/>
      <c r="BG385"/>
      <c r="BH385"/>
      <c r="BI385"/>
      <c r="BJ385"/>
      <c r="BK385"/>
      <c r="BL385"/>
      <c r="BM385"/>
      <c r="BN385"/>
    </row>
    <row r="386" spans="1:66" x14ac:dyDescent="0.25">
      <c r="A386" s="46"/>
      <c r="B386" s="46"/>
      <c r="C386" s="46"/>
      <c r="D386" s="865"/>
      <c r="E386" s="46"/>
      <c r="F386" s="46"/>
      <c r="G386" s="46"/>
      <c r="H386" s="46"/>
      <c r="I386" s="46"/>
      <c r="J386" s="46"/>
      <c r="K386" s="46"/>
      <c r="L386" s="46"/>
      <c r="M386" s="46"/>
      <c r="N386" s="46"/>
      <c r="O386" s="46"/>
      <c r="P386" s="46"/>
      <c r="Q386" s="46"/>
      <c r="R386" s="46"/>
      <c r="S386" s="46"/>
      <c r="T386" s="46"/>
      <c r="U386" s="46"/>
      <c r="V386" s="72"/>
      <c r="W386" s="72"/>
      <c r="X386" s="72"/>
      <c r="Y386" s="72"/>
      <c r="Z386" s="72"/>
      <c r="AA386" s="72"/>
      <c r="AB386" s="72"/>
      <c r="AC386" s="59"/>
      <c r="AD386" s="46"/>
      <c r="AE386" s="46"/>
      <c r="AF386" s="46"/>
      <c r="AG386" s="72"/>
      <c r="AH386" s="72"/>
      <c r="AI386" s="46"/>
      <c r="AJ386" s="46"/>
      <c r="AK386" s="46"/>
      <c r="AL386" s="46"/>
      <c r="AM386" s="46"/>
      <c r="AN386" s="46"/>
      <c r="AO386" s="46"/>
      <c r="AP386" s="96"/>
      <c r="AQ386" s="46"/>
      <c r="AR386" s="46"/>
      <c r="AS386" s="46"/>
      <c r="AT386" s="46"/>
      <c r="AU386" s="46"/>
      <c r="AV386" s="46"/>
      <c r="AW386" s="46"/>
      <c r="AX386" s="46"/>
      <c r="AY386" s="46"/>
      <c r="AZ386" s="46"/>
      <c r="BA386" s="46"/>
      <c r="BB386" s="46"/>
      <c r="BC386"/>
      <c r="BD386"/>
      <c r="BE386"/>
      <c r="BF386"/>
      <c r="BG386"/>
      <c r="BH386"/>
      <c r="BI386"/>
      <c r="BJ386"/>
      <c r="BK386"/>
      <c r="BL386"/>
      <c r="BM386"/>
      <c r="BN386"/>
    </row>
    <row r="387" spans="1:66" x14ac:dyDescent="0.25">
      <c r="A387" s="46"/>
      <c r="B387" s="46"/>
      <c r="C387" s="46"/>
      <c r="D387" s="865"/>
      <c r="E387" s="89"/>
      <c r="F387" s="89"/>
      <c r="G387" s="89"/>
      <c r="H387" s="89"/>
      <c r="I387" s="89"/>
      <c r="J387" s="89"/>
      <c r="K387" s="89"/>
      <c r="L387" s="89"/>
      <c r="M387" s="89"/>
      <c r="N387" s="89"/>
      <c r="O387" s="89"/>
      <c r="P387" s="89"/>
      <c r="Q387" s="89"/>
      <c r="R387" s="89"/>
      <c r="S387" s="89"/>
      <c r="T387" s="89"/>
      <c r="U387" s="89"/>
      <c r="V387" s="89"/>
      <c r="W387" s="89"/>
      <c r="X387" s="89"/>
      <c r="Y387" s="89"/>
      <c r="Z387" s="89"/>
      <c r="AA387" s="89"/>
      <c r="AB387" s="89"/>
      <c r="AC387" s="557"/>
      <c r="AD387" s="89"/>
      <c r="AE387" s="89"/>
      <c r="AF387" s="89"/>
      <c r="AG387" s="89"/>
      <c r="AH387" s="89"/>
      <c r="AI387" s="89"/>
      <c r="AJ387" s="89"/>
      <c r="AK387" s="89"/>
      <c r="AL387" s="89"/>
      <c r="AM387" s="89"/>
      <c r="AN387" s="89"/>
      <c r="AO387" s="89"/>
      <c r="AP387" s="96"/>
      <c r="AQ387" s="46"/>
      <c r="AR387" s="46"/>
      <c r="AS387" s="46"/>
      <c r="AT387" s="46"/>
      <c r="AU387" s="46"/>
      <c r="AV387" s="46"/>
      <c r="AW387" s="46"/>
      <c r="AX387" s="46"/>
      <c r="AY387" s="46"/>
      <c r="AZ387" s="46"/>
      <c r="BA387" s="46"/>
      <c r="BB387" s="46"/>
      <c r="BC387"/>
      <c r="BD387"/>
      <c r="BE387"/>
      <c r="BF387"/>
      <c r="BG387"/>
      <c r="BH387"/>
      <c r="BI387"/>
      <c r="BJ387"/>
      <c r="BK387"/>
      <c r="BL387"/>
      <c r="BM387"/>
      <c r="BN387"/>
    </row>
    <row r="388" spans="1:66" x14ac:dyDescent="0.25">
      <c r="A388" s="46"/>
      <c r="B388" s="46"/>
      <c r="C388" s="59"/>
      <c r="D388" s="46"/>
      <c r="E388" s="46"/>
      <c r="F388" s="46"/>
      <c r="G388" s="46"/>
      <c r="H388" s="46"/>
      <c r="I388" s="46"/>
      <c r="J388" s="46"/>
      <c r="K388" s="46"/>
      <c r="L388" s="46"/>
      <c r="M388" s="46"/>
      <c r="N388" s="46"/>
      <c r="O388" s="46"/>
      <c r="P388" s="46"/>
      <c r="Q388" s="46"/>
      <c r="R388" s="46"/>
      <c r="S388" s="46"/>
      <c r="T388" s="46"/>
      <c r="U388" s="46"/>
      <c r="V388" s="46"/>
      <c r="W388" s="72"/>
      <c r="X388" s="72"/>
      <c r="Y388" s="72"/>
      <c r="Z388" s="72"/>
      <c r="AA388" s="72"/>
      <c r="AB388" s="72"/>
      <c r="AC388" s="526"/>
      <c r="AD388" s="46"/>
      <c r="AE388" s="46"/>
      <c r="AF388" s="46"/>
      <c r="AG388" s="46"/>
      <c r="AH388" s="72"/>
      <c r="AI388" s="46"/>
      <c r="AJ388" s="46"/>
      <c r="AK388" s="46"/>
      <c r="AL388" s="46"/>
      <c r="AM388" s="46"/>
      <c r="AN388" s="46"/>
      <c r="AO388" s="46"/>
      <c r="AP388" s="46"/>
      <c r="AQ388" s="46"/>
      <c r="AR388" s="46"/>
      <c r="AS388" s="46"/>
      <c r="AT388" s="46"/>
      <c r="AU388" s="46"/>
      <c r="AV388" s="46"/>
      <c r="AW388" s="46"/>
      <c r="AX388" s="46"/>
      <c r="AY388" s="46"/>
      <c r="AZ388" s="46"/>
      <c r="BA388" s="46"/>
      <c r="BB388" s="46"/>
      <c r="BC388"/>
      <c r="BD388"/>
      <c r="BE388"/>
      <c r="BF388"/>
      <c r="BG388"/>
      <c r="BH388"/>
      <c r="BI388"/>
      <c r="BJ388"/>
      <c r="BK388"/>
      <c r="BL388"/>
      <c r="BM388"/>
      <c r="BN388"/>
    </row>
    <row r="389" spans="1:66" x14ac:dyDescent="0.25">
      <c r="A389" s="46"/>
      <c r="B389" s="46"/>
      <c r="C389" s="59"/>
      <c r="D389" s="89"/>
      <c r="E389" s="89"/>
      <c r="F389" s="89"/>
      <c r="G389" s="89"/>
      <c r="H389" s="89"/>
      <c r="I389" s="89"/>
      <c r="J389" s="89"/>
      <c r="K389" s="89"/>
      <c r="L389" s="89"/>
      <c r="M389" s="89"/>
      <c r="N389" s="89"/>
      <c r="O389" s="89"/>
      <c r="P389" s="89"/>
      <c r="Q389" s="89"/>
      <c r="R389" s="89"/>
      <c r="S389" s="89"/>
      <c r="T389" s="89"/>
      <c r="U389" s="89"/>
      <c r="V389" s="89"/>
      <c r="W389" s="89"/>
      <c r="X389" s="89"/>
      <c r="Y389" s="89"/>
      <c r="Z389" s="89"/>
      <c r="AA389" s="89"/>
      <c r="AB389" s="89"/>
      <c r="AC389" s="90"/>
      <c r="AD389" s="72"/>
      <c r="AE389" s="72"/>
      <c r="AF389" s="72"/>
      <c r="AG389" s="72"/>
      <c r="AH389" s="72"/>
      <c r="AI389" s="46"/>
      <c r="AJ389" s="46"/>
      <c r="AK389" s="46"/>
      <c r="AL389" s="46"/>
      <c r="AM389" s="46"/>
      <c r="AN389" s="46"/>
      <c r="AO389" s="46"/>
      <c r="AP389" s="46"/>
      <c r="AQ389" s="46"/>
      <c r="AR389" s="46"/>
      <c r="AS389" s="46"/>
      <c r="AT389" s="46"/>
      <c r="AU389" s="46"/>
      <c r="AV389" s="46"/>
      <c r="AW389" s="46"/>
      <c r="AX389" s="46"/>
      <c r="AY389" s="46"/>
      <c r="AZ389" s="46"/>
      <c r="BA389" s="46"/>
      <c r="BB389" s="46"/>
      <c r="BC389"/>
      <c r="BD389"/>
      <c r="BE389"/>
      <c r="BF389"/>
      <c r="BG389"/>
      <c r="BH389"/>
      <c r="BI389"/>
      <c r="BJ389"/>
      <c r="BK389"/>
      <c r="BL389"/>
      <c r="BM389"/>
      <c r="BN389"/>
    </row>
    <row r="390" spans="1:66" x14ac:dyDescent="0.25">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c r="AM390" s="46"/>
      <c r="AN390" s="46"/>
      <c r="AO390" s="46"/>
      <c r="AP390" s="46"/>
      <c r="AQ390" s="46"/>
      <c r="AR390" s="46"/>
      <c r="AS390" s="46"/>
      <c r="AT390" s="46"/>
      <c r="AU390" s="46"/>
      <c r="AV390" s="46"/>
      <c r="AW390" s="46"/>
      <c r="AX390" s="46"/>
      <c r="AY390" s="46"/>
      <c r="AZ390" s="46"/>
      <c r="BA390" s="46"/>
      <c r="BB390" s="46"/>
      <c r="BC390"/>
      <c r="BD390"/>
      <c r="BE390"/>
      <c r="BF390"/>
      <c r="BG390"/>
      <c r="BH390"/>
      <c r="BI390"/>
      <c r="BJ390"/>
      <c r="BK390"/>
      <c r="BL390"/>
      <c r="BM390"/>
      <c r="BN390"/>
    </row>
    <row r="391" spans="1:66" x14ac:dyDescent="0.25">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46"/>
      <c r="AH391" s="46"/>
      <c r="AI391" s="46"/>
      <c r="AJ391" s="46"/>
      <c r="AK391" s="46"/>
      <c r="AL391" s="46"/>
      <c r="AM391" s="46"/>
      <c r="AN391" s="46"/>
      <c r="AO391" s="46"/>
      <c r="AP391" s="46"/>
      <c r="AQ391" s="46"/>
      <c r="AR391" s="46"/>
      <c r="AS391" s="46"/>
      <c r="AT391" s="46"/>
      <c r="AU391" s="46"/>
      <c r="AV391" s="46"/>
      <c r="AW391" s="46"/>
      <c r="AX391" s="46"/>
      <c r="AY391" s="46"/>
      <c r="AZ391" s="46"/>
      <c r="BA391" s="46"/>
      <c r="BB391" s="46"/>
      <c r="BC391"/>
      <c r="BD391"/>
      <c r="BE391"/>
      <c r="BF391"/>
      <c r="BG391"/>
      <c r="BH391"/>
      <c r="BI391"/>
      <c r="BJ391"/>
      <c r="BK391"/>
      <c r="BL391"/>
      <c r="BM391"/>
      <c r="BN391"/>
    </row>
    <row r="392" spans="1:66" x14ac:dyDescent="0.25">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c r="AM392" s="46"/>
      <c r="AN392" s="46"/>
      <c r="AO392" s="46"/>
      <c r="AP392" s="46"/>
      <c r="AQ392" s="46"/>
      <c r="AR392" s="46"/>
      <c r="AS392" s="46"/>
      <c r="AT392" s="46"/>
      <c r="AU392" s="46"/>
      <c r="AV392" s="46"/>
      <c r="AW392" s="46"/>
      <c r="AX392" s="46"/>
      <c r="AY392" s="46"/>
      <c r="AZ392" s="46"/>
      <c r="BA392" s="46"/>
      <c r="BB392" s="46"/>
      <c r="BC392"/>
      <c r="BD392"/>
      <c r="BE392"/>
      <c r="BF392"/>
      <c r="BG392"/>
      <c r="BH392"/>
      <c r="BI392"/>
      <c r="BJ392"/>
      <c r="BK392"/>
      <c r="BL392"/>
      <c r="BM392"/>
      <c r="BN392"/>
    </row>
    <row r="393" spans="1:66" x14ac:dyDescent="0.25">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46"/>
      <c r="AH393" s="46"/>
      <c r="AI393" s="46"/>
      <c r="AJ393" s="46"/>
      <c r="AK393" s="46"/>
      <c r="AL393" s="46"/>
      <c r="AM393" s="46"/>
      <c r="AN393" s="46"/>
      <c r="AO393" s="46"/>
      <c r="AP393" s="46"/>
      <c r="AQ393" s="46"/>
      <c r="AR393" s="46"/>
      <c r="AS393" s="46"/>
      <c r="AT393" s="46"/>
      <c r="AU393" s="46"/>
      <c r="AV393" s="46"/>
      <c r="AW393" s="46"/>
      <c r="AX393" s="46"/>
      <c r="AY393" s="46"/>
      <c r="AZ393" s="46"/>
      <c r="BA393" s="46"/>
      <c r="BB393" s="46"/>
      <c r="BC393"/>
      <c r="BD393"/>
      <c r="BE393"/>
      <c r="BF393"/>
      <c r="BG393"/>
      <c r="BH393"/>
      <c r="BI393"/>
      <c r="BJ393"/>
      <c r="BK393"/>
      <c r="BL393"/>
      <c r="BM393"/>
      <c r="BN393"/>
    </row>
    <row r="394" spans="1:66" x14ac:dyDescent="0.25">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46"/>
      <c r="AH394" s="46"/>
      <c r="AI394" s="46"/>
      <c r="AJ394" s="46"/>
      <c r="AK394" s="46"/>
      <c r="AL394" s="46"/>
      <c r="AM394" s="46"/>
      <c r="AN394" s="46"/>
      <c r="AO394" s="46"/>
      <c r="AP394" s="46"/>
      <c r="AQ394" s="46"/>
      <c r="AR394" s="46"/>
      <c r="AS394" s="46"/>
      <c r="AT394" s="46"/>
      <c r="AU394" s="46"/>
      <c r="AV394" s="46"/>
      <c r="AW394" s="46"/>
      <c r="AX394" s="46"/>
      <c r="AY394" s="46"/>
      <c r="AZ394" s="46"/>
      <c r="BA394" s="46"/>
      <c r="BB394" s="46"/>
      <c r="BC394"/>
      <c r="BD394"/>
      <c r="BE394"/>
      <c r="BF394"/>
      <c r="BG394"/>
      <c r="BH394"/>
      <c r="BI394"/>
      <c r="BJ394"/>
      <c r="BK394"/>
      <c r="BL394"/>
      <c r="BM394"/>
      <c r="BN394"/>
    </row>
    <row r="395" spans="1:66" x14ac:dyDescent="0.25">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46"/>
      <c r="AH395" s="46"/>
      <c r="AI395" s="46"/>
      <c r="AJ395" s="46"/>
      <c r="AK395" s="46"/>
      <c r="AL395" s="46"/>
      <c r="AM395" s="46"/>
      <c r="AN395" s="46"/>
      <c r="AO395" s="46"/>
      <c r="AP395" s="46"/>
      <c r="AQ395" s="46"/>
      <c r="AR395" s="46"/>
      <c r="AS395" s="46"/>
      <c r="AT395" s="46"/>
      <c r="AU395" s="46"/>
      <c r="AV395" s="46"/>
      <c r="AW395" s="46"/>
      <c r="AX395" s="46"/>
      <c r="AY395" s="46"/>
      <c r="AZ395" s="46"/>
      <c r="BA395" s="46"/>
      <c r="BB395" s="46"/>
      <c r="BC395"/>
      <c r="BD395"/>
      <c r="BE395"/>
      <c r="BF395"/>
      <c r="BG395"/>
      <c r="BH395"/>
      <c r="BI395"/>
      <c r="BJ395"/>
      <c r="BK395"/>
      <c r="BL395"/>
      <c r="BM395"/>
      <c r="BN395"/>
    </row>
    <row r="396" spans="1:66" x14ac:dyDescent="0.25">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c r="AM396" s="46"/>
      <c r="AN396" s="46"/>
      <c r="AO396" s="46"/>
      <c r="AP396" s="46"/>
      <c r="AQ396" s="46"/>
      <c r="AR396" s="46"/>
      <c r="AS396" s="46"/>
      <c r="AT396" s="46"/>
      <c r="AU396" s="46"/>
      <c r="AV396" s="46"/>
      <c r="AW396" s="46"/>
      <c r="AX396" s="46"/>
      <c r="AY396" s="46"/>
      <c r="AZ396" s="46"/>
      <c r="BA396" s="46"/>
      <c r="BB396" s="46"/>
      <c r="BC396"/>
      <c r="BD396"/>
      <c r="BE396"/>
      <c r="BF396"/>
      <c r="BG396"/>
      <c r="BH396"/>
      <c r="BI396"/>
      <c r="BJ396"/>
      <c r="BK396"/>
      <c r="BL396"/>
      <c r="BM396"/>
      <c r="BN396"/>
    </row>
    <row r="397" spans="1:66" x14ac:dyDescent="0.25">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46"/>
      <c r="AH397" s="46"/>
      <c r="AI397" s="46"/>
      <c r="AJ397" s="46"/>
      <c r="AK397" s="46"/>
      <c r="AL397" s="46"/>
      <c r="AM397" s="46"/>
      <c r="AN397" s="46"/>
      <c r="AO397" s="46"/>
      <c r="AP397" s="46"/>
      <c r="AQ397" s="46"/>
      <c r="AR397" s="46"/>
      <c r="AS397" s="46"/>
      <c r="AT397" s="46"/>
      <c r="AU397" s="46"/>
      <c r="AV397" s="46"/>
      <c r="AW397" s="46"/>
      <c r="AX397" s="46"/>
      <c r="AY397" s="46"/>
      <c r="AZ397" s="46"/>
      <c r="BA397" s="46"/>
      <c r="BB397" s="46"/>
      <c r="BC397"/>
      <c r="BD397"/>
      <c r="BE397"/>
      <c r="BF397"/>
      <c r="BG397"/>
      <c r="BH397"/>
      <c r="BI397"/>
      <c r="BJ397"/>
      <c r="BK397"/>
      <c r="BL397"/>
      <c r="BM397"/>
      <c r="BN397"/>
    </row>
    <row r="398" spans="1:66" x14ac:dyDescent="0.25">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46"/>
      <c r="AH398" s="46"/>
      <c r="AI398" s="46"/>
      <c r="AJ398" s="46"/>
      <c r="AK398" s="46"/>
      <c r="AL398" s="46"/>
      <c r="AM398" s="46"/>
      <c r="AN398" s="46"/>
      <c r="AO398" s="46"/>
      <c r="AP398" s="46"/>
      <c r="AQ398" s="46"/>
      <c r="AR398" s="46"/>
      <c r="AS398" s="46"/>
      <c r="AT398" s="46"/>
      <c r="AU398" s="46"/>
      <c r="AV398" s="46"/>
      <c r="AW398" s="46"/>
      <c r="AX398" s="46"/>
      <c r="AY398" s="46"/>
      <c r="AZ398" s="46"/>
      <c r="BA398" s="46"/>
      <c r="BB398" s="46"/>
      <c r="BC398"/>
      <c r="BD398"/>
      <c r="BE398"/>
      <c r="BF398"/>
      <c r="BG398"/>
      <c r="BH398"/>
      <c r="BI398"/>
      <c r="BJ398"/>
      <c r="BK398"/>
      <c r="BL398"/>
      <c r="BM398"/>
      <c r="BN398"/>
    </row>
    <row r="399" spans="1:66" x14ac:dyDescent="0.25">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46"/>
      <c r="AH399" s="46"/>
      <c r="AI399" s="46"/>
      <c r="AJ399" s="46"/>
      <c r="AK399" s="46"/>
      <c r="AL399" s="46"/>
      <c r="AM399" s="46"/>
      <c r="AN399" s="46"/>
      <c r="AO399" s="46"/>
      <c r="AP399" s="46"/>
      <c r="AQ399" s="46"/>
      <c r="AR399" s="46"/>
      <c r="AS399" s="46"/>
      <c r="AT399" s="46"/>
      <c r="AU399" s="46"/>
      <c r="AV399" s="46"/>
      <c r="AW399" s="46"/>
      <c r="AX399" s="46"/>
      <c r="AY399" s="46"/>
      <c r="AZ399" s="46"/>
      <c r="BA399" s="46"/>
      <c r="BB399" s="46"/>
      <c r="BC399"/>
      <c r="BD399"/>
      <c r="BE399"/>
      <c r="BF399"/>
      <c r="BG399"/>
      <c r="BH399"/>
      <c r="BI399"/>
      <c r="BJ399"/>
      <c r="BK399"/>
      <c r="BL399"/>
      <c r="BM399"/>
      <c r="BN399"/>
    </row>
    <row r="400" spans="1:66" x14ac:dyDescent="0.25">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46"/>
      <c r="AH400" s="46"/>
      <c r="AI400" s="46"/>
      <c r="AJ400" s="46"/>
      <c r="AK400" s="46"/>
      <c r="AL400" s="46"/>
      <c r="AM400" s="46"/>
      <c r="AN400" s="46"/>
      <c r="AO400" s="46"/>
      <c r="AP400" s="46"/>
      <c r="AQ400" s="46"/>
      <c r="AR400" s="46"/>
      <c r="AS400" s="46"/>
      <c r="AT400" s="46"/>
      <c r="AU400" s="46"/>
      <c r="AV400" s="46"/>
      <c r="AW400" s="46"/>
      <c r="AX400" s="46"/>
      <c r="AY400" s="46"/>
      <c r="AZ400" s="46"/>
      <c r="BA400" s="46"/>
      <c r="BB400" s="46"/>
      <c r="BC400"/>
      <c r="BD400"/>
      <c r="BE400"/>
      <c r="BF400"/>
      <c r="BG400"/>
      <c r="BH400"/>
      <c r="BI400"/>
      <c r="BJ400"/>
      <c r="BK400"/>
      <c r="BL400"/>
      <c r="BM400"/>
      <c r="BN400"/>
    </row>
    <row r="401" spans="1:66" x14ac:dyDescent="0.25">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c r="AM401" s="46"/>
      <c r="AN401" s="46"/>
      <c r="AO401" s="46"/>
      <c r="AP401" s="46"/>
      <c r="AQ401" s="46"/>
      <c r="AR401" s="46"/>
      <c r="AS401" s="46"/>
      <c r="AT401" s="46"/>
      <c r="AU401" s="46"/>
      <c r="AV401" s="46"/>
      <c r="AW401" s="46"/>
      <c r="AX401" s="46"/>
      <c r="AY401" s="46"/>
      <c r="AZ401" s="46"/>
      <c r="BA401" s="46"/>
      <c r="BB401" s="46"/>
      <c r="BC401"/>
      <c r="BD401"/>
      <c r="BE401"/>
      <c r="BF401"/>
      <c r="BG401"/>
      <c r="BH401"/>
      <c r="BI401"/>
      <c r="BJ401"/>
      <c r="BK401"/>
      <c r="BL401"/>
      <c r="BM401"/>
      <c r="BN401"/>
    </row>
    <row r="402" spans="1:66" x14ac:dyDescent="0.25">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c r="AG402" s="46"/>
      <c r="AH402" s="46"/>
      <c r="AI402" s="46"/>
      <c r="AJ402" s="46"/>
      <c r="AK402" s="46"/>
      <c r="AL402" s="46"/>
      <c r="AM402" s="46"/>
      <c r="AN402" s="46"/>
      <c r="AO402" s="46"/>
      <c r="AP402" s="46"/>
      <c r="AQ402" s="46"/>
      <c r="AR402" s="46"/>
      <c r="AS402" s="46"/>
      <c r="AT402" s="46"/>
      <c r="AU402" s="46"/>
      <c r="AV402" s="46"/>
      <c r="AW402" s="46"/>
      <c r="AX402" s="46"/>
      <c r="AY402" s="46"/>
      <c r="AZ402" s="46"/>
      <c r="BA402" s="46"/>
      <c r="BB402" s="46"/>
      <c r="BC402"/>
      <c r="BD402"/>
      <c r="BE402"/>
      <c r="BF402"/>
      <c r="BG402"/>
      <c r="BH402"/>
      <c r="BI402"/>
      <c r="BJ402"/>
      <c r="BK402"/>
      <c r="BL402"/>
      <c r="BM402"/>
      <c r="BN402"/>
    </row>
    <row r="403" spans="1:66" x14ac:dyDescent="0.25">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c r="AF403" s="46"/>
      <c r="AG403" s="46"/>
      <c r="AH403" s="46"/>
      <c r="AI403" s="46"/>
      <c r="AJ403" s="46"/>
      <c r="AK403" s="46"/>
      <c r="AL403" s="46"/>
      <c r="AM403" s="46"/>
      <c r="AN403" s="46"/>
      <c r="AO403" s="46"/>
      <c r="AP403" s="46"/>
      <c r="AQ403" s="46"/>
      <c r="AR403" s="46"/>
      <c r="AS403" s="46"/>
      <c r="AT403" s="46"/>
      <c r="AU403" s="46"/>
      <c r="AV403" s="46"/>
      <c r="AW403" s="46"/>
      <c r="AX403" s="46"/>
      <c r="AY403" s="46"/>
      <c r="AZ403" s="46"/>
      <c r="BA403" s="46"/>
      <c r="BB403" s="46"/>
      <c r="BC403"/>
      <c r="BD403"/>
      <c r="BE403"/>
      <c r="BF403"/>
      <c r="BG403"/>
      <c r="BH403"/>
      <c r="BI403"/>
      <c r="BJ403"/>
      <c r="BK403"/>
      <c r="BL403"/>
      <c r="BM403"/>
      <c r="BN403"/>
    </row>
    <row r="404" spans="1:66" x14ac:dyDescent="0.25">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c r="AA404" s="46"/>
      <c r="AB404" s="46"/>
      <c r="AC404" s="46"/>
      <c r="AD404" s="46"/>
      <c r="AE404" s="46"/>
      <c r="AF404" s="46"/>
      <c r="AG404" s="46"/>
      <c r="AH404" s="46"/>
      <c r="AI404" s="46"/>
      <c r="AJ404" s="46"/>
      <c r="AK404" s="46"/>
      <c r="AL404" s="46"/>
      <c r="AM404" s="46"/>
      <c r="AN404" s="46"/>
      <c r="AO404" s="46"/>
      <c r="AP404" s="46"/>
      <c r="AQ404" s="46"/>
      <c r="AR404" s="46"/>
      <c r="AS404" s="46"/>
      <c r="AT404" s="46"/>
      <c r="AU404" s="46"/>
      <c r="AV404" s="46"/>
      <c r="AW404" s="46"/>
      <c r="AX404" s="46"/>
      <c r="AY404" s="46"/>
      <c r="AZ404" s="46"/>
      <c r="BA404" s="46"/>
      <c r="BB404" s="46"/>
      <c r="BC404"/>
      <c r="BD404"/>
      <c r="BE404"/>
      <c r="BF404"/>
      <c r="BG404"/>
      <c r="BH404"/>
      <c r="BI404"/>
      <c r="BJ404"/>
      <c r="BK404"/>
      <c r="BL404"/>
      <c r="BM404"/>
      <c r="BN404"/>
    </row>
    <row r="405" spans="1:66" x14ac:dyDescent="0.25">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c r="AF405" s="46"/>
      <c r="AG405" s="46"/>
      <c r="AH405" s="46"/>
      <c r="AI405" s="46"/>
      <c r="AJ405" s="46"/>
      <c r="AK405" s="46"/>
      <c r="AL405" s="46"/>
      <c r="AM405" s="46"/>
      <c r="AN405" s="46"/>
      <c r="AO405" s="46"/>
      <c r="AP405" s="46"/>
      <c r="AQ405" s="46"/>
      <c r="AR405" s="46"/>
      <c r="AS405" s="46"/>
      <c r="AT405" s="46"/>
      <c r="AU405" s="46"/>
      <c r="AV405" s="46"/>
      <c r="AW405" s="46"/>
      <c r="AX405" s="46"/>
      <c r="AY405" s="46"/>
      <c r="AZ405" s="46"/>
      <c r="BA405" s="46"/>
      <c r="BB405" s="46"/>
      <c r="BC405"/>
      <c r="BD405"/>
      <c r="BE405"/>
      <c r="BF405"/>
      <c r="BG405"/>
      <c r="BH405"/>
      <c r="BI405"/>
      <c r="BJ405"/>
      <c r="BK405"/>
      <c r="BL405"/>
      <c r="BM405"/>
      <c r="BN405"/>
    </row>
    <row r="406" spans="1:66" x14ac:dyDescent="0.25">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c r="AL406" s="46"/>
      <c r="AM406" s="46"/>
      <c r="AN406" s="46"/>
      <c r="AO406" s="46"/>
      <c r="AP406" s="46"/>
      <c r="AQ406" s="46"/>
      <c r="AR406" s="46"/>
      <c r="AS406" s="46"/>
      <c r="AT406" s="46"/>
      <c r="AU406" s="46"/>
      <c r="AV406" s="46"/>
      <c r="AW406" s="46"/>
      <c r="AX406" s="46"/>
      <c r="AY406" s="46"/>
      <c r="AZ406" s="46"/>
      <c r="BA406" s="46"/>
      <c r="BB406" s="46"/>
      <c r="BC406"/>
      <c r="BD406"/>
      <c r="BE406"/>
      <c r="BF406"/>
      <c r="BG406"/>
      <c r="BH406"/>
      <c r="BI406"/>
      <c r="BJ406"/>
      <c r="BK406"/>
      <c r="BL406"/>
      <c r="BM406"/>
      <c r="BN406"/>
    </row>
    <row r="407" spans="1:66" x14ac:dyDescent="0.25">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c r="AF407" s="46"/>
      <c r="AG407" s="46"/>
      <c r="AH407" s="46"/>
      <c r="AI407" s="46"/>
      <c r="AJ407" s="46"/>
      <c r="AK407" s="46"/>
      <c r="AL407" s="46"/>
      <c r="AM407" s="46"/>
      <c r="AN407" s="46"/>
      <c r="AO407" s="46"/>
      <c r="AP407" s="46"/>
      <c r="AQ407" s="46"/>
      <c r="AR407" s="46"/>
      <c r="AS407" s="46"/>
      <c r="AT407" s="46"/>
      <c r="AU407" s="46"/>
      <c r="AV407" s="46"/>
      <c r="AW407" s="46"/>
      <c r="AX407" s="46"/>
      <c r="AY407" s="46"/>
      <c r="AZ407" s="46"/>
      <c r="BA407" s="46"/>
      <c r="BB407" s="46"/>
      <c r="BC407"/>
      <c r="BD407"/>
      <c r="BE407"/>
      <c r="BF407"/>
      <c r="BG407"/>
      <c r="BH407"/>
      <c r="BI407"/>
      <c r="BJ407"/>
      <c r="BK407"/>
      <c r="BL407"/>
      <c r="BM407"/>
      <c r="BN407"/>
    </row>
    <row r="408" spans="1:66" x14ac:dyDescent="0.25">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c r="AG408" s="46"/>
      <c r="AH408" s="46"/>
      <c r="AI408" s="46"/>
      <c r="AJ408" s="46"/>
      <c r="AK408" s="46"/>
      <c r="AL408" s="46"/>
      <c r="AM408" s="46"/>
      <c r="AN408" s="46"/>
      <c r="AO408" s="46"/>
      <c r="AP408" s="46"/>
      <c r="AQ408" s="46"/>
      <c r="AR408" s="46"/>
      <c r="AS408" s="46"/>
      <c r="AT408" s="46"/>
      <c r="AU408" s="46"/>
      <c r="AV408" s="46"/>
      <c r="AW408" s="46"/>
      <c r="AX408" s="46"/>
      <c r="AY408" s="46"/>
      <c r="AZ408" s="46"/>
      <c r="BA408" s="46"/>
      <c r="BB408" s="46"/>
      <c r="BC408"/>
      <c r="BD408"/>
      <c r="BE408"/>
      <c r="BF408"/>
      <c r="BG408"/>
      <c r="BH408"/>
      <c r="BI408"/>
      <c r="BJ408"/>
      <c r="BK408"/>
      <c r="BL408"/>
      <c r="BM408"/>
      <c r="BN408"/>
    </row>
    <row r="409" spans="1:66" x14ac:dyDescent="0.25">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c r="AF409" s="46"/>
      <c r="AG409" s="46"/>
      <c r="AH409" s="46"/>
      <c r="AI409" s="46"/>
      <c r="AJ409" s="46"/>
      <c r="AK409" s="46"/>
      <c r="AL409" s="46"/>
      <c r="AM409" s="46"/>
      <c r="AN409" s="46"/>
      <c r="AO409" s="46"/>
      <c r="AP409" s="46"/>
      <c r="AQ409" s="46"/>
      <c r="AR409" s="46"/>
      <c r="AS409" s="46"/>
      <c r="AT409" s="46"/>
      <c r="AU409" s="46"/>
      <c r="AV409" s="46"/>
      <c r="AW409" s="46"/>
      <c r="AX409" s="46"/>
      <c r="AY409" s="46"/>
      <c r="AZ409" s="46"/>
      <c r="BA409" s="46"/>
      <c r="BB409" s="46"/>
      <c r="BC409"/>
      <c r="BD409"/>
      <c r="BE409"/>
      <c r="BF409"/>
      <c r="BG409"/>
      <c r="BH409"/>
      <c r="BI409"/>
      <c r="BJ409"/>
      <c r="BK409"/>
      <c r="BL409"/>
      <c r="BM409"/>
      <c r="BN409"/>
    </row>
    <row r="410" spans="1:66" x14ac:dyDescent="0.25">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c r="AF410" s="46"/>
      <c r="AG410" s="46"/>
      <c r="AH410" s="46"/>
      <c r="AI410" s="46"/>
      <c r="AJ410" s="46"/>
      <c r="AK410" s="46"/>
      <c r="AL410" s="46"/>
      <c r="AM410" s="46"/>
      <c r="AN410" s="46"/>
      <c r="AO410" s="46"/>
      <c r="AP410" s="46"/>
      <c r="AQ410" s="46"/>
      <c r="AR410" s="46"/>
      <c r="AS410" s="46"/>
      <c r="AT410" s="46"/>
      <c r="AU410" s="46"/>
      <c r="AV410" s="46"/>
      <c r="AW410" s="46"/>
      <c r="AX410" s="46"/>
      <c r="AY410" s="46"/>
      <c r="AZ410" s="46"/>
      <c r="BA410" s="46"/>
      <c r="BB410" s="46"/>
      <c r="BC410"/>
      <c r="BD410"/>
      <c r="BE410"/>
      <c r="BF410"/>
      <c r="BG410"/>
      <c r="BH410"/>
      <c r="BI410"/>
      <c r="BJ410"/>
      <c r="BK410"/>
      <c r="BL410"/>
      <c r="BM410"/>
      <c r="BN410"/>
    </row>
    <row r="411" spans="1:66" x14ac:dyDescent="0.25">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c r="AG411" s="46"/>
      <c r="AH411" s="46"/>
      <c r="AI411" s="46"/>
      <c r="AJ411" s="46"/>
      <c r="AK411" s="46"/>
      <c r="AL411" s="46"/>
      <c r="AM411" s="46"/>
      <c r="AN411" s="46"/>
      <c r="AO411" s="46"/>
      <c r="AP411" s="46"/>
      <c r="AQ411" s="46"/>
      <c r="AR411" s="46"/>
      <c r="AS411" s="46"/>
      <c r="AT411" s="46"/>
      <c r="AU411" s="46"/>
      <c r="AV411" s="46"/>
      <c r="AW411" s="46"/>
      <c r="AX411" s="46"/>
      <c r="AY411" s="46"/>
      <c r="AZ411" s="46"/>
      <c r="BA411" s="46"/>
      <c r="BB411" s="46"/>
      <c r="BC411"/>
      <c r="BD411"/>
      <c r="BE411"/>
      <c r="BF411"/>
      <c r="BG411"/>
      <c r="BH411"/>
      <c r="BI411"/>
      <c r="BJ411"/>
      <c r="BK411"/>
      <c r="BL411"/>
      <c r="BM411"/>
      <c r="BN411"/>
    </row>
    <row r="412" spans="1:66" x14ac:dyDescent="0.25">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c r="AM412" s="46"/>
      <c r="AN412" s="46"/>
      <c r="AO412" s="46"/>
      <c r="AP412" s="46"/>
      <c r="AQ412" s="46"/>
      <c r="AR412" s="46"/>
      <c r="AS412" s="46"/>
      <c r="AT412" s="46"/>
      <c r="AU412" s="46"/>
      <c r="AV412" s="46"/>
      <c r="AW412" s="46"/>
      <c r="AX412" s="46"/>
      <c r="AY412" s="46"/>
      <c r="AZ412" s="46"/>
      <c r="BA412" s="46"/>
      <c r="BB412" s="46"/>
      <c r="BC412"/>
      <c r="BD412"/>
      <c r="BE412"/>
      <c r="BF412"/>
      <c r="BG412"/>
      <c r="BH412"/>
      <c r="BI412"/>
      <c r="BJ412"/>
      <c r="BK412"/>
      <c r="BL412"/>
      <c r="BM412"/>
      <c r="BN412"/>
    </row>
    <row r="413" spans="1:66" x14ac:dyDescent="0.25">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c r="AM413" s="46"/>
      <c r="AN413" s="46"/>
      <c r="AO413" s="46"/>
      <c r="AP413" s="46"/>
      <c r="AQ413" s="46"/>
      <c r="AR413" s="46"/>
      <c r="AS413" s="46"/>
      <c r="AT413" s="46"/>
      <c r="AU413" s="46"/>
      <c r="AV413" s="46"/>
      <c r="AW413" s="46"/>
      <c r="AX413" s="46"/>
      <c r="AY413" s="46"/>
      <c r="AZ413" s="46"/>
      <c r="BA413" s="46"/>
      <c r="BB413" s="46"/>
      <c r="BC413"/>
      <c r="BD413"/>
      <c r="BE413"/>
      <c r="BF413"/>
      <c r="BG413"/>
      <c r="BH413"/>
      <c r="BI413"/>
      <c r="BJ413"/>
      <c r="BK413"/>
      <c r="BL413"/>
      <c r="BM413"/>
      <c r="BN413"/>
    </row>
    <row r="414" spans="1:66" x14ac:dyDescent="0.25">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c r="AA414" s="46"/>
      <c r="AB414" s="46"/>
      <c r="AC414" s="46"/>
      <c r="AD414" s="46"/>
      <c r="AE414" s="46"/>
      <c r="AF414" s="46"/>
      <c r="AG414" s="46"/>
      <c r="AH414" s="46"/>
      <c r="AI414" s="46"/>
      <c r="AJ414" s="46"/>
      <c r="AK414" s="46"/>
      <c r="AL414" s="46"/>
      <c r="AM414" s="46"/>
      <c r="AN414" s="46"/>
      <c r="AO414" s="46"/>
      <c r="AP414" s="46"/>
      <c r="AQ414" s="46"/>
      <c r="AR414" s="46"/>
      <c r="AS414" s="46"/>
      <c r="AT414" s="46"/>
      <c r="AU414" s="46"/>
      <c r="AV414" s="46"/>
      <c r="AW414" s="46"/>
      <c r="AX414" s="46"/>
      <c r="AY414" s="46"/>
      <c r="AZ414" s="46"/>
      <c r="BA414" s="46"/>
      <c r="BB414" s="46"/>
      <c r="BC414"/>
      <c r="BD414"/>
      <c r="BE414"/>
      <c r="BF414"/>
      <c r="BG414"/>
      <c r="BH414"/>
      <c r="BI414"/>
      <c r="BJ414"/>
      <c r="BK414"/>
      <c r="BL414"/>
      <c r="BM414"/>
      <c r="BN414"/>
    </row>
    <row r="415" spans="1:66" x14ac:dyDescent="0.25">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c r="AA415" s="46"/>
      <c r="AB415" s="46"/>
      <c r="AC415" s="46"/>
      <c r="AD415" s="46"/>
      <c r="AE415" s="46"/>
      <c r="AF415" s="46"/>
      <c r="AG415" s="46"/>
      <c r="AH415" s="46"/>
      <c r="AI415" s="46"/>
      <c r="AJ415" s="46"/>
      <c r="AK415" s="46"/>
      <c r="AL415" s="46"/>
      <c r="AM415" s="46"/>
      <c r="AN415" s="46"/>
      <c r="AO415" s="46"/>
      <c r="AP415" s="46"/>
      <c r="AQ415" s="46"/>
      <c r="AR415" s="46"/>
      <c r="AS415" s="46"/>
      <c r="AT415" s="46"/>
      <c r="AU415" s="46"/>
      <c r="AV415" s="46"/>
      <c r="AW415" s="46"/>
      <c r="AX415" s="46"/>
      <c r="AY415" s="46"/>
      <c r="AZ415" s="46"/>
      <c r="BA415" s="46"/>
      <c r="BB415" s="46"/>
      <c r="BC415"/>
      <c r="BD415"/>
      <c r="BE415"/>
      <c r="BF415"/>
      <c r="BG415"/>
      <c r="BH415"/>
      <c r="BI415"/>
      <c r="BJ415"/>
      <c r="BK415"/>
      <c r="BL415"/>
      <c r="BM415"/>
      <c r="BN415"/>
    </row>
    <row r="416" spans="1:66" x14ac:dyDescent="0.25">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c r="AA416" s="46"/>
      <c r="AB416" s="46"/>
      <c r="AC416" s="46"/>
      <c r="AD416" s="46"/>
      <c r="AE416" s="46"/>
      <c r="AF416" s="46"/>
      <c r="AG416" s="46"/>
      <c r="AH416" s="46"/>
      <c r="AI416" s="46"/>
      <c r="AJ416" s="46"/>
      <c r="AK416" s="46"/>
      <c r="AL416" s="46"/>
      <c r="AM416" s="46"/>
      <c r="AN416" s="46"/>
      <c r="AO416" s="46"/>
      <c r="AP416" s="46"/>
      <c r="AQ416" s="46"/>
      <c r="AR416" s="46"/>
      <c r="AS416" s="46"/>
      <c r="AT416" s="46"/>
      <c r="AU416" s="46"/>
      <c r="AV416" s="46"/>
      <c r="AW416" s="46"/>
      <c r="AX416" s="46"/>
      <c r="AY416" s="46"/>
      <c r="AZ416" s="46"/>
      <c r="BA416" s="46"/>
      <c r="BB416" s="46"/>
      <c r="BC416"/>
      <c r="BD416"/>
      <c r="BE416"/>
      <c r="BF416"/>
      <c r="BG416"/>
      <c r="BH416"/>
      <c r="BI416"/>
      <c r="BJ416"/>
      <c r="BK416"/>
      <c r="BL416"/>
      <c r="BM416"/>
      <c r="BN416"/>
    </row>
    <row r="417" spans="1:66" x14ac:dyDescent="0.25">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c r="AA417" s="46"/>
      <c r="AB417" s="46"/>
      <c r="AC417" s="46"/>
      <c r="AD417" s="46"/>
      <c r="AE417" s="46"/>
      <c r="AF417" s="46"/>
      <c r="AG417" s="46"/>
      <c r="AH417" s="46"/>
      <c r="AI417" s="46"/>
      <c r="AJ417" s="46"/>
      <c r="AK417" s="46"/>
      <c r="AL417" s="46"/>
      <c r="AM417" s="46"/>
      <c r="AN417" s="46"/>
      <c r="AO417" s="46"/>
      <c r="AP417" s="46"/>
      <c r="AQ417" s="46"/>
      <c r="AR417" s="46"/>
      <c r="AS417" s="46"/>
      <c r="AT417" s="46"/>
      <c r="AU417" s="46"/>
      <c r="AV417" s="46"/>
      <c r="AW417" s="46"/>
      <c r="AX417" s="46"/>
      <c r="AY417" s="46"/>
      <c r="AZ417" s="46"/>
      <c r="BA417" s="46"/>
      <c r="BB417" s="46"/>
      <c r="BC417"/>
      <c r="BD417"/>
      <c r="BE417"/>
      <c r="BF417"/>
      <c r="BG417"/>
      <c r="BH417"/>
      <c r="BI417"/>
      <c r="BJ417"/>
      <c r="BK417"/>
      <c r="BL417"/>
      <c r="BM417"/>
      <c r="BN417"/>
    </row>
    <row r="418" spans="1:66" x14ac:dyDescent="0.25">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c r="AA418" s="46"/>
      <c r="AB418" s="46"/>
      <c r="AC418" s="46"/>
      <c r="AD418" s="46"/>
      <c r="AE418" s="46"/>
      <c r="AF418" s="46"/>
      <c r="AG418" s="46"/>
      <c r="AH418" s="46"/>
      <c r="AI418" s="46"/>
      <c r="AJ418" s="46"/>
      <c r="AK418" s="46"/>
      <c r="AL418" s="46"/>
      <c r="AM418" s="46"/>
      <c r="AN418" s="46"/>
      <c r="AO418" s="46"/>
      <c r="AP418" s="46"/>
      <c r="AQ418" s="46"/>
      <c r="AR418" s="46"/>
      <c r="AS418" s="46"/>
      <c r="AT418" s="46"/>
      <c r="AU418" s="46"/>
      <c r="AV418" s="46"/>
      <c r="AW418" s="46"/>
      <c r="AX418" s="46"/>
      <c r="AY418" s="46"/>
      <c r="AZ418" s="46"/>
      <c r="BA418" s="46"/>
      <c r="BB418" s="46"/>
      <c r="BC418"/>
      <c r="BD418"/>
      <c r="BE418"/>
      <c r="BF418"/>
      <c r="BG418"/>
      <c r="BH418"/>
      <c r="BI418"/>
      <c r="BJ418"/>
      <c r="BK418"/>
      <c r="BL418"/>
      <c r="BM418"/>
      <c r="BN418"/>
    </row>
    <row r="419" spans="1:66" x14ac:dyDescent="0.25">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c r="AD419" s="46"/>
      <c r="AE419" s="46"/>
      <c r="AF419" s="46"/>
      <c r="AG419" s="46"/>
      <c r="AH419" s="46"/>
      <c r="AI419" s="46"/>
      <c r="AJ419" s="46"/>
      <c r="AK419" s="46"/>
      <c r="AL419" s="46"/>
      <c r="AM419" s="46"/>
      <c r="AN419" s="46"/>
      <c r="AO419" s="46"/>
      <c r="AP419" s="46"/>
      <c r="AQ419" s="46"/>
      <c r="AR419" s="46"/>
      <c r="AS419" s="46"/>
      <c r="AT419" s="46"/>
      <c r="AU419" s="46"/>
      <c r="AV419" s="46"/>
      <c r="AW419" s="46"/>
      <c r="AX419" s="46"/>
      <c r="AY419" s="46"/>
      <c r="AZ419" s="46"/>
      <c r="BA419" s="46"/>
      <c r="BB419" s="46"/>
      <c r="BC419"/>
      <c r="BD419"/>
      <c r="BE419"/>
      <c r="BF419"/>
      <c r="BG419"/>
      <c r="BH419"/>
      <c r="BI419"/>
      <c r="BJ419"/>
      <c r="BK419"/>
      <c r="BL419"/>
      <c r="BM419"/>
      <c r="BN419"/>
    </row>
    <row r="420" spans="1:66" x14ac:dyDescent="0.25">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c r="AM420" s="46"/>
      <c r="AN420" s="46"/>
      <c r="AO420" s="46"/>
      <c r="AP420" s="46"/>
      <c r="AQ420" s="46"/>
      <c r="AR420" s="46"/>
      <c r="AS420" s="46"/>
      <c r="AT420" s="46"/>
      <c r="AU420" s="46"/>
      <c r="AV420" s="46"/>
      <c r="AW420" s="46"/>
      <c r="AX420" s="46"/>
      <c r="AY420" s="46"/>
      <c r="AZ420" s="46"/>
      <c r="BA420" s="46"/>
      <c r="BB420" s="46"/>
      <c r="BC420"/>
      <c r="BD420"/>
      <c r="BE420"/>
      <c r="BF420"/>
      <c r="BG420"/>
      <c r="BH420"/>
      <c r="BI420"/>
      <c r="BJ420"/>
      <c r="BK420"/>
      <c r="BL420"/>
      <c r="BM420"/>
      <c r="BN420"/>
    </row>
    <row r="421" spans="1:66" x14ac:dyDescent="0.25">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c r="AD421" s="46"/>
      <c r="AE421" s="46"/>
      <c r="AF421" s="46"/>
      <c r="AG421" s="46"/>
      <c r="AH421" s="46"/>
      <c r="AI421" s="46"/>
      <c r="AJ421" s="46"/>
      <c r="AK421" s="46"/>
      <c r="AL421" s="46"/>
      <c r="AM421" s="46"/>
      <c r="AN421" s="46"/>
      <c r="AO421" s="46"/>
      <c r="AP421" s="46"/>
      <c r="AQ421" s="46"/>
      <c r="AR421" s="46"/>
      <c r="AS421" s="46"/>
      <c r="AT421" s="46"/>
      <c r="AU421" s="46"/>
      <c r="AV421" s="46"/>
      <c r="AW421" s="46"/>
      <c r="AX421" s="46"/>
      <c r="AY421" s="46"/>
      <c r="AZ421" s="46"/>
      <c r="BA421" s="46"/>
      <c r="BB421" s="46"/>
      <c r="BC421"/>
      <c r="BD421"/>
      <c r="BE421"/>
      <c r="BF421"/>
      <c r="BG421"/>
      <c r="BH421"/>
      <c r="BI421"/>
      <c r="BJ421"/>
      <c r="BK421"/>
      <c r="BL421"/>
      <c r="BM421"/>
      <c r="BN421"/>
    </row>
    <row r="422" spans="1:66" x14ac:dyDescent="0.25">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46"/>
      <c r="AL422" s="46"/>
      <c r="AM422" s="46"/>
      <c r="AN422" s="46"/>
      <c r="AO422" s="46"/>
      <c r="AP422" s="46"/>
      <c r="AQ422" s="46"/>
      <c r="AR422" s="46"/>
      <c r="AS422" s="46"/>
      <c r="AT422" s="46"/>
      <c r="AU422" s="46"/>
      <c r="AV422" s="46"/>
      <c r="AW422" s="46"/>
      <c r="AX422" s="46"/>
      <c r="AY422" s="46"/>
      <c r="AZ422" s="46"/>
      <c r="BA422" s="46"/>
      <c r="BB422" s="46"/>
      <c r="BC422"/>
      <c r="BD422"/>
      <c r="BE422"/>
      <c r="BF422"/>
      <c r="BG422"/>
      <c r="BH422"/>
      <c r="BI422"/>
      <c r="BJ422"/>
      <c r="BK422"/>
      <c r="BL422"/>
      <c r="BM422"/>
      <c r="BN422"/>
    </row>
    <row r="423" spans="1:66" x14ac:dyDescent="0.25">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46"/>
      <c r="AL423" s="46"/>
      <c r="AM423" s="46"/>
      <c r="AN423" s="46"/>
      <c r="AO423" s="46"/>
      <c r="AP423" s="46"/>
      <c r="AQ423" s="46"/>
      <c r="AR423" s="46"/>
      <c r="AS423" s="46"/>
      <c r="AT423" s="46"/>
      <c r="AU423" s="46"/>
      <c r="AV423" s="46"/>
      <c r="AW423" s="46"/>
      <c r="AX423" s="46"/>
      <c r="AY423" s="46"/>
      <c r="AZ423" s="46"/>
      <c r="BA423" s="46"/>
      <c r="BB423" s="46"/>
      <c r="BC423"/>
      <c r="BD423"/>
      <c r="BE423"/>
      <c r="BF423"/>
      <c r="BG423"/>
      <c r="BH423"/>
      <c r="BI423"/>
      <c r="BJ423"/>
      <c r="BK423"/>
      <c r="BL423"/>
      <c r="BM423"/>
      <c r="BN423"/>
    </row>
    <row r="424" spans="1:66" x14ac:dyDescent="0.25">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c r="AL424" s="46"/>
      <c r="AM424" s="46"/>
      <c r="AN424" s="46"/>
      <c r="AO424" s="46"/>
      <c r="AP424" s="46"/>
      <c r="AQ424" s="46"/>
      <c r="AR424" s="46"/>
      <c r="AS424" s="46"/>
      <c r="AT424" s="46"/>
      <c r="AU424" s="46"/>
      <c r="AV424" s="46"/>
      <c r="AW424" s="46"/>
      <c r="AX424" s="46"/>
      <c r="AY424" s="46"/>
      <c r="AZ424" s="46"/>
      <c r="BA424" s="46"/>
      <c r="BB424" s="46"/>
      <c r="BC424"/>
      <c r="BD424"/>
      <c r="BE424"/>
      <c r="BF424"/>
      <c r="BG424"/>
      <c r="BH424"/>
      <c r="BI424"/>
      <c r="BJ424"/>
      <c r="BK424"/>
      <c r="BL424"/>
      <c r="BM424"/>
      <c r="BN424"/>
    </row>
    <row r="425" spans="1:66" x14ac:dyDescent="0.25">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46"/>
      <c r="AL425" s="46"/>
      <c r="AM425" s="46"/>
      <c r="AN425" s="46"/>
      <c r="AO425" s="46"/>
      <c r="AP425" s="46"/>
      <c r="AQ425" s="46"/>
      <c r="AR425" s="46"/>
      <c r="AS425" s="46"/>
      <c r="AT425" s="46"/>
      <c r="AU425" s="46"/>
      <c r="AV425" s="46"/>
      <c r="AW425" s="46"/>
      <c r="AX425" s="46"/>
      <c r="AY425" s="46"/>
      <c r="AZ425" s="46"/>
      <c r="BA425" s="46"/>
      <c r="BB425" s="46"/>
      <c r="BC425"/>
      <c r="BD425"/>
      <c r="BE425"/>
      <c r="BF425"/>
      <c r="BG425"/>
      <c r="BH425"/>
      <c r="BI425"/>
      <c r="BJ425"/>
      <c r="BK425"/>
      <c r="BL425"/>
      <c r="BM425"/>
      <c r="BN425"/>
    </row>
    <row r="426" spans="1:66" x14ac:dyDescent="0.25">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c r="AM426" s="46"/>
      <c r="AN426" s="46"/>
      <c r="AO426" s="46"/>
      <c r="AP426" s="46"/>
      <c r="AQ426" s="46"/>
      <c r="AR426" s="46"/>
      <c r="AS426" s="46"/>
      <c r="AT426" s="46"/>
      <c r="AU426" s="46"/>
      <c r="AV426" s="46"/>
      <c r="AW426" s="46"/>
      <c r="AX426" s="46"/>
      <c r="AY426" s="46"/>
      <c r="AZ426" s="46"/>
      <c r="BA426" s="46"/>
      <c r="BB426" s="46"/>
      <c r="BC426"/>
      <c r="BD426"/>
      <c r="BE426"/>
      <c r="BF426"/>
      <c r="BG426"/>
      <c r="BH426"/>
      <c r="BI426"/>
      <c r="BJ426"/>
      <c r="BK426"/>
      <c r="BL426"/>
      <c r="BM426"/>
      <c r="BN426"/>
    </row>
    <row r="427" spans="1:66" x14ac:dyDescent="0.25">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46"/>
      <c r="AL427" s="46"/>
      <c r="AM427" s="46"/>
      <c r="AN427" s="46"/>
      <c r="AO427" s="46"/>
      <c r="AP427" s="46"/>
      <c r="AQ427" s="46"/>
      <c r="AR427" s="46"/>
      <c r="AS427" s="46"/>
      <c r="AT427" s="46"/>
      <c r="AU427" s="46"/>
      <c r="AV427" s="46"/>
      <c r="AW427" s="46"/>
      <c r="AX427" s="46"/>
      <c r="AY427" s="46"/>
      <c r="AZ427" s="46"/>
      <c r="BA427" s="46"/>
      <c r="BB427" s="46"/>
      <c r="BC427"/>
      <c r="BD427"/>
      <c r="BE427"/>
      <c r="BF427"/>
      <c r="BG427"/>
      <c r="BH427"/>
      <c r="BI427"/>
      <c r="BJ427"/>
      <c r="BK427"/>
      <c r="BL427"/>
      <c r="BM427"/>
      <c r="BN427"/>
    </row>
    <row r="428" spans="1:66" x14ac:dyDescent="0.25">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c r="AM428" s="46"/>
      <c r="AN428" s="46"/>
      <c r="AO428" s="46"/>
      <c r="AP428" s="46"/>
      <c r="AQ428" s="46"/>
      <c r="AR428" s="46"/>
      <c r="AS428" s="46"/>
      <c r="AT428" s="46"/>
      <c r="AU428" s="46"/>
      <c r="AV428" s="46"/>
      <c r="AW428" s="46"/>
      <c r="AX428" s="46"/>
      <c r="AY428" s="46"/>
      <c r="AZ428" s="46"/>
      <c r="BA428" s="46"/>
      <c r="BB428" s="46"/>
      <c r="BC428"/>
      <c r="BD428"/>
      <c r="BE428"/>
      <c r="BF428"/>
      <c r="BG428"/>
      <c r="BH428"/>
      <c r="BI428"/>
      <c r="BJ428"/>
      <c r="BK428"/>
      <c r="BL428"/>
      <c r="BM428"/>
      <c r="BN428"/>
    </row>
    <row r="429" spans="1:66" x14ac:dyDescent="0.25">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c r="AM429" s="46"/>
      <c r="AN429" s="46"/>
      <c r="AO429" s="46"/>
      <c r="AP429" s="46"/>
      <c r="AQ429" s="46"/>
      <c r="AR429" s="46"/>
      <c r="AS429" s="46"/>
      <c r="AT429" s="46"/>
      <c r="AU429" s="46"/>
      <c r="AV429" s="46"/>
      <c r="AW429" s="46"/>
      <c r="AX429" s="46"/>
      <c r="AY429" s="46"/>
      <c r="AZ429" s="46"/>
      <c r="BA429" s="46"/>
      <c r="BB429" s="46"/>
      <c r="BC429"/>
      <c r="BD429"/>
      <c r="BE429"/>
      <c r="BF429"/>
      <c r="BG429"/>
      <c r="BH429"/>
      <c r="BI429"/>
      <c r="BJ429"/>
      <c r="BK429"/>
      <c r="BL429"/>
      <c r="BM429"/>
      <c r="BN429"/>
    </row>
    <row r="430" spans="1:66" x14ac:dyDescent="0.25">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c r="AM430" s="46"/>
      <c r="AN430" s="46"/>
      <c r="AO430" s="46"/>
      <c r="AP430" s="46"/>
      <c r="AQ430" s="46"/>
      <c r="AR430" s="46"/>
      <c r="AS430" s="46"/>
      <c r="AT430" s="46"/>
      <c r="AU430" s="46"/>
      <c r="AV430" s="46"/>
      <c r="AW430" s="46"/>
      <c r="AX430" s="46"/>
      <c r="AY430" s="46"/>
      <c r="AZ430" s="46"/>
      <c r="BA430" s="46"/>
      <c r="BB430" s="46"/>
      <c r="BC430"/>
      <c r="BD430"/>
      <c r="BE430"/>
      <c r="BF430"/>
      <c r="BG430"/>
      <c r="BH430"/>
      <c r="BI430"/>
      <c r="BJ430"/>
      <c r="BK430"/>
      <c r="BL430"/>
      <c r="BM430"/>
      <c r="BN430"/>
    </row>
    <row r="431" spans="1:66" x14ac:dyDescent="0.25">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c r="AM431" s="46"/>
      <c r="AN431" s="46"/>
      <c r="AO431" s="46"/>
      <c r="AP431" s="46"/>
      <c r="AQ431" s="46"/>
      <c r="AR431" s="46"/>
      <c r="AS431" s="46"/>
      <c r="AT431" s="46"/>
      <c r="AU431" s="46"/>
      <c r="AV431" s="46"/>
      <c r="AW431" s="46"/>
      <c r="AX431" s="46"/>
      <c r="AY431" s="46"/>
      <c r="AZ431" s="46"/>
      <c r="BA431" s="46"/>
      <c r="BB431" s="46"/>
      <c r="BC431"/>
      <c r="BD431"/>
      <c r="BE431"/>
      <c r="BF431"/>
      <c r="BG431"/>
      <c r="BH431"/>
      <c r="BI431"/>
      <c r="BJ431"/>
      <c r="BK431"/>
      <c r="BL431"/>
      <c r="BM431"/>
      <c r="BN431"/>
    </row>
    <row r="432" spans="1:66" x14ac:dyDescent="0.25">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c r="AM432" s="46"/>
      <c r="AN432" s="46"/>
      <c r="AO432" s="46"/>
      <c r="AP432" s="46"/>
      <c r="AQ432" s="46"/>
      <c r="AR432" s="46"/>
      <c r="AS432" s="46"/>
      <c r="AT432" s="46"/>
      <c r="AU432" s="46"/>
      <c r="AV432" s="46"/>
      <c r="AW432" s="46"/>
      <c r="AX432" s="46"/>
      <c r="AY432" s="46"/>
      <c r="AZ432" s="46"/>
      <c r="BA432" s="46"/>
      <c r="BB432" s="46"/>
      <c r="BC432"/>
      <c r="BD432"/>
      <c r="BE432"/>
      <c r="BF432"/>
      <c r="BG432"/>
      <c r="BH432"/>
      <c r="BI432"/>
      <c r="BJ432"/>
      <c r="BK432"/>
      <c r="BL432"/>
      <c r="BM432"/>
      <c r="BN432"/>
    </row>
    <row r="433" spans="1:66" x14ac:dyDescent="0.25">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c r="AM433" s="46"/>
      <c r="AN433" s="46"/>
      <c r="AO433" s="46"/>
      <c r="AP433" s="46"/>
      <c r="AQ433" s="46"/>
      <c r="AR433" s="46"/>
      <c r="AS433" s="46"/>
      <c r="AT433" s="46"/>
      <c r="AU433" s="46"/>
      <c r="AV433" s="46"/>
      <c r="AW433" s="46"/>
      <c r="AX433" s="46"/>
      <c r="AY433" s="46"/>
      <c r="AZ433" s="46"/>
      <c r="BA433" s="46"/>
      <c r="BB433" s="46"/>
      <c r="BC433"/>
      <c r="BD433"/>
      <c r="BE433"/>
      <c r="BF433"/>
      <c r="BG433"/>
      <c r="BH433"/>
      <c r="BI433"/>
      <c r="BJ433"/>
      <c r="BK433"/>
      <c r="BL433"/>
      <c r="BM433"/>
      <c r="BN433"/>
    </row>
    <row r="434" spans="1:66" x14ac:dyDescent="0.25">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c r="AL434" s="46"/>
      <c r="AM434" s="46"/>
      <c r="AN434" s="46"/>
      <c r="AO434" s="46"/>
      <c r="AP434" s="46"/>
      <c r="AQ434" s="46"/>
      <c r="AR434" s="46"/>
      <c r="AS434" s="46"/>
      <c r="AT434" s="46"/>
      <c r="AU434" s="46"/>
      <c r="AV434" s="46"/>
      <c r="AW434" s="46"/>
      <c r="AX434" s="46"/>
      <c r="AY434" s="46"/>
      <c r="AZ434" s="46"/>
      <c r="BA434" s="46"/>
      <c r="BB434" s="46"/>
      <c r="BC434"/>
      <c r="BD434"/>
      <c r="BE434"/>
      <c r="BF434"/>
      <c r="BG434"/>
      <c r="BH434"/>
      <c r="BI434"/>
      <c r="BJ434"/>
      <c r="BK434"/>
      <c r="BL434"/>
      <c r="BM434"/>
      <c r="BN434"/>
    </row>
    <row r="435" spans="1:66" x14ac:dyDescent="0.25">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c r="AM435" s="46"/>
      <c r="AN435" s="46"/>
      <c r="AO435" s="46"/>
      <c r="AP435" s="46"/>
      <c r="AQ435" s="46"/>
      <c r="AR435" s="46"/>
      <c r="AS435" s="46"/>
      <c r="AT435" s="46"/>
      <c r="AU435" s="46"/>
      <c r="AV435" s="46"/>
      <c r="AW435" s="46"/>
      <c r="AX435" s="46"/>
      <c r="AY435" s="46"/>
      <c r="AZ435" s="46"/>
      <c r="BA435" s="46"/>
      <c r="BB435" s="46"/>
      <c r="BC435"/>
      <c r="BD435"/>
      <c r="BE435"/>
      <c r="BF435"/>
      <c r="BG435"/>
      <c r="BH435"/>
      <c r="BI435"/>
      <c r="BJ435"/>
      <c r="BK435"/>
      <c r="BL435"/>
      <c r="BM435"/>
      <c r="BN435"/>
    </row>
    <row r="436" spans="1:66" x14ac:dyDescent="0.25">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c r="AM436" s="46"/>
      <c r="AN436" s="46"/>
      <c r="AO436" s="46"/>
      <c r="AP436" s="46"/>
      <c r="AQ436" s="46"/>
      <c r="AR436" s="46"/>
      <c r="AS436" s="46"/>
      <c r="AT436" s="46"/>
      <c r="AU436" s="46"/>
      <c r="AV436" s="46"/>
      <c r="AW436" s="46"/>
      <c r="AX436" s="46"/>
      <c r="AY436" s="46"/>
      <c r="AZ436" s="46"/>
      <c r="BA436" s="46"/>
      <c r="BB436" s="46"/>
      <c r="BC436"/>
      <c r="BD436"/>
      <c r="BE436"/>
      <c r="BF436"/>
      <c r="BG436"/>
      <c r="BH436"/>
      <c r="BI436"/>
      <c r="BJ436"/>
      <c r="BK436"/>
      <c r="BL436"/>
      <c r="BM436"/>
      <c r="BN436"/>
    </row>
    <row r="437" spans="1:66" x14ac:dyDescent="0.25">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c r="AM437" s="46"/>
      <c r="AN437" s="46"/>
      <c r="AO437" s="46"/>
      <c r="AP437" s="46"/>
      <c r="AQ437" s="46"/>
      <c r="AR437" s="46"/>
      <c r="AS437" s="46"/>
      <c r="AT437" s="46"/>
      <c r="AU437" s="46"/>
      <c r="AV437" s="46"/>
      <c r="AW437" s="46"/>
      <c r="AX437" s="46"/>
      <c r="AY437" s="46"/>
      <c r="AZ437" s="46"/>
      <c r="BA437" s="46"/>
      <c r="BB437" s="46"/>
      <c r="BC437"/>
      <c r="BD437"/>
      <c r="BE437"/>
      <c r="BF437"/>
      <c r="BG437"/>
      <c r="BH437"/>
      <c r="BI437"/>
      <c r="BJ437"/>
      <c r="BK437"/>
      <c r="BL437"/>
      <c r="BM437"/>
      <c r="BN437"/>
    </row>
    <row r="438" spans="1:66" x14ac:dyDescent="0.25">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c r="AM438" s="46"/>
      <c r="AN438" s="46"/>
      <c r="AO438" s="46"/>
      <c r="AP438" s="46"/>
      <c r="AQ438" s="46"/>
      <c r="AR438" s="46"/>
      <c r="AS438" s="46"/>
      <c r="AT438" s="46"/>
      <c r="AU438" s="46"/>
      <c r="AV438" s="46"/>
      <c r="AW438" s="46"/>
      <c r="AX438" s="46"/>
      <c r="AY438" s="46"/>
      <c r="AZ438" s="46"/>
      <c r="BA438" s="46"/>
      <c r="BB438" s="46"/>
      <c r="BC438"/>
      <c r="BD438"/>
      <c r="BE438"/>
      <c r="BF438"/>
      <c r="BG438"/>
      <c r="BH438"/>
      <c r="BI438"/>
      <c r="BJ438"/>
      <c r="BK438"/>
      <c r="BL438"/>
      <c r="BM438"/>
      <c r="BN438"/>
    </row>
    <row r="439" spans="1:66" x14ac:dyDescent="0.25">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c r="AM439" s="46"/>
      <c r="AN439" s="46"/>
      <c r="AO439" s="46"/>
      <c r="AP439" s="46"/>
      <c r="AQ439" s="46"/>
      <c r="AR439" s="46"/>
      <c r="AS439" s="46"/>
      <c r="AT439" s="46"/>
      <c r="AU439" s="46"/>
      <c r="AV439" s="46"/>
      <c r="AW439" s="46"/>
      <c r="AX439" s="46"/>
      <c r="AY439" s="46"/>
      <c r="AZ439" s="46"/>
      <c r="BA439" s="46"/>
      <c r="BB439" s="46"/>
      <c r="BC439"/>
      <c r="BD439"/>
      <c r="BE439"/>
      <c r="BF439"/>
      <c r="BG439"/>
      <c r="BH439"/>
      <c r="BI439"/>
      <c r="BJ439"/>
      <c r="BK439"/>
      <c r="BL439"/>
      <c r="BM439"/>
      <c r="BN439"/>
    </row>
    <row r="440" spans="1:66" x14ac:dyDescent="0.25">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c r="AM440" s="46"/>
      <c r="AN440" s="46"/>
      <c r="AO440" s="46"/>
      <c r="AP440" s="46"/>
      <c r="AQ440" s="46"/>
      <c r="AR440" s="46"/>
      <c r="AS440" s="46"/>
      <c r="AT440" s="46"/>
      <c r="AU440" s="46"/>
      <c r="AV440" s="46"/>
      <c r="AW440" s="46"/>
      <c r="AX440" s="46"/>
      <c r="AY440" s="46"/>
      <c r="AZ440" s="46"/>
      <c r="BA440" s="46"/>
      <c r="BB440" s="46"/>
      <c r="BC440"/>
      <c r="BD440"/>
      <c r="BE440"/>
      <c r="BF440"/>
      <c r="BG440"/>
      <c r="BH440"/>
      <c r="BI440"/>
      <c r="BJ440"/>
      <c r="BK440"/>
      <c r="BL440"/>
      <c r="BM440"/>
      <c r="BN440"/>
    </row>
    <row r="441" spans="1:66" x14ac:dyDescent="0.25">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46"/>
      <c r="AL441" s="46"/>
      <c r="AM441" s="46"/>
      <c r="AN441" s="46"/>
      <c r="AO441" s="46"/>
      <c r="AP441" s="46"/>
      <c r="AQ441" s="46"/>
      <c r="AR441" s="46"/>
      <c r="AS441" s="46"/>
      <c r="AT441" s="46"/>
      <c r="AU441" s="46"/>
      <c r="AV441" s="46"/>
      <c r="AW441" s="46"/>
      <c r="AX441" s="46"/>
      <c r="AY441" s="46"/>
      <c r="AZ441" s="46"/>
      <c r="BA441" s="46"/>
      <c r="BB441" s="46"/>
      <c r="BC441"/>
      <c r="BD441"/>
      <c r="BE441"/>
      <c r="BF441"/>
      <c r="BG441"/>
      <c r="BH441"/>
      <c r="BI441"/>
      <c r="BJ441"/>
      <c r="BK441"/>
      <c r="BL441"/>
      <c r="BM441"/>
      <c r="BN441"/>
    </row>
    <row r="442" spans="1:66" x14ac:dyDescent="0.25">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c r="AM442" s="46"/>
      <c r="AN442" s="46"/>
      <c r="AO442" s="46"/>
      <c r="AP442" s="46"/>
      <c r="AQ442" s="46"/>
      <c r="AR442" s="46"/>
      <c r="AS442" s="46"/>
      <c r="AT442" s="46"/>
      <c r="AU442" s="46"/>
      <c r="AV442" s="46"/>
      <c r="AW442" s="46"/>
      <c r="AX442" s="46"/>
      <c r="AY442" s="46"/>
      <c r="AZ442" s="46"/>
      <c r="BA442" s="46"/>
      <c r="BB442" s="46"/>
      <c r="BC442"/>
      <c r="BD442"/>
      <c r="BE442"/>
      <c r="BF442"/>
      <c r="BG442"/>
      <c r="BH442"/>
      <c r="BI442"/>
      <c r="BJ442"/>
      <c r="BK442"/>
      <c r="BL442"/>
      <c r="BM442"/>
      <c r="BN442"/>
    </row>
    <row r="443" spans="1:66" x14ac:dyDescent="0.25">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c r="AM443" s="46"/>
      <c r="AN443" s="46"/>
      <c r="AO443" s="46"/>
      <c r="AP443" s="46"/>
      <c r="AQ443" s="46"/>
      <c r="AR443" s="46"/>
      <c r="AS443" s="46"/>
      <c r="AT443" s="46"/>
      <c r="AU443" s="46"/>
      <c r="AV443" s="46"/>
      <c r="AW443" s="46"/>
      <c r="AX443" s="46"/>
      <c r="AY443" s="46"/>
      <c r="AZ443" s="46"/>
      <c r="BA443" s="46"/>
      <c r="BB443" s="46"/>
      <c r="BC443"/>
      <c r="BD443"/>
      <c r="BE443"/>
      <c r="BF443"/>
      <c r="BG443"/>
      <c r="BH443"/>
      <c r="BI443"/>
      <c r="BJ443"/>
      <c r="BK443"/>
      <c r="BL443"/>
      <c r="BM443"/>
      <c r="BN443"/>
    </row>
    <row r="444" spans="1:66" x14ac:dyDescent="0.25">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c r="AM444" s="46"/>
      <c r="AN444" s="46"/>
      <c r="AO444" s="46"/>
      <c r="AP444" s="46"/>
      <c r="AQ444" s="46"/>
      <c r="AR444" s="46"/>
      <c r="AS444" s="46"/>
      <c r="AT444" s="46"/>
      <c r="AU444" s="46"/>
      <c r="AV444" s="46"/>
      <c r="AW444" s="46"/>
      <c r="AX444" s="46"/>
      <c r="AY444" s="46"/>
      <c r="AZ444" s="46"/>
      <c r="BA444" s="46"/>
      <c r="BB444" s="46"/>
      <c r="BC444"/>
      <c r="BD444"/>
      <c r="BE444"/>
      <c r="BF444"/>
      <c r="BG444"/>
      <c r="BH444"/>
      <c r="BI444"/>
      <c r="BJ444"/>
      <c r="BK444"/>
      <c r="BL444"/>
      <c r="BM444"/>
      <c r="BN444"/>
    </row>
    <row r="445" spans="1:66" x14ac:dyDescent="0.25">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c r="AM445" s="46"/>
      <c r="AN445" s="46"/>
      <c r="AO445" s="46"/>
      <c r="AP445" s="46"/>
      <c r="AQ445" s="46"/>
      <c r="AR445" s="46"/>
      <c r="AS445" s="46"/>
      <c r="AT445" s="46"/>
      <c r="AU445" s="46"/>
      <c r="AV445" s="46"/>
      <c r="AW445" s="46"/>
      <c r="AX445" s="46"/>
      <c r="AY445" s="46"/>
      <c r="AZ445" s="46"/>
      <c r="BA445" s="46"/>
      <c r="BB445" s="46"/>
      <c r="BC445"/>
      <c r="BD445"/>
      <c r="BE445"/>
      <c r="BF445"/>
      <c r="BG445"/>
      <c r="BH445"/>
      <c r="BI445"/>
      <c r="BJ445"/>
      <c r="BK445"/>
      <c r="BL445"/>
      <c r="BM445"/>
      <c r="BN445"/>
    </row>
    <row r="446" spans="1:66" x14ac:dyDescent="0.25">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c r="AM446" s="46"/>
      <c r="AN446" s="46"/>
      <c r="AO446" s="46"/>
      <c r="AP446" s="46"/>
      <c r="AQ446" s="46"/>
      <c r="AR446" s="46"/>
      <c r="AS446" s="46"/>
      <c r="AT446" s="46"/>
      <c r="AU446" s="46"/>
      <c r="AV446" s="46"/>
      <c r="AW446" s="46"/>
      <c r="AX446" s="46"/>
      <c r="AY446" s="46"/>
      <c r="AZ446" s="46"/>
      <c r="BA446" s="46"/>
      <c r="BB446" s="46"/>
      <c r="BC446"/>
      <c r="BD446"/>
      <c r="BE446"/>
      <c r="BF446"/>
      <c r="BG446"/>
      <c r="BH446"/>
      <c r="BI446"/>
      <c r="BJ446"/>
      <c r="BK446"/>
      <c r="BL446"/>
      <c r="BM446"/>
      <c r="BN446"/>
    </row>
    <row r="447" spans="1:66" x14ac:dyDescent="0.25">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c r="AM447" s="46"/>
      <c r="AN447" s="46"/>
      <c r="AO447" s="46"/>
      <c r="AP447" s="46"/>
      <c r="AQ447" s="46"/>
      <c r="AR447" s="46"/>
      <c r="AS447" s="46"/>
      <c r="AT447" s="46"/>
      <c r="AU447" s="46"/>
      <c r="AV447" s="46"/>
      <c r="AW447" s="46"/>
      <c r="AX447" s="46"/>
      <c r="AY447" s="46"/>
      <c r="AZ447" s="46"/>
      <c r="BA447" s="46"/>
      <c r="BB447" s="46"/>
      <c r="BC447"/>
      <c r="BD447"/>
      <c r="BE447"/>
      <c r="BF447"/>
      <c r="BG447"/>
      <c r="BH447"/>
      <c r="BI447"/>
      <c r="BJ447"/>
      <c r="BK447"/>
      <c r="BL447"/>
      <c r="BM447"/>
      <c r="BN447"/>
    </row>
    <row r="448" spans="1:66" x14ac:dyDescent="0.25">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c r="AM448" s="46"/>
      <c r="AN448" s="46"/>
      <c r="AO448" s="46"/>
      <c r="AP448" s="46"/>
      <c r="AQ448" s="46"/>
      <c r="AR448" s="46"/>
      <c r="AS448" s="46"/>
      <c r="AT448" s="46"/>
      <c r="AU448" s="46"/>
      <c r="AV448" s="46"/>
      <c r="AW448" s="46"/>
      <c r="AX448" s="46"/>
      <c r="AY448" s="46"/>
      <c r="AZ448" s="46"/>
      <c r="BA448" s="46"/>
      <c r="BB448" s="46"/>
      <c r="BC448"/>
      <c r="BD448"/>
      <c r="BE448"/>
      <c r="BF448"/>
      <c r="BG448"/>
      <c r="BH448"/>
      <c r="BI448"/>
      <c r="BJ448"/>
      <c r="BK448"/>
      <c r="BL448"/>
      <c r="BM448"/>
      <c r="BN448"/>
    </row>
    <row r="449" spans="1:66" x14ac:dyDescent="0.25">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c r="AM449" s="46"/>
      <c r="AN449" s="46"/>
      <c r="AO449" s="46"/>
      <c r="AP449" s="46"/>
      <c r="AQ449" s="46"/>
      <c r="AR449" s="46"/>
      <c r="AS449" s="46"/>
      <c r="AT449" s="46"/>
      <c r="AU449" s="46"/>
      <c r="AV449" s="46"/>
      <c r="AW449" s="46"/>
      <c r="AX449" s="46"/>
      <c r="AY449" s="46"/>
      <c r="AZ449" s="46"/>
      <c r="BA449" s="46"/>
      <c r="BB449" s="46"/>
      <c r="BC449"/>
      <c r="BD449"/>
      <c r="BE449"/>
      <c r="BF449"/>
      <c r="BG449"/>
      <c r="BH449"/>
      <c r="BI449"/>
      <c r="BJ449"/>
      <c r="BK449"/>
      <c r="BL449"/>
      <c r="BM449"/>
      <c r="BN449"/>
    </row>
    <row r="450" spans="1:66" x14ac:dyDescent="0.25">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c r="AM450" s="46"/>
      <c r="AN450" s="46"/>
      <c r="AO450" s="46"/>
      <c r="AP450" s="46"/>
      <c r="AQ450" s="46"/>
      <c r="AR450" s="46"/>
      <c r="AS450" s="46"/>
      <c r="AT450" s="46"/>
      <c r="AU450" s="46"/>
      <c r="AV450" s="46"/>
      <c r="AW450" s="46"/>
      <c r="AX450" s="46"/>
      <c r="AY450" s="46"/>
      <c r="AZ450" s="46"/>
      <c r="BA450" s="46"/>
      <c r="BB450" s="46"/>
      <c r="BC450"/>
      <c r="BD450"/>
      <c r="BE450"/>
      <c r="BF450"/>
      <c r="BG450"/>
      <c r="BH450"/>
      <c r="BI450"/>
      <c r="BJ450"/>
      <c r="BK450"/>
      <c r="BL450"/>
      <c r="BM450"/>
      <c r="BN450"/>
    </row>
    <row r="451" spans="1:66" x14ac:dyDescent="0.25">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c r="AM451" s="46"/>
      <c r="AN451" s="46"/>
      <c r="AO451" s="46"/>
      <c r="AP451" s="46"/>
      <c r="AQ451" s="46"/>
      <c r="AR451" s="46"/>
      <c r="AS451" s="46"/>
      <c r="AT451" s="46"/>
      <c r="AU451" s="46"/>
      <c r="AV451" s="46"/>
      <c r="AW451" s="46"/>
      <c r="AX451" s="46"/>
      <c r="AY451" s="46"/>
      <c r="AZ451" s="46"/>
      <c r="BA451" s="46"/>
      <c r="BB451" s="46"/>
      <c r="BC451"/>
      <c r="BD451"/>
      <c r="BE451"/>
      <c r="BF451"/>
      <c r="BG451"/>
      <c r="BH451"/>
      <c r="BI451"/>
      <c r="BJ451"/>
      <c r="BK451"/>
      <c r="BL451"/>
      <c r="BM451"/>
      <c r="BN451"/>
    </row>
    <row r="452" spans="1:66" x14ac:dyDescent="0.25">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c r="AM452" s="46"/>
      <c r="AN452" s="46"/>
      <c r="AO452" s="46"/>
      <c r="AP452" s="46"/>
      <c r="AQ452" s="46"/>
      <c r="AR452" s="46"/>
      <c r="AS452" s="46"/>
      <c r="AT452" s="46"/>
      <c r="AU452" s="46"/>
      <c r="AV452" s="46"/>
      <c r="AW452" s="46"/>
      <c r="AX452" s="46"/>
      <c r="AY452" s="46"/>
      <c r="AZ452" s="46"/>
      <c r="BA452" s="46"/>
      <c r="BB452" s="46"/>
      <c r="BC452"/>
      <c r="BD452"/>
      <c r="BE452"/>
      <c r="BF452"/>
      <c r="BG452"/>
      <c r="BH452"/>
      <c r="BI452"/>
      <c r="BJ452"/>
      <c r="BK452"/>
      <c r="BL452"/>
      <c r="BM452"/>
      <c r="BN452"/>
    </row>
    <row r="453" spans="1:66" x14ac:dyDescent="0.25">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c r="AM453" s="46"/>
      <c r="AN453" s="46"/>
      <c r="AO453" s="46"/>
      <c r="AP453" s="46"/>
      <c r="AQ453" s="46"/>
      <c r="AR453" s="46"/>
      <c r="AS453" s="46"/>
      <c r="AT453" s="46"/>
      <c r="AU453" s="46"/>
      <c r="AV453" s="46"/>
      <c r="AW453" s="46"/>
      <c r="AX453" s="46"/>
      <c r="AY453" s="46"/>
      <c r="AZ453" s="46"/>
      <c r="BA453" s="46"/>
      <c r="BB453" s="46"/>
      <c r="BC453"/>
      <c r="BD453"/>
      <c r="BE453"/>
      <c r="BF453"/>
      <c r="BG453"/>
      <c r="BH453"/>
      <c r="BI453"/>
      <c r="BJ453"/>
      <c r="BK453"/>
      <c r="BL453"/>
      <c r="BM453"/>
      <c r="BN453"/>
    </row>
    <row r="454" spans="1:66" x14ac:dyDescent="0.25">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c r="AM454" s="46"/>
      <c r="AN454" s="46"/>
      <c r="AO454" s="46"/>
      <c r="AP454" s="46"/>
      <c r="AQ454" s="46"/>
      <c r="AR454" s="46"/>
      <c r="AS454" s="46"/>
      <c r="AT454" s="46"/>
      <c r="AU454" s="46"/>
      <c r="AV454" s="46"/>
      <c r="AW454" s="46"/>
      <c r="AX454" s="46"/>
      <c r="AY454" s="46"/>
      <c r="AZ454" s="46"/>
      <c r="BA454" s="46"/>
      <c r="BB454" s="46"/>
      <c r="BC454"/>
      <c r="BD454"/>
      <c r="BE454"/>
      <c r="BF454"/>
      <c r="BG454"/>
      <c r="BH454"/>
      <c r="BI454"/>
      <c r="BJ454"/>
      <c r="BK454"/>
      <c r="BL454"/>
      <c r="BM454"/>
      <c r="BN454"/>
    </row>
    <row r="455" spans="1:66" x14ac:dyDescent="0.25">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c r="AM455" s="46"/>
      <c r="AN455" s="46"/>
      <c r="AO455" s="46"/>
      <c r="AP455" s="46"/>
      <c r="AQ455" s="46"/>
      <c r="AR455" s="46"/>
      <c r="AS455" s="46"/>
      <c r="AT455" s="46"/>
      <c r="AU455" s="46"/>
      <c r="AV455" s="46"/>
      <c r="AW455" s="46"/>
      <c r="AX455" s="46"/>
      <c r="AY455" s="46"/>
      <c r="AZ455" s="46"/>
      <c r="BA455" s="46"/>
      <c r="BB455" s="46"/>
      <c r="BC455"/>
      <c r="BD455"/>
      <c r="BE455"/>
      <c r="BF455"/>
      <c r="BG455"/>
      <c r="BH455"/>
      <c r="BI455"/>
      <c r="BJ455"/>
      <c r="BK455"/>
      <c r="BL455"/>
      <c r="BM455"/>
      <c r="BN455"/>
    </row>
    <row r="456" spans="1:66" x14ac:dyDescent="0.25">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46"/>
      <c r="AL456" s="46"/>
      <c r="AM456" s="46"/>
      <c r="AN456" s="46"/>
      <c r="AO456" s="46"/>
      <c r="AP456" s="46"/>
      <c r="AQ456" s="46"/>
      <c r="AR456" s="46"/>
      <c r="AS456" s="46"/>
      <c r="AT456" s="46"/>
      <c r="AU456" s="46"/>
      <c r="AV456" s="46"/>
      <c r="AW456" s="46"/>
      <c r="AX456" s="46"/>
      <c r="AY456" s="46"/>
      <c r="AZ456" s="46"/>
      <c r="BA456" s="46"/>
      <c r="BB456" s="46"/>
      <c r="BC456"/>
      <c r="BD456"/>
      <c r="BE456"/>
      <c r="BF456"/>
      <c r="BG456"/>
      <c r="BH456"/>
      <c r="BI456"/>
      <c r="BJ456"/>
      <c r="BK456"/>
      <c r="BL456"/>
      <c r="BM456"/>
      <c r="BN456"/>
    </row>
    <row r="457" spans="1:66" x14ac:dyDescent="0.25">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c r="AM457" s="46"/>
      <c r="AN457" s="46"/>
      <c r="AO457" s="46"/>
      <c r="AP457" s="46"/>
      <c r="AQ457" s="46"/>
      <c r="AR457" s="46"/>
      <c r="AS457" s="46"/>
      <c r="AT457" s="46"/>
      <c r="AU457" s="46"/>
      <c r="AV457" s="46"/>
      <c r="AW457" s="46"/>
      <c r="AX457" s="46"/>
      <c r="AY457" s="46"/>
      <c r="AZ457" s="46"/>
      <c r="BA457" s="46"/>
      <c r="BB457" s="46"/>
      <c r="BC457"/>
      <c r="BD457"/>
      <c r="BE457"/>
      <c r="BF457"/>
      <c r="BG457"/>
      <c r="BH457"/>
      <c r="BI457"/>
      <c r="BJ457"/>
      <c r="BK457"/>
      <c r="BL457"/>
      <c r="BM457"/>
      <c r="BN457"/>
    </row>
    <row r="458" spans="1:66" x14ac:dyDescent="0.25">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c r="AM458" s="46"/>
      <c r="AN458" s="46"/>
      <c r="AO458" s="46"/>
      <c r="AP458" s="46"/>
      <c r="AQ458" s="46"/>
      <c r="AR458" s="46"/>
      <c r="AS458" s="46"/>
      <c r="AT458" s="46"/>
      <c r="AU458" s="46"/>
      <c r="AV458" s="46"/>
      <c r="AW458" s="46"/>
      <c r="AX458" s="46"/>
      <c r="AY458" s="46"/>
      <c r="AZ458" s="46"/>
      <c r="BA458" s="46"/>
      <c r="BB458" s="46"/>
      <c r="BC458"/>
      <c r="BD458"/>
      <c r="BE458"/>
      <c r="BF458"/>
      <c r="BG458"/>
      <c r="BH458"/>
      <c r="BI458"/>
      <c r="BJ458"/>
      <c r="BK458"/>
      <c r="BL458"/>
      <c r="BM458"/>
      <c r="BN458"/>
    </row>
    <row r="459" spans="1:66" x14ac:dyDescent="0.25">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c r="AL459" s="46"/>
      <c r="AM459" s="46"/>
      <c r="AN459" s="46"/>
      <c r="AO459" s="46"/>
      <c r="AP459" s="46"/>
      <c r="AQ459" s="46"/>
      <c r="AR459" s="46"/>
      <c r="AS459" s="46"/>
      <c r="AT459" s="46"/>
      <c r="AU459" s="46"/>
      <c r="AV459" s="46"/>
      <c r="AW459" s="46"/>
      <c r="AX459" s="46"/>
      <c r="AY459" s="46"/>
      <c r="AZ459" s="46"/>
      <c r="BA459" s="46"/>
      <c r="BB459" s="46"/>
      <c r="BC459"/>
      <c r="BD459"/>
      <c r="BE459"/>
      <c r="BF459"/>
      <c r="BG459"/>
      <c r="BH459"/>
      <c r="BI459"/>
      <c r="BJ459"/>
      <c r="BK459"/>
      <c r="BL459"/>
      <c r="BM459"/>
      <c r="BN459"/>
    </row>
    <row r="460" spans="1:66" x14ac:dyDescent="0.25">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c r="AM460" s="46"/>
      <c r="AN460" s="46"/>
      <c r="AO460" s="46"/>
      <c r="AP460" s="46"/>
      <c r="AQ460" s="46"/>
      <c r="AR460" s="46"/>
      <c r="AS460" s="46"/>
      <c r="AT460" s="46"/>
      <c r="AU460" s="46"/>
      <c r="AV460" s="46"/>
      <c r="AW460" s="46"/>
      <c r="AX460" s="46"/>
      <c r="AY460" s="46"/>
      <c r="AZ460" s="46"/>
      <c r="BA460" s="46"/>
      <c r="BB460" s="46"/>
      <c r="BC460"/>
      <c r="BD460"/>
      <c r="BE460"/>
      <c r="BF460"/>
      <c r="BG460"/>
      <c r="BH460"/>
      <c r="BI460"/>
      <c r="BJ460"/>
      <c r="BK460"/>
      <c r="BL460"/>
      <c r="BM460"/>
      <c r="BN460"/>
    </row>
    <row r="461" spans="1:66" x14ac:dyDescent="0.25">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c r="AM461" s="46"/>
      <c r="AN461" s="46"/>
      <c r="AO461" s="46"/>
      <c r="AP461" s="46"/>
      <c r="AQ461" s="46"/>
      <c r="AR461" s="46"/>
      <c r="AS461" s="46"/>
      <c r="AT461" s="46"/>
      <c r="AU461" s="46"/>
      <c r="AV461" s="46"/>
      <c r="AW461" s="46"/>
      <c r="AX461" s="46"/>
      <c r="AY461" s="46"/>
      <c r="AZ461" s="46"/>
      <c r="BA461" s="46"/>
      <c r="BB461" s="46"/>
      <c r="BC461"/>
      <c r="BD461"/>
      <c r="BE461"/>
      <c r="BF461"/>
      <c r="BG461"/>
      <c r="BH461"/>
      <c r="BI461"/>
      <c r="BJ461"/>
      <c r="BK461"/>
      <c r="BL461"/>
      <c r="BM461"/>
      <c r="BN461"/>
    </row>
    <row r="462" spans="1:66" x14ac:dyDescent="0.25">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c r="AM462" s="46"/>
      <c r="AN462" s="46"/>
      <c r="AO462" s="46"/>
      <c r="AP462" s="46"/>
      <c r="AQ462" s="46"/>
      <c r="AR462" s="46"/>
      <c r="AS462" s="46"/>
      <c r="AT462" s="46"/>
      <c r="AU462" s="46"/>
      <c r="AV462" s="46"/>
      <c r="AW462" s="46"/>
      <c r="AX462" s="46"/>
      <c r="AY462" s="46"/>
      <c r="AZ462" s="46"/>
      <c r="BA462" s="46"/>
      <c r="BB462" s="46"/>
      <c r="BC462"/>
      <c r="BD462"/>
      <c r="BE462"/>
      <c r="BF462"/>
      <c r="BG462"/>
      <c r="BH462"/>
      <c r="BI462"/>
      <c r="BJ462"/>
      <c r="BK462"/>
      <c r="BL462"/>
      <c r="BM462"/>
      <c r="BN462"/>
    </row>
    <row r="463" spans="1:66" x14ac:dyDescent="0.25">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c r="AM463" s="46"/>
      <c r="AN463" s="46"/>
      <c r="AO463" s="46"/>
      <c r="AP463" s="46"/>
      <c r="AQ463" s="46"/>
      <c r="AR463" s="46"/>
      <c r="AS463" s="46"/>
      <c r="AT463" s="46"/>
      <c r="AU463" s="46"/>
      <c r="AV463" s="46"/>
      <c r="AW463" s="46"/>
      <c r="AX463" s="46"/>
      <c r="AY463" s="46"/>
      <c r="AZ463" s="46"/>
      <c r="BA463" s="46"/>
      <c r="BB463" s="46"/>
      <c r="BC463"/>
      <c r="BD463"/>
      <c r="BE463"/>
      <c r="BF463"/>
      <c r="BG463"/>
      <c r="BH463"/>
      <c r="BI463"/>
      <c r="BJ463"/>
      <c r="BK463"/>
      <c r="BL463"/>
      <c r="BM463"/>
      <c r="BN463"/>
    </row>
    <row r="464" spans="1:66" x14ac:dyDescent="0.25">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c r="AM464" s="46"/>
      <c r="AN464" s="46"/>
      <c r="AO464" s="46"/>
      <c r="AP464" s="46"/>
      <c r="AQ464" s="46"/>
      <c r="AR464" s="46"/>
      <c r="AS464" s="46"/>
      <c r="AT464" s="46"/>
      <c r="AU464" s="46"/>
      <c r="AV464" s="46"/>
      <c r="AW464" s="46"/>
      <c r="AX464" s="46"/>
      <c r="AY464" s="46"/>
      <c r="AZ464" s="46"/>
      <c r="BA464" s="46"/>
      <c r="BB464" s="46"/>
      <c r="BC464"/>
      <c r="BD464"/>
      <c r="BE464"/>
      <c r="BF464"/>
      <c r="BG464"/>
      <c r="BH464"/>
      <c r="BI464"/>
      <c r="BJ464"/>
      <c r="BK464"/>
      <c r="BL464"/>
      <c r="BM464"/>
      <c r="BN464"/>
    </row>
    <row r="465" spans="1:66" x14ac:dyDescent="0.25">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6"/>
      <c r="AF465" s="46"/>
      <c r="AG465" s="46"/>
      <c r="AH465" s="46"/>
      <c r="AI465" s="46"/>
      <c r="AJ465" s="46"/>
      <c r="AK465" s="46"/>
      <c r="AL465" s="46"/>
      <c r="AM465" s="46"/>
      <c r="AN465" s="46"/>
      <c r="AO465" s="46"/>
      <c r="AP465" s="46"/>
      <c r="AQ465" s="46"/>
      <c r="AR465" s="46"/>
      <c r="AS465" s="46"/>
      <c r="AT465" s="46"/>
      <c r="AU465" s="46"/>
      <c r="AV465" s="46"/>
      <c r="AW465" s="46"/>
      <c r="AX465" s="46"/>
      <c r="AY465" s="46"/>
      <c r="AZ465" s="46"/>
      <c r="BA465" s="46"/>
      <c r="BB465" s="46"/>
      <c r="BC465"/>
      <c r="BD465"/>
      <c r="BE465"/>
      <c r="BF465"/>
      <c r="BG465"/>
      <c r="BH465"/>
      <c r="BI465"/>
      <c r="BJ465"/>
      <c r="BK465"/>
      <c r="BL465"/>
      <c r="BM465"/>
      <c r="BN465"/>
    </row>
    <row r="466" spans="1:66" x14ac:dyDescent="0.25">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c r="AM466" s="46"/>
      <c r="AN466" s="46"/>
      <c r="AO466" s="46"/>
      <c r="AP466" s="46"/>
      <c r="AQ466" s="46"/>
      <c r="AR466" s="46"/>
      <c r="AS466" s="46"/>
      <c r="AT466" s="46"/>
      <c r="AU466" s="46"/>
      <c r="AV466" s="46"/>
      <c r="AW466" s="46"/>
      <c r="AX466" s="46"/>
      <c r="AY466" s="46"/>
      <c r="AZ466" s="46"/>
      <c r="BA466" s="46"/>
      <c r="BB466" s="46"/>
      <c r="BC466"/>
      <c r="BD466"/>
      <c r="BE466"/>
      <c r="BF466"/>
      <c r="BG466"/>
      <c r="BH466"/>
      <c r="BI466"/>
      <c r="BJ466"/>
      <c r="BK466"/>
      <c r="BL466"/>
      <c r="BM466"/>
      <c r="BN466"/>
    </row>
    <row r="467" spans="1:66" x14ac:dyDescent="0.25">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c r="AM467" s="46"/>
      <c r="AN467" s="46"/>
      <c r="AO467" s="46"/>
      <c r="AP467" s="46"/>
      <c r="AQ467" s="46"/>
      <c r="AR467" s="46"/>
      <c r="AS467" s="46"/>
      <c r="AT467" s="46"/>
      <c r="AU467" s="46"/>
      <c r="AV467" s="46"/>
      <c r="AW467" s="46"/>
      <c r="AX467" s="46"/>
      <c r="AY467" s="46"/>
      <c r="AZ467" s="46"/>
      <c r="BA467" s="46"/>
      <c r="BB467" s="46"/>
      <c r="BC467"/>
      <c r="BD467"/>
      <c r="BE467"/>
      <c r="BF467"/>
      <c r="BG467"/>
      <c r="BH467"/>
      <c r="BI467"/>
      <c r="BJ467"/>
      <c r="BK467"/>
      <c r="BL467"/>
      <c r="BM467"/>
      <c r="BN467"/>
    </row>
    <row r="468" spans="1:66" x14ac:dyDescent="0.25">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c r="AM468" s="46"/>
      <c r="AN468" s="46"/>
      <c r="AO468" s="46"/>
      <c r="AP468" s="46"/>
      <c r="AQ468" s="46"/>
      <c r="AR468" s="46"/>
      <c r="AS468" s="46"/>
      <c r="AT468" s="46"/>
      <c r="AU468" s="46"/>
      <c r="AV468" s="46"/>
      <c r="AW468" s="46"/>
      <c r="AX468" s="46"/>
      <c r="AY468" s="46"/>
      <c r="AZ468" s="46"/>
      <c r="BA468" s="46"/>
      <c r="BB468" s="46"/>
      <c r="BC468"/>
      <c r="BD468"/>
      <c r="BE468"/>
      <c r="BF468"/>
      <c r="BG468"/>
      <c r="BH468"/>
      <c r="BI468"/>
      <c r="BJ468"/>
      <c r="BK468"/>
      <c r="BL468"/>
      <c r="BM468"/>
      <c r="BN468"/>
    </row>
    <row r="469" spans="1:66" x14ac:dyDescent="0.25">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c r="AM469" s="46"/>
      <c r="AN469" s="46"/>
      <c r="AO469" s="46"/>
      <c r="AP469" s="46"/>
      <c r="AQ469" s="46"/>
      <c r="AR469" s="46"/>
      <c r="AS469" s="46"/>
      <c r="AT469" s="46"/>
      <c r="AU469" s="46"/>
      <c r="AV469" s="46"/>
      <c r="AW469" s="46"/>
      <c r="AX469" s="46"/>
      <c r="AY469" s="46"/>
      <c r="AZ469" s="46"/>
      <c r="BA469" s="46"/>
      <c r="BB469" s="46"/>
      <c r="BC469"/>
      <c r="BD469"/>
      <c r="BE469"/>
      <c r="BF469"/>
      <c r="BG469"/>
      <c r="BH469"/>
      <c r="BI469"/>
      <c r="BJ469"/>
      <c r="BK469"/>
      <c r="BL469"/>
      <c r="BM469"/>
      <c r="BN469"/>
    </row>
    <row r="470" spans="1:66" x14ac:dyDescent="0.25">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c r="AM470" s="46"/>
      <c r="AN470" s="46"/>
      <c r="AO470" s="46"/>
      <c r="AP470" s="46"/>
      <c r="AQ470" s="46"/>
      <c r="AR470" s="46"/>
      <c r="AS470" s="46"/>
      <c r="AT470" s="46"/>
      <c r="AU470" s="46"/>
      <c r="AV470" s="46"/>
      <c r="AW470" s="46"/>
      <c r="AX470" s="46"/>
      <c r="AY470" s="46"/>
      <c r="AZ470" s="46"/>
      <c r="BA470" s="46"/>
      <c r="BB470" s="46"/>
      <c r="BC470"/>
      <c r="BD470"/>
      <c r="BE470"/>
      <c r="BF470"/>
      <c r="BG470"/>
      <c r="BH470"/>
      <c r="BI470"/>
      <c r="BJ470"/>
      <c r="BK470"/>
      <c r="BL470"/>
      <c r="BM470"/>
      <c r="BN470"/>
    </row>
    <row r="471" spans="1:66" x14ac:dyDescent="0.25">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c r="AM471" s="46"/>
      <c r="AN471" s="46"/>
      <c r="AO471" s="46"/>
      <c r="AP471" s="46"/>
      <c r="AQ471" s="46"/>
      <c r="AR471" s="46"/>
      <c r="AS471" s="46"/>
      <c r="AT471" s="46"/>
      <c r="AU471" s="46"/>
      <c r="AV471" s="46"/>
      <c r="AW471" s="46"/>
      <c r="AX471" s="46"/>
      <c r="AY471" s="46"/>
      <c r="AZ471" s="46"/>
      <c r="BA471" s="46"/>
      <c r="BB471" s="46"/>
      <c r="BC471"/>
      <c r="BD471"/>
      <c r="BE471"/>
      <c r="BF471"/>
      <c r="BG471"/>
      <c r="BH471"/>
      <c r="BI471"/>
      <c r="BJ471"/>
      <c r="BK471"/>
      <c r="BL471"/>
      <c r="BM471"/>
      <c r="BN471"/>
    </row>
    <row r="472" spans="1:66" x14ac:dyDescent="0.25">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c r="AM472" s="46"/>
      <c r="AN472" s="46"/>
      <c r="AO472" s="46"/>
      <c r="AP472" s="46"/>
      <c r="AQ472" s="46"/>
      <c r="AR472" s="46"/>
      <c r="AS472" s="46"/>
      <c r="AT472" s="46"/>
      <c r="AU472" s="46"/>
      <c r="AV472" s="46"/>
      <c r="AW472" s="46"/>
      <c r="AX472" s="46"/>
      <c r="AY472" s="46"/>
      <c r="AZ472" s="46"/>
      <c r="BA472" s="46"/>
      <c r="BB472" s="46"/>
      <c r="BC472"/>
      <c r="BD472"/>
      <c r="BE472"/>
      <c r="BF472"/>
      <c r="BG472"/>
      <c r="BH472"/>
      <c r="BI472"/>
      <c r="BJ472"/>
      <c r="BK472"/>
      <c r="BL472"/>
      <c r="BM472"/>
      <c r="BN472"/>
    </row>
    <row r="473" spans="1:66" x14ac:dyDescent="0.25">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c r="AM473" s="46"/>
      <c r="AN473" s="46"/>
      <c r="AO473" s="46"/>
      <c r="AP473" s="46"/>
      <c r="AQ473" s="46"/>
      <c r="AR473" s="46"/>
      <c r="AS473" s="46"/>
      <c r="AT473" s="46"/>
      <c r="AU473" s="46"/>
      <c r="AV473" s="46"/>
      <c r="AW473" s="46"/>
      <c r="AX473" s="46"/>
      <c r="AY473" s="46"/>
      <c r="AZ473" s="46"/>
      <c r="BA473" s="46"/>
      <c r="BB473" s="46"/>
      <c r="BC473"/>
      <c r="BD473"/>
      <c r="BE473"/>
      <c r="BF473"/>
      <c r="BG473"/>
      <c r="BH473"/>
      <c r="BI473"/>
      <c r="BJ473"/>
      <c r="BK473"/>
      <c r="BL473"/>
      <c r="BM473"/>
      <c r="BN473"/>
    </row>
    <row r="474" spans="1:66" x14ac:dyDescent="0.25">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c r="AM474" s="46"/>
      <c r="AN474" s="46"/>
      <c r="AO474" s="46"/>
      <c r="AP474" s="46"/>
      <c r="AQ474" s="46"/>
      <c r="AR474" s="46"/>
      <c r="AS474" s="46"/>
      <c r="AT474" s="46"/>
      <c r="AU474" s="46"/>
      <c r="AV474" s="46"/>
      <c r="AW474" s="46"/>
      <c r="AX474" s="46"/>
      <c r="AY474" s="46"/>
      <c r="AZ474" s="46"/>
      <c r="BA474" s="46"/>
      <c r="BB474" s="46"/>
      <c r="BC474"/>
      <c r="BD474"/>
      <c r="BE474"/>
      <c r="BF474"/>
      <c r="BG474"/>
      <c r="BH474"/>
      <c r="BI474"/>
      <c r="BJ474"/>
      <c r="BK474"/>
      <c r="BL474"/>
      <c r="BM474"/>
      <c r="BN474"/>
    </row>
    <row r="475" spans="1:66" x14ac:dyDescent="0.25">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c r="AL475" s="46"/>
      <c r="AM475" s="46"/>
      <c r="AN475" s="46"/>
      <c r="AO475" s="46"/>
      <c r="AP475" s="46"/>
      <c r="AQ475" s="46"/>
      <c r="AR475" s="46"/>
      <c r="AS475" s="46"/>
      <c r="AT475" s="46"/>
      <c r="AU475" s="46"/>
      <c r="AV475" s="46"/>
      <c r="AW475" s="46"/>
      <c r="AX475" s="46"/>
      <c r="AY475" s="46"/>
      <c r="AZ475" s="46"/>
      <c r="BA475" s="46"/>
      <c r="BB475" s="46"/>
      <c r="BC475"/>
      <c r="BD475"/>
      <c r="BE475"/>
      <c r="BF475"/>
      <c r="BG475"/>
      <c r="BH475"/>
      <c r="BI475"/>
      <c r="BJ475"/>
      <c r="BK475"/>
      <c r="BL475"/>
      <c r="BM475"/>
      <c r="BN475"/>
    </row>
    <row r="476" spans="1:66" x14ac:dyDescent="0.25">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c r="AM476" s="46"/>
      <c r="AN476" s="46"/>
      <c r="AO476" s="46"/>
      <c r="AP476" s="46"/>
      <c r="AQ476" s="46"/>
      <c r="AR476" s="46"/>
      <c r="AS476" s="46"/>
      <c r="AT476" s="46"/>
      <c r="AU476" s="46"/>
      <c r="AV476" s="46"/>
      <c r="AW476" s="46"/>
      <c r="AX476" s="46"/>
      <c r="AY476" s="46"/>
      <c r="AZ476" s="46"/>
      <c r="BA476" s="46"/>
      <c r="BB476" s="46"/>
      <c r="BC476"/>
      <c r="BD476"/>
      <c r="BE476"/>
      <c r="BF476"/>
      <c r="BG476"/>
      <c r="BH476"/>
      <c r="BI476"/>
      <c r="BJ476"/>
      <c r="BK476"/>
      <c r="BL476"/>
      <c r="BM476"/>
      <c r="BN476"/>
    </row>
    <row r="477" spans="1:66" x14ac:dyDescent="0.25">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c r="AM477" s="46"/>
      <c r="AN477" s="46"/>
      <c r="AO477" s="46"/>
      <c r="AP477" s="46"/>
      <c r="AQ477" s="46"/>
      <c r="AR477" s="46"/>
      <c r="AS477" s="46"/>
      <c r="AT477" s="46"/>
      <c r="AU477" s="46"/>
      <c r="AV477" s="46"/>
      <c r="AW477" s="46"/>
      <c r="AX477" s="46"/>
      <c r="AY477" s="46"/>
      <c r="AZ477" s="46"/>
      <c r="BA477" s="46"/>
      <c r="BB477" s="46"/>
      <c r="BC477"/>
      <c r="BD477"/>
      <c r="BE477"/>
      <c r="BF477"/>
      <c r="BG477"/>
      <c r="BH477"/>
      <c r="BI477"/>
      <c r="BJ477"/>
      <c r="BK477"/>
      <c r="BL477"/>
      <c r="BM477"/>
      <c r="BN477"/>
    </row>
    <row r="478" spans="1:66" x14ac:dyDescent="0.25">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c r="AM478" s="46"/>
      <c r="AN478" s="46"/>
      <c r="AO478" s="46"/>
      <c r="AP478" s="46"/>
      <c r="AQ478" s="46"/>
      <c r="AR478" s="46"/>
      <c r="AS478" s="46"/>
      <c r="AT478" s="46"/>
      <c r="AU478" s="46"/>
      <c r="AV478" s="46"/>
      <c r="AW478" s="46"/>
      <c r="AX478" s="46"/>
      <c r="AY478" s="46"/>
      <c r="AZ478" s="46"/>
      <c r="BA478" s="46"/>
      <c r="BB478" s="46"/>
      <c r="BC478"/>
      <c r="BD478"/>
      <c r="BE478"/>
      <c r="BF478"/>
      <c r="BG478"/>
      <c r="BH478"/>
      <c r="BI478"/>
      <c r="BJ478"/>
      <c r="BK478"/>
      <c r="BL478"/>
      <c r="BM478"/>
      <c r="BN478"/>
    </row>
    <row r="479" spans="1:66" x14ac:dyDescent="0.25">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c r="AM479" s="46"/>
      <c r="AN479" s="46"/>
      <c r="AO479" s="46"/>
      <c r="AP479" s="46"/>
      <c r="AQ479" s="46"/>
      <c r="AR479" s="46"/>
      <c r="AS479" s="46"/>
      <c r="AT479" s="46"/>
      <c r="AU479" s="46"/>
      <c r="AV479" s="46"/>
      <c r="AW479" s="46"/>
      <c r="AX479" s="46"/>
      <c r="AY479" s="46"/>
      <c r="AZ479" s="46"/>
      <c r="BA479" s="46"/>
      <c r="BB479" s="46"/>
      <c r="BC479"/>
      <c r="BD479"/>
      <c r="BE479"/>
      <c r="BF479"/>
      <c r="BG479"/>
      <c r="BH479"/>
      <c r="BI479"/>
      <c r="BJ479"/>
      <c r="BK479"/>
      <c r="BL479"/>
      <c r="BM479"/>
      <c r="BN479"/>
    </row>
    <row r="480" spans="1:66" x14ac:dyDescent="0.25">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c r="AM480" s="46"/>
      <c r="AN480" s="46"/>
      <c r="AO480" s="46"/>
      <c r="AP480" s="46"/>
      <c r="AQ480" s="46"/>
      <c r="AR480" s="46"/>
      <c r="AS480" s="46"/>
      <c r="AT480" s="46"/>
      <c r="AU480" s="46"/>
      <c r="AV480" s="46"/>
      <c r="AW480" s="46"/>
      <c r="AX480" s="46"/>
      <c r="AY480" s="46"/>
      <c r="AZ480" s="46"/>
      <c r="BA480" s="46"/>
      <c r="BB480" s="46"/>
      <c r="BC480"/>
      <c r="BD480"/>
      <c r="BE480"/>
      <c r="BF480"/>
      <c r="BG480"/>
      <c r="BH480"/>
      <c r="BI480"/>
      <c r="BJ480"/>
      <c r="BK480"/>
      <c r="BL480"/>
      <c r="BM480"/>
      <c r="BN480"/>
    </row>
    <row r="481" spans="1:66" x14ac:dyDescent="0.25">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c r="AM481" s="46"/>
      <c r="AN481" s="46"/>
      <c r="AO481" s="46"/>
      <c r="AP481" s="46"/>
      <c r="AQ481" s="46"/>
      <c r="AR481" s="46"/>
      <c r="AS481" s="46"/>
      <c r="AT481" s="46"/>
      <c r="AU481" s="46"/>
      <c r="AV481" s="46"/>
      <c r="AW481" s="46"/>
      <c r="AX481" s="46"/>
      <c r="AY481" s="46"/>
      <c r="AZ481" s="46"/>
      <c r="BA481" s="46"/>
      <c r="BB481" s="46"/>
      <c r="BC481"/>
      <c r="BD481"/>
      <c r="BE481"/>
      <c r="BF481"/>
      <c r="BG481"/>
      <c r="BH481"/>
      <c r="BI481"/>
      <c r="BJ481"/>
      <c r="BK481"/>
      <c r="BL481"/>
      <c r="BM481"/>
      <c r="BN481"/>
    </row>
    <row r="482" spans="1:66" x14ac:dyDescent="0.25">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c r="AM482" s="46"/>
      <c r="AN482" s="46"/>
      <c r="AO482" s="46"/>
      <c r="AP482" s="46"/>
      <c r="AQ482" s="46"/>
      <c r="AR482" s="46"/>
      <c r="AS482" s="46"/>
      <c r="AT482" s="46"/>
      <c r="AU482" s="46"/>
      <c r="AV482" s="46"/>
      <c r="AW482" s="46"/>
      <c r="AX482" s="46"/>
      <c r="AY482" s="46"/>
      <c r="AZ482" s="46"/>
      <c r="BA482" s="46"/>
      <c r="BB482" s="46"/>
      <c r="BC482"/>
      <c r="BD482"/>
      <c r="BE482"/>
      <c r="BF482"/>
      <c r="BG482"/>
      <c r="BH482"/>
      <c r="BI482"/>
      <c r="BJ482"/>
      <c r="BK482"/>
      <c r="BL482"/>
      <c r="BM482"/>
      <c r="BN482"/>
    </row>
    <row r="483" spans="1:66" x14ac:dyDescent="0.25">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c r="AM483" s="46"/>
      <c r="AN483" s="46"/>
      <c r="AO483" s="46"/>
      <c r="AP483" s="46"/>
      <c r="AQ483" s="46"/>
      <c r="AR483" s="46"/>
      <c r="AS483" s="46"/>
      <c r="AT483" s="46"/>
      <c r="AU483" s="46"/>
      <c r="AV483" s="46"/>
      <c r="AW483" s="46"/>
      <c r="AX483" s="46"/>
      <c r="AY483" s="46"/>
      <c r="AZ483" s="46"/>
      <c r="BA483" s="46"/>
      <c r="BB483" s="46"/>
      <c r="BC483"/>
      <c r="BD483"/>
      <c r="BE483"/>
      <c r="BF483"/>
      <c r="BG483"/>
      <c r="BH483"/>
      <c r="BI483"/>
      <c r="BJ483"/>
      <c r="BK483"/>
      <c r="BL483"/>
      <c r="BM483"/>
      <c r="BN483"/>
    </row>
    <row r="484" spans="1:66" x14ac:dyDescent="0.25">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c r="AM484" s="46"/>
      <c r="AN484" s="46"/>
      <c r="AO484" s="46"/>
      <c r="AP484" s="46"/>
      <c r="AQ484" s="46"/>
      <c r="AR484" s="46"/>
      <c r="AS484" s="46"/>
      <c r="AT484" s="46"/>
      <c r="AU484" s="46"/>
      <c r="AV484" s="46"/>
      <c r="AW484" s="46"/>
      <c r="AX484" s="46"/>
      <c r="AY484" s="46"/>
      <c r="AZ484" s="46"/>
      <c r="BA484" s="46"/>
      <c r="BB484" s="46"/>
      <c r="BC484"/>
      <c r="BD484"/>
      <c r="BE484"/>
      <c r="BF484"/>
      <c r="BG484"/>
      <c r="BH484"/>
      <c r="BI484"/>
      <c r="BJ484"/>
      <c r="BK484"/>
      <c r="BL484"/>
      <c r="BM484"/>
      <c r="BN484"/>
    </row>
    <row r="485" spans="1:66" x14ac:dyDescent="0.25">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c r="AM485" s="46"/>
      <c r="AN485" s="46"/>
      <c r="AO485" s="46"/>
      <c r="AP485" s="46"/>
      <c r="AQ485" s="46"/>
      <c r="AR485" s="46"/>
      <c r="AS485" s="46"/>
      <c r="AT485" s="46"/>
      <c r="AU485" s="46"/>
      <c r="AV485" s="46"/>
      <c r="AW485" s="46"/>
      <c r="AX485" s="46"/>
      <c r="AY485" s="46"/>
      <c r="AZ485" s="46"/>
      <c r="BA485" s="46"/>
      <c r="BB485" s="46"/>
      <c r="BC485"/>
      <c r="BD485"/>
      <c r="BE485"/>
      <c r="BF485"/>
      <c r="BG485"/>
      <c r="BH485"/>
      <c r="BI485"/>
      <c r="BJ485"/>
      <c r="BK485"/>
      <c r="BL485"/>
      <c r="BM485"/>
      <c r="BN485"/>
    </row>
    <row r="486" spans="1:66" x14ac:dyDescent="0.25">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c r="AM486" s="46"/>
      <c r="AN486" s="46"/>
      <c r="AO486" s="46"/>
      <c r="AP486" s="46"/>
      <c r="AQ486" s="46"/>
      <c r="AR486" s="46"/>
      <c r="AS486" s="46"/>
      <c r="AT486" s="46"/>
      <c r="AU486" s="46"/>
      <c r="AV486" s="46"/>
      <c r="AW486" s="46"/>
      <c r="AX486" s="46"/>
      <c r="AY486" s="46"/>
      <c r="AZ486" s="46"/>
      <c r="BA486" s="46"/>
      <c r="BB486" s="46"/>
      <c r="BC486"/>
      <c r="BD486"/>
      <c r="BE486"/>
      <c r="BF486"/>
      <c r="BG486"/>
      <c r="BH486"/>
      <c r="BI486"/>
      <c r="BJ486"/>
      <c r="BK486"/>
      <c r="BL486"/>
      <c r="BM486"/>
      <c r="BN486"/>
    </row>
    <row r="487" spans="1:66" x14ac:dyDescent="0.25">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c r="AM487" s="46"/>
      <c r="AN487" s="46"/>
      <c r="AO487" s="46"/>
      <c r="AP487" s="46"/>
      <c r="AQ487" s="46"/>
      <c r="AR487" s="46"/>
      <c r="AS487" s="46"/>
      <c r="AT487" s="46"/>
      <c r="AU487" s="46"/>
      <c r="AV487" s="46"/>
      <c r="AW487" s="46"/>
      <c r="AX487" s="46"/>
      <c r="AY487" s="46"/>
      <c r="AZ487" s="46"/>
      <c r="BA487" s="46"/>
      <c r="BB487" s="46"/>
      <c r="BC487"/>
      <c r="BD487"/>
      <c r="BE487"/>
      <c r="BF487"/>
      <c r="BG487"/>
      <c r="BH487"/>
      <c r="BI487"/>
      <c r="BJ487"/>
      <c r="BK487"/>
      <c r="BL487"/>
      <c r="BM487"/>
      <c r="BN487"/>
    </row>
    <row r="488" spans="1:66" x14ac:dyDescent="0.25">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c r="AM488" s="46"/>
      <c r="AN488" s="46"/>
      <c r="AO488" s="46"/>
      <c r="AP488" s="46"/>
      <c r="AQ488" s="46"/>
      <c r="AR488" s="46"/>
      <c r="AS488" s="46"/>
      <c r="AT488" s="46"/>
      <c r="AU488" s="46"/>
      <c r="AV488" s="46"/>
      <c r="AW488" s="46"/>
      <c r="AX488" s="46"/>
      <c r="AY488" s="46"/>
      <c r="AZ488" s="46"/>
      <c r="BA488" s="46"/>
      <c r="BB488" s="46"/>
      <c r="BC488"/>
      <c r="BD488"/>
      <c r="BE488"/>
      <c r="BF488"/>
      <c r="BG488"/>
      <c r="BH488"/>
      <c r="BI488"/>
      <c r="BJ488"/>
      <c r="BK488"/>
      <c r="BL488"/>
      <c r="BM488"/>
      <c r="BN488"/>
    </row>
    <row r="489" spans="1:66" x14ac:dyDescent="0.25">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c r="AM489" s="46"/>
      <c r="AN489" s="46"/>
      <c r="AO489" s="46"/>
      <c r="AP489" s="46"/>
      <c r="AQ489" s="46"/>
      <c r="AR489" s="46"/>
      <c r="AS489" s="46"/>
      <c r="AT489" s="46"/>
      <c r="AU489" s="46"/>
      <c r="AV489" s="46"/>
      <c r="AW489" s="46"/>
      <c r="AX489" s="46"/>
      <c r="AY489" s="46"/>
      <c r="AZ489" s="46"/>
      <c r="BA489" s="46"/>
      <c r="BB489" s="46"/>
      <c r="BC489"/>
      <c r="BD489"/>
      <c r="BE489"/>
      <c r="BF489"/>
      <c r="BG489"/>
      <c r="BH489"/>
      <c r="BI489"/>
      <c r="BJ489"/>
      <c r="BK489"/>
      <c r="BL489"/>
      <c r="BM489"/>
      <c r="BN489"/>
    </row>
    <row r="490" spans="1:66" x14ac:dyDescent="0.25">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c r="AM490" s="46"/>
      <c r="AN490" s="46"/>
      <c r="AO490" s="46"/>
      <c r="AP490" s="46"/>
      <c r="AQ490" s="46"/>
      <c r="AR490" s="46"/>
      <c r="AS490" s="46"/>
      <c r="AT490" s="46"/>
      <c r="AU490" s="46"/>
      <c r="AV490" s="46"/>
      <c r="AW490" s="46"/>
      <c r="AX490" s="46"/>
      <c r="AY490" s="46"/>
      <c r="AZ490" s="46"/>
      <c r="BA490" s="46"/>
      <c r="BB490" s="46"/>
      <c r="BC490"/>
      <c r="BD490"/>
      <c r="BE490"/>
      <c r="BF490"/>
      <c r="BG490"/>
      <c r="BH490"/>
      <c r="BI490"/>
      <c r="BJ490"/>
      <c r="BK490"/>
      <c r="BL490"/>
      <c r="BM490"/>
      <c r="BN490"/>
    </row>
    <row r="491" spans="1:66" x14ac:dyDescent="0.25">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c r="AM491" s="46"/>
      <c r="AN491" s="46"/>
      <c r="AO491" s="46"/>
      <c r="AP491" s="46"/>
      <c r="AQ491" s="46"/>
      <c r="AR491" s="46"/>
      <c r="AS491" s="46"/>
      <c r="AT491" s="46"/>
      <c r="AU491" s="46"/>
      <c r="AV491" s="46"/>
      <c r="AW491" s="46"/>
      <c r="AX491" s="46"/>
      <c r="AY491" s="46"/>
      <c r="AZ491" s="46"/>
      <c r="BA491" s="46"/>
      <c r="BB491" s="46"/>
      <c r="BC491"/>
      <c r="BD491"/>
      <c r="BE491"/>
      <c r="BF491"/>
      <c r="BG491"/>
      <c r="BH491"/>
      <c r="BI491"/>
      <c r="BJ491"/>
      <c r="BK491"/>
      <c r="BL491"/>
      <c r="BM491"/>
      <c r="BN491"/>
    </row>
    <row r="492" spans="1:66" x14ac:dyDescent="0.25">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c r="AM492" s="46"/>
      <c r="AN492" s="46"/>
      <c r="AO492" s="46"/>
      <c r="AP492" s="46"/>
      <c r="AQ492" s="46"/>
      <c r="AR492" s="46"/>
      <c r="AS492" s="46"/>
      <c r="AT492" s="46"/>
      <c r="AU492" s="46"/>
      <c r="AV492" s="46"/>
      <c r="AW492" s="46"/>
      <c r="AX492" s="46"/>
      <c r="AY492" s="46"/>
      <c r="AZ492" s="46"/>
      <c r="BA492" s="46"/>
      <c r="BB492" s="46"/>
      <c r="BC492"/>
      <c r="BD492"/>
      <c r="BE492"/>
      <c r="BF492"/>
      <c r="BG492"/>
      <c r="BH492"/>
      <c r="BI492"/>
      <c r="BJ492"/>
      <c r="BK492"/>
      <c r="BL492"/>
      <c r="BM492"/>
      <c r="BN492"/>
    </row>
    <row r="493" spans="1:66" x14ac:dyDescent="0.25">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c r="AM493" s="46"/>
      <c r="AN493" s="46"/>
      <c r="AO493" s="46"/>
      <c r="AP493" s="46"/>
      <c r="AQ493" s="46"/>
      <c r="AR493" s="46"/>
      <c r="AS493" s="46"/>
      <c r="AT493" s="46"/>
      <c r="AU493" s="46"/>
      <c r="AV493" s="46"/>
      <c r="AW493" s="46"/>
      <c r="AX493" s="46"/>
      <c r="AY493" s="46"/>
      <c r="AZ493" s="46"/>
      <c r="BA493" s="46"/>
      <c r="BB493" s="46"/>
      <c r="BC493"/>
      <c r="BD493"/>
      <c r="BE493"/>
      <c r="BF493"/>
      <c r="BG493"/>
      <c r="BH493"/>
      <c r="BI493"/>
      <c r="BJ493"/>
      <c r="BK493"/>
      <c r="BL493"/>
      <c r="BM493"/>
      <c r="BN493"/>
    </row>
    <row r="494" spans="1:66" x14ac:dyDescent="0.25">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c r="AF494" s="46"/>
      <c r="AG494" s="46"/>
      <c r="AH494" s="46"/>
      <c r="AI494" s="46"/>
      <c r="AJ494" s="46"/>
      <c r="AK494" s="46"/>
      <c r="AL494" s="46"/>
      <c r="AM494" s="46"/>
      <c r="AN494" s="46"/>
      <c r="AO494" s="46"/>
      <c r="AP494" s="46"/>
      <c r="AQ494" s="46"/>
      <c r="AR494" s="46"/>
      <c r="AS494" s="46"/>
      <c r="AT494" s="46"/>
      <c r="AU494" s="46"/>
      <c r="AV494" s="46"/>
      <c r="AW494" s="46"/>
      <c r="AX494" s="46"/>
      <c r="AY494" s="46"/>
      <c r="AZ494" s="46"/>
      <c r="BA494" s="46"/>
      <c r="BB494" s="46"/>
      <c r="BC494"/>
      <c r="BD494"/>
      <c r="BE494"/>
      <c r="BF494"/>
      <c r="BG494"/>
      <c r="BH494"/>
      <c r="BI494"/>
      <c r="BJ494"/>
      <c r="BK494"/>
      <c r="BL494"/>
      <c r="BM494"/>
      <c r="BN494"/>
    </row>
    <row r="495" spans="1:66" x14ac:dyDescent="0.25">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c r="AM495" s="46"/>
      <c r="AN495" s="46"/>
      <c r="AO495" s="46"/>
      <c r="AP495" s="46"/>
      <c r="AQ495" s="46"/>
      <c r="AR495" s="46"/>
      <c r="AS495" s="46"/>
      <c r="AT495" s="46"/>
      <c r="AU495" s="46"/>
      <c r="AV495" s="46"/>
      <c r="AW495" s="46"/>
      <c r="AX495" s="46"/>
      <c r="AY495" s="46"/>
      <c r="AZ495" s="46"/>
      <c r="BA495" s="46"/>
      <c r="BB495" s="46"/>
      <c r="BC495"/>
      <c r="BD495"/>
      <c r="BE495"/>
      <c r="BF495"/>
      <c r="BG495"/>
      <c r="BH495"/>
      <c r="BI495"/>
      <c r="BJ495"/>
      <c r="BK495"/>
      <c r="BL495"/>
      <c r="BM495"/>
      <c r="BN495"/>
    </row>
    <row r="496" spans="1:66" x14ac:dyDescent="0.25">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c r="AM496" s="46"/>
      <c r="AN496" s="46"/>
      <c r="AO496" s="46"/>
      <c r="AP496" s="46"/>
      <c r="AQ496" s="46"/>
      <c r="AR496" s="46"/>
      <c r="AS496" s="46"/>
      <c r="AT496" s="46"/>
      <c r="AU496" s="46"/>
      <c r="AV496" s="46"/>
      <c r="AW496" s="46"/>
      <c r="AX496" s="46"/>
      <c r="AY496" s="46"/>
      <c r="AZ496" s="46"/>
      <c r="BA496" s="46"/>
      <c r="BB496" s="46"/>
      <c r="BC496"/>
      <c r="BD496"/>
      <c r="BE496"/>
      <c r="BF496"/>
      <c r="BG496"/>
      <c r="BH496"/>
      <c r="BI496"/>
      <c r="BJ496"/>
      <c r="BK496"/>
      <c r="BL496"/>
      <c r="BM496"/>
      <c r="BN496"/>
    </row>
    <row r="497" spans="1:66" x14ac:dyDescent="0.25">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c r="AM497" s="46"/>
      <c r="AN497" s="46"/>
      <c r="AO497" s="46"/>
      <c r="AP497" s="46"/>
      <c r="AQ497" s="46"/>
      <c r="AR497" s="46"/>
      <c r="AS497" s="46"/>
      <c r="AT497" s="46"/>
      <c r="AU497" s="46"/>
      <c r="AV497" s="46"/>
      <c r="AW497" s="46"/>
      <c r="AX497" s="46"/>
      <c r="AY497" s="46"/>
      <c r="AZ497" s="46"/>
      <c r="BA497" s="46"/>
      <c r="BB497" s="46"/>
      <c r="BC497"/>
      <c r="BD497"/>
      <c r="BE497"/>
      <c r="BF497"/>
      <c r="BG497"/>
      <c r="BH497"/>
      <c r="BI497"/>
      <c r="BJ497"/>
      <c r="BK497"/>
      <c r="BL497"/>
      <c r="BM497"/>
      <c r="BN497"/>
    </row>
    <row r="498" spans="1:66" x14ac:dyDescent="0.25">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c r="AM498" s="46"/>
      <c r="AN498" s="46"/>
      <c r="AO498" s="46"/>
      <c r="AP498" s="46"/>
      <c r="AQ498" s="46"/>
      <c r="AR498" s="46"/>
      <c r="AS498" s="46"/>
      <c r="AT498" s="46"/>
      <c r="AU498" s="46"/>
      <c r="AV498" s="46"/>
      <c r="AW498" s="46"/>
      <c r="AX498" s="46"/>
      <c r="AY498" s="46"/>
      <c r="AZ498" s="46"/>
      <c r="BA498" s="46"/>
      <c r="BB498" s="46"/>
      <c r="BC498"/>
      <c r="BD498"/>
      <c r="BE498"/>
      <c r="BF498"/>
      <c r="BG498"/>
      <c r="BH498"/>
      <c r="BI498"/>
      <c r="BJ498"/>
      <c r="BK498"/>
      <c r="BL498"/>
      <c r="BM498"/>
      <c r="BN498"/>
    </row>
    <row r="499" spans="1:66" x14ac:dyDescent="0.25">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c r="AM499" s="46"/>
      <c r="AN499" s="46"/>
      <c r="AO499" s="46"/>
      <c r="AP499" s="46"/>
      <c r="AQ499" s="46"/>
      <c r="AR499" s="46"/>
      <c r="AS499" s="46"/>
      <c r="AT499" s="46"/>
      <c r="AU499" s="46"/>
      <c r="AV499" s="46"/>
      <c r="AW499" s="46"/>
      <c r="AX499" s="46"/>
      <c r="AY499" s="46"/>
      <c r="AZ499" s="46"/>
      <c r="BA499" s="46"/>
      <c r="BB499" s="46"/>
      <c r="BC499"/>
      <c r="BD499"/>
      <c r="BE499"/>
      <c r="BF499"/>
      <c r="BG499"/>
      <c r="BH499"/>
      <c r="BI499"/>
      <c r="BJ499"/>
      <c r="BK499"/>
      <c r="BL499"/>
      <c r="BM499"/>
      <c r="BN499"/>
    </row>
    <row r="500" spans="1:66" x14ac:dyDescent="0.25">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c r="AM500" s="46"/>
      <c r="AN500" s="46"/>
      <c r="AO500" s="46"/>
      <c r="AP500" s="46"/>
      <c r="AQ500" s="46"/>
      <c r="AR500" s="46"/>
      <c r="AS500" s="46"/>
      <c r="AT500" s="46"/>
      <c r="AU500" s="46"/>
      <c r="AV500" s="46"/>
      <c r="AW500" s="46"/>
      <c r="AX500" s="46"/>
      <c r="AY500" s="46"/>
      <c r="AZ500" s="46"/>
      <c r="BA500" s="46"/>
      <c r="BB500" s="46"/>
      <c r="BC500"/>
      <c r="BD500"/>
      <c r="BE500"/>
      <c r="BF500"/>
      <c r="BG500"/>
      <c r="BH500"/>
      <c r="BI500"/>
      <c r="BJ500"/>
      <c r="BK500"/>
      <c r="BL500"/>
      <c r="BM500"/>
      <c r="BN500"/>
    </row>
    <row r="501" spans="1:66" x14ac:dyDescent="0.25">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c r="AM501" s="46"/>
      <c r="AN501" s="46"/>
      <c r="AO501" s="46"/>
      <c r="AP501" s="46"/>
      <c r="AQ501" s="46"/>
      <c r="AR501" s="46"/>
      <c r="AS501" s="46"/>
      <c r="AT501" s="46"/>
      <c r="AU501" s="46"/>
      <c r="AV501" s="46"/>
      <c r="AW501" s="46"/>
      <c r="AX501" s="46"/>
      <c r="AY501" s="46"/>
      <c r="AZ501" s="46"/>
      <c r="BA501" s="46"/>
      <c r="BB501" s="46"/>
      <c r="BC501"/>
      <c r="BD501"/>
      <c r="BE501"/>
      <c r="BF501"/>
      <c r="BG501"/>
      <c r="BH501"/>
      <c r="BI501"/>
      <c r="BJ501"/>
      <c r="BK501"/>
      <c r="BL501"/>
      <c r="BM501"/>
      <c r="BN501"/>
    </row>
    <row r="502" spans="1:66" x14ac:dyDescent="0.25">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c r="BD502"/>
      <c r="BE502"/>
      <c r="BF502"/>
      <c r="BG502"/>
      <c r="BH502"/>
      <c r="BI502"/>
      <c r="BJ502"/>
      <c r="BK502"/>
      <c r="BL502"/>
      <c r="BM502"/>
      <c r="BN502"/>
    </row>
    <row r="503" spans="1:66" x14ac:dyDescent="0.25">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c r="AM503" s="46"/>
      <c r="AN503" s="46"/>
      <c r="AO503" s="46"/>
      <c r="AP503" s="46"/>
      <c r="AQ503" s="46"/>
      <c r="AR503" s="46"/>
      <c r="AS503" s="46"/>
      <c r="AT503" s="46"/>
      <c r="AU503" s="46"/>
      <c r="AV503" s="46"/>
      <c r="AW503" s="46"/>
      <c r="AX503" s="46"/>
      <c r="AY503" s="46"/>
      <c r="AZ503" s="46"/>
      <c r="BA503" s="46"/>
      <c r="BB503" s="46"/>
      <c r="BC503"/>
      <c r="BD503"/>
      <c r="BE503"/>
      <c r="BF503"/>
      <c r="BG503"/>
      <c r="BH503"/>
      <c r="BI503"/>
      <c r="BJ503"/>
      <c r="BK503"/>
      <c r="BL503"/>
      <c r="BM503"/>
      <c r="BN503"/>
    </row>
    <row r="504" spans="1:66" x14ac:dyDescent="0.25">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c r="AM504" s="46"/>
      <c r="AN504" s="46"/>
      <c r="AO504" s="46"/>
      <c r="AP504" s="46"/>
      <c r="AQ504" s="46"/>
      <c r="AR504" s="46"/>
      <c r="AS504" s="46"/>
      <c r="AT504" s="46"/>
      <c r="AU504" s="46"/>
      <c r="AV504" s="46"/>
      <c r="AW504" s="46"/>
      <c r="AX504" s="46"/>
      <c r="AY504" s="46"/>
      <c r="AZ504" s="46"/>
      <c r="BA504" s="46"/>
      <c r="BB504" s="46"/>
      <c r="BC504"/>
      <c r="BD504"/>
      <c r="BE504"/>
      <c r="BF504"/>
      <c r="BG504"/>
      <c r="BH504"/>
      <c r="BI504"/>
      <c r="BJ504"/>
      <c r="BK504"/>
      <c r="BL504"/>
      <c r="BM504"/>
      <c r="BN504"/>
    </row>
    <row r="505" spans="1:66" x14ac:dyDescent="0.25">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c r="AM505" s="46"/>
      <c r="AN505" s="46"/>
      <c r="AO505" s="46"/>
      <c r="AP505" s="46"/>
      <c r="AQ505" s="46"/>
      <c r="AR505" s="46"/>
      <c r="AS505" s="46"/>
      <c r="AT505" s="46"/>
      <c r="AU505" s="46"/>
      <c r="AV505" s="46"/>
      <c r="AW505" s="46"/>
      <c r="AX505" s="46"/>
      <c r="AY505" s="46"/>
      <c r="AZ505" s="46"/>
      <c r="BA505" s="46"/>
      <c r="BB505" s="46"/>
      <c r="BC505"/>
      <c r="BD505"/>
      <c r="BE505"/>
      <c r="BF505"/>
      <c r="BG505"/>
      <c r="BH505"/>
      <c r="BI505"/>
      <c r="BJ505"/>
      <c r="BK505"/>
      <c r="BL505"/>
      <c r="BM505"/>
      <c r="BN505"/>
    </row>
    <row r="506" spans="1:66" x14ac:dyDescent="0.25">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46"/>
      <c r="AO506" s="46"/>
      <c r="AP506" s="46"/>
      <c r="AQ506" s="46"/>
      <c r="AR506" s="46"/>
      <c r="AS506" s="46"/>
      <c r="AT506" s="46"/>
      <c r="AU506" s="46"/>
      <c r="AV506" s="46"/>
      <c r="AW506" s="46"/>
      <c r="AX506" s="46"/>
      <c r="AY506" s="46"/>
      <c r="AZ506" s="46"/>
      <c r="BA506" s="46"/>
      <c r="BB506" s="46"/>
      <c r="BC506"/>
      <c r="BD506"/>
      <c r="BE506"/>
      <c r="BF506"/>
      <c r="BG506"/>
      <c r="BH506"/>
      <c r="BI506"/>
      <c r="BJ506"/>
      <c r="BK506"/>
      <c r="BL506"/>
      <c r="BM506"/>
      <c r="BN506"/>
    </row>
    <row r="507" spans="1:66" x14ac:dyDescent="0.25">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c r="AM507" s="46"/>
      <c r="AN507" s="46"/>
      <c r="AO507" s="46"/>
      <c r="AP507" s="46"/>
      <c r="AQ507" s="46"/>
      <c r="AR507" s="46"/>
      <c r="AS507" s="46"/>
      <c r="AT507" s="46"/>
      <c r="AU507" s="46"/>
      <c r="AV507" s="46"/>
      <c r="AW507" s="46"/>
      <c r="AX507" s="46"/>
      <c r="AY507" s="46"/>
      <c r="AZ507" s="46"/>
      <c r="BA507" s="46"/>
      <c r="BB507" s="46"/>
      <c r="BC507"/>
      <c r="BD507"/>
      <c r="BE507"/>
      <c r="BF507"/>
      <c r="BG507"/>
      <c r="BH507"/>
      <c r="BI507"/>
      <c r="BJ507"/>
      <c r="BK507"/>
      <c r="BL507"/>
      <c r="BM507"/>
      <c r="BN507"/>
    </row>
    <row r="508" spans="1:66" x14ac:dyDescent="0.25">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c r="AM508" s="46"/>
      <c r="AN508" s="46"/>
      <c r="AO508" s="46"/>
      <c r="AP508" s="46"/>
      <c r="AQ508" s="46"/>
      <c r="AR508" s="46"/>
      <c r="AS508" s="46"/>
      <c r="AT508" s="46"/>
      <c r="AU508" s="46"/>
      <c r="AV508" s="46"/>
      <c r="AW508" s="46"/>
      <c r="AX508" s="46"/>
      <c r="AY508" s="46"/>
      <c r="AZ508" s="46"/>
      <c r="BA508" s="46"/>
      <c r="BB508" s="46"/>
      <c r="BC508"/>
      <c r="BD508"/>
      <c r="BE508"/>
      <c r="BF508"/>
      <c r="BG508"/>
      <c r="BH508"/>
      <c r="BI508"/>
      <c r="BJ508"/>
      <c r="BK508"/>
      <c r="BL508"/>
      <c r="BM508"/>
      <c r="BN508"/>
    </row>
    <row r="509" spans="1:66" x14ac:dyDescent="0.25">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c r="AM509" s="46"/>
      <c r="AN509" s="46"/>
      <c r="AO509" s="46"/>
      <c r="AP509" s="46"/>
      <c r="AQ509" s="46"/>
      <c r="AR509" s="46"/>
      <c r="AS509" s="46"/>
      <c r="AT509" s="46"/>
      <c r="AU509" s="46"/>
      <c r="AV509" s="46"/>
      <c r="AW509" s="46"/>
      <c r="AX509" s="46"/>
      <c r="AY509" s="46"/>
      <c r="AZ509" s="46"/>
      <c r="BA509" s="46"/>
      <c r="BB509" s="46"/>
      <c r="BC509"/>
      <c r="BD509"/>
      <c r="BE509"/>
      <c r="BF509"/>
      <c r="BG509"/>
      <c r="BH509"/>
      <c r="BI509"/>
      <c r="BJ509"/>
      <c r="BK509"/>
      <c r="BL509"/>
      <c r="BM509"/>
      <c r="BN509"/>
    </row>
    <row r="510" spans="1:66" x14ac:dyDescent="0.25">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c r="BD510"/>
      <c r="BE510"/>
      <c r="BF510"/>
      <c r="BG510"/>
      <c r="BH510"/>
      <c r="BI510"/>
      <c r="BJ510"/>
      <c r="BK510"/>
      <c r="BL510"/>
      <c r="BM510"/>
      <c r="BN510"/>
    </row>
    <row r="511" spans="1:66" x14ac:dyDescent="0.25">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c r="AM511" s="46"/>
      <c r="AN511" s="46"/>
      <c r="AO511" s="46"/>
      <c r="AP511" s="46"/>
      <c r="AQ511" s="46"/>
      <c r="AR511" s="46"/>
      <c r="AS511" s="46"/>
      <c r="AT511" s="46"/>
      <c r="AU511" s="46"/>
      <c r="AV511" s="46"/>
      <c r="AW511" s="46"/>
      <c r="AX511" s="46"/>
      <c r="AY511" s="46"/>
      <c r="AZ511" s="46"/>
      <c r="BA511" s="46"/>
      <c r="BB511" s="46"/>
      <c r="BC511"/>
      <c r="BD511"/>
      <c r="BE511"/>
      <c r="BF511"/>
      <c r="BG511"/>
      <c r="BH511"/>
      <c r="BI511"/>
      <c r="BJ511"/>
      <c r="BK511"/>
      <c r="BL511"/>
      <c r="BM511"/>
      <c r="BN511"/>
    </row>
    <row r="512" spans="1:66" x14ac:dyDescent="0.25">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c r="AM512" s="46"/>
      <c r="AN512" s="46"/>
      <c r="AO512" s="46"/>
      <c r="AP512" s="46"/>
      <c r="AQ512" s="46"/>
      <c r="AR512" s="46"/>
      <c r="AS512" s="46"/>
      <c r="AT512" s="46"/>
      <c r="AU512" s="46"/>
      <c r="AV512" s="46"/>
      <c r="AW512" s="46"/>
      <c r="AX512" s="46"/>
      <c r="AY512" s="46"/>
      <c r="AZ512" s="46"/>
      <c r="BA512" s="46"/>
      <c r="BB512" s="46"/>
      <c r="BC512"/>
      <c r="BD512"/>
      <c r="BE512"/>
      <c r="BF512"/>
      <c r="BG512"/>
      <c r="BH512"/>
      <c r="BI512"/>
      <c r="BJ512"/>
      <c r="BK512"/>
      <c r="BL512"/>
      <c r="BM512"/>
      <c r="BN512"/>
    </row>
    <row r="513" spans="1:66" x14ac:dyDescent="0.25">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46"/>
      <c r="AO513" s="46"/>
      <c r="AP513" s="46"/>
      <c r="AQ513" s="46"/>
      <c r="AR513" s="46"/>
      <c r="AS513" s="46"/>
      <c r="AT513" s="46"/>
      <c r="AU513" s="46"/>
      <c r="AV513" s="46"/>
      <c r="AW513" s="46"/>
      <c r="AX513" s="46"/>
      <c r="AY513" s="46"/>
      <c r="AZ513" s="46"/>
      <c r="BA513" s="46"/>
      <c r="BB513" s="46"/>
      <c r="BC513"/>
      <c r="BD513"/>
      <c r="BE513"/>
      <c r="BF513"/>
      <c r="BG513"/>
      <c r="BH513"/>
      <c r="BI513"/>
      <c r="BJ513"/>
      <c r="BK513"/>
      <c r="BL513"/>
      <c r="BM513"/>
      <c r="BN513"/>
    </row>
    <row r="514" spans="1:66" x14ac:dyDescent="0.25">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c r="AM514" s="46"/>
      <c r="AN514" s="46"/>
      <c r="AO514" s="46"/>
      <c r="AP514" s="46"/>
      <c r="AQ514" s="46"/>
      <c r="AR514" s="46"/>
      <c r="AS514" s="46"/>
      <c r="AT514" s="46"/>
      <c r="AU514" s="46"/>
      <c r="AV514" s="46"/>
      <c r="AW514" s="46"/>
      <c r="AX514" s="46"/>
      <c r="AY514" s="46"/>
      <c r="AZ514" s="46"/>
      <c r="BA514" s="46"/>
      <c r="BB514" s="46"/>
      <c r="BC514"/>
      <c r="BD514"/>
      <c r="BE514"/>
      <c r="BF514"/>
      <c r="BG514"/>
      <c r="BH514"/>
      <c r="BI514"/>
      <c r="BJ514"/>
      <c r="BK514"/>
      <c r="BL514"/>
      <c r="BM514"/>
      <c r="BN514"/>
    </row>
    <row r="515" spans="1:66" x14ac:dyDescent="0.25">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c r="AM515" s="46"/>
      <c r="AN515" s="46"/>
      <c r="AO515" s="46"/>
      <c r="AP515" s="46"/>
      <c r="AQ515" s="46"/>
      <c r="AR515" s="46"/>
      <c r="AS515" s="46"/>
      <c r="AT515" s="46"/>
      <c r="AU515" s="46"/>
      <c r="AV515" s="46"/>
      <c r="AW515" s="46"/>
      <c r="AX515" s="46"/>
      <c r="AY515" s="46"/>
      <c r="AZ515" s="46"/>
      <c r="BA515" s="46"/>
      <c r="BB515" s="46"/>
      <c r="BC515"/>
      <c r="BD515"/>
      <c r="BE515"/>
      <c r="BF515"/>
      <c r="BG515"/>
      <c r="BH515"/>
      <c r="BI515"/>
      <c r="BJ515"/>
      <c r="BK515"/>
      <c r="BL515"/>
      <c r="BM515"/>
      <c r="BN515"/>
    </row>
    <row r="516" spans="1:66" x14ac:dyDescent="0.25">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c r="AM516" s="46"/>
      <c r="AN516" s="46"/>
      <c r="AO516" s="46"/>
      <c r="AP516" s="46"/>
      <c r="AQ516" s="46"/>
      <c r="AR516" s="46"/>
      <c r="AS516" s="46"/>
      <c r="AT516" s="46"/>
      <c r="AU516" s="46"/>
      <c r="AV516" s="46"/>
      <c r="AW516" s="46"/>
      <c r="AX516" s="46"/>
      <c r="AY516" s="46"/>
      <c r="AZ516" s="46"/>
      <c r="BA516" s="46"/>
      <c r="BB516" s="46"/>
      <c r="BC516"/>
      <c r="BD516"/>
      <c r="BE516"/>
      <c r="BF516"/>
      <c r="BG516"/>
      <c r="BH516"/>
      <c r="BI516"/>
      <c r="BJ516"/>
      <c r="BK516"/>
      <c r="BL516"/>
      <c r="BM516"/>
      <c r="BN516"/>
    </row>
    <row r="517" spans="1:66" x14ac:dyDescent="0.25">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c r="AM517" s="46"/>
      <c r="AN517" s="46"/>
      <c r="AO517" s="46"/>
      <c r="AP517" s="46"/>
      <c r="AQ517" s="46"/>
      <c r="AR517" s="46"/>
      <c r="AS517" s="46"/>
      <c r="AT517" s="46"/>
      <c r="AU517" s="46"/>
      <c r="AV517" s="46"/>
      <c r="AW517" s="46"/>
      <c r="AX517" s="46"/>
      <c r="AY517" s="46"/>
      <c r="AZ517" s="46"/>
      <c r="BA517" s="46"/>
      <c r="BB517" s="46"/>
      <c r="BC517"/>
      <c r="BD517"/>
      <c r="BE517"/>
      <c r="BF517"/>
      <c r="BG517"/>
      <c r="BH517"/>
      <c r="BI517"/>
      <c r="BJ517"/>
      <c r="BK517"/>
      <c r="BL517"/>
      <c r="BM517"/>
      <c r="BN517"/>
    </row>
    <row r="518" spans="1:66" x14ac:dyDescent="0.25">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c r="BA518" s="46"/>
      <c r="BB518" s="46"/>
      <c r="BC518"/>
      <c r="BD518"/>
      <c r="BE518"/>
      <c r="BF518"/>
      <c r="BG518"/>
      <c r="BH518"/>
      <c r="BI518"/>
      <c r="BJ518"/>
      <c r="BK518"/>
      <c r="BL518"/>
      <c r="BM518"/>
      <c r="BN518"/>
    </row>
    <row r="519" spans="1:66" x14ac:dyDescent="0.25">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c r="AM519" s="46"/>
      <c r="AN519" s="46"/>
      <c r="AO519" s="46"/>
      <c r="AP519" s="46"/>
      <c r="AQ519" s="46"/>
      <c r="AR519" s="46"/>
      <c r="AS519" s="46"/>
      <c r="AT519" s="46"/>
      <c r="AU519" s="46"/>
      <c r="AV519" s="46"/>
      <c r="AW519" s="46"/>
      <c r="AX519" s="46"/>
      <c r="AY519" s="46"/>
      <c r="AZ519" s="46"/>
      <c r="BA519" s="46"/>
      <c r="BB519" s="46"/>
      <c r="BC519"/>
      <c r="BD519"/>
      <c r="BE519"/>
      <c r="BF519"/>
      <c r="BG519"/>
      <c r="BH519"/>
      <c r="BI519"/>
      <c r="BJ519"/>
      <c r="BK519"/>
      <c r="BL519"/>
      <c r="BM519"/>
      <c r="BN519"/>
    </row>
    <row r="520" spans="1:66" x14ac:dyDescent="0.25">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c r="AM520" s="46"/>
      <c r="AN520" s="46"/>
      <c r="AO520" s="46"/>
      <c r="AP520" s="46"/>
      <c r="AQ520" s="46"/>
      <c r="AR520" s="46"/>
      <c r="AS520" s="46"/>
      <c r="AT520" s="46"/>
      <c r="AU520" s="46"/>
      <c r="AV520" s="46"/>
      <c r="AW520" s="46"/>
      <c r="AX520" s="46"/>
      <c r="AY520" s="46"/>
      <c r="AZ520" s="46"/>
      <c r="BA520" s="46"/>
      <c r="BB520" s="46"/>
      <c r="BC520"/>
      <c r="BD520"/>
      <c r="BE520"/>
      <c r="BF520"/>
      <c r="BG520"/>
      <c r="BH520"/>
      <c r="BI520"/>
      <c r="BJ520"/>
      <c r="BK520"/>
      <c r="BL520"/>
      <c r="BM520"/>
      <c r="BN520"/>
    </row>
    <row r="521" spans="1:66" x14ac:dyDescent="0.25">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c r="AM521" s="46"/>
      <c r="AN521" s="46"/>
      <c r="AO521" s="46"/>
      <c r="AP521" s="46"/>
      <c r="AQ521" s="46"/>
      <c r="AR521" s="46"/>
      <c r="AS521" s="46"/>
      <c r="AT521" s="46"/>
      <c r="AU521" s="46"/>
      <c r="AV521" s="46"/>
      <c r="AW521" s="46"/>
      <c r="AX521" s="46"/>
      <c r="AY521" s="46"/>
      <c r="AZ521" s="46"/>
      <c r="BA521" s="46"/>
      <c r="BB521" s="46"/>
      <c r="BC521"/>
      <c r="BD521"/>
      <c r="BE521"/>
      <c r="BF521"/>
      <c r="BG521"/>
      <c r="BH521"/>
      <c r="BI521"/>
      <c r="BJ521"/>
      <c r="BK521"/>
      <c r="BL521"/>
      <c r="BM521"/>
      <c r="BN521"/>
    </row>
    <row r="522" spans="1:66" x14ac:dyDescent="0.25">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c r="AM522" s="46"/>
      <c r="AN522" s="46"/>
      <c r="AO522" s="46"/>
      <c r="AP522" s="46"/>
      <c r="AQ522" s="46"/>
      <c r="AR522" s="46"/>
      <c r="AS522" s="46"/>
      <c r="AT522" s="46"/>
      <c r="AU522" s="46"/>
      <c r="AV522" s="46"/>
      <c r="AW522" s="46"/>
      <c r="AX522" s="46"/>
      <c r="AY522" s="46"/>
      <c r="AZ522" s="46"/>
      <c r="BA522" s="46"/>
      <c r="BB522" s="46"/>
      <c r="BC522"/>
      <c r="BD522"/>
      <c r="BE522"/>
      <c r="BF522"/>
      <c r="BG522"/>
      <c r="BH522"/>
      <c r="BI522"/>
      <c r="BJ522"/>
      <c r="BK522"/>
      <c r="BL522"/>
      <c r="BM522"/>
      <c r="BN522"/>
    </row>
    <row r="523" spans="1:66" x14ac:dyDescent="0.25">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46"/>
      <c r="AL523" s="46"/>
      <c r="AM523" s="46"/>
      <c r="AN523" s="46"/>
      <c r="AO523" s="46"/>
      <c r="AP523" s="46"/>
      <c r="AQ523" s="46"/>
      <c r="AR523" s="46"/>
      <c r="AS523" s="46"/>
      <c r="AT523" s="46"/>
      <c r="AU523" s="46"/>
      <c r="AV523" s="46"/>
      <c r="AW523" s="46"/>
      <c r="AX523" s="46"/>
      <c r="AY523" s="46"/>
      <c r="AZ523" s="46"/>
      <c r="BA523" s="46"/>
      <c r="BB523" s="46"/>
    </row>
    <row r="524" spans="1:66" x14ac:dyDescent="0.25">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46"/>
      <c r="AL524" s="46"/>
      <c r="AM524" s="46"/>
      <c r="AN524" s="46"/>
      <c r="AO524" s="46"/>
      <c r="AP524" s="46"/>
      <c r="AQ524" s="46"/>
      <c r="AR524" s="46"/>
      <c r="AS524" s="46"/>
      <c r="AT524" s="46"/>
      <c r="AU524" s="46"/>
      <c r="AV524" s="46"/>
      <c r="AW524" s="46"/>
      <c r="AX524" s="46"/>
      <c r="AY524" s="46"/>
      <c r="AZ524" s="46"/>
      <c r="BA524" s="46"/>
      <c r="BB524" s="46"/>
    </row>
    <row r="525" spans="1:66" x14ac:dyDescent="0.25">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46"/>
      <c r="AL525" s="46"/>
      <c r="AM525" s="46"/>
      <c r="AN525" s="46"/>
      <c r="AO525" s="46"/>
      <c r="AP525" s="46"/>
      <c r="AQ525" s="46"/>
      <c r="AR525" s="46"/>
      <c r="AS525" s="46"/>
      <c r="AT525" s="46"/>
      <c r="AU525" s="46"/>
      <c r="AV525" s="46"/>
      <c r="AW525" s="46"/>
      <c r="AX525" s="46"/>
      <c r="AY525" s="46"/>
      <c r="AZ525" s="46"/>
      <c r="BA525" s="46"/>
      <c r="BB525" s="46"/>
    </row>
    <row r="526" spans="1:66" x14ac:dyDescent="0.25">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c r="AL526" s="46"/>
      <c r="AM526" s="46"/>
      <c r="AN526" s="46"/>
      <c r="AO526" s="46"/>
      <c r="AP526" s="46"/>
      <c r="AQ526" s="46"/>
      <c r="AR526" s="46"/>
      <c r="AS526" s="46"/>
      <c r="AT526" s="46"/>
      <c r="AU526" s="46"/>
      <c r="AV526" s="46"/>
      <c r="AW526" s="46"/>
      <c r="AX526" s="46"/>
      <c r="AY526" s="46"/>
      <c r="AZ526" s="46"/>
      <c r="BA526" s="46"/>
      <c r="BB526" s="46"/>
    </row>
    <row r="527" spans="1:66" x14ac:dyDescent="0.25">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c r="AM527" s="46"/>
      <c r="AN527" s="46"/>
      <c r="AO527" s="46"/>
      <c r="AP527" s="46"/>
      <c r="AQ527" s="46"/>
      <c r="AR527" s="46"/>
      <c r="AS527" s="46"/>
      <c r="AT527" s="46"/>
      <c r="AU527" s="46"/>
      <c r="AV527" s="46"/>
      <c r="AW527" s="46"/>
      <c r="AX527" s="46"/>
      <c r="AY527" s="46"/>
      <c r="AZ527" s="46"/>
      <c r="BA527" s="46"/>
      <c r="BB527" s="46"/>
    </row>
    <row r="528" spans="1:66" x14ac:dyDescent="0.25">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c r="AL528" s="46"/>
      <c r="AM528" s="46"/>
      <c r="AN528" s="46"/>
      <c r="AO528" s="46"/>
      <c r="AP528" s="46"/>
      <c r="AQ528" s="46"/>
      <c r="AR528" s="46"/>
      <c r="AS528" s="46"/>
      <c r="AT528" s="46"/>
      <c r="AU528" s="46"/>
      <c r="AV528" s="46"/>
      <c r="AW528" s="46"/>
      <c r="AX528" s="46"/>
      <c r="AY528" s="46"/>
      <c r="AZ528" s="46"/>
      <c r="BA528" s="46"/>
      <c r="BB528" s="46"/>
    </row>
    <row r="529" spans="1:54" x14ac:dyDescent="0.25">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c r="AA529" s="46"/>
      <c r="AB529" s="46"/>
      <c r="AC529" s="46"/>
      <c r="AD529" s="46"/>
      <c r="AE529" s="46"/>
      <c r="AF529" s="46"/>
      <c r="AG529" s="46"/>
      <c r="AH529" s="46"/>
      <c r="AI529" s="46"/>
      <c r="AJ529" s="46"/>
      <c r="AK529" s="46"/>
      <c r="AL529" s="46"/>
      <c r="AM529" s="46"/>
      <c r="AN529" s="46"/>
      <c r="AO529" s="46"/>
      <c r="AP529" s="46"/>
      <c r="AQ529" s="46"/>
      <c r="AR529" s="46"/>
      <c r="AS529" s="46"/>
      <c r="AT529" s="46"/>
      <c r="AU529" s="46"/>
      <c r="AV529" s="46"/>
      <c r="AW529" s="46"/>
      <c r="AX529" s="46"/>
      <c r="AY529" s="46"/>
      <c r="AZ529" s="46"/>
      <c r="BA529" s="46"/>
      <c r="BB529" s="46"/>
    </row>
    <row r="530" spans="1:54" x14ac:dyDescent="0.25">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c r="AA530" s="46"/>
      <c r="AB530" s="46"/>
      <c r="AC530" s="46"/>
      <c r="AD530" s="46"/>
      <c r="AE530" s="46"/>
      <c r="AF530" s="46"/>
      <c r="AG530" s="46"/>
      <c r="AH530" s="46"/>
      <c r="AI530" s="46"/>
      <c r="AJ530" s="46"/>
      <c r="AK530" s="46"/>
      <c r="AL530" s="46"/>
      <c r="AM530" s="46"/>
      <c r="AN530" s="46"/>
      <c r="AO530" s="46"/>
      <c r="AP530" s="46"/>
      <c r="AQ530" s="46"/>
      <c r="AR530" s="46"/>
      <c r="AS530" s="46"/>
      <c r="AT530" s="46"/>
      <c r="AU530" s="46"/>
      <c r="AV530" s="46"/>
      <c r="AW530" s="46"/>
      <c r="AX530" s="46"/>
      <c r="AY530" s="46"/>
      <c r="AZ530" s="46"/>
      <c r="BA530" s="46"/>
      <c r="BB530" s="46"/>
    </row>
    <row r="531" spans="1:54" x14ac:dyDescent="0.25">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c r="AA531" s="46"/>
      <c r="AB531" s="46"/>
      <c r="AC531" s="46"/>
      <c r="AD531" s="46"/>
      <c r="AE531" s="46"/>
      <c r="AF531" s="46"/>
      <c r="AG531" s="46"/>
      <c r="AH531" s="46"/>
      <c r="AI531" s="46"/>
      <c r="AJ531" s="46"/>
      <c r="AK531" s="46"/>
      <c r="AL531" s="46"/>
      <c r="AM531" s="46"/>
      <c r="AN531" s="46"/>
      <c r="AO531" s="46"/>
      <c r="AP531" s="46"/>
      <c r="AQ531" s="46"/>
      <c r="AR531" s="46"/>
      <c r="AS531" s="46"/>
      <c r="AT531" s="46"/>
      <c r="AU531" s="46"/>
      <c r="AV531" s="46"/>
      <c r="AW531" s="46"/>
      <c r="AX531" s="46"/>
      <c r="AY531" s="46"/>
      <c r="AZ531" s="46"/>
      <c r="BA531" s="46"/>
      <c r="BB531" s="46"/>
    </row>
    <row r="532" spans="1:54" x14ac:dyDescent="0.25">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c r="AH532" s="46"/>
      <c r="AI532" s="46"/>
      <c r="AJ532" s="46"/>
      <c r="AK532" s="46"/>
      <c r="AL532" s="46"/>
      <c r="AM532" s="46"/>
      <c r="AN532" s="46"/>
      <c r="AO532" s="46"/>
      <c r="AP532" s="46"/>
      <c r="AQ532" s="46"/>
      <c r="AR532" s="46"/>
      <c r="AS532" s="46"/>
      <c r="AT532" s="46"/>
      <c r="AU532" s="46"/>
      <c r="AV532" s="46"/>
      <c r="AW532" s="46"/>
      <c r="AX532" s="46"/>
      <c r="AY532" s="46"/>
      <c r="AZ532" s="46"/>
      <c r="BA532" s="46"/>
      <c r="BB532" s="46"/>
    </row>
    <row r="533" spans="1:54" x14ac:dyDescent="0.25">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c r="AA533" s="46"/>
      <c r="AB533" s="46"/>
      <c r="AC533" s="46"/>
      <c r="AD533" s="46"/>
      <c r="AE533" s="46"/>
      <c r="AF533" s="46"/>
      <c r="AG533" s="46"/>
      <c r="AH533" s="46"/>
      <c r="AI533" s="46"/>
      <c r="AJ533" s="46"/>
      <c r="AK533" s="46"/>
      <c r="AL533" s="46"/>
      <c r="AM533" s="46"/>
      <c r="AN533" s="46"/>
      <c r="AO533" s="46"/>
      <c r="AP533" s="46"/>
      <c r="AQ533" s="46"/>
      <c r="AR533" s="46"/>
      <c r="AS533" s="46"/>
      <c r="AT533" s="46"/>
      <c r="AU533" s="46"/>
      <c r="AV533" s="46"/>
      <c r="AW533" s="46"/>
      <c r="AX533" s="46"/>
      <c r="AY533" s="46"/>
      <c r="AZ533" s="46"/>
      <c r="BA533" s="46"/>
      <c r="BB533" s="46"/>
    </row>
    <row r="534" spans="1:54" x14ac:dyDescent="0.25">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c r="AD534" s="46"/>
      <c r="AE534" s="46"/>
      <c r="AF534" s="46"/>
      <c r="AG534" s="46"/>
      <c r="AH534" s="46"/>
      <c r="AI534" s="46"/>
      <c r="AJ534" s="46"/>
      <c r="AK534" s="46"/>
      <c r="AL534" s="46"/>
      <c r="AM534" s="46"/>
      <c r="AN534" s="46"/>
      <c r="AO534" s="46"/>
      <c r="AP534" s="46"/>
      <c r="AQ534" s="46"/>
      <c r="AR534" s="46"/>
      <c r="AS534" s="46"/>
      <c r="AT534" s="46"/>
      <c r="AU534" s="46"/>
      <c r="AV534" s="46"/>
      <c r="AW534" s="46"/>
      <c r="AX534" s="46"/>
      <c r="AY534" s="46"/>
      <c r="AZ534" s="46"/>
      <c r="BA534" s="46"/>
      <c r="BB534" s="46"/>
    </row>
    <row r="535" spans="1:54" x14ac:dyDescent="0.25">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6"/>
      <c r="AF535" s="46"/>
      <c r="AG535" s="46"/>
      <c r="AH535" s="46"/>
      <c r="AI535" s="46"/>
      <c r="AJ535" s="46"/>
      <c r="AK535" s="46"/>
      <c r="AL535" s="46"/>
      <c r="AM535" s="46"/>
      <c r="AN535" s="46"/>
      <c r="AO535" s="46"/>
      <c r="AP535" s="46"/>
      <c r="AQ535" s="46"/>
      <c r="AR535" s="46"/>
      <c r="AS535" s="46"/>
      <c r="AT535" s="46"/>
      <c r="AU535" s="46"/>
      <c r="AV535" s="46"/>
      <c r="AW535" s="46"/>
      <c r="AX535" s="46"/>
      <c r="AY535" s="46"/>
      <c r="AZ535" s="46"/>
      <c r="BA535" s="46"/>
      <c r="BB535" s="46"/>
    </row>
    <row r="536" spans="1:54" x14ac:dyDescent="0.25">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c r="AA536" s="46"/>
      <c r="AB536" s="46"/>
      <c r="AC536" s="46"/>
      <c r="AD536" s="46"/>
      <c r="AE536" s="46"/>
      <c r="AF536" s="46"/>
      <c r="AG536" s="46"/>
      <c r="AH536" s="46"/>
      <c r="AI536" s="46"/>
      <c r="AJ536" s="46"/>
      <c r="AK536" s="46"/>
      <c r="AL536" s="46"/>
      <c r="AM536" s="46"/>
      <c r="AN536" s="46"/>
      <c r="AO536" s="46"/>
      <c r="AP536" s="46"/>
      <c r="AQ536" s="46"/>
      <c r="AR536" s="46"/>
      <c r="AS536" s="46"/>
      <c r="AT536" s="46"/>
      <c r="AU536" s="46"/>
      <c r="AV536" s="46"/>
      <c r="AW536" s="46"/>
      <c r="AX536" s="46"/>
      <c r="AY536" s="46"/>
      <c r="AZ536" s="46"/>
      <c r="BA536" s="46"/>
      <c r="BB536" s="46"/>
    </row>
    <row r="537" spans="1:54" x14ac:dyDescent="0.25">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c r="AD537" s="46"/>
      <c r="AE537" s="46"/>
      <c r="AF537" s="46"/>
      <c r="AG537" s="46"/>
      <c r="AH537" s="46"/>
      <c r="AI537" s="46"/>
      <c r="AJ537" s="46"/>
      <c r="AK537" s="46"/>
      <c r="AL537" s="46"/>
      <c r="AM537" s="46"/>
      <c r="AN537" s="46"/>
      <c r="AO537" s="46"/>
      <c r="AP537" s="46"/>
      <c r="AQ537" s="46"/>
      <c r="AR537" s="46"/>
      <c r="AS537" s="46"/>
      <c r="AT537" s="46"/>
      <c r="AU537" s="46"/>
      <c r="AV537" s="46"/>
      <c r="AW537" s="46"/>
      <c r="AX537" s="46"/>
      <c r="AY537" s="46"/>
      <c r="AZ537" s="46"/>
      <c r="BA537" s="46"/>
      <c r="BB537" s="46"/>
    </row>
    <row r="538" spans="1:54" x14ac:dyDescent="0.25">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c r="AD538" s="46"/>
      <c r="AE538" s="46"/>
      <c r="AF538" s="46"/>
      <c r="AG538" s="46"/>
      <c r="AH538" s="46"/>
      <c r="AI538" s="46"/>
      <c r="AJ538" s="46"/>
      <c r="AK538" s="46"/>
      <c r="AL538" s="46"/>
      <c r="AM538" s="46"/>
      <c r="AN538" s="46"/>
      <c r="AO538" s="46"/>
      <c r="AP538" s="46"/>
      <c r="AQ538" s="46"/>
      <c r="AR538" s="46"/>
      <c r="AS538" s="46"/>
      <c r="AT538" s="46"/>
      <c r="AU538" s="46"/>
      <c r="AV538" s="46"/>
      <c r="AW538" s="46"/>
      <c r="AX538" s="46"/>
      <c r="AY538" s="46"/>
      <c r="AZ538" s="46"/>
      <c r="BA538" s="46"/>
      <c r="BB538" s="46"/>
    </row>
    <row r="539" spans="1:54" x14ac:dyDescent="0.25">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6"/>
      <c r="AF539" s="46"/>
      <c r="AG539" s="46"/>
      <c r="AH539" s="46"/>
      <c r="AI539" s="46"/>
      <c r="AJ539" s="46"/>
      <c r="AK539" s="46"/>
      <c r="AL539" s="46"/>
      <c r="AM539" s="46"/>
      <c r="AN539" s="46"/>
      <c r="AO539" s="46"/>
      <c r="AP539" s="46"/>
      <c r="AQ539" s="46"/>
      <c r="AR539" s="46"/>
      <c r="AS539" s="46"/>
      <c r="AT539" s="46"/>
      <c r="AU539" s="46"/>
      <c r="AV539" s="46"/>
      <c r="AW539" s="46"/>
      <c r="AX539" s="46"/>
      <c r="AY539" s="46"/>
      <c r="AZ539" s="46"/>
      <c r="BA539" s="46"/>
      <c r="BB539" s="46"/>
    </row>
    <row r="540" spans="1:54" x14ac:dyDescent="0.25">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c r="AA540" s="46"/>
      <c r="AB540" s="46"/>
      <c r="AC540" s="46"/>
      <c r="AD540" s="46"/>
      <c r="AE540" s="46"/>
      <c r="AF540" s="46"/>
      <c r="AG540" s="46"/>
      <c r="AH540" s="46"/>
      <c r="AI540" s="46"/>
      <c r="AJ540" s="46"/>
      <c r="AK540" s="46"/>
      <c r="AL540" s="46"/>
      <c r="AM540" s="46"/>
      <c r="AN540" s="46"/>
      <c r="AO540" s="46"/>
      <c r="AP540" s="46"/>
      <c r="AQ540" s="46"/>
      <c r="AR540" s="46"/>
      <c r="AS540" s="46"/>
      <c r="AT540" s="46"/>
      <c r="AU540" s="46"/>
      <c r="AV540" s="46"/>
      <c r="AW540" s="46"/>
      <c r="AX540" s="46"/>
      <c r="AY540" s="46"/>
      <c r="AZ540" s="46"/>
      <c r="BA540" s="46"/>
      <c r="BB540" s="46"/>
    </row>
    <row r="541" spans="1:54" x14ac:dyDescent="0.25">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46"/>
      <c r="AL541" s="46"/>
      <c r="AM541" s="46"/>
      <c r="AN541" s="46"/>
      <c r="AO541" s="46"/>
      <c r="AP541" s="46"/>
      <c r="AQ541" s="46"/>
      <c r="AR541" s="46"/>
      <c r="AS541" s="46"/>
      <c r="AT541" s="46"/>
      <c r="AU541" s="46"/>
      <c r="AV541" s="46"/>
      <c r="AW541" s="46"/>
      <c r="AX541" s="46"/>
      <c r="AY541" s="46"/>
      <c r="AZ541" s="46"/>
      <c r="BA541" s="46"/>
      <c r="BB541" s="46"/>
    </row>
    <row r="542" spans="1:54" x14ac:dyDescent="0.25">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c r="AD542" s="46"/>
      <c r="AE542" s="46"/>
      <c r="AF542" s="46"/>
      <c r="AG542" s="46"/>
      <c r="AH542" s="46"/>
      <c r="AI542" s="46"/>
      <c r="AJ542" s="46"/>
      <c r="AK542" s="46"/>
      <c r="AL542" s="46"/>
      <c r="AM542" s="46"/>
      <c r="AN542" s="46"/>
      <c r="AO542" s="46"/>
      <c r="AP542" s="46"/>
      <c r="AQ542" s="46"/>
      <c r="AR542" s="46"/>
      <c r="AS542" s="46"/>
      <c r="AT542" s="46"/>
      <c r="AU542" s="46"/>
      <c r="AV542" s="46"/>
      <c r="AW542" s="46"/>
      <c r="AX542" s="46"/>
      <c r="AY542" s="46"/>
      <c r="AZ542" s="46"/>
      <c r="BA542" s="46"/>
      <c r="BB542" s="46"/>
    </row>
    <row r="543" spans="1:54" x14ac:dyDescent="0.25">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c r="AA543" s="46"/>
      <c r="AB543" s="46"/>
      <c r="AC543" s="46"/>
      <c r="AD543" s="46"/>
      <c r="AE543" s="46"/>
      <c r="AF543" s="46"/>
      <c r="AG543" s="46"/>
      <c r="AH543" s="46"/>
      <c r="AI543" s="46"/>
      <c r="AJ543" s="46"/>
      <c r="AK543" s="46"/>
      <c r="AL543" s="46"/>
      <c r="AM543" s="46"/>
      <c r="AN543" s="46"/>
      <c r="AO543" s="46"/>
      <c r="AP543" s="46"/>
      <c r="AQ543" s="46"/>
      <c r="AR543" s="46"/>
      <c r="AS543" s="46"/>
      <c r="AT543" s="46"/>
      <c r="AU543" s="46"/>
      <c r="AV543" s="46"/>
      <c r="AW543" s="46"/>
      <c r="AX543" s="46"/>
      <c r="AY543" s="46"/>
      <c r="AZ543" s="46"/>
      <c r="BA543" s="46"/>
      <c r="BB543" s="46"/>
    </row>
    <row r="544" spans="1:54" x14ac:dyDescent="0.25">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c r="AA544" s="46"/>
      <c r="AB544" s="46"/>
      <c r="AC544" s="46"/>
      <c r="AD544" s="46"/>
      <c r="AE544" s="46"/>
      <c r="AF544" s="46"/>
      <c r="AG544" s="46"/>
      <c r="AH544" s="46"/>
      <c r="AI544" s="46"/>
      <c r="AJ544" s="46"/>
      <c r="AK544" s="46"/>
      <c r="AL544" s="46"/>
      <c r="AM544" s="46"/>
      <c r="AN544" s="46"/>
      <c r="AO544" s="46"/>
      <c r="AP544" s="46"/>
      <c r="AQ544" s="46"/>
      <c r="AR544" s="46"/>
      <c r="AS544" s="46"/>
      <c r="AT544" s="46"/>
      <c r="AU544" s="46"/>
      <c r="AV544" s="46"/>
      <c r="AW544" s="46"/>
      <c r="AX544" s="46"/>
      <c r="AY544" s="46"/>
      <c r="AZ544" s="46"/>
      <c r="BA544" s="46"/>
      <c r="BB544" s="46"/>
    </row>
    <row r="545" spans="1:54" x14ac:dyDescent="0.25">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c r="AF545" s="46"/>
      <c r="AG545" s="46"/>
      <c r="AH545" s="46"/>
      <c r="AI545" s="46"/>
      <c r="AJ545" s="46"/>
      <c r="AK545" s="46"/>
      <c r="AL545" s="46"/>
      <c r="AM545" s="46"/>
      <c r="AN545" s="46"/>
      <c r="AO545" s="46"/>
      <c r="AP545" s="46"/>
      <c r="AQ545" s="46"/>
      <c r="AR545" s="46"/>
      <c r="AS545" s="46"/>
      <c r="AT545" s="46"/>
      <c r="AU545" s="46"/>
      <c r="AV545" s="46"/>
      <c r="AW545" s="46"/>
      <c r="AX545" s="46"/>
      <c r="AY545" s="46"/>
      <c r="AZ545" s="46"/>
      <c r="BA545" s="46"/>
      <c r="BB545" s="46"/>
    </row>
    <row r="546" spans="1:54" x14ac:dyDescent="0.25">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c r="AA546" s="46"/>
      <c r="AB546" s="46"/>
      <c r="AC546" s="46"/>
      <c r="AD546" s="46"/>
      <c r="AE546" s="46"/>
      <c r="AF546" s="46"/>
      <c r="AG546" s="46"/>
      <c r="AH546" s="46"/>
      <c r="AI546" s="46"/>
      <c r="AJ546" s="46"/>
      <c r="AK546" s="46"/>
      <c r="AL546" s="46"/>
      <c r="AM546" s="46"/>
      <c r="AN546" s="46"/>
      <c r="AO546" s="46"/>
      <c r="AP546" s="46"/>
      <c r="AQ546" s="46"/>
      <c r="AR546" s="46"/>
      <c r="AS546" s="46"/>
      <c r="AT546" s="46"/>
      <c r="AU546" s="46"/>
      <c r="AV546" s="46"/>
      <c r="AW546" s="46"/>
      <c r="AX546" s="46"/>
      <c r="AY546" s="46"/>
      <c r="AZ546" s="46"/>
      <c r="BA546" s="46"/>
      <c r="BB546" s="46"/>
    </row>
    <row r="547" spans="1:54" x14ac:dyDescent="0.25">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c r="AA547" s="46"/>
      <c r="AB547" s="46"/>
      <c r="AC547" s="46"/>
      <c r="AD547" s="46"/>
      <c r="AE547" s="46"/>
      <c r="AF547" s="46"/>
      <c r="AG547" s="46"/>
      <c r="AH547" s="46"/>
      <c r="AI547" s="46"/>
      <c r="AJ547" s="46"/>
      <c r="AK547" s="46"/>
      <c r="AL547" s="46"/>
      <c r="AM547" s="46"/>
      <c r="AN547" s="46"/>
      <c r="AO547" s="46"/>
      <c r="AP547" s="46"/>
      <c r="AQ547" s="46"/>
      <c r="AR547" s="46"/>
      <c r="AS547" s="46"/>
      <c r="AT547" s="46"/>
      <c r="AU547" s="46"/>
      <c r="AV547" s="46"/>
      <c r="AW547" s="46"/>
      <c r="AX547" s="46"/>
      <c r="AY547" s="46"/>
      <c r="AZ547" s="46"/>
      <c r="BA547" s="46"/>
      <c r="BB547" s="46"/>
    </row>
    <row r="548" spans="1:54" x14ac:dyDescent="0.25">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c r="AF548" s="46"/>
      <c r="AG548" s="46"/>
      <c r="AH548" s="46"/>
      <c r="AI548" s="46"/>
      <c r="AJ548" s="46"/>
      <c r="AK548" s="46"/>
      <c r="AL548" s="46"/>
      <c r="AM548" s="46"/>
      <c r="AN548" s="46"/>
      <c r="AO548" s="46"/>
      <c r="AP548" s="46"/>
      <c r="AQ548" s="46"/>
      <c r="AR548" s="46"/>
      <c r="AS548" s="46"/>
      <c r="AT548" s="46"/>
      <c r="AU548" s="46"/>
      <c r="AV548" s="46"/>
      <c r="AW548" s="46"/>
      <c r="AX548" s="46"/>
      <c r="AY548" s="46"/>
      <c r="AZ548" s="46"/>
      <c r="BA548" s="46"/>
      <c r="BB548" s="46"/>
    </row>
    <row r="549" spans="1:54" x14ac:dyDescent="0.25">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6"/>
      <c r="AF549" s="46"/>
      <c r="AG549" s="46"/>
      <c r="AH549" s="46"/>
      <c r="AI549" s="46"/>
      <c r="AJ549" s="46"/>
      <c r="AK549" s="46"/>
      <c r="AL549" s="46"/>
      <c r="AM549" s="46"/>
      <c r="AN549" s="46"/>
      <c r="AO549" s="46"/>
      <c r="AP549" s="46"/>
      <c r="AQ549" s="46"/>
      <c r="AR549" s="46"/>
      <c r="AS549" s="46"/>
      <c r="AT549" s="46"/>
      <c r="AU549" s="46"/>
      <c r="AV549" s="46"/>
      <c r="AW549" s="46"/>
      <c r="AX549" s="46"/>
      <c r="AY549" s="46"/>
      <c r="AZ549" s="46"/>
      <c r="BA549" s="46"/>
      <c r="BB549" s="46"/>
    </row>
    <row r="550" spans="1:54" x14ac:dyDescent="0.25">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c r="AL550" s="46"/>
      <c r="AM550" s="46"/>
      <c r="AN550" s="46"/>
      <c r="AO550" s="46"/>
      <c r="AP550" s="46"/>
      <c r="AQ550" s="46"/>
      <c r="AR550" s="46"/>
      <c r="AS550" s="46"/>
      <c r="AT550" s="46"/>
      <c r="AU550" s="46"/>
      <c r="AV550" s="46"/>
      <c r="AW550" s="46"/>
      <c r="AX550" s="46"/>
      <c r="AY550" s="46"/>
      <c r="AZ550" s="46"/>
      <c r="BA550" s="46"/>
      <c r="BB550" s="46"/>
    </row>
    <row r="551" spans="1:54" x14ac:dyDescent="0.25">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c r="AM551" s="46"/>
      <c r="AN551" s="46"/>
      <c r="AO551" s="46"/>
      <c r="AP551" s="46"/>
      <c r="AQ551" s="46"/>
      <c r="AR551" s="46"/>
      <c r="AS551" s="46"/>
      <c r="AT551" s="46"/>
      <c r="AU551" s="46"/>
      <c r="AV551" s="46"/>
      <c r="AW551" s="46"/>
      <c r="AX551" s="46"/>
      <c r="AY551" s="46"/>
      <c r="AZ551" s="46"/>
      <c r="BA551" s="46"/>
      <c r="BB551" s="46"/>
    </row>
    <row r="552" spans="1:54" x14ac:dyDescent="0.25">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6"/>
      <c r="AF552" s="46"/>
      <c r="AG552" s="46"/>
      <c r="AH552" s="46"/>
      <c r="AI552" s="46"/>
      <c r="AJ552" s="46"/>
      <c r="AK552" s="46"/>
      <c r="AL552" s="46"/>
      <c r="AM552" s="46"/>
      <c r="AN552" s="46"/>
      <c r="AO552" s="46"/>
      <c r="AP552" s="46"/>
      <c r="AQ552" s="46"/>
      <c r="AR552" s="46"/>
      <c r="AS552" s="46"/>
      <c r="AT552" s="46"/>
      <c r="AU552" s="46"/>
      <c r="AV552" s="46"/>
      <c r="AW552" s="46"/>
      <c r="AX552" s="46"/>
      <c r="AY552" s="46"/>
      <c r="AZ552" s="46"/>
      <c r="BA552" s="46"/>
      <c r="BB552" s="46"/>
    </row>
    <row r="553" spans="1:54" x14ac:dyDescent="0.25">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6"/>
      <c r="AF553" s="46"/>
      <c r="AG553" s="46"/>
      <c r="AH553" s="46"/>
      <c r="AI553" s="46"/>
      <c r="AJ553" s="46"/>
      <c r="AK553" s="46"/>
      <c r="AL553" s="46"/>
      <c r="AM553" s="46"/>
      <c r="AN553" s="46"/>
      <c r="AO553" s="46"/>
      <c r="AP553" s="46"/>
      <c r="AQ553" s="46"/>
      <c r="AR553" s="46"/>
      <c r="AS553" s="46"/>
      <c r="AT553" s="46"/>
      <c r="AU553" s="46"/>
      <c r="AV553" s="46"/>
      <c r="AW553" s="46"/>
      <c r="AX553" s="46"/>
      <c r="AY553" s="46"/>
      <c r="AZ553" s="46"/>
      <c r="BA553" s="46"/>
      <c r="BB553" s="46"/>
    </row>
    <row r="554" spans="1:54" x14ac:dyDescent="0.25">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46"/>
      <c r="AL554" s="46"/>
      <c r="AM554" s="46"/>
      <c r="AN554" s="46"/>
      <c r="AO554" s="46"/>
      <c r="AP554" s="46"/>
      <c r="AQ554" s="46"/>
      <c r="AR554" s="46"/>
      <c r="AS554" s="46"/>
      <c r="AT554" s="46"/>
      <c r="AU554" s="46"/>
      <c r="AV554" s="46"/>
      <c r="AW554" s="46"/>
      <c r="AX554" s="46"/>
      <c r="AY554" s="46"/>
      <c r="AZ554" s="46"/>
      <c r="BA554" s="46"/>
      <c r="BB554" s="46"/>
    </row>
    <row r="555" spans="1:54" x14ac:dyDescent="0.25">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46"/>
      <c r="AL555" s="46"/>
      <c r="AM555" s="46"/>
      <c r="AN555" s="46"/>
      <c r="AO555" s="46"/>
      <c r="AP555" s="46"/>
      <c r="AQ555" s="46"/>
      <c r="AR555" s="46"/>
      <c r="AS555" s="46"/>
      <c r="AT555" s="46"/>
      <c r="AU555" s="46"/>
      <c r="AV555" s="46"/>
      <c r="AW555" s="46"/>
      <c r="AX555" s="46"/>
      <c r="AY555" s="46"/>
      <c r="AZ555" s="46"/>
      <c r="BA555" s="46"/>
      <c r="BB555" s="46"/>
    </row>
    <row r="556" spans="1:54" x14ac:dyDescent="0.25">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46"/>
      <c r="AL556" s="46"/>
      <c r="AM556" s="46"/>
      <c r="AN556" s="46"/>
      <c r="AO556" s="46"/>
      <c r="AP556" s="46"/>
      <c r="AQ556" s="46"/>
      <c r="AR556" s="46"/>
      <c r="AS556" s="46"/>
      <c r="AT556" s="46"/>
      <c r="AU556" s="46"/>
      <c r="AV556" s="46"/>
      <c r="AW556" s="46"/>
      <c r="AX556" s="46"/>
      <c r="AY556" s="46"/>
      <c r="AZ556" s="46"/>
      <c r="BA556" s="46"/>
      <c r="BB556" s="46"/>
    </row>
    <row r="557" spans="1:54" x14ac:dyDescent="0.25">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c r="AH557" s="46"/>
      <c r="AI557" s="46"/>
      <c r="AJ557" s="46"/>
      <c r="AK557" s="46"/>
      <c r="AL557" s="46"/>
      <c r="AM557" s="46"/>
      <c r="AN557" s="46"/>
      <c r="AO557" s="46"/>
      <c r="AP557" s="46"/>
      <c r="AQ557" s="46"/>
      <c r="AR557" s="46"/>
      <c r="AS557" s="46"/>
      <c r="AT557" s="46"/>
      <c r="AU557" s="46"/>
      <c r="AV557" s="46"/>
      <c r="AW557" s="46"/>
      <c r="AX557" s="46"/>
      <c r="AY557" s="46"/>
      <c r="AZ557" s="46"/>
      <c r="BA557" s="46"/>
      <c r="BB557" s="46"/>
    </row>
    <row r="558" spans="1:54" x14ac:dyDescent="0.25">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46"/>
      <c r="AL558" s="46"/>
      <c r="AM558" s="46"/>
      <c r="AN558" s="46"/>
      <c r="AO558" s="46"/>
      <c r="AP558" s="46"/>
      <c r="AQ558" s="46"/>
      <c r="AR558" s="46"/>
      <c r="AS558" s="46"/>
      <c r="AT558" s="46"/>
      <c r="AU558" s="46"/>
      <c r="AV558" s="46"/>
      <c r="AW558" s="46"/>
      <c r="AX558" s="46"/>
      <c r="AY558" s="46"/>
      <c r="AZ558" s="46"/>
      <c r="BA558" s="46"/>
      <c r="BB558" s="46"/>
    </row>
    <row r="559" spans="1:54" x14ac:dyDescent="0.25">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c r="AM559" s="46"/>
      <c r="AN559" s="46"/>
      <c r="AO559" s="46"/>
      <c r="AP559" s="46"/>
      <c r="AQ559" s="46"/>
      <c r="AR559" s="46"/>
      <c r="AS559" s="46"/>
      <c r="AT559" s="46"/>
      <c r="AU559" s="46"/>
      <c r="AV559" s="46"/>
      <c r="AW559" s="46"/>
      <c r="AX559" s="46"/>
      <c r="AY559" s="46"/>
      <c r="AZ559" s="46"/>
      <c r="BA559" s="46"/>
      <c r="BB559" s="46"/>
    </row>
    <row r="560" spans="1:54" x14ac:dyDescent="0.25">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c r="AL560" s="46"/>
      <c r="AM560" s="46"/>
      <c r="AN560" s="46"/>
      <c r="AO560" s="46"/>
      <c r="AP560" s="46"/>
      <c r="AQ560" s="46"/>
      <c r="AR560" s="46"/>
      <c r="AS560" s="46"/>
      <c r="AT560" s="46"/>
      <c r="AU560" s="46"/>
      <c r="AV560" s="46"/>
      <c r="AW560" s="46"/>
      <c r="AX560" s="46"/>
      <c r="AY560" s="46"/>
      <c r="AZ560" s="46"/>
      <c r="BA560" s="46"/>
      <c r="BB560" s="46"/>
    </row>
    <row r="561" spans="1:54" x14ac:dyDescent="0.25">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c r="AC561" s="46"/>
      <c r="AD561" s="46"/>
      <c r="AE561" s="46"/>
      <c r="AF561" s="46"/>
      <c r="AG561" s="46"/>
      <c r="AH561" s="46"/>
      <c r="AI561" s="46"/>
      <c r="AJ561" s="46"/>
      <c r="AK561" s="46"/>
      <c r="AL561" s="46"/>
      <c r="AM561" s="46"/>
      <c r="AN561" s="46"/>
      <c r="AO561" s="46"/>
      <c r="AP561" s="46"/>
      <c r="AQ561" s="46"/>
      <c r="AR561" s="46"/>
      <c r="AS561" s="46"/>
      <c r="AT561" s="46"/>
      <c r="AU561" s="46"/>
      <c r="AV561" s="46"/>
      <c r="AW561" s="46"/>
      <c r="AX561" s="46"/>
      <c r="AY561" s="46"/>
      <c r="AZ561" s="46"/>
      <c r="BA561" s="46"/>
      <c r="BB561" s="46"/>
    </row>
    <row r="562" spans="1:54" x14ac:dyDescent="0.25">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c r="AC562" s="46"/>
      <c r="AD562" s="46"/>
      <c r="AE562" s="46"/>
      <c r="AF562" s="46"/>
      <c r="AG562" s="46"/>
      <c r="AH562" s="46"/>
      <c r="AI562" s="46"/>
      <c r="AJ562" s="46"/>
      <c r="AK562" s="46"/>
      <c r="AL562" s="46"/>
      <c r="AM562" s="46"/>
      <c r="AN562" s="46"/>
      <c r="AO562" s="46"/>
      <c r="AP562" s="46"/>
      <c r="AQ562" s="46"/>
      <c r="AR562" s="46"/>
      <c r="AS562" s="46"/>
      <c r="AT562" s="46"/>
      <c r="AU562" s="46"/>
      <c r="AV562" s="46"/>
      <c r="AW562" s="46"/>
      <c r="AX562" s="46"/>
      <c r="AY562" s="46"/>
      <c r="AZ562" s="46"/>
      <c r="BA562" s="46"/>
      <c r="BB562" s="46"/>
    </row>
    <row r="563" spans="1:54" x14ac:dyDescent="0.25">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c r="AC563" s="46"/>
      <c r="AD563" s="46"/>
      <c r="AE563" s="46"/>
      <c r="AF563" s="46"/>
      <c r="AG563" s="46"/>
      <c r="AH563" s="46"/>
      <c r="AI563" s="46"/>
      <c r="AJ563" s="46"/>
      <c r="AK563" s="46"/>
      <c r="AL563" s="46"/>
      <c r="AM563" s="46"/>
      <c r="AN563" s="46"/>
      <c r="AO563" s="46"/>
      <c r="AP563" s="46"/>
      <c r="AQ563" s="46"/>
      <c r="AR563" s="46"/>
      <c r="AS563" s="46"/>
      <c r="AT563" s="46"/>
      <c r="AU563" s="46"/>
      <c r="AV563" s="46"/>
      <c r="AW563" s="46"/>
      <c r="AX563" s="46"/>
      <c r="AY563" s="46"/>
      <c r="AZ563" s="46"/>
      <c r="BA563" s="46"/>
      <c r="BB563" s="46"/>
    </row>
    <row r="564" spans="1:54" x14ac:dyDescent="0.25">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c r="AC564" s="46"/>
      <c r="AD564" s="46"/>
      <c r="AE564" s="46"/>
      <c r="AF564" s="46"/>
      <c r="AG564" s="46"/>
      <c r="AH564" s="46"/>
      <c r="AI564" s="46"/>
      <c r="AJ564" s="46"/>
      <c r="AK564" s="46"/>
      <c r="AL564" s="46"/>
      <c r="AM564" s="46"/>
      <c r="AN564" s="46"/>
      <c r="AO564" s="46"/>
      <c r="AP564" s="46"/>
      <c r="AQ564" s="46"/>
      <c r="AR564" s="46"/>
      <c r="AS564" s="46"/>
      <c r="AT564" s="46"/>
      <c r="AU564" s="46"/>
      <c r="AV564" s="46"/>
      <c r="AW564" s="46"/>
      <c r="AX564" s="46"/>
      <c r="AY564" s="46"/>
      <c r="AZ564" s="46"/>
      <c r="BA564" s="46"/>
      <c r="BB564" s="46"/>
    </row>
    <row r="565" spans="1:54" x14ac:dyDescent="0.25">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c r="AC565" s="46"/>
      <c r="AD565" s="46"/>
      <c r="AE565" s="46"/>
      <c r="AF565" s="46"/>
      <c r="AG565" s="46"/>
      <c r="AH565" s="46"/>
      <c r="AI565" s="46"/>
      <c r="AJ565" s="46"/>
      <c r="AK565" s="46"/>
      <c r="AL565" s="46"/>
      <c r="AM565" s="46"/>
      <c r="AN565" s="46"/>
      <c r="AO565" s="46"/>
      <c r="AP565" s="46"/>
      <c r="AQ565" s="46"/>
      <c r="AR565" s="46"/>
      <c r="AS565" s="46"/>
      <c r="AT565" s="46"/>
      <c r="AU565" s="46"/>
      <c r="AV565" s="46"/>
      <c r="AW565" s="46"/>
      <c r="AX565" s="46"/>
      <c r="AY565" s="46"/>
      <c r="AZ565" s="46"/>
      <c r="BA565" s="46"/>
      <c r="BB565" s="46"/>
    </row>
    <row r="566" spans="1:54" x14ac:dyDescent="0.25">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c r="AA566" s="46"/>
      <c r="AB566" s="46"/>
      <c r="AC566" s="46"/>
      <c r="AD566" s="46"/>
      <c r="AE566" s="46"/>
      <c r="AF566" s="46"/>
      <c r="AG566" s="46"/>
      <c r="AH566" s="46"/>
      <c r="AI566" s="46"/>
      <c r="AJ566" s="46"/>
      <c r="AK566" s="46"/>
      <c r="AL566" s="46"/>
      <c r="AM566" s="46"/>
      <c r="AN566" s="46"/>
      <c r="AO566" s="46"/>
      <c r="AP566" s="46"/>
      <c r="AQ566" s="46"/>
      <c r="AR566" s="46"/>
      <c r="AS566" s="46"/>
      <c r="AT566" s="46"/>
      <c r="AU566" s="46"/>
      <c r="AV566" s="46"/>
      <c r="AW566" s="46"/>
      <c r="AX566" s="46"/>
      <c r="AY566" s="46"/>
      <c r="AZ566" s="46"/>
      <c r="BA566" s="46"/>
      <c r="BB566" s="46"/>
    </row>
    <row r="567" spans="1:54" x14ac:dyDescent="0.25">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6"/>
      <c r="AF567" s="46"/>
      <c r="AG567" s="46"/>
      <c r="AH567" s="46"/>
      <c r="AI567" s="46"/>
      <c r="AJ567" s="46"/>
      <c r="AK567" s="46"/>
      <c r="AL567" s="46"/>
      <c r="AM567" s="46"/>
      <c r="AN567" s="46"/>
      <c r="AO567" s="46"/>
      <c r="AP567" s="46"/>
      <c r="AQ567" s="46"/>
      <c r="AR567" s="46"/>
      <c r="AS567" s="46"/>
      <c r="AT567" s="46"/>
      <c r="AU567" s="46"/>
      <c r="AV567" s="46"/>
      <c r="AW567" s="46"/>
      <c r="AX567" s="46"/>
      <c r="AY567" s="46"/>
      <c r="AZ567" s="46"/>
      <c r="BA567" s="46"/>
      <c r="BB567" s="46"/>
    </row>
    <row r="568" spans="1:54" x14ac:dyDescent="0.25">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6"/>
      <c r="AF568" s="46"/>
      <c r="AG568" s="46"/>
      <c r="AH568" s="46"/>
      <c r="AI568" s="46"/>
      <c r="AJ568" s="46"/>
      <c r="AK568" s="46"/>
      <c r="AL568" s="46"/>
      <c r="AM568" s="46"/>
      <c r="AN568" s="46"/>
      <c r="AO568" s="46"/>
      <c r="AP568" s="46"/>
      <c r="AQ568" s="46"/>
      <c r="AR568" s="46"/>
      <c r="AS568" s="46"/>
      <c r="AT568" s="46"/>
      <c r="AU568" s="46"/>
      <c r="AV568" s="46"/>
      <c r="AW568" s="46"/>
      <c r="AX568" s="46"/>
      <c r="AY568" s="46"/>
      <c r="AZ568" s="46"/>
      <c r="BA568" s="46"/>
      <c r="BB568" s="46"/>
    </row>
    <row r="569" spans="1:54" x14ac:dyDescent="0.25">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6"/>
      <c r="AF569" s="46"/>
      <c r="AG569" s="46"/>
      <c r="AH569" s="46"/>
      <c r="AI569" s="46"/>
      <c r="AJ569" s="46"/>
      <c r="AK569" s="46"/>
      <c r="AL569" s="46"/>
      <c r="AM569" s="46"/>
      <c r="AN569" s="46"/>
      <c r="AO569" s="46"/>
      <c r="AP569" s="46"/>
      <c r="AQ569" s="46"/>
      <c r="AR569" s="46"/>
      <c r="AS569" s="46"/>
      <c r="AT569" s="46"/>
      <c r="AU569" s="46"/>
      <c r="AV569" s="46"/>
      <c r="AW569" s="46"/>
      <c r="AX569" s="46"/>
      <c r="AY569" s="46"/>
      <c r="AZ569" s="46"/>
      <c r="BA569" s="46"/>
      <c r="BB569" s="46"/>
    </row>
    <row r="570" spans="1:54" x14ac:dyDescent="0.25">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46"/>
      <c r="AL570" s="46"/>
      <c r="AM570" s="46"/>
      <c r="AN570" s="46"/>
      <c r="AO570" s="46"/>
      <c r="AP570" s="46"/>
      <c r="AQ570" s="46"/>
      <c r="AR570" s="46"/>
      <c r="AS570" s="46"/>
      <c r="AT570" s="46"/>
      <c r="AU570" s="46"/>
      <c r="AV570" s="46"/>
      <c r="AW570" s="46"/>
      <c r="AX570" s="46"/>
      <c r="AY570" s="46"/>
      <c r="AZ570" s="46"/>
      <c r="BA570" s="46"/>
      <c r="BB570" s="46"/>
    </row>
    <row r="571" spans="1:54" x14ac:dyDescent="0.25">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6"/>
      <c r="AF571" s="46"/>
      <c r="AG571" s="46"/>
      <c r="AH571" s="46"/>
      <c r="AI571" s="46"/>
      <c r="AJ571" s="46"/>
      <c r="AK571" s="46"/>
      <c r="AL571" s="46"/>
      <c r="AM571" s="46"/>
      <c r="AN571" s="46"/>
      <c r="AO571" s="46"/>
      <c r="AP571" s="46"/>
      <c r="AQ571" s="46"/>
      <c r="AR571" s="46"/>
      <c r="AS571" s="46"/>
      <c r="AT571" s="46"/>
      <c r="AU571" s="46"/>
      <c r="AV571" s="46"/>
      <c r="AW571" s="46"/>
      <c r="AX571" s="46"/>
      <c r="AY571" s="46"/>
      <c r="AZ571" s="46"/>
      <c r="BA571" s="46"/>
      <c r="BB571" s="46"/>
    </row>
    <row r="572" spans="1:54" x14ac:dyDescent="0.25">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c r="AF572" s="46"/>
      <c r="AG572" s="46"/>
      <c r="AH572" s="46"/>
      <c r="AI572" s="46"/>
      <c r="AJ572" s="46"/>
      <c r="AK572" s="46"/>
      <c r="AL572" s="46"/>
      <c r="AM572" s="46"/>
      <c r="AN572" s="46"/>
      <c r="AO572" s="46"/>
      <c r="AP572" s="46"/>
      <c r="AQ572" s="46"/>
      <c r="AR572" s="46"/>
      <c r="AS572" s="46"/>
      <c r="AT572" s="46"/>
      <c r="AU572" s="46"/>
      <c r="AV572" s="46"/>
      <c r="AW572" s="46"/>
      <c r="AX572" s="46"/>
      <c r="AY572" s="46"/>
      <c r="AZ572" s="46"/>
      <c r="BA572" s="46"/>
      <c r="BB572" s="46"/>
    </row>
    <row r="573" spans="1:54" x14ac:dyDescent="0.25">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c r="AM573" s="46"/>
      <c r="AN573" s="46"/>
      <c r="AO573" s="46"/>
      <c r="AP573" s="46"/>
      <c r="AQ573" s="46"/>
      <c r="AR573" s="46"/>
      <c r="AS573" s="46"/>
      <c r="AT573" s="46"/>
      <c r="AU573" s="46"/>
      <c r="AV573" s="46"/>
      <c r="AW573" s="46"/>
      <c r="AX573" s="46"/>
      <c r="AY573" s="46"/>
      <c r="AZ573" s="46"/>
      <c r="BA573" s="46"/>
      <c r="BB573" s="46"/>
    </row>
    <row r="574" spans="1:54" x14ac:dyDescent="0.25">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c r="AH574" s="46"/>
      <c r="AI574" s="46"/>
      <c r="AJ574" s="46"/>
      <c r="AK574" s="46"/>
      <c r="AL574" s="46"/>
      <c r="AM574" s="46"/>
      <c r="AN574" s="46"/>
      <c r="AO574" s="46"/>
      <c r="AP574" s="46"/>
      <c r="AQ574" s="46"/>
      <c r="AR574" s="46"/>
      <c r="AS574" s="46"/>
      <c r="AT574" s="46"/>
      <c r="AU574" s="46"/>
      <c r="AV574" s="46"/>
      <c r="AW574" s="46"/>
      <c r="AX574" s="46"/>
      <c r="AY574" s="46"/>
      <c r="AZ574" s="46"/>
      <c r="BA574" s="46"/>
      <c r="BB574" s="46"/>
    </row>
    <row r="575" spans="1:54" x14ac:dyDescent="0.25">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c r="AM575" s="46"/>
      <c r="AN575" s="46"/>
      <c r="AO575" s="46"/>
      <c r="AP575" s="46"/>
      <c r="AQ575" s="46"/>
      <c r="AR575" s="46"/>
      <c r="AS575" s="46"/>
      <c r="AT575" s="46"/>
      <c r="AU575" s="46"/>
      <c r="AV575" s="46"/>
      <c r="AW575" s="46"/>
      <c r="AX575" s="46"/>
      <c r="AY575" s="46"/>
      <c r="AZ575" s="46"/>
      <c r="BA575" s="46"/>
      <c r="BB575" s="46"/>
    </row>
    <row r="576" spans="1:54" x14ac:dyDescent="0.25">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c r="AM576" s="46"/>
      <c r="AN576" s="46"/>
      <c r="AO576" s="46"/>
      <c r="AP576" s="46"/>
      <c r="AQ576" s="46"/>
      <c r="AR576" s="46"/>
      <c r="AS576" s="46"/>
      <c r="AT576" s="46"/>
      <c r="AU576" s="46"/>
      <c r="AV576" s="46"/>
      <c r="AW576" s="46"/>
      <c r="AX576" s="46"/>
      <c r="AY576" s="46"/>
      <c r="AZ576" s="46"/>
      <c r="BA576" s="46"/>
      <c r="BB576" s="46"/>
    </row>
    <row r="577" spans="1:54" x14ac:dyDescent="0.25">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c r="AM577" s="46"/>
      <c r="AN577" s="46"/>
      <c r="AO577" s="46"/>
      <c r="AP577" s="46"/>
      <c r="AQ577" s="46"/>
      <c r="AR577" s="46"/>
      <c r="AS577" s="46"/>
      <c r="AT577" s="46"/>
      <c r="AU577" s="46"/>
      <c r="AV577" s="46"/>
      <c r="AW577" s="46"/>
      <c r="AX577" s="46"/>
      <c r="AY577" s="46"/>
      <c r="AZ577" s="46"/>
      <c r="BA577" s="46"/>
      <c r="BB577" s="46"/>
    </row>
    <row r="578" spans="1:54" x14ac:dyDescent="0.25">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c r="AL578" s="46"/>
      <c r="AM578" s="46"/>
      <c r="AN578" s="46"/>
      <c r="AO578" s="46"/>
      <c r="AP578" s="46"/>
      <c r="AQ578" s="46"/>
      <c r="AR578" s="46"/>
      <c r="AS578" s="46"/>
      <c r="AT578" s="46"/>
      <c r="AU578" s="46"/>
      <c r="AV578" s="46"/>
      <c r="AW578" s="46"/>
      <c r="AX578" s="46"/>
      <c r="AY578" s="46"/>
      <c r="AZ578" s="46"/>
      <c r="BA578" s="46"/>
      <c r="BB578" s="46"/>
    </row>
    <row r="579" spans="1:54" x14ac:dyDescent="0.25">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c r="AL579" s="46"/>
      <c r="AM579" s="46"/>
      <c r="AN579" s="46"/>
      <c r="AO579" s="46"/>
      <c r="AP579" s="46"/>
      <c r="AQ579" s="46"/>
      <c r="AR579" s="46"/>
      <c r="AS579" s="46"/>
      <c r="AT579" s="46"/>
      <c r="AU579" s="46"/>
      <c r="AV579" s="46"/>
      <c r="AW579" s="46"/>
      <c r="AX579" s="46"/>
      <c r="AY579" s="46"/>
      <c r="AZ579" s="46"/>
      <c r="BA579" s="46"/>
      <c r="BB579" s="46"/>
    </row>
    <row r="580" spans="1:54" x14ac:dyDescent="0.25">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c r="AD580" s="46"/>
      <c r="AE580" s="46"/>
      <c r="AF580" s="46"/>
      <c r="AG580" s="46"/>
      <c r="AH580" s="46"/>
      <c r="AI580" s="46"/>
      <c r="AJ580" s="46"/>
      <c r="AK580" s="46"/>
      <c r="AL580" s="46"/>
      <c r="AM580" s="46"/>
      <c r="AN580" s="46"/>
      <c r="AO580" s="46"/>
      <c r="AP580" s="46"/>
      <c r="AQ580" s="46"/>
      <c r="AR580" s="46"/>
      <c r="AS580" s="46"/>
      <c r="AT580" s="46"/>
      <c r="AU580" s="46"/>
      <c r="AV580" s="46"/>
      <c r="AW580" s="46"/>
      <c r="AX580" s="46"/>
      <c r="AY580" s="46"/>
      <c r="AZ580" s="46"/>
      <c r="BA580" s="46"/>
      <c r="BB580" s="46"/>
    </row>
    <row r="581" spans="1:54" x14ac:dyDescent="0.25">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c r="AD581" s="46"/>
      <c r="AE581" s="46"/>
      <c r="AF581" s="46"/>
      <c r="AG581" s="46"/>
      <c r="AH581" s="46"/>
      <c r="AI581" s="46"/>
      <c r="AJ581" s="46"/>
      <c r="AK581" s="46"/>
      <c r="AL581" s="46"/>
      <c r="AM581" s="46"/>
      <c r="AN581" s="46"/>
      <c r="AO581" s="46"/>
      <c r="AP581" s="46"/>
      <c r="AQ581" s="46"/>
      <c r="AR581" s="46"/>
      <c r="AS581" s="46"/>
      <c r="AT581" s="46"/>
      <c r="AU581" s="46"/>
      <c r="AV581" s="46"/>
      <c r="AW581" s="46"/>
      <c r="AX581" s="46"/>
      <c r="AY581" s="46"/>
      <c r="AZ581" s="46"/>
      <c r="BA581" s="46"/>
      <c r="BB581" s="46"/>
    </row>
    <row r="582" spans="1:54" x14ac:dyDescent="0.25">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6"/>
      <c r="AF582" s="46"/>
      <c r="AG582" s="46"/>
      <c r="AH582" s="46"/>
      <c r="AI582" s="46"/>
      <c r="AJ582" s="46"/>
      <c r="AK582" s="46"/>
      <c r="AL582" s="46"/>
      <c r="AM582" s="46"/>
      <c r="AN582" s="46"/>
      <c r="AO582" s="46"/>
      <c r="AP582" s="46"/>
      <c r="AQ582" s="46"/>
      <c r="AR582" s="46"/>
      <c r="AS582" s="46"/>
      <c r="AT582" s="46"/>
      <c r="AU582" s="46"/>
      <c r="AV582" s="46"/>
      <c r="AW582" s="46"/>
      <c r="AX582" s="46"/>
      <c r="AY582" s="46"/>
      <c r="AZ582" s="46"/>
      <c r="BA582" s="46"/>
      <c r="BB582" s="46"/>
    </row>
    <row r="583" spans="1:54" x14ac:dyDescent="0.25">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c r="AD583" s="46"/>
      <c r="AE583" s="46"/>
      <c r="AF583" s="46"/>
      <c r="AG583" s="46"/>
      <c r="AH583" s="46"/>
      <c r="AI583" s="46"/>
      <c r="AJ583" s="46"/>
      <c r="AK583" s="46"/>
      <c r="AL583" s="46"/>
      <c r="AM583" s="46"/>
      <c r="AN583" s="46"/>
      <c r="AO583" s="46"/>
      <c r="AP583" s="46"/>
      <c r="AQ583" s="46"/>
      <c r="AR583" s="46"/>
      <c r="AS583" s="46"/>
      <c r="AT583" s="46"/>
      <c r="AU583" s="46"/>
      <c r="AV583" s="46"/>
      <c r="AW583" s="46"/>
      <c r="AX583" s="46"/>
      <c r="AY583" s="46"/>
      <c r="AZ583" s="46"/>
      <c r="BA583" s="46"/>
      <c r="BB583" s="46"/>
    </row>
    <row r="584" spans="1:54" x14ac:dyDescent="0.25">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c r="AD584" s="46"/>
      <c r="AE584" s="46"/>
      <c r="AF584" s="46"/>
      <c r="AG584" s="46"/>
      <c r="AH584" s="46"/>
      <c r="AI584" s="46"/>
      <c r="AJ584" s="46"/>
      <c r="AK584" s="46"/>
      <c r="AL584" s="46"/>
      <c r="AM584" s="46"/>
      <c r="AN584" s="46"/>
      <c r="AO584" s="46"/>
      <c r="AP584" s="46"/>
      <c r="AQ584" s="46"/>
      <c r="AR584" s="46"/>
      <c r="AS584" s="46"/>
      <c r="AT584" s="46"/>
      <c r="AU584" s="46"/>
      <c r="AV584" s="46"/>
      <c r="AW584" s="46"/>
      <c r="AX584" s="46"/>
      <c r="AY584" s="46"/>
      <c r="AZ584" s="46"/>
      <c r="BA584" s="46"/>
      <c r="BB584" s="46"/>
    </row>
    <row r="585" spans="1:54" x14ac:dyDescent="0.25">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c r="AA585" s="46"/>
      <c r="AB585" s="46"/>
      <c r="AC585" s="46"/>
      <c r="AD585" s="46"/>
      <c r="AE585" s="46"/>
      <c r="AF585" s="46"/>
      <c r="AG585" s="46"/>
      <c r="AH585" s="46"/>
      <c r="AI585" s="46"/>
      <c r="AJ585" s="46"/>
      <c r="AK585" s="46"/>
      <c r="AL585" s="46"/>
      <c r="AM585" s="46"/>
      <c r="AN585" s="46"/>
      <c r="AO585" s="46"/>
      <c r="AP585" s="46"/>
      <c r="AQ585" s="46"/>
      <c r="AR585" s="46"/>
      <c r="AS585" s="46"/>
      <c r="AT585" s="46"/>
      <c r="AU585" s="46"/>
      <c r="AV585" s="46"/>
      <c r="AW585" s="46"/>
      <c r="AX585" s="46"/>
      <c r="AY585" s="46"/>
      <c r="AZ585" s="46"/>
      <c r="BA585" s="46"/>
      <c r="BB585" s="46"/>
    </row>
    <row r="586" spans="1:54" x14ac:dyDescent="0.25">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6"/>
      <c r="AF586" s="46"/>
      <c r="AG586" s="46"/>
      <c r="AH586" s="46"/>
      <c r="AI586" s="46"/>
      <c r="AJ586" s="46"/>
      <c r="AK586" s="46"/>
      <c r="AL586" s="46"/>
      <c r="AM586" s="46"/>
      <c r="AN586" s="46"/>
      <c r="AO586" s="46"/>
      <c r="AP586" s="46"/>
      <c r="AQ586" s="46"/>
      <c r="AR586" s="46"/>
      <c r="AS586" s="46"/>
      <c r="AT586" s="46"/>
      <c r="AU586" s="46"/>
      <c r="AV586" s="46"/>
      <c r="AW586" s="46"/>
      <c r="AX586" s="46"/>
      <c r="AY586" s="46"/>
      <c r="AZ586" s="46"/>
      <c r="BA586" s="46"/>
      <c r="BB586" s="46"/>
    </row>
    <row r="587" spans="1:54" x14ac:dyDescent="0.25">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6"/>
      <c r="AF587" s="46"/>
      <c r="AG587" s="46"/>
      <c r="AH587" s="46"/>
      <c r="AI587" s="46"/>
      <c r="AJ587" s="46"/>
      <c r="AK587" s="46"/>
      <c r="AL587" s="46"/>
      <c r="AM587" s="46"/>
      <c r="AN587" s="46"/>
      <c r="AO587" s="46"/>
      <c r="AP587" s="46"/>
      <c r="AQ587" s="46"/>
      <c r="AR587" s="46"/>
      <c r="AS587" s="46"/>
      <c r="AT587" s="46"/>
      <c r="AU587" s="46"/>
      <c r="AV587" s="46"/>
      <c r="AW587" s="46"/>
      <c r="AX587" s="46"/>
      <c r="AY587" s="46"/>
      <c r="AZ587" s="46"/>
      <c r="BA587" s="46"/>
      <c r="BB587" s="46"/>
    </row>
    <row r="588" spans="1:54" x14ac:dyDescent="0.25">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46"/>
      <c r="AL588" s="46"/>
      <c r="AM588" s="46"/>
      <c r="AN588" s="46"/>
      <c r="AO588" s="46"/>
      <c r="AP588" s="46"/>
      <c r="AQ588" s="46"/>
      <c r="AR588" s="46"/>
      <c r="AS588" s="46"/>
      <c r="AT588" s="46"/>
      <c r="AU588" s="46"/>
      <c r="AV588" s="46"/>
      <c r="AW588" s="46"/>
      <c r="AX588" s="46"/>
      <c r="AY588" s="46"/>
      <c r="AZ588" s="46"/>
      <c r="BA588" s="46"/>
      <c r="BB588" s="46"/>
    </row>
    <row r="589" spans="1:54" x14ac:dyDescent="0.25">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6"/>
      <c r="AF589" s="46"/>
      <c r="AG589" s="46"/>
      <c r="AH589" s="46"/>
      <c r="AI589" s="46"/>
      <c r="AJ589" s="46"/>
      <c r="AK589" s="46"/>
      <c r="AL589" s="46"/>
      <c r="AM589" s="46"/>
      <c r="AN589" s="46"/>
      <c r="AO589" s="46"/>
      <c r="AP589" s="46"/>
      <c r="AQ589" s="46"/>
      <c r="AR589" s="46"/>
      <c r="AS589" s="46"/>
      <c r="AT589" s="46"/>
      <c r="AU589" s="46"/>
      <c r="AV589" s="46"/>
      <c r="AW589" s="46"/>
      <c r="AX589" s="46"/>
      <c r="AY589" s="46"/>
      <c r="AZ589" s="46"/>
      <c r="BA589" s="46"/>
      <c r="BB589" s="46"/>
    </row>
    <row r="590" spans="1:54" x14ac:dyDescent="0.25">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c r="AA590" s="46"/>
      <c r="AB590" s="46"/>
      <c r="AC590" s="46"/>
      <c r="AD590" s="46"/>
      <c r="AE590" s="46"/>
      <c r="AF590" s="46"/>
      <c r="AG590" s="46"/>
      <c r="AH590" s="46"/>
      <c r="AI590" s="46"/>
      <c r="AJ590" s="46"/>
      <c r="AK590" s="46"/>
      <c r="AL590" s="46"/>
      <c r="AM590" s="46"/>
      <c r="AN590" s="46"/>
      <c r="AO590" s="46"/>
      <c r="AP590" s="46"/>
      <c r="AQ590" s="46"/>
      <c r="AR590" s="46"/>
      <c r="AS590" s="46"/>
      <c r="AT590" s="46"/>
      <c r="AU590" s="46"/>
      <c r="AV590" s="46"/>
      <c r="AW590" s="46"/>
      <c r="AX590" s="46"/>
      <c r="AY590" s="46"/>
      <c r="AZ590" s="46"/>
      <c r="BA590" s="46"/>
      <c r="BB590" s="46"/>
    </row>
    <row r="591" spans="1:54" x14ac:dyDescent="0.25">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6"/>
      <c r="AF591" s="46"/>
      <c r="AG591" s="46"/>
      <c r="AH591" s="46"/>
      <c r="AI591" s="46"/>
      <c r="AJ591" s="46"/>
      <c r="AK591" s="46"/>
      <c r="AL591" s="46"/>
      <c r="AM591" s="46"/>
      <c r="AN591" s="46"/>
      <c r="AO591" s="46"/>
      <c r="AP591" s="46"/>
      <c r="AQ591" s="46"/>
      <c r="AR591" s="46"/>
      <c r="AS591" s="46"/>
      <c r="AT591" s="46"/>
      <c r="AU591" s="46"/>
      <c r="AV591" s="46"/>
      <c r="AW591" s="46"/>
      <c r="AX591" s="46"/>
      <c r="AY591" s="46"/>
      <c r="AZ591" s="46"/>
      <c r="BA591" s="46"/>
      <c r="BB591" s="46"/>
    </row>
    <row r="592" spans="1:54" x14ac:dyDescent="0.25">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c r="AD592" s="46"/>
      <c r="AE592" s="46"/>
      <c r="AF592" s="46"/>
      <c r="AG592" s="46"/>
      <c r="AH592" s="46"/>
      <c r="AI592" s="46"/>
      <c r="AJ592" s="46"/>
      <c r="AK592" s="46"/>
      <c r="AL592" s="46"/>
      <c r="AM592" s="46"/>
      <c r="AN592" s="46"/>
      <c r="AO592" s="46"/>
      <c r="AP592" s="46"/>
      <c r="AQ592" s="46"/>
      <c r="AR592" s="46"/>
      <c r="AS592" s="46"/>
      <c r="AT592" s="46"/>
      <c r="AU592" s="46"/>
      <c r="AV592" s="46"/>
      <c r="AW592" s="46"/>
      <c r="AX592" s="46"/>
      <c r="AY592" s="46"/>
      <c r="AZ592" s="46"/>
      <c r="BA592" s="46"/>
      <c r="BB592" s="46"/>
    </row>
    <row r="593" spans="1:54" x14ac:dyDescent="0.25">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c r="AD593" s="46"/>
      <c r="AE593" s="46"/>
      <c r="AF593" s="46"/>
      <c r="AG593" s="46"/>
      <c r="AH593" s="46"/>
      <c r="AI593" s="46"/>
      <c r="AJ593" s="46"/>
      <c r="AK593" s="46"/>
      <c r="AL593" s="46"/>
      <c r="AM593" s="46"/>
      <c r="AN593" s="46"/>
      <c r="AO593" s="46"/>
      <c r="AP593" s="46"/>
      <c r="AQ593" s="46"/>
      <c r="AR593" s="46"/>
      <c r="AS593" s="46"/>
      <c r="AT593" s="46"/>
      <c r="AU593" s="46"/>
      <c r="AV593" s="46"/>
      <c r="AW593" s="46"/>
      <c r="AX593" s="46"/>
      <c r="AY593" s="46"/>
      <c r="AZ593" s="46"/>
      <c r="BA593" s="46"/>
      <c r="BB593" s="46"/>
    </row>
    <row r="594" spans="1:54" x14ac:dyDescent="0.25">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c r="AD594" s="46"/>
      <c r="AE594" s="46"/>
      <c r="AF594" s="46"/>
      <c r="AG594" s="46"/>
      <c r="AH594" s="46"/>
      <c r="AI594" s="46"/>
      <c r="AJ594" s="46"/>
      <c r="AK594" s="46"/>
      <c r="AL594" s="46"/>
      <c r="AM594" s="46"/>
      <c r="AN594" s="46"/>
      <c r="AO594" s="46"/>
      <c r="AP594" s="46"/>
      <c r="AQ594" s="46"/>
      <c r="AR594" s="46"/>
      <c r="AS594" s="46"/>
      <c r="AT594" s="46"/>
      <c r="AU594" s="46"/>
      <c r="AV594" s="46"/>
      <c r="AW594" s="46"/>
      <c r="AX594" s="46"/>
      <c r="AY594" s="46"/>
      <c r="AZ594" s="46"/>
      <c r="BA594" s="46"/>
      <c r="BB594" s="46"/>
    </row>
    <row r="595" spans="1:54" x14ac:dyDescent="0.25">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c r="AD595" s="46"/>
      <c r="AE595" s="46"/>
      <c r="AF595" s="46"/>
      <c r="AG595" s="46"/>
      <c r="AH595" s="46"/>
      <c r="AI595" s="46"/>
      <c r="AJ595" s="46"/>
      <c r="AK595" s="46"/>
      <c r="AL595" s="46"/>
      <c r="AM595" s="46"/>
      <c r="AN595" s="46"/>
      <c r="AO595" s="46"/>
      <c r="AP595" s="46"/>
      <c r="AQ595" s="46"/>
      <c r="AR595" s="46"/>
      <c r="AS595" s="46"/>
      <c r="AT595" s="46"/>
      <c r="AU595" s="46"/>
      <c r="AV595" s="46"/>
      <c r="AW595" s="46"/>
      <c r="AX595" s="46"/>
      <c r="AY595" s="46"/>
      <c r="AZ595" s="46"/>
      <c r="BA595" s="46"/>
      <c r="BB595" s="46"/>
    </row>
    <row r="596" spans="1:54" x14ac:dyDescent="0.25">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46"/>
      <c r="AL596" s="46"/>
      <c r="AM596" s="46"/>
      <c r="AN596" s="46"/>
      <c r="AO596" s="46"/>
      <c r="AP596" s="46"/>
      <c r="AQ596" s="46"/>
      <c r="AR596" s="46"/>
      <c r="AS596" s="46"/>
      <c r="AT596" s="46"/>
      <c r="AU596" s="46"/>
      <c r="AV596" s="46"/>
      <c r="AW596" s="46"/>
      <c r="AX596" s="46"/>
      <c r="AY596" s="46"/>
      <c r="AZ596" s="46"/>
      <c r="BA596" s="46"/>
      <c r="BB596" s="46"/>
    </row>
    <row r="597" spans="1:54" x14ac:dyDescent="0.25">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c r="AD597" s="46"/>
      <c r="AE597" s="46"/>
      <c r="AF597" s="46"/>
      <c r="AG597" s="46"/>
      <c r="AH597" s="46"/>
      <c r="AI597" s="46"/>
      <c r="AJ597" s="46"/>
      <c r="AK597" s="46"/>
      <c r="AL597" s="46"/>
      <c r="AM597" s="46"/>
      <c r="AN597" s="46"/>
      <c r="AO597" s="46"/>
      <c r="AP597" s="46"/>
      <c r="AQ597" s="46"/>
      <c r="AR597" s="46"/>
      <c r="AS597" s="46"/>
      <c r="AT597" s="46"/>
      <c r="AU597" s="46"/>
      <c r="AV597" s="46"/>
      <c r="AW597" s="46"/>
      <c r="AX597" s="46"/>
      <c r="AY597" s="46"/>
      <c r="AZ597" s="46"/>
      <c r="BA597" s="46"/>
      <c r="BB597" s="46"/>
    </row>
    <row r="598" spans="1:54" x14ac:dyDescent="0.25">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6"/>
      <c r="AF598" s="46"/>
      <c r="AG598" s="46"/>
      <c r="AH598" s="46"/>
      <c r="AI598" s="46"/>
      <c r="AJ598" s="46"/>
      <c r="AK598" s="46"/>
      <c r="AL598" s="46"/>
      <c r="AM598" s="46"/>
      <c r="AN598" s="46"/>
      <c r="AO598" s="46"/>
      <c r="AP598" s="46"/>
      <c r="AQ598" s="46"/>
      <c r="AR598" s="46"/>
      <c r="AS598" s="46"/>
      <c r="AT598" s="46"/>
      <c r="AU598" s="46"/>
      <c r="AV598" s="46"/>
      <c r="AW598" s="46"/>
      <c r="AX598" s="46"/>
      <c r="AY598" s="46"/>
      <c r="AZ598" s="46"/>
      <c r="BA598" s="46"/>
      <c r="BB598" s="46"/>
    </row>
    <row r="599" spans="1:54" x14ac:dyDescent="0.25">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c r="AD599" s="46"/>
      <c r="AE599" s="46"/>
      <c r="AF599" s="46"/>
      <c r="AG599" s="46"/>
      <c r="AH599" s="46"/>
      <c r="AI599" s="46"/>
      <c r="AJ599" s="46"/>
      <c r="AK599" s="46"/>
      <c r="AL599" s="46"/>
      <c r="AM599" s="46"/>
      <c r="AN599" s="46"/>
      <c r="AO599" s="46"/>
      <c r="AP599" s="46"/>
      <c r="AQ599" s="46"/>
      <c r="AR599" s="46"/>
      <c r="AS599" s="46"/>
      <c r="AT599" s="46"/>
      <c r="AU599" s="46"/>
      <c r="AV599" s="46"/>
      <c r="AW599" s="46"/>
      <c r="AX599" s="46"/>
      <c r="AY599" s="46"/>
      <c r="AZ599" s="46"/>
      <c r="BA599" s="46"/>
      <c r="BB599" s="46"/>
    </row>
    <row r="600" spans="1:54" x14ac:dyDescent="0.25">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c r="AD600" s="46"/>
      <c r="AE600" s="46"/>
      <c r="AF600" s="46"/>
      <c r="AG600" s="46"/>
      <c r="AH600" s="46"/>
      <c r="AI600" s="46"/>
      <c r="AJ600" s="46"/>
      <c r="AK600" s="46"/>
      <c r="AL600" s="46"/>
      <c r="AM600" s="46"/>
      <c r="AN600" s="46"/>
      <c r="AO600" s="46"/>
      <c r="AP600" s="46"/>
      <c r="AQ600" s="46"/>
      <c r="AR600" s="46"/>
      <c r="AS600" s="46"/>
      <c r="AT600" s="46"/>
      <c r="AU600" s="46"/>
      <c r="AV600" s="46"/>
      <c r="AW600" s="46"/>
      <c r="AX600" s="46"/>
      <c r="AY600" s="46"/>
      <c r="AZ600" s="46"/>
      <c r="BA600" s="46"/>
      <c r="BB600" s="46"/>
    </row>
    <row r="601" spans="1:54" x14ac:dyDescent="0.25">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c r="AL601" s="46"/>
      <c r="AM601" s="46"/>
      <c r="AN601" s="46"/>
      <c r="AO601" s="46"/>
      <c r="AP601" s="46"/>
      <c r="AQ601" s="46"/>
      <c r="AR601" s="46"/>
      <c r="AS601" s="46"/>
      <c r="AT601" s="46"/>
      <c r="AU601" s="46"/>
      <c r="AV601" s="46"/>
      <c r="AW601" s="46"/>
      <c r="AX601" s="46"/>
      <c r="AY601" s="46"/>
      <c r="AZ601" s="46"/>
      <c r="BA601" s="46"/>
      <c r="BB601" s="46"/>
    </row>
    <row r="602" spans="1:54" x14ac:dyDescent="0.25">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6"/>
      <c r="AF602" s="46"/>
      <c r="AG602" s="46"/>
      <c r="AH602" s="46"/>
      <c r="AI602" s="46"/>
      <c r="AJ602" s="46"/>
      <c r="AK602" s="46"/>
      <c r="AL602" s="46"/>
      <c r="AM602" s="46"/>
      <c r="AN602" s="46"/>
      <c r="AO602" s="46"/>
      <c r="AP602" s="46"/>
      <c r="AQ602" s="46"/>
      <c r="AR602" s="46"/>
      <c r="AS602" s="46"/>
      <c r="AT602" s="46"/>
      <c r="AU602" s="46"/>
      <c r="AV602" s="46"/>
      <c r="AW602" s="46"/>
      <c r="AX602" s="46"/>
      <c r="AY602" s="46"/>
      <c r="AZ602" s="46"/>
      <c r="BA602" s="46"/>
      <c r="BB602" s="46"/>
    </row>
    <row r="603" spans="1:54" x14ac:dyDescent="0.25">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c r="AA603" s="46"/>
      <c r="AB603" s="46"/>
      <c r="AC603" s="46"/>
      <c r="AD603" s="46"/>
      <c r="AE603" s="46"/>
      <c r="AF603" s="46"/>
      <c r="AG603" s="46"/>
      <c r="AH603" s="46"/>
      <c r="AI603" s="46"/>
      <c r="AJ603" s="46"/>
      <c r="AK603" s="46"/>
      <c r="AL603" s="46"/>
      <c r="AM603" s="46"/>
      <c r="AN603" s="46"/>
      <c r="AO603" s="46"/>
      <c r="AP603" s="46"/>
      <c r="AQ603" s="46"/>
      <c r="AR603" s="46"/>
      <c r="AS603" s="46"/>
      <c r="AT603" s="46"/>
      <c r="AU603" s="46"/>
      <c r="AV603" s="46"/>
      <c r="AW603" s="46"/>
      <c r="AX603" s="46"/>
      <c r="AY603" s="46"/>
      <c r="AZ603" s="46"/>
      <c r="BA603" s="46"/>
      <c r="BB603" s="46"/>
    </row>
    <row r="604" spans="1:54" x14ac:dyDescent="0.25">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c r="AD604" s="46"/>
      <c r="AE604" s="46"/>
      <c r="AF604" s="46"/>
      <c r="AG604" s="46"/>
      <c r="AH604" s="46"/>
      <c r="AI604" s="46"/>
      <c r="AJ604" s="46"/>
      <c r="AK604" s="46"/>
      <c r="AL604" s="46"/>
      <c r="AM604" s="46"/>
      <c r="AN604" s="46"/>
      <c r="AO604" s="46"/>
      <c r="AP604" s="46"/>
      <c r="AQ604" s="46"/>
      <c r="AR604" s="46"/>
      <c r="AS604" s="46"/>
      <c r="AT604" s="46"/>
      <c r="AU604" s="46"/>
      <c r="AV604" s="46"/>
      <c r="AW604" s="46"/>
      <c r="AX604" s="46"/>
      <c r="AY604" s="46"/>
      <c r="AZ604" s="46"/>
      <c r="BA604" s="46"/>
      <c r="BB604" s="46"/>
    </row>
    <row r="605" spans="1:54" x14ac:dyDescent="0.25">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6"/>
      <c r="AF605" s="46"/>
      <c r="AG605" s="46"/>
      <c r="AH605" s="46"/>
      <c r="AI605" s="46"/>
      <c r="AJ605" s="46"/>
      <c r="AK605" s="46"/>
      <c r="AL605" s="46"/>
      <c r="AM605" s="46"/>
      <c r="AN605" s="46"/>
      <c r="AO605" s="46"/>
      <c r="AP605" s="46"/>
      <c r="AQ605" s="46"/>
      <c r="AR605" s="46"/>
      <c r="AS605" s="46"/>
      <c r="AT605" s="46"/>
      <c r="AU605" s="46"/>
      <c r="AV605" s="46"/>
      <c r="AW605" s="46"/>
      <c r="AX605" s="46"/>
      <c r="AY605" s="46"/>
      <c r="AZ605" s="46"/>
      <c r="BA605" s="46"/>
      <c r="BB605" s="46"/>
    </row>
    <row r="606" spans="1:54" x14ac:dyDescent="0.25">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R606" s="46"/>
      <c r="AS606" s="46"/>
      <c r="AT606" s="46"/>
      <c r="AU606" s="46"/>
      <c r="AV606" s="46"/>
      <c r="AW606" s="46"/>
      <c r="AX606" s="46"/>
      <c r="AY606" s="46"/>
      <c r="AZ606" s="46"/>
      <c r="BA606" s="46"/>
      <c r="BB606" s="46"/>
    </row>
    <row r="607" spans="1:54" x14ac:dyDescent="0.25">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6"/>
      <c r="AF607" s="46"/>
      <c r="AG607" s="46"/>
      <c r="AH607" s="46"/>
      <c r="AI607" s="46"/>
      <c r="AJ607" s="46"/>
      <c r="AK607" s="46"/>
      <c r="AL607" s="46"/>
      <c r="AM607" s="46"/>
      <c r="AN607" s="46"/>
      <c r="AO607" s="46"/>
      <c r="AP607" s="46"/>
      <c r="AQ607" s="46"/>
      <c r="AR607" s="46"/>
      <c r="AS607" s="46"/>
      <c r="AT607" s="46"/>
      <c r="AU607" s="46"/>
      <c r="AV607" s="46"/>
      <c r="AW607" s="46"/>
      <c r="AX607" s="46"/>
      <c r="AY607" s="46"/>
      <c r="AZ607" s="46"/>
      <c r="BA607" s="46"/>
      <c r="BB607" s="46"/>
    </row>
    <row r="608" spans="1:54" x14ac:dyDescent="0.25">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c r="AD608" s="46"/>
      <c r="AE608" s="46"/>
      <c r="AF608" s="46"/>
      <c r="AG608" s="46"/>
      <c r="AH608" s="46"/>
      <c r="AI608" s="46"/>
      <c r="AJ608" s="46"/>
      <c r="AK608" s="46"/>
      <c r="AL608" s="46"/>
      <c r="AM608" s="46"/>
      <c r="AN608" s="46"/>
      <c r="AO608" s="46"/>
      <c r="AP608" s="46"/>
      <c r="AQ608" s="46"/>
      <c r="AR608" s="46"/>
      <c r="AS608" s="46"/>
      <c r="AT608" s="46"/>
      <c r="AU608" s="46"/>
      <c r="AV608" s="46"/>
      <c r="AW608" s="46"/>
      <c r="AX608" s="46"/>
      <c r="AY608" s="46"/>
      <c r="AZ608" s="46"/>
      <c r="BA608" s="46"/>
      <c r="BB608" s="46"/>
    </row>
    <row r="609" spans="1:54" x14ac:dyDescent="0.25">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c r="AD609" s="46"/>
      <c r="AE609" s="46"/>
      <c r="AF609" s="46"/>
      <c r="AG609" s="46"/>
      <c r="AH609" s="46"/>
      <c r="AI609" s="46"/>
      <c r="AJ609" s="46"/>
      <c r="AK609" s="46"/>
      <c r="AL609" s="46"/>
      <c r="AM609" s="46"/>
      <c r="AN609" s="46"/>
      <c r="AO609" s="46"/>
      <c r="AP609" s="46"/>
      <c r="AQ609" s="46"/>
      <c r="AR609" s="46"/>
      <c r="AS609" s="46"/>
      <c r="AT609" s="46"/>
      <c r="AU609" s="46"/>
      <c r="AV609" s="46"/>
      <c r="AW609" s="46"/>
      <c r="AX609" s="46"/>
      <c r="AY609" s="46"/>
      <c r="AZ609" s="46"/>
      <c r="BA609" s="46"/>
      <c r="BB609" s="46"/>
    </row>
    <row r="610" spans="1:54" x14ac:dyDescent="0.25">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6"/>
      <c r="AF610" s="46"/>
      <c r="AG610" s="46"/>
      <c r="AH610" s="46"/>
      <c r="AI610" s="46"/>
      <c r="AJ610" s="46"/>
      <c r="AK610" s="46"/>
      <c r="AL610" s="46"/>
      <c r="AM610" s="46"/>
      <c r="AN610" s="46"/>
      <c r="AO610" s="46"/>
      <c r="AP610" s="46"/>
      <c r="AQ610" s="46"/>
      <c r="AR610" s="46"/>
      <c r="AS610" s="46"/>
      <c r="AT610" s="46"/>
      <c r="AU610" s="46"/>
      <c r="AV610" s="46"/>
      <c r="AW610" s="46"/>
      <c r="AX610" s="46"/>
      <c r="AY610" s="46"/>
      <c r="AZ610" s="46"/>
      <c r="BA610" s="46"/>
      <c r="BB610" s="46"/>
    </row>
    <row r="611" spans="1:54" x14ac:dyDescent="0.25">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c r="AD611" s="46"/>
      <c r="AE611" s="46"/>
      <c r="AF611" s="46"/>
      <c r="AG611" s="46"/>
      <c r="AH611" s="46"/>
      <c r="AI611" s="46"/>
      <c r="AJ611" s="46"/>
      <c r="AK611" s="46"/>
      <c r="AL611" s="46"/>
      <c r="AM611" s="46"/>
      <c r="AN611" s="46"/>
      <c r="AO611" s="46"/>
      <c r="AP611" s="46"/>
      <c r="AQ611" s="46"/>
      <c r="AR611" s="46"/>
      <c r="AS611" s="46"/>
      <c r="AT611" s="46"/>
      <c r="AU611" s="46"/>
      <c r="AV611" s="46"/>
      <c r="AW611" s="46"/>
      <c r="AX611" s="46"/>
      <c r="AY611" s="46"/>
      <c r="AZ611" s="46"/>
      <c r="BA611" s="46"/>
      <c r="BB611" s="46"/>
    </row>
    <row r="612" spans="1:54" x14ac:dyDescent="0.25">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c r="AM612" s="46"/>
      <c r="AN612" s="46"/>
      <c r="AO612" s="46"/>
      <c r="AP612" s="46"/>
      <c r="AQ612" s="46"/>
      <c r="AR612" s="46"/>
      <c r="AS612" s="46"/>
      <c r="AT612" s="46"/>
      <c r="AU612" s="46"/>
      <c r="AV612" s="46"/>
      <c r="AW612" s="46"/>
      <c r="AX612" s="46"/>
      <c r="AY612" s="46"/>
      <c r="AZ612" s="46"/>
      <c r="BA612" s="46"/>
      <c r="BB612" s="46"/>
    </row>
    <row r="613" spans="1:54" x14ac:dyDescent="0.25">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c r="AD613" s="46"/>
      <c r="AE613" s="46"/>
      <c r="AF613" s="46"/>
      <c r="AG613" s="46"/>
      <c r="AH613" s="46"/>
      <c r="AI613" s="46"/>
      <c r="AJ613" s="46"/>
      <c r="AK613" s="46"/>
      <c r="AL613" s="46"/>
      <c r="AM613" s="46"/>
      <c r="AN613" s="46"/>
      <c r="AO613" s="46"/>
      <c r="AP613" s="46"/>
      <c r="AQ613" s="46"/>
      <c r="AR613" s="46"/>
      <c r="AS613" s="46"/>
      <c r="AT613" s="46"/>
      <c r="AU613" s="46"/>
      <c r="AV613" s="46"/>
      <c r="AW613" s="46"/>
      <c r="AX613" s="46"/>
      <c r="AY613" s="46"/>
      <c r="AZ613" s="46"/>
      <c r="BA613" s="46"/>
      <c r="BB613" s="46"/>
    </row>
    <row r="614" spans="1:54" x14ac:dyDescent="0.25">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6"/>
      <c r="AF614" s="46"/>
      <c r="AG614" s="46"/>
      <c r="AH614" s="46"/>
      <c r="AI614" s="46"/>
      <c r="AJ614" s="46"/>
      <c r="AK614" s="46"/>
      <c r="AL614" s="46"/>
      <c r="AM614" s="46"/>
      <c r="AN614" s="46"/>
      <c r="AO614" s="46"/>
      <c r="AP614" s="46"/>
      <c r="AQ614" s="46"/>
      <c r="AR614" s="46"/>
      <c r="AS614" s="46"/>
      <c r="AT614" s="46"/>
      <c r="AU614" s="46"/>
      <c r="AV614" s="46"/>
      <c r="AW614" s="46"/>
      <c r="AX614" s="46"/>
      <c r="AY614" s="46"/>
      <c r="AZ614" s="46"/>
      <c r="BA614" s="46"/>
      <c r="BB614" s="46"/>
    </row>
    <row r="615" spans="1:54" x14ac:dyDescent="0.25">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6"/>
      <c r="AF615" s="46"/>
      <c r="AG615" s="46"/>
      <c r="AH615" s="46"/>
      <c r="AI615" s="46"/>
      <c r="AJ615" s="46"/>
      <c r="AK615" s="46"/>
      <c r="AL615" s="46"/>
      <c r="AM615" s="46"/>
      <c r="AN615" s="46"/>
      <c r="AO615" s="46"/>
      <c r="AP615" s="46"/>
      <c r="AQ615" s="46"/>
      <c r="AR615" s="46"/>
      <c r="AS615" s="46"/>
      <c r="AT615" s="46"/>
      <c r="AU615" s="46"/>
      <c r="AV615" s="46"/>
      <c r="AW615" s="46"/>
      <c r="AX615" s="46"/>
      <c r="AY615" s="46"/>
      <c r="AZ615" s="46"/>
      <c r="BA615" s="46"/>
      <c r="BB615" s="46"/>
    </row>
    <row r="616" spans="1:54" x14ac:dyDescent="0.25">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c r="AA616" s="46"/>
      <c r="AB616" s="46"/>
      <c r="AC616" s="46"/>
      <c r="AD616" s="46"/>
      <c r="AE616" s="46"/>
      <c r="AF616" s="46"/>
      <c r="AG616" s="46"/>
      <c r="AH616" s="46"/>
      <c r="AI616" s="46"/>
      <c r="AJ616" s="46"/>
      <c r="AK616" s="46"/>
      <c r="AL616" s="46"/>
      <c r="AM616" s="46"/>
      <c r="AN616" s="46"/>
      <c r="AO616" s="46"/>
      <c r="AP616" s="46"/>
      <c r="AQ616" s="46"/>
      <c r="AR616" s="46"/>
      <c r="AS616" s="46"/>
      <c r="AT616" s="46"/>
      <c r="AU616" s="46"/>
      <c r="AV616" s="46"/>
      <c r="AW616" s="46"/>
      <c r="AX616" s="46"/>
      <c r="AY616" s="46"/>
      <c r="AZ616" s="46"/>
      <c r="BA616" s="46"/>
      <c r="BB616" s="46"/>
    </row>
    <row r="617" spans="1:54" x14ac:dyDescent="0.25">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M617" s="46"/>
      <c r="AN617" s="46"/>
      <c r="AO617" s="46"/>
      <c r="AP617" s="46"/>
      <c r="AQ617" s="46"/>
      <c r="AR617" s="46"/>
      <c r="AS617" s="46"/>
      <c r="AT617" s="46"/>
      <c r="AU617" s="46"/>
      <c r="AV617" s="46"/>
      <c r="AW617" s="46"/>
      <c r="AX617" s="46"/>
      <c r="AY617" s="46"/>
      <c r="AZ617" s="46"/>
      <c r="BA617" s="46"/>
      <c r="BB617" s="46"/>
    </row>
    <row r="618" spans="1:54" x14ac:dyDescent="0.25">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c r="AH618" s="46"/>
      <c r="AI618" s="46"/>
      <c r="AJ618" s="46"/>
      <c r="AK618" s="46"/>
      <c r="AL618" s="46"/>
      <c r="AM618" s="46"/>
      <c r="AN618" s="46"/>
      <c r="AO618" s="46"/>
      <c r="AP618" s="46"/>
      <c r="AQ618" s="46"/>
      <c r="AR618" s="46"/>
      <c r="AS618" s="46"/>
      <c r="AT618" s="46"/>
      <c r="AU618" s="46"/>
      <c r="AV618" s="46"/>
      <c r="AW618" s="46"/>
      <c r="AX618" s="46"/>
      <c r="AY618" s="46"/>
      <c r="AZ618" s="46"/>
      <c r="BA618" s="46"/>
      <c r="BB618" s="46"/>
    </row>
    <row r="619" spans="1:54" x14ac:dyDescent="0.25">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c r="AD619" s="46"/>
      <c r="AE619" s="46"/>
      <c r="AF619" s="46"/>
      <c r="AG619" s="46"/>
      <c r="AH619" s="46"/>
      <c r="AI619" s="46"/>
      <c r="AJ619" s="46"/>
      <c r="AK619" s="46"/>
      <c r="AL619" s="46"/>
      <c r="AM619" s="46"/>
      <c r="AN619" s="46"/>
      <c r="AO619" s="46"/>
      <c r="AP619" s="46"/>
      <c r="AQ619" s="46"/>
      <c r="AR619" s="46"/>
      <c r="AS619" s="46"/>
      <c r="AT619" s="46"/>
      <c r="AU619" s="46"/>
      <c r="AV619" s="46"/>
      <c r="AW619" s="46"/>
      <c r="AX619" s="46"/>
      <c r="AY619" s="46"/>
      <c r="AZ619" s="46"/>
      <c r="BA619" s="46"/>
      <c r="BB619" s="46"/>
    </row>
    <row r="620" spans="1:54" x14ac:dyDescent="0.25">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c r="AD620" s="46"/>
      <c r="AE620" s="46"/>
      <c r="AF620" s="46"/>
      <c r="AG620" s="46"/>
      <c r="AH620" s="46"/>
      <c r="AI620" s="46"/>
      <c r="AJ620" s="46"/>
      <c r="AK620" s="46"/>
      <c r="AL620" s="46"/>
      <c r="AM620" s="46"/>
      <c r="AN620" s="46"/>
      <c r="AO620" s="46"/>
      <c r="AP620" s="46"/>
      <c r="AQ620" s="46"/>
      <c r="AR620" s="46"/>
      <c r="AS620" s="46"/>
      <c r="AT620" s="46"/>
      <c r="AU620" s="46"/>
      <c r="AV620" s="46"/>
      <c r="AW620" s="46"/>
      <c r="AX620" s="46"/>
      <c r="AY620" s="46"/>
      <c r="AZ620" s="46"/>
      <c r="BA620" s="46"/>
      <c r="BB620" s="46"/>
    </row>
    <row r="621" spans="1:54" x14ac:dyDescent="0.25">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c r="AA621" s="46"/>
      <c r="AB621" s="46"/>
      <c r="AC621" s="46"/>
      <c r="AD621" s="46"/>
      <c r="AE621" s="46"/>
      <c r="AF621" s="46"/>
      <c r="AG621" s="46"/>
      <c r="AH621" s="46"/>
      <c r="AI621" s="46"/>
      <c r="AJ621" s="46"/>
      <c r="AK621" s="46"/>
      <c r="AL621" s="46"/>
      <c r="AM621" s="46"/>
      <c r="AN621" s="46"/>
      <c r="AO621" s="46"/>
      <c r="AP621" s="46"/>
      <c r="AQ621" s="46"/>
      <c r="AR621" s="46"/>
      <c r="AS621" s="46"/>
      <c r="AT621" s="46"/>
      <c r="AU621" s="46"/>
      <c r="AV621" s="46"/>
      <c r="AW621" s="46"/>
      <c r="AX621" s="46"/>
      <c r="AY621" s="46"/>
      <c r="AZ621" s="46"/>
      <c r="BA621" s="46"/>
      <c r="BB621" s="46"/>
    </row>
    <row r="622" spans="1:54" x14ac:dyDescent="0.25">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6"/>
      <c r="AF622" s="46"/>
      <c r="AG622" s="46"/>
      <c r="AH622" s="46"/>
      <c r="AI622" s="46"/>
      <c r="AJ622" s="46"/>
      <c r="AK622" s="46"/>
      <c r="AL622" s="46"/>
      <c r="AM622" s="46"/>
      <c r="AN622" s="46"/>
      <c r="AO622" s="46"/>
      <c r="AP622" s="46"/>
      <c r="AQ622" s="46"/>
      <c r="AR622" s="46"/>
      <c r="AS622" s="46"/>
      <c r="AT622" s="46"/>
      <c r="AU622" s="46"/>
      <c r="AV622" s="46"/>
      <c r="AW622" s="46"/>
      <c r="AX622" s="46"/>
      <c r="AY622" s="46"/>
      <c r="AZ622" s="46"/>
      <c r="BA622" s="46"/>
      <c r="BB622" s="46"/>
    </row>
    <row r="623" spans="1:54" x14ac:dyDescent="0.25">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c r="AD623" s="46"/>
      <c r="AE623" s="46"/>
      <c r="AF623" s="46"/>
      <c r="AG623" s="46"/>
      <c r="AH623" s="46"/>
      <c r="AI623" s="46"/>
      <c r="AJ623" s="46"/>
      <c r="AK623" s="46"/>
      <c r="AL623" s="46"/>
      <c r="AM623" s="46"/>
      <c r="AN623" s="46"/>
      <c r="AO623" s="46"/>
      <c r="AP623" s="46"/>
      <c r="AQ623" s="46"/>
      <c r="AR623" s="46"/>
      <c r="AS623" s="46"/>
      <c r="AT623" s="46"/>
      <c r="AU623" s="46"/>
      <c r="AV623" s="46"/>
      <c r="AW623" s="46"/>
      <c r="AX623" s="46"/>
      <c r="AY623" s="46"/>
      <c r="AZ623" s="46"/>
      <c r="BA623" s="46"/>
      <c r="BB623" s="46"/>
    </row>
    <row r="624" spans="1:54" x14ac:dyDescent="0.25">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M624" s="46"/>
      <c r="AN624" s="46"/>
      <c r="AO624" s="46"/>
      <c r="AP624" s="46"/>
      <c r="AQ624" s="46"/>
      <c r="AR624" s="46"/>
      <c r="AS624" s="46"/>
      <c r="AT624" s="46"/>
      <c r="AU624" s="46"/>
      <c r="AV624" s="46"/>
      <c r="AW624" s="46"/>
      <c r="AX624" s="46"/>
      <c r="AY624" s="46"/>
      <c r="AZ624" s="46"/>
      <c r="BA624" s="46"/>
      <c r="BB624" s="46"/>
    </row>
    <row r="625" spans="1:54" x14ac:dyDescent="0.25">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46"/>
      <c r="AE625" s="46"/>
      <c r="AF625" s="46"/>
      <c r="AG625" s="46"/>
      <c r="AH625" s="46"/>
      <c r="AI625" s="46"/>
      <c r="AJ625" s="46"/>
      <c r="AK625" s="46"/>
      <c r="AL625" s="46"/>
      <c r="AM625" s="46"/>
      <c r="AN625" s="46"/>
      <c r="AO625" s="46"/>
      <c r="AP625" s="46"/>
      <c r="AQ625" s="46"/>
      <c r="AR625" s="46"/>
      <c r="AS625" s="46"/>
      <c r="AT625" s="46"/>
      <c r="AU625" s="46"/>
      <c r="AV625" s="46"/>
      <c r="AW625" s="46"/>
      <c r="AX625" s="46"/>
      <c r="AY625" s="46"/>
      <c r="AZ625" s="46"/>
      <c r="BA625" s="46"/>
      <c r="BB625" s="46"/>
    </row>
    <row r="626" spans="1:54" x14ac:dyDescent="0.25">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c r="AD626" s="46"/>
      <c r="AE626" s="46"/>
      <c r="AF626" s="46"/>
      <c r="AG626" s="46"/>
      <c r="AH626" s="46"/>
      <c r="AI626" s="46"/>
      <c r="AJ626" s="46"/>
      <c r="AK626" s="46"/>
      <c r="AL626" s="46"/>
      <c r="AM626" s="46"/>
      <c r="AN626" s="46"/>
      <c r="AO626" s="46"/>
      <c r="AP626" s="46"/>
      <c r="AQ626" s="46"/>
      <c r="AR626" s="46"/>
      <c r="AS626" s="46"/>
      <c r="AT626" s="46"/>
      <c r="AU626" s="46"/>
      <c r="AV626" s="46"/>
      <c r="AW626" s="46"/>
      <c r="AX626" s="46"/>
      <c r="AY626" s="46"/>
      <c r="AZ626" s="46"/>
      <c r="BA626" s="46"/>
      <c r="BB626" s="46"/>
    </row>
    <row r="627" spans="1:54" x14ac:dyDescent="0.25">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c r="AA627" s="46"/>
      <c r="AB627" s="46"/>
      <c r="AC627" s="46"/>
      <c r="AD627" s="46"/>
      <c r="AE627" s="46"/>
      <c r="AF627" s="46"/>
      <c r="AG627" s="46"/>
      <c r="AH627" s="46"/>
      <c r="AI627" s="46"/>
      <c r="AJ627" s="46"/>
      <c r="AK627" s="46"/>
      <c r="AL627" s="46"/>
      <c r="AM627" s="46"/>
      <c r="AN627" s="46"/>
      <c r="AO627" s="46"/>
      <c r="AP627" s="46"/>
      <c r="AQ627" s="46"/>
      <c r="AR627" s="46"/>
      <c r="AS627" s="46"/>
      <c r="AT627" s="46"/>
      <c r="AU627" s="46"/>
      <c r="AV627" s="46"/>
      <c r="AW627" s="46"/>
      <c r="AX627" s="46"/>
      <c r="AY627" s="46"/>
      <c r="AZ627" s="46"/>
      <c r="BA627" s="46"/>
      <c r="BB627" s="46"/>
    </row>
    <row r="628" spans="1:54" x14ac:dyDescent="0.25">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c r="AD628" s="46"/>
      <c r="AE628" s="46"/>
      <c r="AF628" s="46"/>
      <c r="AG628" s="46"/>
      <c r="AH628" s="46"/>
      <c r="AI628" s="46"/>
      <c r="AJ628" s="46"/>
      <c r="AK628" s="46"/>
      <c r="AL628" s="46"/>
      <c r="AM628" s="46"/>
      <c r="AN628" s="46"/>
      <c r="AO628" s="46"/>
      <c r="AP628" s="46"/>
      <c r="AQ628" s="46"/>
      <c r="AR628" s="46"/>
      <c r="AS628" s="46"/>
      <c r="AT628" s="46"/>
      <c r="AU628" s="46"/>
      <c r="AV628" s="46"/>
      <c r="AW628" s="46"/>
      <c r="AX628" s="46"/>
      <c r="AY628" s="46"/>
      <c r="AZ628" s="46"/>
      <c r="BA628" s="46"/>
      <c r="BB628" s="46"/>
    </row>
    <row r="629" spans="1:54" x14ac:dyDescent="0.25">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c r="AD629" s="46"/>
      <c r="AE629" s="46"/>
      <c r="AF629" s="46"/>
      <c r="AG629" s="46"/>
      <c r="AH629" s="46"/>
      <c r="AI629" s="46"/>
      <c r="AJ629" s="46"/>
      <c r="AK629" s="46"/>
      <c r="AL629" s="46"/>
      <c r="AM629" s="46"/>
      <c r="AN629" s="46"/>
      <c r="AO629" s="46"/>
      <c r="AP629" s="46"/>
      <c r="AQ629" s="46"/>
      <c r="AR629" s="46"/>
      <c r="AS629" s="46"/>
      <c r="AT629" s="46"/>
      <c r="AU629" s="46"/>
      <c r="AV629" s="46"/>
      <c r="AW629" s="46"/>
      <c r="AX629" s="46"/>
      <c r="AY629" s="46"/>
      <c r="AZ629" s="46"/>
      <c r="BA629" s="46"/>
      <c r="BB629" s="46"/>
    </row>
    <row r="630" spans="1:54" x14ac:dyDescent="0.25">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46"/>
      <c r="AE630" s="46"/>
      <c r="AF630" s="46"/>
      <c r="AG630" s="46"/>
      <c r="AH630" s="46"/>
      <c r="AI630" s="46"/>
      <c r="AJ630" s="46"/>
      <c r="AK630" s="46"/>
      <c r="AL630" s="46"/>
      <c r="AM630" s="46"/>
      <c r="AN630" s="46"/>
      <c r="AO630" s="46"/>
      <c r="AP630" s="46"/>
      <c r="AQ630" s="46"/>
      <c r="AR630" s="46"/>
      <c r="AS630" s="46"/>
      <c r="AT630" s="46"/>
      <c r="AU630" s="46"/>
      <c r="AV630" s="46"/>
      <c r="AW630" s="46"/>
      <c r="AX630" s="46"/>
      <c r="AY630" s="46"/>
      <c r="AZ630" s="46"/>
      <c r="BA630" s="46"/>
      <c r="BB630" s="46"/>
    </row>
    <row r="631" spans="1:54" x14ac:dyDescent="0.25">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c r="AD631" s="46"/>
      <c r="AE631" s="46"/>
      <c r="AF631" s="46"/>
      <c r="AG631" s="46"/>
      <c r="AH631" s="46"/>
      <c r="AI631" s="46"/>
      <c r="AJ631" s="46"/>
      <c r="AK631" s="46"/>
      <c r="AL631" s="46"/>
      <c r="AM631" s="46"/>
      <c r="AN631" s="46"/>
      <c r="AO631" s="46"/>
      <c r="AP631" s="46"/>
      <c r="AQ631" s="46"/>
      <c r="AR631" s="46"/>
      <c r="AS631" s="46"/>
      <c r="AT631" s="46"/>
      <c r="AU631" s="46"/>
      <c r="AV631" s="46"/>
      <c r="AW631" s="46"/>
      <c r="AX631" s="46"/>
      <c r="AY631" s="46"/>
      <c r="AZ631" s="46"/>
      <c r="BA631" s="46"/>
      <c r="BB631" s="46"/>
    </row>
    <row r="632" spans="1:54" x14ac:dyDescent="0.25">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46"/>
      <c r="AE632" s="46"/>
      <c r="AF632" s="46"/>
      <c r="AG632" s="46"/>
      <c r="AH632" s="46"/>
      <c r="AI632" s="46"/>
      <c r="AJ632" s="46"/>
      <c r="AK632" s="46"/>
      <c r="AL632" s="46"/>
      <c r="AM632" s="46"/>
      <c r="AN632" s="46"/>
      <c r="AO632" s="46"/>
      <c r="AP632" s="46"/>
      <c r="AQ632" s="46"/>
      <c r="AR632" s="46"/>
      <c r="AS632" s="46"/>
      <c r="AT632" s="46"/>
      <c r="AU632" s="46"/>
      <c r="AV632" s="46"/>
      <c r="AW632" s="46"/>
      <c r="AX632" s="46"/>
      <c r="AY632" s="46"/>
      <c r="AZ632" s="46"/>
      <c r="BA632" s="46"/>
      <c r="BB632" s="46"/>
    </row>
    <row r="633" spans="1:54" x14ac:dyDescent="0.25">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c r="AA633" s="46"/>
      <c r="AB633" s="46"/>
      <c r="AC633" s="46"/>
      <c r="AD633" s="46"/>
      <c r="AE633" s="46"/>
      <c r="AF633" s="46"/>
      <c r="AG633" s="46"/>
      <c r="AH633" s="46"/>
      <c r="AI633" s="46"/>
      <c r="AJ633" s="46"/>
      <c r="AK633" s="46"/>
      <c r="AL633" s="46"/>
      <c r="AM633" s="46"/>
      <c r="AN633" s="46"/>
      <c r="AO633" s="46"/>
      <c r="AP633" s="46"/>
      <c r="AQ633" s="46"/>
      <c r="AR633" s="46"/>
      <c r="AS633" s="46"/>
      <c r="AT633" s="46"/>
      <c r="AU633" s="46"/>
      <c r="AV633" s="46"/>
      <c r="AW633" s="46"/>
      <c r="AX633" s="46"/>
      <c r="AY633" s="46"/>
      <c r="AZ633" s="46"/>
      <c r="BA633" s="46"/>
      <c r="BB633" s="46"/>
    </row>
    <row r="634" spans="1:54" x14ac:dyDescent="0.25">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6"/>
      <c r="AF634" s="46"/>
      <c r="AG634" s="46"/>
      <c r="AH634" s="46"/>
      <c r="AI634" s="46"/>
      <c r="AJ634" s="46"/>
      <c r="AK634" s="46"/>
      <c r="AL634" s="46"/>
      <c r="AM634" s="46"/>
      <c r="AN634" s="46"/>
      <c r="AO634" s="46"/>
      <c r="AP634" s="46"/>
      <c r="AQ634" s="46"/>
      <c r="AR634" s="46"/>
      <c r="AS634" s="46"/>
      <c r="AT634" s="46"/>
      <c r="AU634" s="46"/>
      <c r="AV634" s="46"/>
      <c r="AW634" s="46"/>
      <c r="AX634" s="46"/>
      <c r="AY634" s="46"/>
      <c r="AZ634" s="46"/>
      <c r="BA634" s="46"/>
      <c r="BB634" s="46"/>
    </row>
    <row r="635" spans="1:54" x14ac:dyDescent="0.25">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c r="AD635" s="46"/>
      <c r="AE635" s="46"/>
      <c r="AF635" s="46"/>
      <c r="AG635" s="46"/>
      <c r="AH635" s="46"/>
      <c r="AI635" s="46"/>
      <c r="AJ635" s="46"/>
      <c r="AK635" s="46"/>
      <c r="AL635" s="46"/>
      <c r="AM635" s="46"/>
      <c r="AN635" s="46"/>
      <c r="AO635" s="46"/>
      <c r="AP635" s="46"/>
      <c r="AQ635" s="46"/>
      <c r="AR635" s="46"/>
      <c r="AS635" s="46"/>
      <c r="AT635" s="46"/>
      <c r="AU635" s="46"/>
      <c r="AV635" s="46"/>
      <c r="AW635" s="46"/>
      <c r="AX635" s="46"/>
      <c r="AY635" s="46"/>
      <c r="AZ635" s="46"/>
      <c r="BA635" s="46"/>
      <c r="BB635" s="46"/>
    </row>
    <row r="636" spans="1:54" x14ac:dyDescent="0.25">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c r="AD636" s="46"/>
      <c r="AE636" s="46"/>
      <c r="AF636" s="46"/>
      <c r="AG636" s="46"/>
      <c r="AH636" s="46"/>
      <c r="AI636" s="46"/>
      <c r="AJ636" s="46"/>
      <c r="AK636" s="46"/>
      <c r="AL636" s="46"/>
      <c r="AM636" s="46"/>
      <c r="AN636" s="46"/>
      <c r="AO636" s="46"/>
      <c r="AP636" s="46"/>
      <c r="AQ636" s="46"/>
      <c r="AR636" s="46"/>
      <c r="AS636" s="46"/>
      <c r="AT636" s="46"/>
      <c r="AU636" s="46"/>
      <c r="AV636" s="46"/>
      <c r="AW636" s="46"/>
      <c r="AX636" s="46"/>
      <c r="AY636" s="46"/>
      <c r="AZ636" s="46"/>
      <c r="BA636" s="46"/>
      <c r="BB636" s="46"/>
    </row>
    <row r="637" spans="1:54" x14ac:dyDescent="0.25">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c r="AD637" s="46"/>
      <c r="AE637" s="46"/>
      <c r="AF637" s="46"/>
      <c r="AG637" s="46"/>
      <c r="AH637" s="46"/>
      <c r="AI637" s="46"/>
      <c r="AJ637" s="46"/>
      <c r="AK637" s="46"/>
      <c r="AL637" s="46"/>
      <c r="AM637" s="46"/>
      <c r="AN637" s="46"/>
      <c r="AO637" s="46"/>
      <c r="AP637" s="46"/>
      <c r="AQ637" s="46"/>
      <c r="AR637" s="46"/>
      <c r="AS637" s="46"/>
      <c r="AT637" s="46"/>
      <c r="AU637" s="46"/>
      <c r="AV637" s="46"/>
      <c r="AW637" s="46"/>
      <c r="AX637" s="46"/>
      <c r="AY637" s="46"/>
      <c r="AZ637" s="46"/>
      <c r="BA637" s="46"/>
      <c r="BB637" s="46"/>
    </row>
    <row r="638" spans="1:54" x14ac:dyDescent="0.25">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c r="AD638" s="46"/>
      <c r="AE638" s="46"/>
      <c r="AF638" s="46"/>
      <c r="AG638" s="46"/>
      <c r="AH638" s="46"/>
      <c r="AI638" s="46"/>
      <c r="AJ638" s="46"/>
      <c r="AK638" s="46"/>
      <c r="AL638" s="46"/>
      <c r="AM638" s="46"/>
      <c r="AN638" s="46"/>
      <c r="AO638" s="46"/>
      <c r="AP638" s="46"/>
      <c r="AQ638" s="46"/>
      <c r="AR638" s="46"/>
      <c r="AS638" s="46"/>
      <c r="AT638" s="46"/>
      <c r="AU638" s="46"/>
      <c r="AV638" s="46"/>
      <c r="AW638" s="46"/>
      <c r="AX638" s="46"/>
      <c r="AY638" s="46"/>
      <c r="AZ638" s="46"/>
      <c r="BA638" s="46"/>
      <c r="BB638" s="46"/>
    </row>
    <row r="639" spans="1:54" x14ac:dyDescent="0.25">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c r="AA639" s="46"/>
      <c r="AB639" s="46"/>
      <c r="AC639" s="46"/>
      <c r="AD639" s="46"/>
      <c r="AE639" s="46"/>
      <c r="AF639" s="46"/>
      <c r="AG639" s="46"/>
      <c r="AH639" s="46"/>
      <c r="AI639" s="46"/>
      <c r="AJ639" s="46"/>
      <c r="AK639" s="46"/>
      <c r="AL639" s="46"/>
      <c r="AM639" s="46"/>
      <c r="AN639" s="46"/>
      <c r="AO639" s="46"/>
      <c r="AP639" s="46"/>
      <c r="AQ639" s="46"/>
      <c r="AR639" s="46"/>
      <c r="AS639" s="46"/>
      <c r="AT639" s="46"/>
      <c r="AU639" s="46"/>
      <c r="AV639" s="46"/>
      <c r="AW639" s="46"/>
      <c r="AX639" s="46"/>
      <c r="AY639" s="46"/>
      <c r="AZ639" s="46"/>
      <c r="BA639" s="46"/>
      <c r="BB639" s="46"/>
    </row>
    <row r="640" spans="1:54" x14ac:dyDescent="0.25">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c r="AA640" s="46"/>
      <c r="AB640" s="46"/>
      <c r="AC640" s="46"/>
      <c r="AD640" s="46"/>
      <c r="AE640" s="46"/>
      <c r="AF640" s="46"/>
      <c r="AG640" s="46"/>
      <c r="AH640" s="46"/>
      <c r="AI640" s="46"/>
      <c r="AJ640" s="46"/>
      <c r="AK640" s="46"/>
      <c r="AL640" s="46"/>
      <c r="AM640" s="46"/>
      <c r="AN640" s="46"/>
      <c r="AO640" s="46"/>
      <c r="AP640" s="46"/>
      <c r="AQ640" s="46"/>
      <c r="AR640" s="46"/>
      <c r="AS640" s="46"/>
      <c r="AT640" s="46"/>
      <c r="AU640" s="46"/>
      <c r="AV640" s="46"/>
      <c r="AW640" s="46"/>
      <c r="AX640" s="46"/>
      <c r="AY640" s="46"/>
      <c r="AZ640" s="46"/>
      <c r="BA640" s="46"/>
      <c r="BB640" s="46"/>
    </row>
    <row r="641" spans="1:54" x14ac:dyDescent="0.25">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6"/>
      <c r="AF641" s="46"/>
      <c r="AG641" s="46"/>
      <c r="AH641" s="46"/>
      <c r="AI641" s="46"/>
      <c r="AJ641" s="46"/>
      <c r="AK641" s="46"/>
      <c r="AL641" s="46"/>
      <c r="AM641" s="46"/>
      <c r="AN641" s="46"/>
      <c r="AO641" s="46"/>
      <c r="AP641" s="46"/>
      <c r="AQ641" s="46"/>
      <c r="AR641" s="46"/>
      <c r="AS641" s="46"/>
      <c r="AT641" s="46"/>
      <c r="AU641" s="46"/>
      <c r="AV641" s="46"/>
      <c r="AW641" s="46"/>
      <c r="AX641" s="46"/>
      <c r="AY641" s="46"/>
      <c r="AZ641" s="46"/>
      <c r="BA641" s="46"/>
      <c r="BB641" s="46"/>
    </row>
    <row r="642" spans="1:54" x14ac:dyDescent="0.25">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c r="AA642" s="46"/>
      <c r="AB642" s="46"/>
      <c r="AC642" s="46"/>
      <c r="AD642" s="46"/>
      <c r="AE642" s="46"/>
      <c r="AF642" s="46"/>
      <c r="AG642" s="46"/>
      <c r="AH642" s="46"/>
      <c r="AI642" s="46"/>
      <c r="AJ642" s="46"/>
      <c r="AK642" s="46"/>
      <c r="AL642" s="46"/>
      <c r="AM642" s="46"/>
      <c r="AN642" s="46"/>
      <c r="AO642" s="46"/>
      <c r="AP642" s="46"/>
      <c r="AQ642" s="46"/>
      <c r="AR642" s="46"/>
      <c r="AS642" s="46"/>
      <c r="AT642" s="46"/>
      <c r="AU642" s="46"/>
      <c r="AV642" s="46"/>
      <c r="AW642" s="46"/>
      <c r="AX642" s="46"/>
      <c r="AY642" s="46"/>
      <c r="AZ642" s="46"/>
      <c r="BA642" s="46"/>
      <c r="BB642" s="46"/>
    </row>
    <row r="643" spans="1:54" x14ac:dyDescent="0.25">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c r="AA643" s="46"/>
      <c r="AB643" s="46"/>
      <c r="AC643" s="46"/>
      <c r="AD643" s="46"/>
      <c r="AE643" s="46"/>
      <c r="AF643" s="46"/>
      <c r="AG643" s="46"/>
      <c r="AH643" s="46"/>
      <c r="AI643" s="46"/>
      <c r="AJ643" s="46"/>
      <c r="AK643" s="46"/>
      <c r="AL643" s="46"/>
      <c r="AM643" s="46"/>
      <c r="AN643" s="46"/>
      <c r="AO643" s="46"/>
      <c r="AP643" s="46"/>
      <c r="AQ643" s="46"/>
      <c r="AR643" s="46"/>
      <c r="AS643" s="46"/>
      <c r="AT643" s="46"/>
      <c r="AU643" s="46"/>
      <c r="AV643" s="46"/>
      <c r="AW643" s="46"/>
      <c r="AX643" s="46"/>
      <c r="AY643" s="46"/>
      <c r="AZ643" s="46"/>
      <c r="BA643" s="46"/>
      <c r="BB643" s="46"/>
    </row>
    <row r="644" spans="1:54" x14ac:dyDescent="0.25">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c r="AA644" s="46"/>
      <c r="AB644" s="46"/>
      <c r="AC644" s="46"/>
      <c r="AD644" s="46"/>
      <c r="AE644" s="46"/>
      <c r="AF644" s="46"/>
      <c r="AG644" s="46"/>
      <c r="AH644" s="46"/>
      <c r="AI644" s="46"/>
      <c r="AJ644" s="46"/>
      <c r="AK644" s="46"/>
      <c r="AL644" s="46"/>
      <c r="AM644" s="46"/>
      <c r="AN644" s="46"/>
      <c r="AO644" s="46"/>
      <c r="AP644" s="46"/>
      <c r="AQ644" s="46"/>
      <c r="AR644" s="46"/>
      <c r="AS644" s="46"/>
      <c r="AT644" s="46"/>
      <c r="AU644" s="46"/>
      <c r="AV644" s="46"/>
      <c r="AW644" s="46"/>
      <c r="AX644" s="46"/>
      <c r="AY644" s="46"/>
      <c r="AZ644" s="46"/>
      <c r="BA644" s="46"/>
      <c r="BB644" s="46"/>
    </row>
    <row r="645" spans="1:54" x14ac:dyDescent="0.25">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c r="AA645" s="46"/>
      <c r="AB645" s="46"/>
      <c r="AC645" s="46"/>
      <c r="AD645" s="46"/>
      <c r="AE645" s="46"/>
      <c r="AF645" s="46"/>
      <c r="AG645" s="46"/>
      <c r="AH645" s="46"/>
      <c r="AI645" s="46"/>
      <c r="AJ645" s="46"/>
      <c r="AK645" s="46"/>
      <c r="AL645" s="46"/>
      <c r="AM645" s="46"/>
      <c r="AN645" s="46"/>
      <c r="AO645" s="46"/>
      <c r="AP645" s="46"/>
      <c r="AQ645" s="46"/>
      <c r="AR645" s="46"/>
      <c r="AS645" s="46"/>
      <c r="AT645" s="46"/>
      <c r="AU645" s="46"/>
      <c r="AV645" s="46"/>
      <c r="AW645" s="46"/>
      <c r="AX645" s="46"/>
      <c r="AY645" s="46"/>
      <c r="AZ645" s="46"/>
      <c r="BA645" s="46"/>
      <c r="BB645" s="46"/>
    </row>
    <row r="646" spans="1:54" x14ac:dyDescent="0.25">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c r="AD646" s="46"/>
      <c r="AE646" s="46"/>
      <c r="AF646" s="46"/>
      <c r="AG646" s="46"/>
      <c r="AH646" s="46"/>
      <c r="AI646" s="46"/>
      <c r="AJ646" s="46"/>
      <c r="AK646" s="46"/>
      <c r="AL646" s="46"/>
      <c r="AM646" s="46"/>
      <c r="AN646" s="46"/>
      <c r="AO646" s="46"/>
      <c r="AP646" s="46"/>
      <c r="AQ646" s="46"/>
      <c r="AR646" s="46"/>
      <c r="AS646" s="46"/>
      <c r="AT646" s="46"/>
      <c r="AU646" s="46"/>
      <c r="AV646" s="46"/>
      <c r="AW646" s="46"/>
      <c r="AX646" s="46"/>
      <c r="AY646" s="46"/>
      <c r="AZ646" s="46"/>
      <c r="BA646" s="46"/>
      <c r="BB646" s="46"/>
    </row>
    <row r="647" spans="1:54" x14ac:dyDescent="0.25">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E647" s="46"/>
      <c r="AF647" s="46"/>
      <c r="AG647" s="46"/>
      <c r="AH647" s="46"/>
      <c r="AI647" s="46"/>
      <c r="AJ647" s="46"/>
      <c r="AK647" s="46"/>
      <c r="AL647" s="46"/>
      <c r="AM647" s="46"/>
      <c r="AN647" s="46"/>
      <c r="AO647" s="46"/>
      <c r="AP647" s="46"/>
      <c r="AQ647" s="46"/>
      <c r="AR647" s="46"/>
      <c r="AS647" s="46"/>
      <c r="AT647" s="46"/>
      <c r="AU647" s="46"/>
      <c r="AV647" s="46"/>
      <c r="AW647" s="46"/>
      <c r="AX647" s="46"/>
      <c r="AY647" s="46"/>
      <c r="AZ647" s="46"/>
      <c r="BA647" s="46"/>
      <c r="BB647" s="46"/>
    </row>
    <row r="648" spans="1:54" x14ac:dyDescent="0.25">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6"/>
      <c r="AH648" s="46"/>
      <c r="AI648" s="46"/>
      <c r="AJ648" s="46"/>
      <c r="AK648" s="46"/>
      <c r="AL648" s="46"/>
      <c r="AM648" s="46"/>
      <c r="AN648" s="46"/>
      <c r="AO648" s="46"/>
      <c r="AP648" s="46"/>
      <c r="AQ648" s="46"/>
      <c r="AR648" s="46"/>
      <c r="AS648" s="46"/>
      <c r="AT648" s="46"/>
      <c r="AU648" s="46"/>
      <c r="AV648" s="46"/>
      <c r="AW648" s="46"/>
      <c r="AX648" s="46"/>
      <c r="AY648" s="46"/>
      <c r="AZ648" s="46"/>
      <c r="BA648" s="46"/>
      <c r="BB648" s="46"/>
    </row>
    <row r="649" spans="1:54" x14ac:dyDescent="0.25">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E649" s="46"/>
      <c r="AF649" s="46"/>
      <c r="AG649" s="46"/>
      <c r="AH649" s="46"/>
      <c r="AI649" s="46"/>
      <c r="AJ649" s="46"/>
      <c r="AK649" s="46"/>
      <c r="AL649" s="46"/>
      <c r="AM649" s="46"/>
      <c r="AN649" s="46"/>
      <c r="AO649" s="46"/>
      <c r="AP649" s="46"/>
      <c r="AQ649" s="46"/>
      <c r="AR649" s="46"/>
      <c r="AS649" s="46"/>
      <c r="AT649" s="46"/>
      <c r="AU649" s="46"/>
      <c r="AV649" s="46"/>
      <c r="AW649" s="46"/>
      <c r="AX649" s="46"/>
      <c r="AY649" s="46"/>
      <c r="AZ649" s="46"/>
      <c r="BA649" s="46"/>
      <c r="BB649" s="46"/>
    </row>
    <row r="650" spans="1:54" x14ac:dyDescent="0.25">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6"/>
      <c r="AH650" s="46"/>
      <c r="AI650" s="46"/>
      <c r="AJ650" s="46"/>
      <c r="AK650" s="46"/>
      <c r="AL650" s="46"/>
      <c r="AM650" s="46"/>
      <c r="AN650" s="46"/>
      <c r="AO650" s="46"/>
      <c r="AP650" s="46"/>
      <c r="AQ650" s="46"/>
      <c r="AR650" s="46"/>
      <c r="AS650" s="46"/>
      <c r="AT650" s="46"/>
      <c r="AU650" s="46"/>
      <c r="AV650" s="46"/>
      <c r="AW650" s="46"/>
      <c r="AX650" s="46"/>
      <c r="AY650" s="46"/>
      <c r="AZ650" s="46"/>
      <c r="BA650" s="46"/>
      <c r="BB650" s="46"/>
    </row>
    <row r="651" spans="1:54" x14ac:dyDescent="0.25">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c r="AA651" s="46"/>
      <c r="AB651" s="46"/>
      <c r="AC651" s="46"/>
      <c r="AD651" s="46"/>
      <c r="AE651" s="46"/>
      <c r="AF651" s="46"/>
      <c r="AG651" s="46"/>
      <c r="AH651" s="46"/>
      <c r="AI651" s="46"/>
      <c r="AJ651" s="46"/>
      <c r="AK651" s="46"/>
      <c r="AL651" s="46"/>
      <c r="AM651" s="46"/>
      <c r="AN651" s="46"/>
      <c r="AO651" s="46"/>
      <c r="AP651" s="46"/>
      <c r="AQ651" s="46"/>
      <c r="AR651" s="46"/>
      <c r="AS651" s="46"/>
      <c r="AT651" s="46"/>
      <c r="AU651" s="46"/>
      <c r="AV651" s="46"/>
      <c r="AW651" s="46"/>
      <c r="AX651" s="46"/>
      <c r="AY651" s="46"/>
      <c r="AZ651" s="46"/>
      <c r="BA651" s="46"/>
      <c r="BB651" s="46"/>
    </row>
    <row r="652" spans="1:54" x14ac:dyDescent="0.25">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c r="AA652" s="46"/>
      <c r="AB652" s="46"/>
      <c r="AC652" s="46"/>
      <c r="AD652" s="46"/>
      <c r="AE652" s="46"/>
      <c r="AF652" s="46"/>
      <c r="AG652" s="46"/>
      <c r="AH652" s="46"/>
      <c r="AI652" s="46"/>
      <c r="AJ652" s="46"/>
      <c r="AK652" s="46"/>
      <c r="AL652" s="46"/>
      <c r="AM652" s="46"/>
      <c r="AN652" s="46"/>
      <c r="AO652" s="46"/>
      <c r="AP652" s="46"/>
      <c r="AQ652" s="46"/>
      <c r="AR652" s="46"/>
      <c r="AS652" s="46"/>
      <c r="AT652" s="46"/>
      <c r="AU652" s="46"/>
      <c r="AV652" s="46"/>
      <c r="AW652" s="46"/>
      <c r="AX652" s="46"/>
      <c r="AY652" s="46"/>
      <c r="AZ652" s="46"/>
      <c r="BA652" s="46"/>
      <c r="BB652" s="46"/>
    </row>
    <row r="653" spans="1:54" x14ac:dyDescent="0.25">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6"/>
      <c r="AF653" s="46"/>
      <c r="AG653" s="46"/>
      <c r="AH653" s="46"/>
      <c r="AI653" s="46"/>
      <c r="AJ653" s="46"/>
      <c r="AK653" s="46"/>
      <c r="AL653" s="46"/>
      <c r="AM653" s="46"/>
      <c r="AN653" s="46"/>
      <c r="AO653" s="46"/>
      <c r="AP653" s="46"/>
      <c r="AQ653" s="46"/>
      <c r="AR653" s="46"/>
      <c r="AS653" s="46"/>
      <c r="AT653" s="46"/>
      <c r="AU653" s="46"/>
      <c r="AV653" s="46"/>
      <c r="AW653" s="46"/>
      <c r="AX653" s="46"/>
      <c r="AY653" s="46"/>
      <c r="AZ653" s="46"/>
      <c r="BA653" s="46"/>
      <c r="BB653" s="46"/>
    </row>
    <row r="654" spans="1:54" x14ac:dyDescent="0.25">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c r="AA654" s="46"/>
      <c r="AB654" s="46"/>
      <c r="AC654" s="46"/>
      <c r="AD654" s="46"/>
      <c r="AE654" s="46"/>
      <c r="AF654" s="46"/>
      <c r="AG654" s="46"/>
      <c r="AH654" s="46"/>
      <c r="AI654" s="46"/>
      <c r="AJ654" s="46"/>
      <c r="AK654" s="46"/>
      <c r="AL654" s="46"/>
      <c r="AM654" s="46"/>
      <c r="AN654" s="46"/>
      <c r="AO654" s="46"/>
      <c r="AP654" s="46"/>
      <c r="AQ654" s="46"/>
      <c r="AR654" s="46"/>
      <c r="AS654" s="46"/>
      <c r="AT654" s="46"/>
      <c r="AU654" s="46"/>
      <c r="AV654" s="46"/>
      <c r="AW654" s="46"/>
      <c r="AX654" s="46"/>
      <c r="AY654" s="46"/>
      <c r="AZ654" s="46"/>
      <c r="BA654" s="46"/>
      <c r="BB654" s="46"/>
    </row>
    <row r="655" spans="1:54" x14ac:dyDescent="0.25">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c r="AA655" s="46"/>
      <c r="AB655" s="46"/>
      <c r="AC655" s="46"/>
      <c r="AD655" s="46"/>
      <c r="AE655" s="46"/>
      <c r="AF655" s="46"/>
      <c r="AG655" s="46"/>
      <c r="AH655" s="46"/>
      <c r="AI655" s="46"/>
      <c r="AJ655" s="46"/>
      <c r="AK655" s="46"/>
      <c r="AL655" s="46"/>
      <c r="AM655" s="46"/>
      <c r="AN655" s="46"/>
      <c r="AO655" s="46"/>
      <c r="AP655" s="46"/>
      <c r="AQ655" s="46"/>
      <c r="AR655" s="46"/>
      <c r="AS655" s="46"/>
      <c r="AT655" s="46"/>
      <c r="AU655" s="46"/>
      <c r="AV655" s="46"/>
      <c r="AW655" s="46"/>
      <c r="AX655" s="46"/>
      <c r="AY655" s="46"/>
      <c r="AZ655" s="46"/>
      <c r="BA655" s="46"/>
      <c r="BB655" s="46"/>
    </row>
    <row r="656" spans="1:54" x14ac:dyDescent="0.25">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c r="AA656" s="46"/>
      <c r="AB656" s="46"/>
      <c r="AC656" s="46"/>
      <c r="AD656" s="46"/>
      <c r="AE656" s="46"/>
      <c r="AF656" s="46"/>
      <c r="AG656" s="46"/>
      <c r="AH656" s="46"/>
      <c r="AI656" s="46"/>
      <c r="AJ656" s="46"/>
      <c r="AK656" s="46"/>
      <c r="AL656" s="46"/>
      <c r="AM656" s="46"/>
      <c r="AN656" s="46"/>
      <c r="AO656" s="46"/>
      <c r="AP656" s="46"/>
      <c r="AQ656" s="46"/>
      <c r="AR656" s="46"/>
      <c r="AS656" s="46"/>
      <c r="AT656" s="46"/>
      <c r="AU656" s="46"/>
      <c r="AV656" s="46"/>
      <c r="AW656" s="46"/>
      <c r="AX656" s="46"/>
      <c r="AY656" s="46"/>
      <c r="AZ656" s="46"/>
      <c r="BA656" s="46"/>
      <c r="BB656" s="46"/>
    </row>
    <row r="657" spans="1:54" x14ac:dyDescent="0.25">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c r="AA657" s="46"/>
      <c r="AB657" s="46"/>
      <c r="AC657" s="46"/>
      <c r="AD657" s="46"/>
      <c r="AE657" s="46"/>
      <c r="AF657" s="46"/>
      <c r="AG657" s="46"/>
      <c r="AH657" s="46"/>
      <c r="AI657" s="46"/>
      <c r="AJ657" s="46"/>
      <c r="AK657" s="46"/>
      <c r="AL657" s="46"/>
      <c r="AM657" s="46"/>
      <c r="AN657" s="46"/>
      <c r="AO657" s="46"/>
      <c r="AP657" s="46"/>
      <c r="AQ657" s="46"/>
      <c r="AR657" s="46"/>
      <c r="AS657" s="46"/>
      <c r="AT657" s="46"/>
      <c r="AU657" s="46"/>
      <c r="AV657" s="46"/>
      <c r="AW657" s="46"/>
      <c r="AX657" s="46"/>
      <c r="AY657" s="46"/>
      <c r="AZ657" s="46"/>
      <c r="BA657" s="46"/>
      <c r="BB657" s="46"/>
    </row>
    <row r="658" spans="1:54" x14ac:dyDescent="0.25">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c r="AH658" s="46"/>
      <c r="AI658" s="46"/>
      <c r="AJ658" s="46"/>
      <c r="AK658" s="46"/>
      <c r="AL658" s="46"/>
      <c r="AM658" s="46"/>
      <c r="AN658" s="46"/>
      <c r="AO658" s="46"/>
      <c r="AP658" s="46"/>
      <c r="AQ658" s="46"/>
      <c r="AR658" s="46"/>
      <c r="AS658" s="46"/>
      <c r="AT658" s="46"/>
      <c r="AU658" s="46"/>
      <c r="AV658" s="46"/>
      <c r="AW658" s="46"/>
      <c r="AX658" s="46"/>
      <c r="AY658" s="46"/>
      <c r="AZ658" s="46"/>
      <c r="BA658" s="46"/>
      <c r="BB658" s="46"/>
    </row>
    <row r="659" spans="1:54" x14ac:dyDescent="0.25">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c r="AA659" s="46"/>
      <c r="AB659" s="46"/>
      <c r="AC659" s="46"/>
      <c r="AD659" s="46"/>
      <c r="AE659" s="46"/>
      <c r="AF659" s="46"/>
      <c r="AG659" s="46"/>
      <c r="AH659" s="46"/>
      <c r="AI659" s="46"/>
      <c r="AJ659" s="46"/>
      <c r="AK659" s="46"/>
      <c r="AL659" s="46"/>
      <c r="AM659" s="46"/>
      <c r="AN659" s="46"/>
      <c r="AO659" s="46"/>
      <c r="AP659" s="46"/>
      <c r="AQ659" s="46"/>
      <c r="AR659" s="46"/>
      <c r="AS659" s="46"/>
      <c r="AT659" s="46"/>
      <c r="AU659" s="46"/>
      <c r="AV659" s="46"/>
      <c r="AW659" s="46"/>
      <c r="AX659" s="46"/>
      <c r="AY659" s="46"/>
      <c r="AZ659" s="46"/>
      <c r="BA659" s="46"/>
      <c r="BB659" s="46"/>
    </row>
    <row r="660" spans="1:54" x14ac:dyDescent="0.25">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c r="AA660" s="46"/>
      <c r="AB660" s="46"/>
      <c r="AC660" s="46"/>
      <c r="AD660" s="46"/>
      <c r="AE660" s="46"/>
      <c r="AF660" s="46"/>
      <c r="AG660" s="46"/>
      <c r="AH660" s="46"/>
      <c r="AI660" s="46"/>
      <c r="AJ660" s="46"/>
      <c r="AK660" s="46"/>
      <c r="AL660" s="46"/>
      <c r="AM660" s="46"/>
      <c r="AN660" s="46"/>
      <c r="AO660" s="46"/>
      <c r="AP660" s="46"/>
      <c r="AQ660" s="46"/>
      <c r="AR660" s="46"/>
      <c r="AS660" s="46"/>
      <c r="AT660" s="46"/>
      <c r="AU660" s="46"/>
      <c r="AV660" s="46"/>
      <c r="AW660" s="46"/>
      <c r="AX660" s="46"/>
      <c r="AY660" s="46"/>
      <c r="AZ660" s="46"/>
      <c r="BA660" s="46"/>
      <c r="BB660" s="46"/>
    </row>
    <row r="661" spans="1:54" x14ac:dyDescent="0.25">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c r="AA661" s="46"/>
      <c r="AB661" s="46"/>
      <c r="AC661" s="46"/>
      <c r="AD661" s="46"/>
      <c r="AE661" s="46"/>
      <c r="AF661" s="46"/>
      <c r="AG661" s="46"/>
      <c r="AH661" s="46"/>
      <c r="AI661" s="46"/>
      <c r="AJ661" s="46"/>
      <c r="AK661" s="46"/>
      <c r="AL661" s="46"/>
      <c r="AM661" s="46"/>
      <c r="AN661" s="46"/>
      <c r="AO661" s="46"/>
      <c r="AP661" s="46"/>
      <c r="AQ661" s="46"/>
      <c r="AR661" s="46"/>
      <c r="AS661" s="46"/>
      <c r="AT661" s="46"/>
      <c r="AU661" s="46"/>
      <c r="AV661" s="46"/>
      <c r="AW661" s="46"/>
      <c r="AX661" s="46"/>
      <c r="AY661" s="46"/>
      <c r="AZ661" s="46"/>
      <c r="BA661" s="46"/>
      <c r="BB661" s="46"/>
    </row>
    <row r="662" spans="1:54" x14ac:dyDescent="0.25">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c r="AA662" s="46"/>
      <c r="AB662" s="46"/>
      <c r="AC662" s="46"/>
      <c r="AD662" s="46"/>
      <c r="AE662" s="46"/>
      <c r="AF662" s="46"/>
      <c r="AG662" s="46"/>
      <c r="AH662" s="46"/>
      <c r="AI662" s="46"/>
      <c r="AJ662" s="46"/>
      <c r="AK662" s="46"/>
      <c r="AL662" s="46"/>
      <c r="AM662" s="46"/>
      <c r="AN662" s="46"/>
      <c r="AO662" s="46"/>
      <c r="AP662" s="46"/>
      <c r="AQ662" s="46"/>
      <c r="AR662" s="46"/>
      <c r="AS662" s="46"/>
      <c r="AT662" s="46"/>
      <c r="AU662" s="46"/>
      <c r="AV662" s="46"/>
      <c r="AW662" s="46"/>
      <c r="AX662" s="46"/>
      <c r="AY662" s="46"/>
      <c r="AZ662" s="46"/>
      <c r="BA662" s="46"/>
      <c r="BB662" s="46"/>
    </row>
    <row r="663" spans="1:54" x14ac:dyDescent="0.25">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6"/>
      <c r="AF663" s="46"/>
      <c r="AG663" s="46"/>
      <c r="AH663" s="46"/>
      <c r="AI663" s="46"/>
      <c r="AJ663" s="46"/>
      <c r="AK663" s="46"/>
      <c r="AL663" s="46"/>
      <c r="AM663" s="46"/>
      <c r="AN663" s="46"/>
      <c r="AO663" s="46"/>
      <c r="AP663" s="46"/>
      <c r="AQ663" s="46"/>
      <c r="AR663" s="46"/>
      <c r="AS663" s="46"/>
      <c r="AT663" s="46"/>
      <c r="AU663" s="46"/>
      <c r="AV663" s="46"/>
      <c r="AW663" s="46"/>
      <c r="AX663" s="46"/>
      <c r="AY663" s="46"/>
      <c r="AZ663" s="46"/>
      <c r="BA663" s="46"/>
      <c r="BB663" s="46"/>
    </row>
    <row r="664" spans="1:54" x14ac:dyDescent="0.25">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c r="AA664" s="46"/>
      <c r="AB664" s="46"/>
      <c r="AC664" s="46"/>
      <c r="AD664" s="46"/>
      <c r="AE664" s="46"/>
      <c r="AF664" s="46"/>
      <c r="AG664" s="46"/>
      <c r="AH664" s="46"/>
      <c r="AI664" s="46"/>
      <c r="AJ664" s="46"/>
      <c r="AK664" s="46"/>
      <c r="AL664" s="46"/>
      <c r="AM664" s="46"/>
      <c r="AN664" s="46"/>
      <c r="AO664" s="46"/>
      <c r="AP664" s="46"/>
      <c r="AQ664" s="46"/>
      <c r="AR664" s="46"/>
      <c r="AS664" s="46"/>
      <c r="AT664" s="46"/>
      <c r="AU664" s="46"/>
      <c r="AV664" s="46"/>
      <c r="AW664" s="46"/>
      <c r="AX664" s="46"/>
      <c r="AY664" s="46"/>
      <c r="AZ664" s="46"/>
      <c r="BA664" s="46"/>
      <c r="BB664" s="46"/>
    </row>
    <row r="665" spans="1:54" x14ac:dyDescent="0.25">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E665" s="46"/>
      <c r="AF665" s="46"/>
      <c r="AG665" s="46"/>
      <c r="AH665" s="46"/>
      <c r="AI665" s="46"/>
      <c r="AJ665" s="46"/>
      <c r="AK665" s="46"/>
      <c r="AL665" s="46"/>
      <c r="AM665" s="46"/>
      <c r="AN665" s="46"/>
      <c r="AO665" s="46"/>
      <c r="AP665" s="46"/>
      <c r="AQ665" s="46"/>
      <c r="AR665" s="46"/>
      <c r="AS665" s="46"/>
      <c r="AT665" s="46"/>
      <c r="AU665" s="46"/>
      <c r="AV665" s="46"/>
      <c r="AW665" s="46"/>
      <c r="AX665" s="46"/>
      <c r="AY665" s="46"/>
      <c r="AZ665" s="46"/>
      <c r="BA665" s="46"/>
      <c r="BB665" s="46"/>
    </row>
    <row r="666" spans="1:54" x14ac:dyDescent="0.25">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6"/>
      <c r="AH666" s="46"/>
      <c r="AI666" s="46"/>
      <c r="AJ666" s="46"/>
      <c r="AK666" s="46"/>
      <c r="AL666" s="46"/>
      <c r="AM666" s="46"/>
      <c r="AN666" s="46"/>
      <c r="AO666" s="46"/>
      <c r="AP666" s="46"/>
      <c r="AQ666" s="46"/>
      <c r="AR666" s="46"/>
      <c r="AS666" s="46"/>
      <c r="AT666" s="46"/>
      <c r="AU666" s="46"/>
      <c r="AV666" s="46"/>
      <c r="AW666" s="46"/>
      <c r="AX666" s="46"/>
      <c r="AY666" s="46"/>
      <c r="AZ666" s="46"/>
      <c r="BA666" s="46"/>
      <c r="BB666" s="46"/>
    </row>
    <row r="667" spans="1:54" x14ac:dyDescent="0.25">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6"/>
      <c r="AF667" s="46"/>
      <c r="AG667" s="46"/>
      <c r="AH667" s="46"/>
      <c r="AI667" s="46"/>
      <c r="AJ667" s="46"/>
      <c r="AK667" s="46"/>
      <c r="AL667" s="46"/>
      <c r="AM667" s="46"/>
      <c r="AN667" s="46"/>
      <c r="AO667" s="46"/>
      <c r="AP667" s="46"/>
      <c r="AQ667" s="46"/>
      <c r="AR667" s="46"/>
      <c r="AS667" s="46"/>
      <c r="AT667" s="46"/>
      <c r="AU667" s="46"/>
      <c r="AV667" s="46"/>
      <c r="AW667" s="46"/>
      <c r="AX667" s="46"/>
      <c r="AY667" s="46"/>
      <c r="AZ667" s="46"/>
      <c r="BA667" s="46"/>
      <c r="BB667" s="46"/>
    </row>
    <row r="668" spans="1:54" x14ac:dyDescent="0.25">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c r="AA668" s="46"/>
      <c r="AB668" s="46"/>
      <c r="AC668" s="46"/>
      <c r="AD668" s="46"/>
      <c r="AE668" s="46"/>
      <c r="AF668" s="46"/>
      <c r="AG668" s="46"/>
      <c r="AH668" s="46"/>
      <c r="AI668" s="46"/>
      <c r="AJ668" s="46"/>
      <c r="AK668" s="46"/>
      <c r="AL668" s="46"/>
      <c r="AM668" s="46"/>
      <c r="AN668" s="46"/>
      <c r="AO668" s="46"/>
      <c r="AP668" s="46"/>
      <c r="AQ668" s="46"/>
      <c r="AR668" s="46"/>
      <c r="AS668" s="46"/>
      <c r="AT668" s="46"/>
      <c r="AU668" s="46"/>
      <c r="AV668" s="46"/>
      <c r="AW668" s="46"/>
      <c r="AX668" s="46"/>
      <c r="AY668" s="46"/>
      <c r="AZ668" s="46"/>
      <c r="BA668" s="46"/>
      <c r="BB668" s="46"/>
    </row>
    <row r="669" spans="1:54" x14ac:dyDescent="0.25">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c r="AA669" s="46"/>
      <c r="AB669" s="46"/>
      <c r="AC669" s="46"/>
      <c r="AD669" s="46"/>
      <c r="AE669" s="46"/>
      <c r="AF669" s="46"/>
      <c r="AG669" s="46"/>
      <c r="AH669" s="46"/>
      <c r="AI669" s="46"/>
      <c r="AJ669" s="46"/>
      <c r="AK669" s="46"/>
      <c r="AL669" s="46"/>
      <c r="AM669" s="46"/>
      <c r="AN669" s="46"/>
      <c r="AO669" s="46"/>
      <c r="AP669" s="46"/>
      <c r="AQ669" s="46"/>
      <c r="AR669" s="46"/>
      <c r="AS669" s="46"/>
      <c r="AT669" s="46"/>
      <c r="AU669" s="46"/>
      <c r="AV669" s="46"/>
      <c r="AW669" s="46"/>
      <c r="AX669" s="46"/>
      <c r="AY669" s="46"/>
      <c r="AZ669" s="46"/>
      <c r="BA669" s="46"/>
      <c r="BB669" s="46"/>
    </row>
    <row r="670" spans="1:54" x14ac:dyDescent="0.25">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46"/>
      <c r="AL670" s="46"/>
      <c r="AM670" s="46"/>
      <c r="AN670" s="46"/>
      <c r="AO670" s="46"/>
      <c r="AP670" s="46"/>
      <c r="AQ670" s="46"/>
      <c r="AR670" s="46"/>
      <c r="AS670" s="46"/>
      <c r="AT670" s="46"/>
      <c r="AU670" s="46"/>
      <c r="AV670" s="46"/>
      <c r="AW670" s="46"/>
      <c r="AX670" s="46"/>
      <c r="AY670" s="46"/>
      <c r="AZ670" s="46"/>
      <c r="BA670" s="46"/>
      <c r="BB670" s="46"/>
    </row>
    <row r="671" spans="1:54" x14ac:dyDescent="0.25">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c r="AA671" s="46"/>
      <c r="AB671" s="46"/>
      <c r="AC671" s="46"/>
      <c r="AD671" s="46"/>
      <c r="AE671" s="46"/>
      <c r="AF671" s="46"/>
      <c r="AG671" s="46"/>
      <c r="AH671" s="46"/>
      <c r="AI671" s="46"/>
      <c r="AJ671" s="46"/>
      <c r="AK671" s="46"/>
      <c r="AL671" s="46"/>
      <c r="AM671" s="46"/>
      <c r="AN671" s="46"/>
      <c r="AO671" s="46"/>
      <c r="AP671" s="46"/>
      <c r="AQ671" s="46"/>
      <c r="AR671" s="46"/>
      <c r="AS671" s="46"/>
      <c r="AT671" s="46"/>
      <c r="AU671" s="46"/>
      <c r="AV671" s="46"/>
      <c r="AW671" s="46"/>
      <c r="AX671" s="46"/>
      <c r="AY671" s="46"/>
      <c r="AZ671" s="46"/>
      <c r="BA671" s="46"/>
      <c r="BB671" s="46"/>
    </row>
    <row r="672" spans="1:54" x14ac:dyDescent="0.25">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46"/>
      <c r="AL672" s="46"/>
      <c r="AM672" s="46"/>
      <c r="AN672" s="46"/>
      <c r="AO672" s="46"/>
      <c r="AP672" s="46"/>
      <c r="AQ672" s="46"/>
      <c r="AR672" s="46"/>
      <c r="AS672" s="46"/>
      <c r="AT672" s="46"/>
      <c r="AU672" s="46"/>
      <c r="AV672" s="46"/>
      <c r="AW672" s="46"/>
      <c r="AX672" s="46"/>
      <c r="AY672" s="46"/>
      <c r="AZ672" s="46"/>
      <c r="BA672" s="46"/>
      <c r="BB672" s="46"/>
    </row>
    <row r="673" spans="1:54" x14ac:dyDescent="0.25">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46"/>
      <c r="AL673" s="46"/>
      <c r="AM673" s="46"/>
      <c r="AN673" s="46"/>
      <c r="AO673" s="46"/>
      <c r="AP673" s="46"/>
      <c r="AQ673" s="46"/>
      <c r="AR673" s="46"/>
      <c r="AS673" s="46"/>
      <c r="AT673" s="46"/>
      <c r="AU673" s="46"/>
      <c r="AV673" s="46"/>
      <c r="AW673" s="46"/>
      <c r="AX673" s="46"/>
      <c r="AY673" s="46"/>
      <c r="AZ673" s="46"/>
      <c r="BA673" s="46"/>
      <c r="BB673" s="46"/>
    </row>
    <row r="674" spans="1:54" x14ac:dyDescent="0.25">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c r="AA674" s="46"/>
      <c r="AB674" s="46"/>
      <c r="AC674" s="46"/>
      <c r="AD674" s="46"/>
      <c r="AE674" s="46"/>
      <c r="AF674" s="46"/>
      <c r="AG674" s="46"/>
      <c r="AH674" s="46"/>
      <c r="AI674" s="46"/>
      <c r="AJ674" s="46"/>
      <c r="AK674" s="46"/>
      <c r="AL674" s="46"/>
      <c r="AM674" s="46"/>
      <c r="AN674" s="46"/>
      <c r="AO674" s="46"/>
      <c r="AP674" s="46"/>
      <c r="AQ674" s="46"/>
      <c r="AR674" s="46"/>
      <c r="AS674" s="46"/>
      <c r="AT674" s="46"/>
      <c r="AU674" s="46"/>
      <c r="AV674" s="46"/>
      <c r="AW674" s="46"/>
      <c r="AX674" s="46"/>
      <c r="AY674" s="46"/>
      <c r="AZ674" s="46"/>
      <c r="BA674" s="46"/>
      <c r="BB674" s="46"/>
    </row>
    <row r="675" spans="1:54" x14ac:dyDescent="0.25">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46"/>
      <c r="AL675" s="46"/>
      <c r="AM675" s="46"/>
      <c r="AN675" s="46"/>
      <c r="AO675" s="46"/>
      <c r="AP675" s="46"/>
      <c r="AQ675" s="46"/>
      <c r="AR675" s="46"/>
      <c r="AS675" s="46"/>
      <c r="AT675" s="46"/>
      <c r="AU675" s="46"/>
      <c r="AV675" s="46"/>
      <c r="AW675" s="46"/>
      <c r="AX675" s="46"/>
      <c r="AY675" s="46"/>
      <c r="AZ675" s="46"/>
      <c r="BA675" s="46"/>
      <c r="BB675" s="46"/>
    </row>
    <row r="676" spans="1:54" x14ac:dyDescent="0.25">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c r="AA676" s="46"/>
      <c r="AB676" s="46"/>
      <c r="AC676" s="46"/>
      <c r="AD676" s="46"/>
      <c r="AE676" s="46"/>
      <c r="AF676" s="46"/>
      <c r="AG676" s="46"/>
      <c r="AH676" s="46"/>
      <c r="AI676" s="46"/>
      <c r="AJ676" s="46"/>
      <c r="AK676" s="46"/>
      <c r="AL676" s="46"/>
      <c r="AM676" s="46"/>
      <c r="AN676" s="46"/>
      <c r="AO676" s="46"/>
      <c r="AP676" s="46"/>
      <c r="AQ676" s="46"/>
      <c r="AR676" s="46"/>
      <c r="AS676" s="46"/>
      <c r="AT676" s="46"/>
      <c r="AU676" s="46"/>
      <c r="AV676" s="46"/>
      <c r="AW676" s="46"/>
      <c r="AX676" s="46"/>
      <c r="AY676" s="46"/>
      <c r="AZ676" s="46"/>
      <c r="BA676" s="46"/>
      <c r="BB676" s="46"/>
    </row>
    <row r="677" spans="1:54" x14ac:dyDescent="0.25">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6"/>
      <c r="AF677" s="46"/>
      <c r="AG677" s="46"/>
      <c r="AH677" s="46"/>
      <c r="AI677" s="46"/>
      <c r="AJ677" s="46"/>
      <c r="AK677" s="46"/>
      <c r="AL677" s="46"/>
      <c r="AM677" s="46"/>
      <c r="AN677" s="46"/>
      <c r="AO677" s="46"/>
      <c r="AP677" s="46"/>
      <c r="AQ677" s="46"/>
      <c r="AR677" s="46"/>
      <c r="AS677" s="46"/>
      <c r="AT677" s="46"/>
      <c r="AU677" s="46"/>
      <c r="AV677" s="46"/>
      <c r="AW677" s="46"/>
      <c r="AX677" s="46"/>
      <c r="AY677" s="46"/>
      <c r="AZ677" s="46"/>
      <c r="BA677" s="46"/>
      <c r="BB677" s="46"/>
    </row>
    <row r="678" spans="1:54" x14ac:dyDescent="0.25">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c r="AA678" s="46"/>
      <c r="AB678" s="46"/>
      <c r="AC678" s="46"/>
      <c r="AD678" s="46"/>
      <c r="AE678" s="46"/>
      <c r="AF678" s="46"/>
      <c r="AG678" s="46"/>
      <c r="AH678" s="46"/>
      <c r="AI678" s="46"/>
      <c r="AJ678" s="46"/>
      <c r="AK678" s="46"/>
      <c r="AL678" s="46"/>
      <c r="AM678" s="46"/>
      <c r="AN678" s="46"/>
      <c r="AO678" s="46"/>
      <c r="AP678" s="46"/>
      <c r="AQ678" s="46"/>
      <c r="AR678" s="46"/>
      <c r="AS678" s="46"/>
      <c r="AT678" s="46"/>
      <c r="AU678" s="46"/>
      <c r="AV678" s="46"/>
      <c r="AW678" s="46"/>
      <c r="AX678" s="46"/>
      <c r="AY678" s="46"/>
      <c r="AZ678" s="46"/>
      <c r="BA678" s="46"/>
      <c r="BB678" s="46"/>
    </row>
    <row r="679" spans="1:54" x14ac:dyDescent="0.25">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c r="AA679" s="46"/>
      <c r="AB679" s="46"/>
      <c r="AC679" s="46"/>
      <c r="AD679" s="46"/>
      <c r="AE679" s="46"/>
      <c r="AF679" s="46"/>
      <c r="AG679" s="46"/>
      <c r="AH679" s="46"/>
      <c r="AI679" s="46"/>
      <c r="AJ679" s="46"/>
      <c r="AK679" s="46"/>
      <c r="AL679" s="46"/>
      <c r="AM679" s="46"/>
      <c r="AN679" s="46"/>
      <c r="AO679" s="46"/>
      <c r="AP679" s="46"/>
      <c r="AQ679" s="46"/>
      <c r="AR679" s="46"/>
      <c r="AS679" s="46"/>
      <c r="AT679" s="46"/>
      <c r="AU679" s="46"/>
      <c r="AV679" s="46"/>
      <c r="AW679" s="46"/>
      <c r="AX679" s="46"/>
      <c r="AY679" s="46"/>
      <c r="AZ679" s="46"/>
      <c r="BA679" s="46"/>
      <c r="BB679" s="46"/>
    </row>
    <row r="680" spans="1:54" x14ac:dyDescent="0.25">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c r="AA680" s="46"/>
      <c r="AB680" s="46"/>
      <c r="AC680" s="46"/>
      <c r="AD680" s="46"/>
      <c r="AE680" s="46"/>
      <c r="AF680" s="46"/>
      <c r="AG680" s="46"/>
      <c r="AH680" s="46"/>
      <c r="AI680" s="46"/>
      <c r="AJ680" s="46"/>
      <c r="AK680" s="46"/>
      <c r="AL680" s="46"/>
      <c r="AM680" s="46"/>
      <c r="AN680" s="46"/>
      <c r="AO680" s="46"/>
      <c r="AP680" s="46"/>
      <c r="AQ680" s="46"/>
      <c r="AR680" s="46"/>
      <c r="AS680" s="46"/>
      <c r="AT680" s="46"/>
      <c r="AU680" s="46"/>
      <c r="AV680" s="46"/>
      <c r="AW680" s="46"/>
      <c r="AX680" s="46"/>
      <c r="AY680" s="46"/>
      <c r="AZ680" s="46"/>
      <c r="BA680" s="46"/>
      <c r="BB680" s="46"/>
    </row>
    <row r="681" spans="1:54" x14ac:dyDescent="0.25">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c r="AA681" s="46"/>
      <c r="AB681" s="46"/>
      <c r="AC681" s="46"/>
      <c r="AD681" s="46"/>
      <c r="AE681" s="46"/>
      <c r="AF681" s="46"/>
      <c r="AG681" s="46"/>
      <c r="AH681" s="46"/>
      <c r="AI681" s="46"/>
      <c r="AJ681" s="46"/>
      <c r="AK681" s="46"/>
      <c r="AL681" s="46"/>
      <c r="AM681" s="46"/>
      <c r="AN681" s="46"/>
      <c r="AO681" s="46"/>
      <c r="AP681" s="46"/>
      <c r="AQ681" s="46"/>
      <c r="AR681" s="46"/>
      <c r="AS681" s="46"/>
      <c r="AT681" s="46"/>
      <c r="AU681" s="46"/>
      <c r="AV681" s="46"/>
      <c r="AW681" s="46"/>
      <c r="AX681" s="46"/>
      <c r="AY681" s="46"/>
      <c r="AZ681" s="46"/>
      <c r="BA681" s="46"/>
      <c r="BB681" s="46"/>
    </row>
    <row r="682" spans="1:54" x14ac:dyDescent="0.25">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c r="AA682" s="46"/>
      <c r="AB682" s="46"/>
      <c r="AC682" s="46"/>
      <c r="AD682" s="46"/>
      <c r="AE682" s="46"/>
      <c r="AF682" s="46"/>
      <c r="AG682" s="46"/>
      <c r="AH682" s="46"/>
      <c r="AI682" s="46"/>
      <c r="AJ682" s="46"/>
      <c r="AK682" s="46"/>
      <c r="AL682" s="46"/>
      <c r="AM682" s="46"/>
      <c r="AN682" s="46"/>
      <c r="AO682" s="46"/>
      <c r="AP682" s="46"/>
      <c r="AQ682" s="46"/>
      <c r="AR682" s="46"/>
      <c r="AS682" s="46"/>
      <c r="AT682" s="46"/>
      <c r="AU682" s="46"/>
      <c r="AV682" s="46"/>
      <c r="AW682" s="46"/>
      <c r="AX682" s="46"/>
      <c r="AY682" s="46"/>
      <c r="AZ682" s="46"/>
      <c r="BA682" s="46"/>
      <c r="BB682" s="46"/>
    </row>
    <row r="683" spans="1:54" x14ac:dyDescent="0.25">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c r="AA683" s="46"/>
      <c r="AB683" s="46"/>
      <c r="AC683" s="46"/>
      <c r="AD683" s="46"/>
      <c r="AE683" s="46"/>
      <c r="AF683" s="46"/>
      <c r="AG683" s="46"/>
      <c r="AH683" s="46"/>
      <c r="AI683" s="46"/>
      <c r="AJ683" s="46"/>
      <c r="AK683" s="46"/>
      <c r="AL683" s="46"/>
      <c r="AM683" s="46"/>
      <c r="AN683" s="46"/>
      <c r="AO683" s="46"/>
      <c r="AP683" s="46"/>
      <c r="AQ683" s="46"/>
      <c r="AR683" s="46"/>
      <c r="AS683" s="46"/>
      <c r="AT683" s="46"/>
      <c r="AU683" s="46"/>
      <c r="AV683" s="46"/>
      <c r="AW683" s="46"/>
      <c r="AX683" s="46"/>
      <c r="AY683" s="46"/>
      <c r="AZ683" s="46"/>
      <c r="BA683" s="46"/>
      <c r="BB683" s="46"/>
    </row>
    <row r="684" spans="1:54" x14ac:dyDescent="0.25">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c r="AA684" s="46"/>
      <c r="AB684" s="46"/>
      <c r="AC684" s="46"/>
      <c r="AD684" s="46"/>
      <c r="AE684" s="46"/>
      <c r="AF684" s="46"/>
      <c r="AG684" s="46"/>
      <c r="AH684" s="46"/>
      <c r="AI684" s="46"/>
      <c r="AJ684" s="46"/>
      <c r="AK684" s="46"/>
      <c r="AL684" s="46"/>
      <c r="AM684" s="46"/>
      <c r="AN684" s="46"/>
      <c r="AO684" s="46"/>
      <c r="AP684" s="46"/>
      <c r="AQ684" s="46"/>
      <c r="AR684" s="46"/>
      <c r="AS684" s="46"/>
      <c r="AT684" s="46"/>
      <c r="AU684" s="46"/>
      <c r="AV684" s="46"/>
      <c r="AW684" s="46"/>
      <c r="AX684" s="46"/>
      <c r="AY684" s="46"/>
      <c r="AZ684" s="46"/>
      <c r="BA684" s="46"/>
      <c r="BB684" s="46"/>
    </row>
    <row r="685" spans="1:54" x14ac:dyDescent="0.25">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c r="AA685" s="46"/>
      <c r="AB685" s="46"/>
      <c r="AC685" s="46"/>
      <c r="AD685" s="46"/>
      <c r="AE685" s="46"/>
      <c r="AF685" s="46"/>
      <c r="AG685" s="46"/>
      <c r="AH685" s="46"/>
      <c r="AI685" s="46"/>
      <c r="AJ685" s="46"/>
      <c r="AK685" s="46"/>
      <c r="AL685" s="46"/>
      <c r="AM685" s="46"/>
      <c r="AN685" s="46"/>
      <c r="AO685" s="46"/>
      <c r="AP685" s="46"/>
      <c r="AQ685" s="46"/>
      <c r="AR685" s="46"/>
      <c r="AS685" s="46"/>
      <c r="AT685" s="46"/>
      <c r="AU685" s="46"/>
      <c r="AV685" s="46"/>
      <c r="AW685" s="46"/>
      <c r="AX685" s="46"/>
      <c r="AY685" s="46"/>
      <c r="AZ685" s="46"/>
      <c r="BA685" s="46"/>
      <c r="BB685" s="46"/>
    </row>
    <row r="686" spans="1:54" x14ac:dyDescent="0.25">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c r="AD686" s="46"/>
      <c r="AE686" s="46"/>
      <c r="AF686" s="46"/>
      <c r="AG686" s="46"/>
      <c r="AH686" s="46"/>
      <c r="AI686" s="46"/>
      <c r="AJ686" s="46"/>
      <c r="AK686" s="46"/>
      <c r="AL686" s="46"/>
      <c r="AM686" s="46"/>
      <c r="AN686" s="46"/>
      <c r="AO686" s="46"/>
      <c r="AP686" s="46"/>
      <c r="AQ686" s="46"/>
      <c r="AR686" s="46"/>
      <c r="AS686" s="46"/>
      <c r="AT686" s="46"/>
      <c r="AU686" s="46"/>
      <c r="AV686" s="46"/>
      <c r="AW686" s="46"/>
      <c r="AX686" s="46"/>
      <c r="AY686" s="46"/>
      <c r="AZ686" s="46"/>
      <c r="BA686" s="46"/>
      <c r="BB686" s="46"/>
    </row>
    <row r="687" spans="1:54" x14ac:dyDescent="0.25">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c r="AA687" s="46"/>
      <c r="AB687" s="46"/>
      <c r="AC687" s="46"/>
      <c r="AD687" s="46"/>
      <c r="AE687" s="46"/>
      <c r="AF687" s="46"/>
      <c r="AG687" s="46"/>
      <c r="AH687" s="46"/>
      <c r="AI687" s="46"/>
      <c r="AJ687" s="46"/>
      <c r="AK687" s="46"/>
      <c r="AL687" s="46"/>
      <c r="AM687" s="46"/>
      <c r="AN687" s="46"/>
      <c r="AO687" s="46"/>
      <c r="AP687" s="46"/>
      <c r="AQ687" s="46"/>
      <c r="AR687" s="46"/>
      <c r="AS687" s="46"/>
      <c r="AT687" s="46"/>
      <c r="AU687" s="46"/>
      <c r="AV687" s="46"/>
      <c r="AW687" s="46"/>
      <c r="AX687" s="46"/>
      <c r="AY687" s="46"/>
      <c r="AZ687" s="46"/>
      <c r="BA687" s="46"/>
      <c r="BB687" s="46"/>
    </row>
    <row r="688" spans="1:54" x14ac:dyDescent="0.25">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46"/>
      <c r="AL688" s="46"/>
      <c r="AM688" s="46"/>
      <c r="AN688" s="46"/>
      <c r="AO688" s="46"/>
      <c r="AP688" s="46"/>
      <c r="AQ688" s="46"/>
      <c r="AR688" s="46"/>
      <c r="AS688" s="46"/>
      <c r="AT688" s="46"/>
      <c r="AU688" s="46"/>
      <c r="AV688" s="46"/>
      <c r="AW688" s="46"/>
      <c r="AX688" s="46"/>
      <c r="AY688" s="46"/>
      <c r="AZ688" s="46"/>
      <c r="BA688" s="46"/>
      <c r="BB688" s="46"/>
    </row>
    <row r="689" spans="1:54" x14ac:dyDescent="0.25">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c r="AA689" s="46"/>
      <c r="AB689" s="46"/>
      <c r="AC689" s="46"/>
      <c r="AD689" s="46"/>
      <c r="AE689" s="46"/>
      <c r="AF689" s="46"/>
      <c r="AG689" s="46"/>
      <c r="AH689" s="46"/>
      <c r="AI689" s="46"/>
      <c r="AJ689" s="46"/>
      <c r="AK689" s="46"/>
      <c r="AL689" s="46"/>
      <c r="AM689" s="46"/>
      <c r="AN689" s="46"/>
      <c r="AO689" s="46"/>
      <c r="AP689" s="46"/>
      <c r="AQ689" s="46"/>
      <c r="AR689" s="46"/>
      <c r="AS689" s="46"/>
      <c r="AT689" s="46"/>
      <c r="AU689" s="46"/>
      <c r="AV689" s="46"/>
      <c r="AW689" s="46"/>
      <c r="AX689" s="46"/>
      <c r="AY689" s="46"/>
      <c r="AZ689" s="46"/>
      <c r="BA689" s="46"/>
      <c r="BB689" s="46"/>
    </row>
    <row r="690" spans="1:54" x14ac:dyDescent="0.25">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c r="AM690" s="46"/>
      <c r="AN690" s="46"/>
      <c r="AO690" s="46"/>
      <c r="AP690" s="46"/>
      <c r="AQ690" s="46"/>
      <c r="AR690" s="46"/>
      <c r="AS690" s="46"/>
      <c r="AT690" s="46"/>
      <c r="AU690" s="46"/>
      <c r="AV690" s="46"/>
      <c r="AW690" s="46"/>
      <c r="AX690" s="46"/>
      <c r="AY690" s="46"/>
      <c r="AZ690" s="46"/>
      <c r="BA690" s="46"/>
      <c r="BB690" s="46"/>
    </row>
    <row r="691" spans="1:54" x14ac:dyDescent="0.25">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46"/>
      <c r="AL691" s="46"/>
      <c r="AM691" s="46"/>
      <c r="AN691" s="46"/>
      <c r="AO691" s="46"/>
      <c r="AP691" s="46"/>
      <c r="AQ691" s="46"/>
      <c r="AR691" s="46"/>
      <c r="AS691" s="46"/>
      <c r="AT691" s="46"/>
      <c r="AU691" s="46"/>
      <c r="AV691" s="46"/>
      <c r="AW691" s="46"/>
      <c r="AX691" s="46"/>
      <c r="AY691" s="46"/>
      <c r="AZ691" s="46"/>
      <c r="BA691" s="46"/>
      <c r="BB691" s="46"/>
    </row>
    <row r="692" spans="1:54" x14ac:dyDescent="0.25">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c r="AA692" s="46"/>
      <c r="AB692" s="46"/>
      <c r="AC692" s="46"/>
      <c r="AD692" s="46"/>
      <c r="AE692" s="46"/>
      <c r="AF692" s="46"/>
      <c r="AG692" s="46"/>
      <c r="AH692" s="46"/>
      <c r="AI692" s="46"/>
      <c r="AJ692" s="46"/>
      <c r="AK692" s="46"/>
      <c r="AL692" s="46"/>
      <c r="AM692" s="46"/>
      <c r="AN692" s="46"/>
      <c r="AO692" s="46"/>
      <c r="AP692" s="46"/>
      <c r="AQ692" s="46"/>
      <c r="AR692" s="46"/>
      <c r="AS692" s="46"/>
      <c r="AT692" s="46"/>
      <c r="AU692" s="46"/>
      <c r="AV692" s="46"/>
      <c r="AW692" s="46"/>
      <c r="AX692" s="46"/>
      <c r="AY692" s="46"/>
      <c r="AZ692" s="46"/>
      <c r="BA692" s="46"/>
      <c r="BB692" s="46"/>
    </row>
    <row r="693" spans="1:54" x14ac:dyDescent="0.25">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c r="AA693" s="46"/>
      <c r="AB693" s="46"/>
      <c r="AC693" s="46"/>
      <c r="AD693" s="46"/>
      <c r="AE693" s="46"/>
      <c r="AF693" s="46"/>
      <c r="AG693" s="46"/>
      <c r="AH693" s="46"/>
      <c r="AI693" s="46"/>
      <c r="AJ693" s="46"/>
      <c r="AK693" s="46"/>
      <c r="AL693" s="46"/>
      <c r="AM693" s="46"/>
      <c r="AN693" s="46"/>
      <c r="AO693" s="46"/>
      <c r="AP693" s="46"/>
      <c r="AQ693" s="46"/>
      <c r="AR693" s="46"/>
      <c r="AS693" s="46"/>
      <c r="AT693" s="46"/>
      <c r="AU693" s="46"/>
      <c r="AV693" s="46"/>
      <c r="AW693" s="46"/>
      <c r="AX693" s="46"/>
      <c r="AY693" s="46"/>
      <c r="AZ693" s="46"/>
      <c r="BA693" s="46"/>
      <c r="BB693" s="46"/>
    </row>
    <row r="694" spans="1:54" x14ac:dyDescent="0.25">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c r="AA694" s="46"/>
      <c r="AB694" s="46"/>
      <c r="AC694" s="46"/>
      <c r="AD694" s="46"/>
      <c r="AE694" s="46"/>
      <c r="AF694" s="46"/>
      <c r="AG694" s="46"/>
      <c r="AH694" s="46"/>
      <c r="AI694" s="46"/>
      <c r="AJ694" s="46"/>
      <c r="AK694" s="46"/>
      <c r="AL694" s="46"/>
      <c r="AM694" s="46"/>
      <c r="AN694" s="46"/>
      <c r="AO694" s="46"/>
      <c r="AP694" s="46"/>
      <c r="AQ694" s="46"/>
      <c r="AR694" s="46"/>
      <c r="AS694" s="46"/>
      <c r="AT694" s="46"/>
      <c r="AU694" s="46"/>
      <c r="AV694" s="46"/>
      <c r="AW694" s="46"/>
      <c r="AX694" s="46"/>
      <c r="AY694" s="46"/>
      <c r="AZ694" s="46"/>
      <c r="BA694" s="46"/>
      <c r="BB694" s="46"/>
    </row>
    <row r="695" spans="1:54" x14ac:dyDescent="0.25">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c r="AA695" s="46"/>
      <c r="AB695" s="46"/>
      <c r="AC695" s="46"/>
      <c r="AD695" s="46"/>
      <c r="AE695" s="46"/>
      <c r="AF695" s="46"/>
      <c r="AG695" s="46"/>
      <c r="AH695" s="46"/>
      <c r="AI695" s="46"/>
      <c r="AJ695" s="46"/>
      <c r="AK695" s="46"/>
      <c r="AL695" s="46"/>
      <c r="AM695" s="46"/>
      <c r="AN695" s="46"/>
      <c r="AO695" s="46"/>
      <c r="AP695" s="46"/>
      <c r="AQ695" s="46"/>
      <c r="AR695" s="46"/>
      <c r="AS695" s="46"/>
      <c r="AT695" s="46"/>
      <c r="AU695" s="46"/>
      <c r="AV695" s="46"/>
      <c r="AW695" s="46"/>
      <c r="AX695" s="46"/>
      <c r="AY695" s="46"/>
      <c r="AZ695" s="46"/>
      <c r="BA695" s="46"/>
      <c r="BB695" s="46"/>
    </row>
    <row r="696" spans="1:54" x14ac:dyDescent="0.25">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c r="AA696" s="46"/>
      <c r="AB696" s="46"/>
      <c r="AC696" s="46"/>
      <c r="AD696" s="46"/>
      <c r="AE696" s="46"/>
      <c r="AF696" s="46"/>
      <c r="AG696" s="46"/>
      <c r="AH696" s="46"/>
      <c r="AI696" s="46"/>
      <c r="AJ696" s="46"/>
      <c r="AK696" s="46"/>
      <c r="AL696" s="46"/>
      <c r="AM696" s="46"/>
      <c r="AN696" s="46"/>
      <c r="AO696" s="46"/>
      <c r="AP696" s="46"/>
      <c r="AQ696" s="46"/>
      <c r="AR696" s="46"/>
      <c r="AS696" s="46"/>
      <c r="AT696" s="46"/>
      <c r="AU696" s="46"/>
      <c r="AV696" s="46"/>
      <c r="AW696" s="46"/>
      <c r="AX696" s="46"/>
      <c r="AY696" s="46"/>
      <c r="AZ696" s="46"/>
      <c r="BA696" s="46"/>
      <c r="BB696" s="46"/>
    </row>
    <row r="697" spans="1:54" x14ac:dyDescent="0.25">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c r="AA697" s="46"/>
      <c r="AB697" s="46"/>
      <c r="AC697" s="46"/>
      <c r="AD697" s="46"/>
      <c r="AE697" s="46"/>
      <c r="AF697" s="46"/>
      <c r="AG697" s="46"/>
      <c r="AH697" s="46"/>
      <c r="AI697" s="46"/>
      <c r="AJ697" s="46"/>
      <c r="AK697" s="46"/>
      <c r="AL697" s="46"/>
      <c r="AM697" s="46"/>
      <c r="AN697" s="46"/>
      <c r="AO697" s="46"/>
      <c r="AP697" s="46"/>
      <c r="AQ697" s="46"/>
      <c r="AR697" s="46"/>
      <c r="AS697" s="46"/>
      <c r="AT697" s="46"/>
      <c r="AU697" s="46"/>
      <c r="AV697" s="46"/>
      <c r="AW697" s="46"/>
      <c r="AX697" s="46"/>
      <c r="AY697" s="46"/>
      <c r="AZ697" s="46"/>
      <c r="BA697" s="46"/>
      <c r="BB697" s="46"/>
    </row>
    <row r="698" spans="1:54" x14ac:dyDescent="0.25">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6"/>
      <c r="AF698" s="46"/>
      <c r="AG698" s="46"/>
      <c r="AH698" s="46"/>
      <c r="AI698" s="46"/>
      <c r="AJ698" s="46"/>
      <c r="AK698" s="46"/>
      <c r="AL698" s="46"/>
      <c r="AM698" s="46"/>
      <c r="AN698" s="46"/>
      <c r="AO698" s="46"/>
      <c r="AP698" s="46"/>
      <c r="AQ698" s="46"/>
      <c r="AR698" s="46"/>
      <c r="AS698" s="46"/>
      <c r="AT698" s="46"/>
      <c r="AU698" s="46"/>
      <c r="AV698" s="46"/>
      <c r="AW698" s="46"/>
      <c r="AX698" s="46"/>
      <c r="AY698" s="46"/>
      <c r="AZ698" s="46"/>
      <c r="BA698" s="46"/>
      <c r="BB698" s="46"/>
    </row>
    <row r="699" spans="1:54" x14ac:dyDescent="0.25">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c r="AA699" s="46"/>
      <c r="AB699" s="46"/>
      <c r="AC699" s="46"/>
      <c r="AD699" s="46"/>
      <c r="AE699" s="46"/>
      <c r="AF699" s="46"/>
      <c r="AG699" s="46"/>
      <c r="AH699" s="46"/>
      <c r="AI699" s="46"/>
      <c r="AJ699" s="46"/>
      <c r="AK699" s="46"/>
      <c r="AL699" s="46"/>
      <c r="AM699" s="46"/>
      <c r="AN699" s="46"/>
      <c r="AO699" s="46"/>
      <c r="AP699" s="46"/>
      <c r="AQ699" s="46"/>
      <c r="AR699" s="46"/>
      <c r="AS699" s="46"/>
      <c r="AT699" s="46"/>
      <c r="AU699" s="46"/>
      <c r="AV699" s="46"/>
      <c r="AW699" s="46"/>
      <c r="AX699" s="46"/>
      <c r="AY699" s="46"/>
      <c r="AZ699" s="46"/>
      <c r="BA699" s="46"/>
      <c r="BB699" s="46"/>
    </row>
    <row r="700" spans="1:54" x14ac:dyDescent="0.25">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c r="AA700" s="46"/>
      <c r="AB700" s="46"/>
      <c r="AC700" s="46"/>
      <c r="AD700" s="46"/>
      <c r="AE700" s="46"/>
      <c r="AF700" s="46"/>
      <c r="AG700" s="46"/>
      <c r="AH700" s="46"/>
      <c r="AI700" s="46"/>
      <c r="AJ700" s="46"/>
      <c r="AK700" s="46"/>
      <c r="AL700" s="46"/>
      <c r="AM700" s="46"/>
      <c r="AN700" s="46"/>
      <c r="AO700" s="46"/>
      <c r="AP700" s="46"/>
      <c r="AQ700" s="46"/>
      <c r="AR700" s="46"/>
      <c r="AS700" s="46"/>
      <c r="AT700" s="46"/>
      <c r="AU700" s="46"/>
      <c r="AV700" s="46"/>
      <c r="AW700" s="46"/>
      <c r="AX700" s="46"/>
      <c r="AY700" s="46"/>
      <c r="AZ700" s="46"/>
      <c r="BA700" s="46"/>
      <c r="BB700" s="46"/>
    </row>
    <row r="701" spans="1:54" x14ac:dyDescent="0.25">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c r="AA701" s="46"/>
      <c r="AB701" s="46"/>
      <c r="AC701" s="46"/>
      <c r="AD701" s="46"/>
      <c r="AE701" s="46"/>
      <c r="AF701" s="46"/>
      <c r="AG701" s="46"/>
      <c r="AH701" s="46"/>
      <c r="AI701" s="46"/>
      <c r="AJ701" s="46"/>
      <c r="AK701" s="46"/>
      <c r="AL701" s="46"/>
      <c r="AM701" s="46"/>
      <c r="AN701" s="46"/>
      <c r="AO701" s="46"/>
      <c r="AP701" s="46"/>
      <c r="AQ701" s="46"/>
      <c r="AR701" s="46"/>
      <c r="AS701" s="46"/>
      <c r="AT701" s="46"/>
      <c r="AU701" s="46"/>
      <c r="AV701" s="46"/>
      <c r="AW701" s="46"/>
      <c r="AX701" s="46"/>
      <c r="AY701" s="46"/>
      <c r="AZ701" s="46"/>
      <c r="BA701" s="46"/>
      <c r="BB701" s="46"/>
    </row>
    <row r="702" spans="1:54" x14ac:dyDescent="0.25">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c r="AA702" s="46"/>
      <c r="AB702" s="46"/>
      <c r="AC702" s="46"/>
      <c r="AD702" s="46"/>
      <c r="AE702" s="46"/>
      <c r="AF702" s="46"/>
      <c r="AG702" s="46"/>
      <c r="AH702" s="46"/>
      <c r="AI702" s="46"/>
      <c r="AJ702" s="46"/>
      <c r="AK702" s="46"/>
      <c r="AL702" s="46"/>
      <c r="AM702" s="46"/>
      <c r="AN702" s="46"/>
      <c r="AO702" s="46"/>
      <c r="AP702" s="46"/>
      <c r="AQ702" s="46"/>
      <c r="AR702" s="46"/>
      <c r="AS702" s="46"/>
      <c r="AT702" s="46"/>
      <c r="AU702" s="46"/>
      <c r="AV702" s="46"/>
      <c r="AW702" s="46"/>
      <c r="AX702" s="46"/>
      <c r="AY702" s="46"/>
      <c r="AZ702" s="46"/>
      <c r="BA702" s="46"/>
      <c r="BB702" s="46"/>
    </row>
    <row r="703" spans="1:54" x14ac:dyDescent="0.25">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c r="AA703" s="46"/>
      <c r="AB703" s="46"/>
      <c r="AC703" s="46"/>
      <c r="AD703" s="46"/>
      <c r="AE703" s="46"/>
      <c r="AF703" s="46"/>
      <c r="AG703" s="46"/>
      <c r="AH703" s="46"/>
      <c r="AI703" s="46"/>
      <c r="AJ703" s="46"/>
      <c r="AK703" s="46"/>
      <c r="AL703" s="46"/>
      <c r="AM703" s="46"/>
      <c r="AN703" s="46"/>
      <c r="AO703" s="46"/>
      <c r="AP703" s="46"/>
      <c r="AQ703" s="46"/>
      <c r="AR703" s="46"/>
      <c r="AS703" s="46"/>
      <c r="AT703" s="46"/>
      <c r="AU703" s="46"/>
      <c r="AV703" s="46"/>
      <c r="AW703" s="46"/>
      <c r="AX703" s="46"/>
      <c r="AY703" s="46"/>
      <c r="AZ703" s="46"/>
      <c r="BA703" s="46"/>
      <c r="BB703" s="46"/>
    </row>
    <row r="704" spans="1:54" x14ac:dyDescent="0.25">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c r="AA704" s="46"/>
      <c r="AB704" s="46"/>
      <c r="AC704" s="46"/>
      <c r="AD704" s="46"/>
      <c r="AE704" s="46"/>
      <c r="AF704" s="46"/>
      <c r="AG704" s="46"/>
      <c r="AH704" s="46"/>
      <c r="AI704" s="46"/>
      <c r="AJ704" s="46"/>
      <c r="AK704" s="46"/>
      <c r="AL704" s="46"/>
      <c r="AM704" s="46"/>
      <c r="AN704" s="46"/>
      <c r="AO704" s="46"/>
      <c r="AP704" s="46"/>
      <c r="AQ704" s="46"/>
      <c r="AR704" s="46"/>
      <c r="AS704" s="46"/>
      <c r="AT704" s="46"/>
      <c r="AU704" s="46"/>
      <c r="AV704" s="46"/>
      <c r="AW704" s="46"/>
      <c r="AX704" s="46"/>
      <c r="AY704" s="46"/>
      <c r="AZ704" s="46"/>
      <c r="BA704" s="46"/>
      <c r="BB704" s="46"/>
    </row>
    <row r="705" spans="1:54" x14ac:dyDescent="0.25">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c r="AA705" s="46"/>
      <c r="AB705" s="46"/>
      <c r="AC705" s="46"/>
      <c r="AD705" s="46"/>
      <c r="AE705" s="46"/>
      <c r="AF705" s="46"/>
      <c r="AG705" s="46"/>
      <c r="AH705" s="46"/>
      <c r="AI705" s="46"/>
      <c r="AJ705" s="46"/>
      <c r="AK705" s="46"/>
      <c r="AL705" s="46"/>
      <c r="AM705" s="46"/>
      <c r="AN705" s="46"/>
      <c r="AO705" s="46"/>
      <c r="AP705" s="46"/>
      <c r="AQ705" s="46"/>
      <c r="AR705" s="46"/>
      <c r="AS705" s="46"/>
      <c r="AT705" s="46"/>
      <c r="AU705" s="46"/>
      <c r="AV705" s="46"/>
      <c r="AW705" s="46"/>
      <c r="AX705" s="46"/>
      <c r="AY705" s="46"/>
      <c r="AZ705" s="46"/>
      <c r="BA705" s="46"/>
      <c r="BB705" s="46"/>
    </row>
    <row r="706" spans="1:54" x14ac:dyDescent="0.25">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c r="AA706" s="46"/>
      <c r="AB706" s="46"/>
      <c r="AC706" s="46"/>
      <c r="AD706" s="46"/>
      <c r="AE706" s="46"/>
      <c r="AF706" s="46"/>
      <c r="AG706" s="46"/>
      <c r="AH706" s="46"/>
      <c r="AI706" s="46"/>
      <c r="AJ706" s="46"/>
      <c r="AK706" s="46"/>
      <c r="AL706" s="46"/>
      <c r="AM706" s="46"/>
      <c r="AN706" s="46"/>
      <c r="AO706" s="46"/>
      <c r="AP706" s="46"/>
      <c r="AQ706" s="46"/>
      <c r="AR706" s="46"/>
      <c r="AS706" s="46"/>
      <c r="AT706" s="46"/>
      <c r="AU706" s="46"/>
      <c r="AV706" s="46"/>
      <c r="AW706" s="46"/>
      <c r="AX706" s="46"/>
      <c r="AY706" s="46"/>
      <c r="AZ706" s="46"/>
      <c r="BA706" s="46"/>
      <c r="BB706" s="46"/>
    </row>
    <row r="707" spans="1:54" x14ac:dyDescent="0.25">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c r="AA707" s="46"/>
      <c r="AB707" s="46"/>
      <c r="AC707" s="46"/>
      <c r="AD707" s="46"/>
      <c r="AE707" s="46"/>
      <c r="AF707" s="46"/>
      <c r="AG707" s="46"/>
      <c r="AH707" s="46"/>
      <c r="AI707" s="46"/>
      <c r="AJ707" s="46"/>
      <c r="AK707" s="46"/>
      <c r="AL707" s="46"/>
      <c r="AM707" s="46"/>
      <c r="AN707" s="46"/>
      <c r="AO707" s="46"/>
      <c r="AP707" s="46"/>
      <c r="AQ707" s="46"/>
      <c r="AR707" s="46"/>
      <c r="AS707" s="46"/>
      <c r="AT707" s="46"/>
      <c r="AU707" s="46"/>
      <c r="AV707" s="46"/>
      <c r="AW707" s="46"/>
      <c r="AX707" s="46"/>
      <c r="AY707" s="46"/>
      <c r="AZ707" s="46"/>
      <c r="BA707" s="46"/>
      <c r="BB707" s="46"/>
    </row>
    <row r="708" spans="1:54" x14ac:dyDescent="0.25">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c r="AA708" s="46"/>
      <c r="AB708" s="46"/>
      <c r="AC708" s="46"/>
      <c r="AD708" s="46"/>
      <c r="AE708" s="46"/>
      <c r="AF708" s="46"/>
      <c r="AG708" s="46"/>
      <c r="AH708" s="46"/>
      <c r="AI708" s="46"/>
      <c r="AJ708" s="46"/>
      <c r="AK708" s="46"/>
      <c r="AL708" s="46"/>
      <c r="AM708" s="46"/>
      <c r="AN708" s="46"/>
      <c r="AO708" s="46"/>
      <c r="AP708" s="46"/>
      <c r="AQ708" s="46"/>
      <c r="AR708" s="46"/>
      <c r="AS708" s="46"/>
      <c r="AT708" s="46"/>
      <c r="AU708" s="46"/>
      <c r="AV708" s="46"/>
      <c r="AW708" s="46"/>
      <c r="AX708" s="46"/>
      <c r="AY708" s="46"/>
      <c r="AZ708" s="46"/>
      <c r="BA708" s="46"/>
      <c r="BB708" s="46"/>
    </row>
    <row r="709" spans="1:54" x14ac:dyDescent="0.25">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c r="AA709" s="46"/>
      <c r="AB709" s="46"/>
      <c r="AC709" s="46"/>
      <c r="AD709" s="46"/>
      <c r="AE709" s="46"/>
      <c r="AF709" s="46"/>
      <c r="AG709" s="46"/>
      <c r="AH709" s="46"/>
      <c r="AI709" s="46"/>
      <c r="AJ709" s="46"/>
      <c r="AK709" s="46"/>
      <c r="AL709" s="46"/>
      <c r="AM709" s="46"/>
      <c r="AN709" s="46"/>
      <c r="AO709" s="46"/>
      <c r="AP709" s="46"/>
      <c r="AQ709" s="46"/>
      <c r="AR709" s="46"/>
      <c r="AS709" s="46"/>
      <c r="AT709" s="46"/>
      <c r="AU709" s="46"/>
      <c r="AV709" s="46"/>
      <c r="AW709" s="46"/>
      <c r="AX709" s="46"/>
      <c r="AY709" s="46"/>
      <c r="AZ709" s="46"/>
      <c r="BA709" s="46"/>
      <c r="BB709" s="46"/>
    </row>
    <row r="710" spans="1:54" x14ac:dyDescent="0.25">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c r="AA710" s="46"/>
      <c r="AB710" s="46"/>
      <c r="AC710" s="46"/>
      <c r="AD710" s="46"/>
      <c r="AE710" s="46"/>
      <c r="AF710" s="46"/>
      <c r="AG710" s="46"/>
      <c r="AH710" s="46"/>
      <c r="AI710" s="46"/>
      <c r="AJ710" s="46"/>
      <c r="AK710" s="46"/>
      <c r="AL710" s="46"/>
      <c r="AM710" s="46"/>
      <c r="AN710" s="46"/>
      <c r="AO710" s="46"/>
      <c r="AP710" s="46"/>
      <c r="AQ710" s="46"/>
      <c r="AR710" s="46"/>
      <c r="AS710" s="46"/>
      <c r="AT710" s="46"/>
      <c r="AU710" s="46"/>
      <c r="AV710" s="46"/>
      <c r="AW710" s="46"/>
      <c r="AX710" s="46"/>
      <c r="AY710" s="46"/>
      <c r="AZ710" s="46"/>
      <c r="BA710" s="46"/>
      <c r="BB710" s="46"/>
    </row>
    <row r="711" spans="1:54" x14ac:dyDescent="0.25">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c r="AA711" s="46"/>
      <c r="AB711" s="46"/>
      <c r="AC711" s="46"/>
      <c r="AD711" s="46"/>
      <c r="AE711" s="46"/>
      <c r="AF711" s="46"/>
      <c r="AG711" s="46"/>
      <c r="AH711" s="46"/>
      <c r="AI711" s="46"/>
      <c r="AJ711" s="46"/>
      <c r="AK711" s="46"/>
      <c r="AL711" s="46"/>
      <c r="AM711" s="46"/>
      <c r="AN711" s="46"/>
      <c r="AO711" s="46"/>
      <c r="AP711" s="46"/>
      <c r="AQ711" s="46"/>
      <c r="AR711" s="46"/>
      <c r="AS711" s="46"/>
      <c r="AT711" s="46"/>
      <c r="AU711" s="46"/>
      <c r="AV711" s="46"/>
      <c r="AW711" s="46"/>
      <c r="AX711" s="46"/>
      <c r="AY711" s="46"/>
      <c r="AZ711" s="46"/>
      <c r="BA711" s="46"/>
      <c r="BB711" s="46"/>
    </row>
    <row r="712" spans="1:54" x14ac:dyDescent="0.25">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c r="AA712" s="46"/>
      <c r="AB712" s="46"/>
      <c r="AC712" s="46"/>
      <c r="AD712" s="46"/>
      <c r="AE712" s="46"/>
      <c r="AF712" s="46"/>
      <c r="AG712" s="46"/>
      <c r="AH712" s="46"/>
      <c r="AI712" s="46"/>
      <c r="AJ712" s="46"/>
      <c r="AK712" s="46"/>
      <c r="AL712" s="46"/>
      <c r="AM712" s="46"/>
      <c r="AN712" s="46"/>
      <c r="AO712" s="46"/>
      <c r="AP712" s="46"/>
      <c r="AQ712" s="46"/>
      <c r="AR712" s="46"/>
      <c r="AS712" s="46"/>
      <c r="AT712" s="46"/>
      <c r="AU712" s="46"/>
      <c r="AV712" s="46"/>
      <c r="AW712" s="46"/>
      <c r="AX712" s="46"/>
      <c r="AY712" s="46"/>
      <c r="AZ712" s="46"/>
      <c r="BA712" s="46"/>
      <c r="BB712" s="46"/>
    </row>
    <row r="713" spans="1:54" x14ac:dyDescent="0.25">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c r="AA713" s="46"/>
      <c r="AB713" s="46"/>
      <c r="AC713" s="46"/>
      <c r="AD713" s="46"/>
      <c r="AE713" s="46"/>
      <c r="AF713" s="46"/>
      <c r="AG713" s="46"/>
      <c r="AH713" s="46"/>
      <c r="AI713" s="46"/>
      <c r="AJ713" s="46"/>
      <c r="AK713" s="46"/>
      <c r="AL713" s="46"/>
      <c r="AM713" s="46"/>
      <c r="AN713" s="46"/>
      <c r="AO713" s="46"/>
      <c r="AP713" s="46"/>
      <c r="AQ713" s="46"/>
      <c r="AR713" s="46"/>
      <c r="AS713" s="46"/>
      <c r="AT713" s="46"/>
      <c r="AU713" s="46"/>
      <c r="AV713" s="46"/>
      <c r="AW713" s="46"/>
      <c r="AX713" s="46"/>
      <c r="AY713" s="46"/>
      <c r="AZ713" s="46"/>
      <c r="BA713" s="46"/>
      <c r="BB713" s="46"/>
    </row>
    <row r="714" spans="1:54" x14ac:dyDescent="0.25">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c r="AA714" s="46"/>
      <c r="AB714" s="46"/>
      <c r="AC714" s="46"/>
      <c r="AD714" s="46"/>
      <c r="AE714" s="46"/>
      <c r="AF714" s="46"/>
      <c r="AG714" s="46"/>
      <c r="AH714" s="46"/>
      <c r="AI714" s="46"/>
      <c r="AJ714" s="46"/>
      <c r="AK714" s="46"/>
      <c r="AL714" s="46"/>
      <c r="AM714" s="46"/>
      <c r="AN714" s="46"/>
      <c r="AO714" s="46"/>
      <c r="AP714" s="46"/>
      <c r="AQ714" s="46"/>
      <c r="AR714" s="46"/>
      <c r="AS714" s="46"/>
      <c r="AT714" s="46"/>
      <c r="AU714" s="46"/>
      <c r="AV714" s="46"/>
      <c r="AW714" s="46"/>
      <c r="AX714" s="46"/>
      <c r="AY714" s="46"/>
      <c r="AZ714" s="46"/>
      <c r="BA714" s="46"/>
      <c r="BB714" s="46"/>
    </row>
    <row r="715" spans="1:54" x14ac:dyDescent="0.25">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c r="AA715" s="46"/>
      <c r="AB715" s="46"/>
      <c r="AC715" s="46"/>
      <c r="AD715" s="46"/>
      <c r="AE715" s="46"/>
      <c r="AF715" s="46"/>
      <c r="AG715" s="46"/>
      <c r="AH715" s="46"/>
      <c r="AI715" s="46"/>
      <c r="AJ715" s="46"/>
      <c r="AK715" s="46"/>
      <c r="AL715" s="46"/>
      <c r="AM715" s="46"/>
      <c r="AN715" s="46"/>
      <c r="AO715" s="46"/>
      <c r="AP715" s="46"/>
      <c r="AQ715" s="46"/>
      <c r="AR715" s="46"/>
      <c r="AS715" s="46"/>
      <c r="AT715" s="46"/>
      <c r="AU715" s="46"/>
      <c r="AV715" s="46"/>
      <c r="AW715" s="46"/>
      <c r="AX715" s="46"/>
      <c r="AY715" s="46"/>
      <c r="AZ715" s="46"/>
      <c r="BA715" s="46"/>
      <c r="BB715" s="46"/>
    </row>
    <row r="716" spans="1:54" x14ac:dyDescent="0.25">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c r="AA716" s="46"/>
      <c r="AB716" s="46"/>
      <c r="AC716" s="46"/>
      <c r="AD716" s="46"/>
      <c r="AE716" s="46"/>
      <c r="AF716" s="46"/>
      <c r="AG716" s="46"/>
      <c r="AH716" s="46"/>
      <c r="AI716" s="46"/>
      <c r="AJ716" s="46"/>
      <c r="AK716" s="46"/>
      <c r="AL716" s="46"/>
      <c r="AM716" s="46"/>
      <c r="AN716" s="46"/>
      <c r="AO716" s="46"/>
      <c r="AP716" s="46"/>
      <c r="AQ716" s="46"/>
      <c r="AR716" s="46"/>
      <c r="AS716" s="46"/>
      <c r="AT716" s="46"/>
      <c r="AU716" s="46"/>
      <c r="AV716" s="46"/>
      <c r="AW716" s="46"/>
      <c r="AX716" s="46"/>
      <c r="AY716" s="46"/>
      <c r="AZ716" s="46"/>
      <c r="BA716" s="46"/>
      <c r="BB716" s="46"/>
    </row>
    <row r="717" spans="1:54" x14ac:dyDescent="0.25">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c r="AA717" s="46"/>
      <c r="AB717" s="46"/>
      <c r="AC717" s="46"/>
      <c r="AD717" s="46"/>
      <c r="AE717" s="46"/>
      <c r="AF717" s="46"/>
      <c r="AG717" s="46"/>
      <c r="AH717" s="46"/>
      <c r="AI717" s="46"/>
      <c r="AJ717" s="46"/>
      <c r="AK717" s="46"/>
      <c r="AL717" s="46"/>
      <c r="AM717" s="46"/>
      <c r="AN717" s="46"/>
      <c r="AO717" s="46"/>
      <c r="AP717" s="46"/>
      <c r="AQ717" s="46"/>
      <c r="AR717" s="46"/>
      <c r="AS717" s="46"/>
      <c r="AT717" s="46"/>
      <c r="AU717" s="46"/>
      <c r="AV717" s="46"/>
      <c r="AW717" s="46"/>
      <c r="AX717" s="46"/>
      <c r="AY717" s="46"/>
      <c r="AZ717" s="46"/>
      <c r="BA717" s="46"/>
      <c r="BB717" s="46"/>
    </row>
    <row r="718" spans="1:54" x14ac:dyDescent="0.25">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c r="AA718" s="46"/>
      <c r="AB718" s="46"/>
      <c r="AC718" s="46"/>
      <c r="AD718" s="46"/>
      <c r="AE718" s="46"/>
      <c r="AF718" s="46"/>
      <c r="AG718" s="46"/>
      <c r="AH718" s="46"/>
      <c r="AI718" s="46"/>
      <c r="AJ718" s="46"/>
      <c r="AK718" s="46"/>
      <c r="AL718" s="46"/>
      <c r="AM718" s="46"/>
      <c r="AN718" s="46"/>
      <c r="AO718" s="46"/>
      <c r="AP718" s="46"/>
      <c r="AQ718" s="46"/>
      <c r="AR718" s="46"/>
      <c r="AS718" s="46"/>
      <c r="AT718" s="46"/>
      <c r="AU718" s="46"/>
      <c r="AV718" s="46"/>
      <c r="AW718" s="46"/>
      <c r="AX718" s="46"/>
      <c r="AY718" s="46"/>
      <c r="AZ718" s="46"/>
      <c r="BA718" s="46"/>
      <c r="BB718" s="46"/>
    </row>
    <row r="719" spans="1:54" x14ac:dyDescent="0.25">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c r="AA719" s="46"/>
      <c r="AB719" s="46"/>
      <c r="AC719" s="46"/>
      <c r="AD719" s="46"/>
      <c r="AE719" s="46"/>
      <c r="AF719" s="46"/>
      <c r="AG719" s="46"/>
      <c r="AH719" s="46"/>
      <c r="AI719" s="46"/>
      <c r="AJ719" s="46"/>
      <c r="AK719" s="46"/>
      <c r="AL719" s="46"/>
      <c r="AM719" s="46"/>
      <c r="AN719" s="46"/>
      <c r="AO719" s="46"/>
      <c r="AP719" s="46"/>
      <c r="AQ719" s="46"/>
      <c r="AR719" s="46"/>
      <c r="AS719" s="46"/>
      <c r="AT719" s="46"/>
      <c r="AU719" s="46"/>
      <c r="AV719" s="46"/>
      <c r="AW719" s="46"/>
      <c r="AX719" s="46"/>
      <c r="AY719" s="46"/>
      <c r="AZ719" s="46"/>
      <c r="BA719" s="46"/>
      <c r="BB719" s="46"/>
    </row>
    <row r="720" spans="1:54" x14ac:dyDescent="0.25">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6"/>
      <c r="AF720" s="46"/>
      <c r="AG720" s="46"/>
      <c r="AH720" s="46"/>
      <c r="AI720" s="46"/>
      <c r="AJ720" s="46"/>
      <c r="AK720" s="46"/>
      <c r="AL720" s="46"/>
      <c r="AM720" s="46"/>
      <c r="AN720" s="46"/>
      <c r="AO720" s="46"/>
      <c r="AP720" s="46"/>
      <c r="AQ720" s="46"/>
      <c r="AR720" s="46"/>
      <c r="AS720" s="46"/>
      <c r="AT720" s="46"/>
      <c r="AU720" s="46"/>
      <c r="AV720" s="46"/>
      <c r="AW720" s="46"/>
      <c r="AX720" s="46"/>
      <c r="AY720" s="46"/>
      <c r="AZ720" s="46"/>
      <c r="BA720" s="46"/>
      <c r="BB720" s="46"/>
    </row>
    <row r="721" spans="1:54" x14ac:dyDescent="0.25">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c r="AA721" s="46"/>
      <c r="AB721" s="46"/>
      <c r="AC721" s="46"/>
      <c r="AD721" s="46"/>
      <c r="AE721" s="46"/>
      <c r="AF721" s="46"/>
      <c r="AG721" s="46"/>
      <c r="AH721" s="46"/>
      <c r="AI721" s="46"/>
      <c r="AJ721" s="46"/>
      <c r="AK721" s="46"/>
      <c r="AL721" s="46"/>
      <c r="AM721" s="46"/>
      <c r="AN721" s="46"/>
      <c r="AO721" s="46"/>
      <c r="AP721" s="46"/>
      <c r="AQ721" s="46"/>
      <c r="AR721" s="46"/>
      <c r="AS721" s="46"/>
      <c r="AT721" s="46"/>
      <c r="AU721" s="46"/>
      <c r="AV721" s="46"/>
      <c r="AW721" s="46"/>
      <c r="AX721" s="46"/>
      <c r="AY721" s="46"/>
      <c r="AZ721" s="46"/>
      <c r="BA721" s="46"/>
      <c r="BB721" s="46"/>
    </row>
    <row r="722" spans="1:54" x14ac:dyDescent="0.25">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c r="AA722" s="46"/>
      <c r="AB722" s="46"/>
      <c r="AC722" s="46"/>
      <c r="AD722" s="46"/>
      <c r="AE722" s="46"/>
      <c r="AF722" s="46"/>
      <c r="AG722" s="46"/>
      <c r="AH722" s="46"/>
      <c r="AI722" s="46"/>
      <c r="AJ722" s="46"/>
      <c r="AK722" s="46"/>
      <c r="AL722" s="46"/>
      <c r="AM722" s="46"/>
      <c r="AN722" s="46"/>
      <c r="AO722" s="46"/>
      <c r="AP722" s="46"/>
      <c r="AQ722" s="46"/>
      <c r="AR722" s="46"/>
      <c r="AS722" s="46"/>
      <c r="AT722" s="46"/>
      <c r="AU722" s="46"/>
      <c r="AV722" s="46"/>
      <c r="AW722" s="46"/>
      <c r="AX722" s="46"/>
      <c r="AY722" s="46"/>
      <c r="AZ722" s="46"/>
      <c r="BA722" s="46"/>
      <c r="BB722" s="46"/>
    </row>
    <row r="723" spans="1:54" x14ac:dyDescent="0.25">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c r="AA723" s="46"/>
      <c r="AB723" s="46"/>
      <c r="AC723" s="46"/>
      <c r="AD723" s="46"/>
      <c r="AE723" s="46"/>
      <c r="AF723" s="46"/>
      <c r="AG723" s="46"/>
      <c r="AH723" s="46"/>
      <c r="AI723" s="46"/>
      <c r="AJ723" s="46"/>
      <c r="AK723" s="46"/>
      <c r="AL723" s="46"/>
      <c r="AM723" s="46"/>
      <c r="AN723" s="46"/>
      <c r="AO723" s="46"/>
      <c r="AP723" s="46"/>
      <c r="AQ723" s="46"/>
      <c r="AR723" s="46"/>
      <c r="AS723" s="46"/>
      <c r="AT723" s="46"/>
      <c r="AU723" s="46"/>
      <c r="AV723" s="46"/>
      <c r="AW723" s="46"/>
      <c r="AX723" s="46"/>
      <c r="AY723" s="46"/>
      <c r="AZ723" s="46"/>
      <c r="BA723" s="46"/>
      <c r="BB723" s="46"/>
    </row>
    <row r="724" spans="1:54" x14ac:dyDescent="0.25">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c r="AA724" s="46"/>
      <c r="AB724" s="46"/>
      <c r="AC724" s="46"/>
      <c r="AD724" s="46"/>
      <c r="AE724" s="46"/>
      <c r="AF724" s="46"/>
      <c r="AG724" s="46"/>
      <c r="AH724" s="46"/>
      <c r="AI724" s="46"/>
      <c r="AJ724" s="46"/>
      <c r="AK724" s="46"/>
      <c r="AL724" s="46"/>
      <c r="AM724" s="46"/>
      <c r="AN724" s="46"/>
      <c r="AO724" s="46"/>
      <c r="AP724" s="46"/>
      <c r="AQ724" s="46"/>
      <c r="AR724" s="46"/>
      <c r="AS724" s="46"/>
      <c r="AT724" s="46"/>
      <c r="AU724" s="46"/>
      <c r="AV724" s="46"/>
      <c r="AW724" s="46"/>
      <c r="AX724" s="46"/>
      <c r="AY724" s="46"/>
      <c r="AZ724" s="46"/>
      <c r="BA724" s="46"/>
      <c r="BB724" s="46"/>
    </row>
    <row r="725" spans="1:54" x14ac:dyDescent="0.25">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6"/>
      <c r="AF725" s="46"/>
      <c r="AG725" s="46"/>
      <c r="AH725" s="46"/>
      <c r="AI725" s="46"/>
      <c r="AJ725" s="46"/>
      <c r="AK725" s="46"/>
      <c r="AL725" s="46"/>
      <c r="AM725" s="46"/>
      <c r="AN725" s="46"/>
      <c r="AO725" s="46"/>
      <c r="AP725" s="46"/>
      <c r="AQ725" s="46"/>
      <c r="AR725" s="46"/>
      <c r="AS725" s="46"/>
      <c r="AT725" s="46"/>
      <c r="AU725" s="46"/>
      <c r="AV725" s="46"/>
      <c r="AW725" s="46"/>
      <c r="AX725" s="46"/>
      <c r="AY725" s="46"/>
      <c r="AZ725" s="46"/>
      <c r="BA725" s="46"/>
      <c r="BB725" s="46"/>
    </row>
    <row r="726" spans="1:54" x14ac:dyDescent="0.25">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c r="AA726" s="46"/>
      <c r="AB726" s="46"/>
      <c r="AC726" s="46"/>
      <c r="AD726" s="46"/>
      <c r="AE726" s="46"/>
      <c r="AF726" s="46"/>
      <c r="AG726" s="46"/>
      <c r="AH726" s="46"/>
      <c r="AI726" s="46"/>
      <c r="AJ726" s="46"/>
      <c r="AK726" s="46"/>
      <c r="AL726" s="46"/>
      <c r="AM726" s="46"/>
      <c r="AN726" s="46"/>
      <c r="AO726" s="46"/>
      <c r="AP726" s="46"/>
      <c r="AQ726" s="46"/>
      <c r="AR726" s="46"/>
      <c r="AS726" s="46"/>
      <c r="AT726" s="46"/>
      <c r="AU726" s="46"/>
      <c r="AV726" s="46"/>
      <c r="AW726" s="46"/>
      <c r="AX726" s="46"/>
      <c r="AY726" s="46"/>
      <c r="AZ726" s="46"/>
      <c r="BA726" s="46"/>
      <c r="BB726" s="46"/>
    </row>
    <row r="727" spans="1:54" x14ac:dyDescent="0.25">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c r="AA727" s="46"/>
      <c r="AB727" s="46"/>
      <c r="AC727" s="46"/>
      <c r="AD727" s="46"/>
      <c r="AE727" s="46"/>
      <c r="AF727" s="46"/>
      <c r="AG727" s="46"/>
      <c r="AH727" s="46"/>
      <c r="AI727" s="46"/>
      <c r="AJ727" s="46"/>
      <c r="AK727" s="46"/>
      <c r="AL727" s="46"/>
      <c r="AM727" s="46"/>
      <c r="AN727" s="46"/>
      <c r="AO727" s="46"/>
      <c r="AP727" s="46"/>
      <c r="AQ727" s="46"/>
      <c r="AR727" s="46"/>
      <c r="AS727" s="46"/>
      <c r="AT727" s="46"/>
      <c r="AU727" s="46"/>
      <c r="AV727" s="46"/>
      <c r="AW727" s="46"/>
      <c r="AX727" s="46"/>
      <c r="AY727" s="46"/>
      <c r="AZ727" s="46"/>
      <c r="BA727" s="46"/>
      <c r="BB727" s="46"/>
    </row>
    <row r="728" spans="1:54" x14ac:dyDescent="0.25">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c r="AA728" s="46"/>
      <c r="AB728" s="46"/>
      <c r="AC728" s="46"/>
      <c r="AD728" s="46"/>
      <c r="AE728" s="46"/>
      <c r="AF728" s="46"/>
      <c r="AG728" s="46"/>
      <c r="AH728" s="46"/>
      <c r="AI728" s="46"/>
      <c r="AJ728" s="46"/>
      <c r="AK728" s="46"/>
      <c r="AL728" s="46"/>
      <c r="AM728" s="46"/>
      <c r="AN728" s="46"/>
      <c r="AO728" s="46"/>
      <c r="AP728" s="46"/>
      <c r="AQ728" s="46"/>
      <c r="AR728" s="46"/>
      <c r="AS728" s="46"/>
      <c r="AT728" s="46"/>
      <c r="AU728" s="46"/>
      <c r="AV728" s="46"/>
      <c r="AW728" s="46"/>
      <c r="AX728" s="46"/>
      <c r="AY728" s="46"/>
      <c r="AZ728" s="46"/>
      <c r="BA728" s="46"/>
      <c r="BB728" s="46"/>
    </row>
    <row r="729" spans="1:54" x14ac:dyDescent="0.25">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c r="AA729" s="46"/>
      <c r="AB729" s="46"/>
      <c r="AC729" s="46"/>
      <c r="AD729" s="46"/>
      <c r="AE729" s="46"/>
      <c r="AF729" s="46"/>
      <c r="AG729" s="46"/>
      <c r="AH729" s="46"/>
      <c r="AI729" s="46"/>
      <c r="AJ729" s="46"/>
      <c r="AK729" s="46"/>
      <c r="AL729" s="46"/>
      <c r="AM729" s="46"/>
      <c r="AN729" s="46"/>
      <c r="AO729" s="46"/>
      <c r="AP729" s="46"/>
      <c r="AQ729" s="46"/>
      <c r="AR729" s="46"/>
      <c r="AS729" s="46"/>
      <c r="AT729" s="46"/>
      <c r="AU729" s="46"/>
      <c r="AV729" s="46"/>
      <c r="AW729" s="46"/>
      <c r="AX729" s="46"/>
      <c r="AY729" s="46"/>
      <c r="AZ729" s="46"/>
      <c r="BA729" s="46"/>
      <c r="BB729" s="46"/>
    </row>
    <row r="730" spans="1:54" x14ac:dyDescent="0.25">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6"/>
      <c r="AF730" s="46"/>
      <c r="AG730" s="46"/>
      <c r="AH730" s="46"/>
      <c r="AI730" s="46"/>
      <c r="AJ730" s="46"/>
      <c r="AK730" s="46"/>
      <c r="AL730" s="46"/>
      <c r="AM730" s="46"/>
      <c r="AN730" s="46"/>
      <c r="AO730" s="46"/>
      <c r="AP730" s="46"/>
      <c r="AQ730" s="46"/>
      <c r="AR730" s="46"/>
      <c r="AS730" s="46"/>
      <c r="AT730" s="46"/>
      <c r="AU730" s="46"/>
      <c r="AV730" s="46"/>
      <c r="AW730" s="46"/>
      <c r="AX730" s="46"/>
      <c r="AY730" s="46"/>
      <c r="AZ730" s="46"/>
      <c r="BA730" s="46"/>
      <c r="BB730" s="46"/>
    </row>
    <row r="731" spans="1:54" x14ac:dyDescent="0.25">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c r="AA731" s="46"/>
      <c r="AB731" s="46"/>
      <c r="AC731" s="46"/>
      <c r="AD731" s="46"/>
      <c r="AE731" s="46"/>
      <c r="AF731" s="46"/>
      <c r="AG731" s="46"/>
      <c r="AH731" s="46"/>
      <c r="AI731" s="46"/>
      <c r="AJ731" s="46"/>
      <c r="AK731" s="46"/>
      <c r="AL731" s="46"/>
      <c r="AM731" s="46"/>
      <c r="AN731" s="46"/>
      <c r="AO731" s="46"/>
      <c r="AP731" s="46"/>
      <c r="AQ731" s="46"/>
      <c r="AR731" s="46"/>
      <c r="AS731" s="46"/>
      <c r="AT731" s="46"/>
      <c r="AU731" s="46"/>
      <c r="AV731" s="46"/>
      <c r="AW731" s="46"/>
      <c r="AX731" s="46"/>
      <c r="AY731" s="46"/>
      <c r="AZ731" s="46"/>
      <c r="BA731" s="46"/>
      <c r="BB731" s="46"/>
    </row>
    <row r="732" spans="1:54" x14ac:dyDescent="0.25">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c r="AA732" s="46"/>
      <c r="AB732" s="46"/>
      <c r="AC732" s="46"/>
      <c r="AD732" s="46"/>
      <c r="AE732" s="46"/>
      <c r="AF732" s="46"/>
      <c r="AG732" s="46"/>
      <c r="AH732" s="46"/>
      <c r="AI732" s="46"/>
      <c r="AJ732" s="46"/>
      <c r="AK732" s="46"/>
      <c r="AL732" s="46"/>
      <c r="AM732" s="46"/>
      <c r="AN732" s="46"/>
      <c r="AO732" s="46"/>
      <c r="AP732" s="46"/>
      <c r="AQ732" s="46"/>
      <c r="AR732" s="46"/>
      <c r="AS732" s="46"/>
      <c r="AT732" s="46"/>
      <c r="AU732" s="46"/>
      <c r="AV732" s="46"/>
      <c r="AW732" s="46"/>
      <c r="AX732" s="46"/>
      <c r="AY732" s="46"/>
      <c r="AZ732" s="46"/>
      <c r="BA732" s="46"/>
      <c r="BB732" s="46"/>
    </row>
    <row r="733" spans="1:54" x14ac:dyDescent="0.25">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c r="AA733" s="46"/>
      <c r="AB733" s="46"/>
      <c r="AC733" s="46"/>
      <c r="AD733" s="46"/>
      <c r="AE733" s="46"/>
      <c r="AF733" s="46"/>
      <c r="AG733" s="46"/>
      <c r="AH733" s="46"/>
      <c r="AI733" s="46"/>
      <c r="AJ733" s="46"/>
      <c r="AK733" s="46"/>
      <c r="AL733" s="46"/>
      <c r="AM733" s="46"/>
      <c r="AN733" s="46"/>
      <c r="AO733" s="46"/>
      <c r="AP733" s="46"/>
      <c r="AQ733" s="46"/>
      <c r="AR733" s="46"/>
      <c r="AS733" s="46"/>
      <c r="AT733" s="46"/>
      <c r="AU733" s="46"/>
      <c r="AV733" s="46"/>
      <c r="AW733" s="46"/>
      <c r="AX733" s="46"/>
      <c r="AY733" s="46"/>
      <c r="AZ733" s="46"/>
      <c r="BA733" s="46"/>
      <c r="BB733" s="46"/>
    </row>
    <row r="734" spans="1:54" x14ac:dyDescent="0.25">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c r="AA734" s="46"/>
      <c r="AB734" s="46"/>
      <c r="AC734" s="46"/>
      <c r="AD734" s="46"/>
      <c r="AE734" s="46"/>
      <c r="AF734" s="46"/>
      <c r="AG734" s="46"/>
      <c r="AH734" s="46"/>
      <c r="AI734" s="46"/>
      <c r="AJ734" s="46"/>
      <c r="AK734" s="46"/>
      <c r="AL734" s="46"/>
      <c r="AM734" s="46"/>
      <c r="AN734" s="46"/>
      <c r="AO734" s="46"/>
      <c r="AP734" s="46"/>
      <c r="AQ734" s="46"/>
      <c r="AR734" s="46"/>
      <c r="AS734" s="46"/>
      <c r="AT734" s="46"/>
      <c r="AU734" s="46"/>
      <c r="AV734" s="46"/>
      <c r="AW734" s="46"/>
      <c r="AX734" s="46"/>
      <c r="AY734" s="46"/>
      <c r="AZ734" s="46"/>
      <c r="BA734" s="46"/>
      <c r="BB734" s="46"/>
    </row>
    <row r="735" spans="1:54" x14ac:dyDescent="0.25">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c r="AA735" s="46"/>
      <c r="AB735" s="46"/>
      <c r="AC735" s="46"/>
      <c r="AD735" s="46"/>
      <c r="AE735" s="46"/>
      <c r="AF735" s="46"/>
      <c r="AG735" s="46"/>
      <c r="AH735" s="46"/>
      <c r="AI735" s="46"/>
      <c r="AJ735" s="46"/>
      <c r="AK735" s="46"/>
      <c r="AL735" s="46"/>
      <c r="AM735" s="46"/>
      <c r="AN735" s="46"/>
      <c r="AO735" s="46"/>
      <c r="AP735" s="46"/>
      <c r="AQ735" s="46"/>
      <c r="AR735" s="46"/>
      <c r="AS735" s="46"/>
      <c r="AT735" s="46"/>
      <c r="AU735" s="46"/>
      <c r="AV735" s="46"/>
      <c r="AW735" s="46"/>
      <c r="AX735" s="46"/>
      <c r="AY735" s="46"/>
      <c r="AZ735" s="46"/>
      <c r="BA735" s="46"/>
      <c r="BB735" s="46"/>
    </row>
    <row r="736" spans="1:54" x14ac:dyDescent="0.25">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c r="AA736" s="46"/>
      <c r="AB736" s="46"/>
      <c r="AC736" s="46"/>
      <c r="AD736" s="46"/>
      <c r="AE736" s="46"/>
      <c r="AF736" s="46"/>
      <c r="AG736" s="46"/>
      <c r="AH736" s="46"/>
      <c r="AI736" s="46"/>
      <c r="AJ736" s="46"/>
      <c r="AK736" s="46"/>
      <c r="AL736" s="46"/>
      <c r="AM736" s="46"/>
      <c r="AN736" s="46"/>
      <c r="AO736" s="46"/>
      <c r="AP736" s="46"/>
      <c r="AQ736" s="46"/>
      <c r="AR736" s="46"/>
      <c r="AS736" s="46"/>
      <c r="AT736" s="46"/>
      <c r="AU736" s="46"/>
      <c r="AV736" s="46"/>
      <c r="AW736" s="46"/>
      <c r="AX736" s="46"/>
      <c r="AY736" s="46"/>
      <c r="AZ736" s="46"/>
      <c r="BA736" s="46"/>
      <c r="BB736" s="46"/>
    </row>
    <row r="737" spans="1:54" x14ac:dyDescent="0.25">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6"/>
      <c r="AF737" s="46"/>
      <c r="AG737" s="46"/>
      <c r="AH737" s="46"/>
      <c r="AI737" s="46"/>
      <c r="AJ737" s="46"/>
      <c r="AK737" s="46"/>
      <c r="AL737" s="46"/>
      <c r="AM737" s="46"/>
      <c r="AN737" s="46"/>
      <c r="AO737" s="46"/>
      <c r="AP737" s="46"/>
      <c r="AQ737" s="46"/>
      <c r="AR737" s="46"/>
      <c r="AS737" s="46"/>
      <c r="AT737" s="46"/>
      <c r="AU737" s="46"/>
      <c r="AV737" s="46"/>
      <c r="AW737" s="46"/>
      <c r="AX737" s="46"/>
      <c r="AY737" s="46"/>
      <c r="AZ737" s="46"/>
      <c r="BA737" s="46"/>
      <c r="BB737" s="46"/>
    </row>
    <row r="738" spans="1:54" x14ac:dyDescent="0.25">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c r="AA738" s="46"/>
      <c r="AB738" s="46"/>
      <c r="AC738" s="46"/>
      <c r="AD738" s="46"/>
      <c r="AE738" s="46"/>
      <c r="AF738" s="46"/>
      <c r="AG738" s="46"/>
      <c r="AH738" s="46"/>
      <c r="AI738" s="46"/>
      <c r="AJ738" s="46"/>
      <c r="AK738" s="46"/>
      <c r="AL738" s="46"/>
      <c r="AM738" s="46"/>
      <c r="AN738" s="46"/>
      <c r="AO738" s="46"/>
      <c r="AP738" s="46"/>
      <c r="AQ738" s="46"/>
      <c r="AR738" s="46"/>
      <c r="AS738" s="46"/>
      <c r="AT738" s="46"/>
      <c r="AU738" s="46"/>
      <c r="AV738" s="46"/>
      <c r="AW738" s="46"/>
      <c r="AX738" s="46"/>
      <c r="AY738" s="46"/>
      <c r="AZ738" s="46"/>
      <c r="BA738" s="46"/>
      <c r="BB738" s="46"/>
    </row>
    <row r="739" spans="1:54" x14ac:dyDescent="0.25">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c r="AA739" s="46"/>
      <c r="AB739" s="46"/>
      <c r="AC739" s="46"/>
      <c r="AD739" s="46"/>
      <c r="AE739" s="46"/>
      <c r="AF739" s="46"/>
      <c r="AG739" s="46"/>
      <c r="AH739" s="46"/>
      <c r="AI739" s="46"/>
      <c r="AJ739" s="46"/>
      <c r="AK739" s="46"/>
      <c r="AL739" s="46"/>
      <c r="AM739" s="46"/>
      <c r="AN739" s="46"/>
      <c r="AO739" s="46"/>
      <c r="AP739" s="46"/>
      <c r="AQ739" s="46"/>
      <c r="AR739" s="46"/>
      <c r="AS739" s="46"/>
      <c r="AT739" s="46"/>
      <c r="AU739" s="46"/>
      <c r="AV739" s="46"/>
      <c r="AW739" s="46"/>
      <c r="AX739" s="46"/>
      <c r="AY739" s="46"/>
      <c r="AZ739" s="46"/>
      <c r="BA739" s="46"/>
      <c r="BB739" s="46"/>
    </row>
    <row r="740" spans="1:54" x14ac:dyDescent="0.25">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c r="AA740" s="46"/>
      <c r="AB740" s="46"/>
      <c r="AC740" s="46"/>
      <c r="AD740" s="46"/>
      <c r="AE740" s="46"/>
      <c r="AF740" s="46"/>
      <c r="AG740" s="46"/>
      <c r="AH740" s="46"/>
      <c r="AI740" s="46"/>
      <c r="AJ740" s="46"/>
      <c r="AK740" s="46"/>
      <c r="AL740" s="46"/>
      <c r="AM740" s="46"/>
      <c r="AN740" s="46"/>
      <c r="AO740" s="46"/>
      <c r="AP740" s="46"/>
      <c r="AQ740" s="46"/>
      <c r="AR740" s="46"/>
      <c r="AS740" s="46"/>
      <c r="AT740" s="46"/>
      <c r="AU740" s="46"/>
      <c r="AV740" s="46"/>
      <c r="AW740" s="46"/>
      <c r="AX740" s="46"/>
      <c r="AY740" s="46"/>
      <c r="AZ740" s="46"/>
      <c r="BA740" s="46"/>
      <c r="BB740" s="46"/>
    </row>
    <row r="741" spans="1:54" x14ac:dyDescent="0.25">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c r="AM741" s="46"/>
      <c r="AN741" s="46"/>
      <c r="AO741" s="46"/>
      <c r="AP741" s="46"/>
      <c r="AQ741" s="46"/>
      <c r="AR741" s="46"/>
      <c r="AS741" s="46"/>
      <c r="AT741" s="46"/>
      <c r="AU741" s="46"/>
      <c r="AV741" s="46"/>
      <c r="AW741" s="46"/>
      <c r="AX741" s="46"/>
      <c r="AY741" s="46"/>
      <c r="AZ741" s="46"/>
      <c r="BA741" s="46"/>
      <c r="BB741" s="46"/>
    </row>
    <row r="742" spans="1:54" x14ac:dyDescent="0.25">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c r="AQ742" s="46"/>
      <c r="AR742" s="46"/>
      <c r="AS742" s="46"/>
      <c r="AT742" s="46"/>
      <c r="AU742" s="46"/>
      <c r="AV742" s="46"/>
      <c r="AW742" s="46"/>
      <c r="AX742" s="46"/>
      <c r="AY742" s="46"/>
      <c r="AZ742" s="46"/>
      <c r="BA742" s="46"/>
      <c r="BB742" s="46"/>
    </row>
    <row r="743" spans="1:54" x14ac:dyDescent="0.25">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c r="AM743" s="46"/>
      <c r="AN743" s="46"/>
      <c r="AO743" s="46"/>
      <c r="AP743" s="46"/>
      <c r="AQ743" s="46"/>
      <c r="AR743" s="46"/>
      <c r="AS743" s="46"/>
      <c r="AT743" s="46"/>
      <c r="AU743" s="46"/>
      <c r="AV743" s="46"/>
      <c r="AW743" s="46"/>
      <c r="AX743" s="46"/>
      <c r="AY743" s="46"/>
      <c r="AZ743" s="46"/>
      <c r="BA743" s="46"/>
      <c r="BB743" s="46"/>
    </row>
    <row r="744" spans="1:54" x14ac:dyDescent="0.25">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c r="AM744" s="46"/>
      <c r="AN744" s="46"/>
      <c r="AO744" s="46"/>
      <c r="AP744" s="46"/>
      <c r="AQ744" s="46"/>
      <c r="AR744" s="46"/>
      <c r="AS744" s="46"/>
      <c r="AT744" s="46"/>
      <c r="AU744" s="46"/>
      <c r="AV744" s="46"/>
      <c r="AW744" s="46"/>
      <c r="AX744" s="46"/>
      <c r="AY744" s="46"/>
      <c r="AZ744" s="46"/>
      <c r="BA744" s="46"/>
      <c r="BB744" s="46"/>
    </row>
    <row r="745" spans="1:54" x14ac:dyDescent="0.25">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c r="AM745" s="46"/>
      <c r="AN745" s="46"/>
      <c r="AO745" s="46"/>
      <c r="AP745" s="46"/>
      <c r="AQ745" s="46"/>
      <c r="AR745" s="46"/>
      <c r="AS745" s="46"/>
      <c r="AT745" s="46"/>
      <c r="AU745" s="46"/>
      <c r="AV745" s="46"/>
      <c r="AW745" s="46"/>
      <c r="AX745" s="46"/>
      <c r="AY745" s="46"/>
      <c r="AZ745" s="46"/>
      <c r="BA745" s="46"/>
      <c r="BB745" s="46"/>
    </row>
    <row r="746" spans="1:54" x14ac:dyDescent="0.25">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c r="AM746" s="46"/>
      <c r="AN746" s="46"/>
      <c r="AO746" s="46"/>
      <c r="AP746" s="46"/>
      <c r="AQ746" s="46"/>
      <c r="AR746" s="46"/>
      <c r="AS746" s="46"/>
      <c r="AT746" s="46"/>
      <c r="AU746" s="46"/>
      <c r="AV746" s="46"/>
      <c r="AW746" s="46"/>
      <c r="AX746" s="46"/>
      <c r="AY746" s="46"/>
      <c r="AZ746" s="46"/>
      <c r="BA746" s="46"/>
      <c r="BB746" s="46"/>
    </row>
    <row r="747" spans="1:54" x14ac:dyDescent="0.25">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c r="AM747" s="46"/>
      <c r="AN747" s="46"/>
      <c r="AO747" s="46"/>
      <c r="AP747" s="46"/>
      <c r="AQ747" s="46"/>
      <c r="AR747" s="46"/>
      <c r="AS747" s="46"/>
      <c r="AT747" s="46"/>
      <c r="AU747" s="46"/>
      <c r="AV747" s="46"/>
      <c r="AW747" s="46"/>
      <c r="AX747" s="46"/>
      <c r="AY747" s="46"/>
      <c r="AZ747" s="46"/>
      <c r="BA747" s="46"/>
      <c r="BB747" s="46"/>
    </row>
    <row r="748" spans="1:54" x14ac:dyDescent="0.25">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c r="AM748" s="46"/>
      <c r="AN748" s="46"/>
      <c r="AO748" s="46"/>
      <c r="AP748" s="46"/>
      <c r="AQ748" s="46"/>
      <c r="AR748" s="46"/>
      <c r="AS748" s="46"/>
      <c r="AT748" s="46"/>
      <c r="AU748" s="46"/>
      <c r="AV748" s="46"/>
      <c r="AW748" s="46"/>
      <c r="AX748" s="46"/>
      <c r="AY748" s="46"/>
      <c r="AZ748" s="46"/>
      <c r="BA748" s="46"/>
      <c r="BB748" s="46"/>
    </row>
    <row r="749" spans="1:54" x14ac:dyDescent="0.25">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c r="AM749" s="46"/>
      <c r="AN749" s="46"/>
      <c r="AO749" s="46"/>
      <c r="AP749" s="46"/>
      <c r="AQ749" s="46"/>
      <c r="AR749" s="46"/>
      <c r="AS749" s="46"/>
      <c r="AT749" s="46"/>
      <c r="AU749" s="46"/>
      <c r="AV749" s="46"/>
      <c r="AW749" s="46"/>
      <c r="AX749" s="46"/>
      <c r="AY749" s="46"/>
      <c r="AZ749" s="46"/>
      <c r="BA749" s="46"/>
      <c r="BB749" s="46"/>
    </row>
    <row r="750" spans="1:54" x14ac:dyDescent="0.25">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6"/>
      <c r="AY750" s="46"/>
      <c r="AZ750" s="46"/>
      <c r="BA750" s="46"/>
      <c r="BB750" s="46"/>
    </row>
    <row r="751" spans="1:54" x14ac:dyDescent="0.25">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c r="AM751" s="46"/>
      <c r="AN751" s="46"/>
      <c r="AO751" s="46"/>
      <c r="AP751" s="46"/>
      <c r="AQ751" s="46"/>
      <c r="AR751" s="46"/>
      <c r="AS751" s="46"/>
      <c r="AT751" s="46"/>
      <c r="AU751" s="46"/>
      <c r="AV751" s="46"/>
      <c r="AW751" s="46"/>
      <c r="AX751" s="46"/>
      <c r="AY751" s="46"/>
      <c r="AZ751" s="46"/>
      <c r="BA751" s="46"/>
      <c r="BB751" s="46"/>
    </row>
    <row r="752" spans="1:54" x14ac:dyDescent="0.25">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c r="AM752" s="46"/>
      <c r="AN752" s="46"/>
      <c r="AO752" s="46"/>
      <c r="AP752" s="46"/>
      <c r="AQ752" s="46"/>
      <c r="AR752" s="46"/>
      <c r="AS752" s="46"/>
      <c r="AT752" s="46"/>
      <c r="AU752" s="46"/>
      <c r="AV752" s="46"/>
      <c r="AW752" s="46"/>
      <c r="AX752" s="46"/>
      <c r="AY752" s="46"/>
      <c r="AZ752" s="46"/>
      <c r="BA752" s="46"/>
      <c r="BB752" s="46"/>
    </row>
    <row r="753" spans="1:54" x14ac:dyDescent="0.25">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c r="AM753" s="46"/>
      <c r="AN753" s="46"/>
      <c r="AO753" s="46"/>
      <c r="AP753" s="46"/>
      <c r="AQ753" s="46"/>
      <c r="AR753" s="46"/>
      <c r="AS753" s="46"/>
      <c r="AT753" s="46"/>
      <c r="AU753" s="46"/>
      <c r="AV753" s="46"/>
      <c r="AW753" s="46"/>
      <c r="AX753" s="46"/>
      <c r="AY753" s="46"/>
      <c r="AZ753" s="46"/>
      <c r="BA753" s="46"/>
      <c r="BB753" s="46"/>
    </row>
    <row r="754" spans="1:54" x14ac:dyDescent="0.25">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c r="AM754" s="46"/>
      <c r="AN754" s="46"/>
      <c r="AO754" s="46"/>
      <c r="AP754" s="46"/>
      <c r="AQ754" s="46"/>
      <c r="AR754" s="46"/>
      <c r="AS754" s="46"/>
      <c r="AT754" s="46"/>
      <c r="AU754" s="46"/>
      <c r="AV754" s="46"/>
      <c r="AW754" s="46"/>
      <c r="AX754" s="46"/>
      <c r="AY754" s="46"/>
      <c r="AZ754" s="46"/>
      <c r="BA754" s="46"/>
      <c r="BB754" s="46"/>
    </row>
    <row r="755" spans="1:54" x14ac:dyDescent="0.25">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c r="AM755" s="46"/>
      <c r="AN755" s="46"/>
      <c r="AO755" s="46"/>
      <c r="AP755" s="46"/>
      <c r="AQ755" s="46"/>
      <c r="AR755" s="46"/>
      <c r="AS755" s="46"/>
      <c r="AT755" s="46"/>
      <c r="AU755" s="46"/>
      <c r="AV755" s="46"/>
      <c r="AW755" s="46"/>
      <c r="AX755" s="46"/>
      <c r="AY755" s="46"/>
      <c r="AZ755" s="46"/>
      <c r="BA755" s="46"/>
      <c r="BB755" s="46"/>
    </row>
    <row r="756" spans="1:54" x14ac:dyDescent="0.25">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c r="AM756" s="46"/>
      <c r="AN756" s="46"/>
      <c r="AO756" s="46"/>
      <c r="AP756" s="46"/>
      <c r="AQ756" s="46"/>
      <c r="AR756" s="46"/>
      <c r="AS756" s="46"/>
      <c r="AT756" s="46"/>
      <c r="AU756" s="46"/>
      <c r="AV756" s="46"/>
      <c r="AW756" s="46"/>
      <c r="AX756" s="46"/>
      <c r="AY756" s="46"/>
      <c r="AZ756" s="46"/>
      <c r="BA756" s="46"/>
      <c r="BB756" s="46"/>
    </row>
    <row r="757" spans="1:54" x14ac:dyDescent="0.25">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c r="AM757" s="46"/>
      <c r="AN757" s="46"/>
      <c r="AO757" s="46"/>
      <c r="AP757" s="46"/>
      <c r="AQ757" s="46"/>
      <c r="AR757" s="46"/>
      <c r="AS757" s="46"/>
      <c r="AT757" s="46"/>
      <c r="AU757" s="46"/>
      <c r="AV757" s="46"/>
      <c r="AW757" s="46"/>
      <c r="AX757" s="46"/>
      <c r="AY757" s="46"/>
      <c r="AZ757" s="46"/>
      <c r="BA757" s="46"/>
      <c r="BB757" s="46"/>
    </row>
    <row r="758" spans="1:54" x14ac:dyDescent="0.25">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c r="AU758" s="46"/>
      <c r="AV758" s="46"/>
      <c r="AW758" s="46"/>
      <c r="AX758" s="46"/>
      <c r="AY758" s="46"/>
      <c r="AZ758" s="46"/>
      <c r="BA758" s="46"/>
      <c r="BB758" s="46"/>
    </row>
    <row r="759" spans="1:54" x14ac:dyDescent="0.25">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c r="AM759" s="46"/>
      <c r="AN759" s="46"/>
      <c r="AO759" s="46"/>
      <c r="AP759" s="46"/>
      <c r="AQ759" s="46"/>
      <c r="AR759" s="46"/>
      <c r="AS759" s="46"/>
      <c r="AT759" s="46"/>
      <c r="AU759" s="46"/>
      <c r="AV759" s="46"/>
      <c r="AW759" s="46"/>
      <c r="AX759" s="46"/>
      <c r="AY759" s="46"/>
      <c r="AZ759" s="46"/>
      <c r="BA759" s="46"/>
      <c r="BB759" s="46"/>
    </row>
    <row r="760" spans="1:54" x14ac:dyDescent="0.25">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c r="AM760" s="46"/>
      <c r="AN760" s="46"/>
      <c r="AO760" s="46"/>
      <c r="AP760" s="46"/>
      <c r="AQ760" s="46"/>
      <c r="AR760" s="46"/>
      <c r="AS760" s="46"/>
      <c r="AT760" s="46"/>
      <c r="AU760" s="46"/>
      <c r="AV760" s="46"/>
      <c r="AW760" s="46"/>
      <c r="AX760" s="46"/>
      <c r="AY760" s="46"/>
      <c r="AZ760" s="46"/>
      <c r="BA760" s="46"/>
      <c r="BB760" s="46"/>
    </row>
    <row r="761" spans="1:54" x14ac:dyDescent="0.25">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c r="AM761" s="46"/>
      <c r="AN761" s="46"/>
      <c r="AO761" s="46"/>
      <c r="AP761" s="46"/>
      <c r="AQ761" s="46"/>
      <c r="AR761" s="46"/>
      <c r="AS761" s="46"/>
      <c r="AT761" s="46"/>
      <c r="AU761" s="46"/>
      <c r="AV761" s="46"/>
      <c r="AW761" s="46"/>
      <c r="AX761" s="46"/>
      <c r="AY761" s="46"/>
      <c r="AZ761" s="46"/>
      <c r="BA761" s="46"/>
      <c r="BB761" s="46"/>
    </row>
    <row r="762" spans="1:54" x14ac:dyDescent="0.25">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c r="AM762" s="46"/>
      <c r="AN762" s="46"/>
      <c r="AO762" s="46"/>
      <c r="AP762" s="46"/>
      <c r="AQ762" s="46"/>
      <c r="AR762" s="46"/>
      <c r="AS762" s="46"/>
      <c r="AT762" s="46"/>
      <c r="AU762" s="46"/>
      <c r="AV762" s="46"/>
      <c r="AW762" s="46"/>
      <c r="AX762" s="46"/>
      <c r="AY762" s="46"/>
      <c r="AZ762" s="46"/>
      <c r="BA762" s="46"/>
      <c r="BB762" s="46"/>
    </row>
    <row r="763" spans="1:54" x14ac:dyDescent="0.25">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c r="AM763" s="46"/>
      <c r="AN763" s="46"/>
      <c r="AO763" s="46"/>
      <c r="AP763" s="46"/>
      <c r="AQ763" s="46"/>
      <c r="AR763" s="46"/>
      <c r="AS763" s="46"/>
      <c r="AT763" s="46"/>
      <c r="AU763" s="46"/>
      <c r="AV763" s="46"/>
      <c r="AW763" s="46"/>
      <c r="AX763" s="46"/>
      <c r="AY763" s="46"/>
      <c r="AZ763" s="46"/>
      <c r="BA763" s="46"/>
      <c r="BB763" s="46"/>
    </row>
    <row r="764" spans="1:54" x14ac:dyDescent="0.25">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c r="AM764" s="46"/>
      <c r="AN764" s="46"/>
      <c r="AO764" s="46"/>
      <c r="AP764" s="46"/>
      <c r="AQ764" s="46"/>
      <c r="AR764" s="46"/>
      <c r="AS764" s="46"/>
      <c r="AT764" s="46"/>
      <c r="AU764" s="46"/>
      <c r="AV764" s="46"/>
      <c r="AW764" s="46"/>
      <c r="AX764" s="46"/>
      <c r="AY764" s="46"/>
      <c r="AZ764" s="46"/>
      <c r="BA764" s="46"/>
      <c r="BB764" s="46"/>
    </row>
    <row r="765" spans="1:54" x14ac:dyDescent="0.25">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c r="AM765" s="46"/>
      <c r="AN765" s="46"/>
      <c r="AO765" s="46"/>
      <c r="AP765" s="46"/>
      <c r="AQ765" s="46"/>
      <c r="AR765" s="46"/>
      <c r="AS765" s="46"/>
      <c r="AT765" s="46"/>
      <c r="AU765" s="46"/>
      <c r="AV765" s="46"/>
      <c r="AW765" s="46"/>
      <c r="AX765" s="46"/>
      <c r="AY765" s="46"/>
      <c r="AZ765" s="46"/>
      <c r="BA765" s="46"/>
      <c r="BB765" s="46"/>
    </row>
    <row r="766" spans="1:54" x14ac:dyDescent="0.25">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c r="AU766" s="46"/>
      <c r="AV766" s="46"/>
      <c r="AW766" s="46"/>
      <c r="AX766" s="46"/>
      <c r="AY766" s="46"/>
      <c r="AZ766" s="46"/>
      <c r="BA766" s="46"/>
      <c r="BB766" s="46"/>
    </row>
    <row r="767" spans="1:54" x14ac:dyDescent="0.25">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c r="AM767" s="46"/>
      <c r="AN767" s="46"/>
      <c r="AO767" s="46"/>
      <c r="AP767" s="46"/>
      <c r="AQ767" s="46"/>
      <c r="AR767" s="46"/>
      <c r="AS767" s="46"/>
      <c r="AT767" s="46"/>
      <c r="AU767" s="46"/>
      <c r="AV767" s="46"/>
      <c r="AW767" s="46"/>
      <c r="AX767" s="46"/>
      <c r="AY767" s="46"/>
      <c r="AZ767" s="46"/>
      <c r="BA767" s="46"/>
      <c r="BB767" s="46"/>
    </row>
    <row r="768" spans="1:54" x14ac:dyDescent="0.25">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c r="AM768" s="46"/>
      <c r="AN768" s="46"/>
      <c r="AO768" s="46"/>
      <c r="AP768" s="46"/>
      <c r="AQ768" s="46"/>
      <c r="AR768" s="46"/>
      <c r="AS768" s="46"/>
      <c r="AT768" s="46"/>
      <c r="AU768" s="46"/>
      <c r="AV768" s="46"/>
      <c r="AW768" s="46"/>
      <c r="AX768" s="46"/>
      <c r="AY768" s="46"/>
      <c r="AZ768" s="46"/>
      <c r="BA768" s="46"/>
      <c r="BB768" s="46"/>
    </row>
    <row r="769" spans="1:54" x14ac:dyDescent="0.25">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c r="AM769" s="46"/>
      <c r="AN769" s="46"/>
      <c r="AO769" s="46"/>
      <c r="AP769" s="46"/>
      <c r="AQ769" s="46"/>
      <c r="AR769" s="46"/>
      <c r="AS769" s="46"/>
      <c r="AT769" s="46"/>
      <c r="AU769" s="46"/>
      <c r="AV769" s="46"/>
      <c r="AW769" s="46"/>
      <c r="AX769" s="46"/>
      <c r="AY769" s="46"/>
      <c r="AZ769" s="46"/>
      <c r="BA769" s="46"/>
      <c r="BB769" s="46"/>
    </row>
    <row r="770" spans="1:54" x14ac:dyDescent="0.25">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c r="AM770" s="46"/>
      <c r="AN770" s="46"/>
      <c r="AO770" s="46"/>
      <c r="AP770" s="46"/>
      <c r="AQ770" s="46"/>
      <c r="AR770" s="46"/>
      <c r="AS770" s="46"/>
      <c r="AT770" s="46"/>
      <c r="AU770" s="46"/>
      <c r="AV770" s="46"/>
      <c r="AW770" s="46"/>
      <c r="AX770" s="46"/>
      <c r="AY770" s="46"/>
      <c r="AZ770" s="46"/>
      <c r="BA770" s="46"/>
      <c r="BB770" s="46"/>
    </row>
    <row r="771" spans="1:54" x14ac:dyDescent="0.25">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c r="AM771" s="46"/>
      <c r="AN771" s="46"/>
      <c r="AO771" s="46"/>
      <c r="AP771" s="46"/>
      <c r="AQ771" s="46"/>
      <c r="AR771" s="46"/>
      <c r="AS771" s="46"/>
      <c r="AT771" s="46"/>
      <c r="AU771" s="46"/>
      <c r="AV771" s="46"/>
      <c r="AW771" s="46"/>
      <c r="AX771" s="46"/>
      <c r="AY771" s="46"/>
      <c r="AZ771" s="46"/>
      <c r="BA771" s="46"/>
      <c r="BB771" s="46"/>
    </row>
    <row r="772" spans="1:54" x14ac:dyDescent="0.25">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c r="AM772" s="46"/>
      <c r="AN772" s="46"/>
      <c r="AO772" s="46"/>
      <c r="AP772" s="46"/>
      <c r="AQ772" s="46"/>
      <c r="AR772" s="46"/>
      <c r="AS772" s="46"/>
      <c r="AT772" s="46"/>
      <c r="AU772" s="46"/>
      <c r="AV772" s="46"/>
      <c r="AW772" s="46"/>
      <c r="AX772" s="46"/>
      <c r="AY772" s="46"/>
      <c r="AZ772" s="46"/>
      <c r="BA772" s="46"/>
      <c r="BB772" s="46"/>
    </row>
    <row r="773" spans="1:54" x14ac:dyDescent="0.25">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c r="AM773" s="46"/>
      <c r="AN773" s="46"/>
      <c r="AO773" s="46"/>
      <c r="AP773" s="46"/>
      <c r="AQ773" s="46"/>
      <c r="AR773" s="46"/>
      <c r="AS773" s="46"/>
      <c r="AT773" s="46"/>
      <c r="AU773" s="46"/>
      <c r="AV773" s="46"/>
      <c r="AW773" s="46"/>
      <c r="AX773" s="46"/>
      <c r="AY773" s="46"/>
      <c r="AZ773" s="46"/>
      <c r="BA773" s="46"/>
      <c r="BB773" s="46"/>
    </row>
    <row r="774" spans="1:54" x14ac:dyDescent="0.25">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c r="AQ774" s="46"/>
      <c r="AR774" s="46"/>
      <c r="AS774" s="46"/>
      <c r="AT774" s="46"/>
      <c r="AU774" s="46"/>
      <c r="AV774" s="46"/>
      <c r="AW774" s="46"/>
      <c r="AX774" s="46"/>
      <c r="AY774" s="46"/>
      <c r="AZ774" s="46"/>
      <c r="BA774" s="46"/>
      <c r="BB774" s="46"/>
    </row>
    <row r="775" spans="1:54" x14ac:dyDescent="0.25">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c r="AM775" s="46"/>
      <c r="AN775" s="46"/>
      <c r="AO775" s="46"/>
      <c r="AP775" s="46"/>
      <c r="AQ775" s="46"/>
      <c r="AR775" s="46"/>
      <c r="AS775" s="46"/>
      <c r="AT775" s="46"/>
      <c r="AU775" s="46"/>
      <c r="AV775" s="46"/>
      <c r="AW775" s="46"/>
      <c r="AX775" s="46"/>
      <c r="AY775" s="46"/>
      <c r="AZ775" s="46"/>
      <c r="BA775" s="46"/>
      <c r="BB775" s="46"/>
    </row>
    <row r="776" spans="1:54" x14ac:dyDescent="0.25">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c r="AM776" s="46"/>
      <c r="AN776" s="46"/>
      <c r="AO776" s="46"/>
      <c r="AP776" s="46"/>
      <c r="AQ776" s="46"/>
      <c r="AR776" s="46"/>
      <c r="AS776" s="46"/>
      <c r="AT776" s="46"/>
      <c r="AU776" s="46"/>
      <c r="AV776" s="46"/>
      <c r="AW776" s="46"/>
      <c r="AX776" s="46"/>
      <c r="AY776" s="46"/>
      <c r="AZ776" s="46"/>
      <c r="BA776" s="46"/>
      <c r="BB776" s="46"/>
    </row>
    <row r="777" spans="1:54" x14ac:dyDescent="0.25">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c r="AM777" s="46"/>
      <c r="AN777" s="46"/>
      <c r="AO777" s="46"/>
      <c r="AP777" s="46"/>
      <c r="AQ777" s="46"/>
      <c r="AR777" s="46"/>
      <c r="AS777" s="46"/>
      <c r="AT777" s="46"/>
      <c r="AU777" s="46"/>
      <c r="AV777" s="46"/>
      <c r="AW777" s="46"/>
      <c r="AX777" s="46"/>
      <c r="AY777" s="46"/>
      <c r="AZ777" s="46"/>
      <c r="BA777" s="46"/>
      <c r="BB777" s="46"/>
    </row>
    <row r="778" spans="1:54" x14ac:dyDescent="0.25">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c r="AM778" s="46"/>
      <c r="AN778" s="46"/>
      <c r="AO778" s="46"/>
      <c r="AP778" s="46"/>
      <c r="AQ778" s="46"/>
      <c r="AR778" s="46"/>
      <c r="AS778" s="46"/>
      <c r="AT778" s="46"/>
      <c r="AU778" s="46"/>
      <c r="AV778" s="46"/>
      <c r="AW778" s="46"/>
      <c r="AX778" s="46"/>
      <c r="AY778" s="46"/>
      <c r="AZ778" s="46"/>
      <c r="BA778" s="46"/>
      <c r="BB778" s="46"/>
    </row>
    <row r="779" spans="1:54" x14ac:dyDescent="0.25">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c r="AA779" s="46"/>
      <c r="AB779" s="46"/>
      <c r="AC779" s="46"/>
      <c r="AD779" s="46"/>
      <c r="AE779" s="46"/>
      <c r="AF779" s="46"/>
      <c r="AG779" s="46"/>
      <c r="AH779" s="46"/>
      <c r="AI779" s="46"/>
      <c r="AJ779" s="46"/>
      <c r="AK779" s="46"/>
      <c r="AL779" s="46"/>
      <c r="AM779" s="46"/>
      <c r="AN779" s="46"/>
      <c r="AO779" s="46"/>
      <c r="AP779" s="46"/>
      <c r="AQ779" s="46"/>
      <c r="AR779" s="46"/>
      <c r="AS779" s="46"/>
      <c r="AT779" s="46"/>
      <c r="AU779" s="46"/>
      <c r="AV779" s="46"/>
      <c r="AW779" s="46"/>
      <c r="AX779" s="46"/>
      <c r="AY779" s="46"/>
      <c r="AZ779" s="46"/>
      <c r="BA779" s="46"/>
      <c r="BB779" s="46"/>
    </row>
    <row r="780" spans="1:54" x14ac:dyDescent="0.25">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c r="AA780" s="46"/>
      <c r="AB780" s="46"/>
      <c r="AC780" s="46"/>
      <c r="AD780" s="46"/>
      <c r="AE780" s="46"/>
      <c r="AF780" s="46"/>
      <c r="AG780" s="46"/>
      <c r="AH780" s="46"/>
      <c r="AI780" s="46"/>
      <c r="AJ780" s="46"/>
      <c r="AK780" s="46"/>
      <c r="AL780" s="46"/>
      <c r="AM780" s="46"/>
      <c r="AN780" s="46"/>
      <c r="AO780" s="46"/>
      <c r="AP780" s="46"/>
      <c r="AQ780" s="46"/>
      <c r="AR780" s="46"/>
      <c r="AS780" s="46"/>
      <c r="AT780" s="46"/>
      <c r="AU780" s="46"/>
      <c r="AV780" s="46"/>
      <c r="AW780" s="46"/>
      <c r="AX780" s="46"/>
      <c r="AY780" s="46"/>
      <c r="AZ780" s="46"/>
      <c r="BA780" s="46"/>
      <c r="BB780" s="46"/>
    </row>
    <row r="781" spans="1:54" x14ac:dyDescent="0.25">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6"/>
      <c r="AF781" s="46"/>
      <c r="AG781" s="46"/>
      <c r="AH781" s="46"/>
      <c r="AI781" s="46"/>
      <c r="AJ781" s="46"/>
      <c r="AK781" s="46"/>
      <c r="AL781" s="46"/>
      <c r="AM781" s="46"/>
      <c r="AN781" s="46"/>
      <c r="AO781" s="46"/>
      <c r="AP781" s="46"/>
      <c r="AQ781" s="46"/>
      <c r="AR781" s="46"/>
      <c r="AS781" s="46"/>
      <c r="AT781" s="46"/>
      <c r="AU781" s="46"/>
      <c r="AV781" s="46"/>
      <c r="AW781" s="46"/>
      <c r="AX781" s="46"/>
      <c r="AY781" s="46"/>
      <c r="AZ781" s="46"/>
      <c r="BA781" s="46"/>
      <c r="BB781" s="46"/>
    </row>
    <row r="782" spans="1:54" x14ac:dyDescent="0.25">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c r="AA782" s="46"/>
      <c r="AB782" s="46"/>
      <c r="AC782" s="46"/>
      <c r="AD782" s="46"/>
      <c r="AE782" s="46"/>
      <c r="AF782" s="46"/>
      <c r="AG782" s="46"/>
      <c r="AH782" s="46"/>
      <c r="AI782" s="46"/>
      <c r="AJ782" s="46"/>
      <c r="AK782" s="46"/>
      <c r="AL782" s="46"/>
      <c r="AM782" s="46"/>
      <c r="AN782" s="46"/>
      <c r="AO782" s="46"/>
      <c r="AP782" s="46"/>
      <c r="AQ782" s="46"/>
      <c r="AR782" s="46"/>
      <c r="AS782" s="46"/>
      <c r="AT782" s="46"/>
      <c r="AU782" s="46"/>
      <c r="AV782" s="46"/>
      <c r="AW782" s="46"/>
      <c r="AX782" s="46"/>
      <c r="AY782" s="46"/>
      <c r="AZ782" s="46"/>
      <c r="BA782" s="46"/>
      <c r="BB782" s="46"/>
    </row>
    <row r="783" spans="1:54" x14ac:dyDescent="0.25">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c r="AA783" s="46"/>
      <c r="AB783" s="46"/>
      <c r="AC783" s="46"/>
      <c r="AD783" s="46"/>
      <c r="AE783" s="46"/>
      <c r="AF783" s="46"/>
      <c r="AG783" s="46"/>
      <c r="AH783" s="46"/>
      <c r="AI783" s="46"/>
      <c r="AJ783" s="46"/>
      <c r="AK783" s="46"/>
      <c r="AL783" s="46"/>
      <c r="AM783" s="46"/>
      <c r="AN783" s="46"/>
      <c r="AO783" s="46"/>
      <c r="AP783" s="46"/>
      <c r="AQ783" s="46"/>
      <c r="AR783" s="46"/>
      <c r="AS783" s="46"/>
      <c r="AT783" s="46"/>
      <c r="AU783" s="46"/>
      <c r="AV783" s="46"/>
      <c r="AW783" s="46"/>
      <c r="AX783" s="46"/>
      <c r="AY783" s="46"/>
      <c r="AZ783" s="46"/>
      <c r="BA783" s="46"/>
      <c r="BB783" s="46"/>
    </row>
    <row r="784" spans="1:54" x14ac:dyDescent="0.25">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c r="AA784" s="46"/>
      <c r="AB784" s="46"/>
      <c r="AC784" s="46"/>
      <c r="AD784" s="46"/>
      <c r="AE784" s="46"/>
      <c r="AF784" s="46"/>
      <c r="AG784" s="46"/>
      <c r="AH784" s="46"/>
      <c r="AI784" s="46"/>
      <c r="AJ784" s="46"/>
      <c r="AK784" s="46"/>
      <c r="AL784" s="46"/>
      <c r="AM784" s="46"/>
      <c r="AN784" s="46"/>
      <c r="AO784" s="46"/>
      <c r="AP784" s="46"/>
      <c r="AQ784" s="46"/>
      <c r="AR784" s="46"/>
      <c r="AS784" s="46"/>
      <c r="AT784" s="46"/>
      <c r="AU784" s="46"/>
      <c r="AV784" s="46"/>
      <c r="AW784" s="46"/>
      <c r="AX784" s="46"/>
      <c r="AY784" s="46"/>
      <c r="AZ784" s="46"/>
      <c r="BA784" s="46"/>
      <c r="BB784" s="46"/>
    </row>
    <row r="785" spans="1:54" x14ac:dyDescent="0.25">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c r="AA785" s="46"/>
      <c r="AB785" s="46"/>
      <c r="AC785" s="46"/>
      <c r="AD785" s="46"/>
      <c r="AE785" s="46"/>
      <c r="AF785" s="46"/>
      <c r="AG785" s="46"/>
      <c r="AH785" s="46"/>
      <c r="AI785" s="46"/>
      <c r="AJ785" s="46"/>
      <c r="AK785" s="46"/>
      <c r="AL785" s="46"/>
      <c r="AM785" s="46"/>
      <c r="AN785" s="46"/>
      <c r="AO785" s="46"/>
      <c r="AP785" s="46"/>
      <c r="AQ785" s="46"/>
      <c r="AR785" s="46"/>
      <c r="AS785" s="46"/>
      <c r="AT785" s="46"/>
      <c r="AU785" s="46"/>
      <c r="AV785" s="46"/>
      <c r="AW785" s="46"/>
      <c r="AX785" s="46"/>
      <c r="AY785" s="46"/>
      <c r="AZ785" s="46"/>
      <c r="BA785" s="46"/>
      <c r="BB785" s="46"/>
    </row>
    <row r="786" spans="1:54" x14ac:dyDescent="0.25">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c r="AA786" s="46"/>
      <c r="AB786" s="46"/>
      <c r="AC786" s="46"/>
      <c r="AD786" s="46"/>
      <c r="AE786" s="46"/>
      <c r="AF786" s="46"/>
      <c r="AG786" s="46"/>
      <c r="AH786" s="46"/>
      <c r="AI786" s="46"/>
      <c r="AJ786" s="46"/>
      <c r="AK786" s="46"/>
      <c r="AL786" s="46"/>
      <c r="AM786" s="46"/>
      <c r="AN786" s="46"/>
      <c r="AO786" s="46"/>
      <c r="AP786" s="46"/>
      <c r="AQ786" s="46"/>
      <c r="AR786" s="46"/>
      <c r="AS786" s="46"/>
      <c r="AT786" s="46"/>
      <c r="AU786" s="46"/>
      <c r="AV786" s="46"/>
      <c r="AW786" s="46"/>
      <c r="AX786" s="46"/>
      <c r="AY786" s="46"/>
      <c r="AZ786" s="46"/>
      <c r="BA786" s="46"/>
      <c r="BB786" s="46"/>
    </row>
    <row r="787" spans="1:54" x14ac:dyDescent="0.25">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c r="AA787" s="46"/>
      <c r="AB787" s="46"/>
      <c r="AC787" s="46"/>
      <c r="AD787" s="46"/>
      <c r="AE787" s="46"/>
      <c r="AF787" s="46"/>
      <c r="AG787" s="46"/>
      <c r="AH787" s="46"/>
      <c r="AI787" s="46"/>
      <c r="AJ787" s="46"/>
      <c r="AK787" s="46"/>
      <c r="AL787" s="46"/>
      <c r="AM787" s="46"/>
      <c r="AN787" s="46"/>
      <c r="AO787" s="46"/>
      <c r="AP787" s="46"/>
      <c r="AQ787" s="46"/>
      <c r="AR787" s="46"/>
      <c r="AS787" s="46"/>
      <c r="AT787" s="46"/>
      <c r="AU787" s="46"/>
      <c r="AV787" s="46"/>
      <c r="AW787" s="46"/>
      <c r="AX787" s="46"/>
      <c r="AY787" s="46"/>
      <c r="AZ787" s="46"/>
      <c r="BA787" s="46"/>
      <c r="BB787" s="46"/>
    </row>
    <row r="788" spans="1:54" x14ac:dyDescent="0.25">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6"/>
      <c r="AF788" s="46"/>
      <c r="AG788" s="46"/>
      <c r="AH788" s="46"/>
      <c r="AI788" s="46"/>
      <c r="AJ788" s="46"/>
      <c r="AK788" s="46"/>
      <c r="AL788" s="46"/>
      <c r="AM788" s="46"/>
      <c r="AN788" s="46"/>
      <c r="AO788" s="46"/>
      <c r="AP788" s="46"/>
      <c r="AQ788" s="46"/>
      <c r="AR788" s="46"/>
      <c r="AS788" s="46"/>
      <c r="AT788" s="46"/>
      <c r="AU788" s="46"/>
      <c r="AV788" s="46"/>
      <c r="AW788" s="46"/>
      <c r="AX788" s="46"/>
      <c r="AY788" s="46"/>
      <c r="AZ788" s="46"/>
      <c r="BA788" s="46"/>
      <c r="BB788" s="46"/>
    </row>
    <row r="789" spans="1:54" x14ac:dyDescent="0.25">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c r="AA789" s="46"/>
      <c r="AB789" s="46"/>
      <c r="AC789" s="46"/>
      <c r="AD789" s="46"/>
      <c r="AE789" s="46"/>
      <c r="AF789" s="46"/>
      <c r="AG789" s="46"/>
      <c r="AH789" s="46"/>
      <c r="AI789" s="46"/>
      <c r="AJ789" s="46"/>
      <c r="AK789" s="46"/>
      <c r="AL789" s="46"/>
      <c r="AM789" s="46"/>
      <c r="AN789" s="46"/>
      <c r="AO789" s="46"/>
      <c r="AP789" s="46"/>
      <c r="AQ789" s="46"/>
      <c r="AR789" s="46"/>
      <c r="AS789" s="46"/>
      <c r="AT789" s="46"/>
      <c r="AU789" s="46"/>
      <c r="AV789" s="46"/>
      <c r="AW789" s="46"/>
      <c r="AX789" s="46"/>
      <c r="AY789" s="46"/>
      <c r="AZ789" s="46"/>
      <c r="BA789" s="46"/>
      <c r="BB789" s="46"/>
    </row>
    <row r="790" spans="1:54" x14ac:dyDescent="0.25">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c r="AA790" s="46"/>
      <c r="AB790" s="46"/>
      <c r="AC790" s="46"/>
      <c r="AD790" s="46"/>
      <c r="AE790" s="46"/>
      <c r="AF790" s="46"/>
      <c r="AG790" s="46"/>
      <c r="AH790" s="46"/>
      <c r="AI790" s="46"/>
      <c r="AJ790" s="46"/>
      <c r="AK790" s="46"/>
      <c r="AL790" s="46"/>
      <c r="AM790" s="46"/>
      <c r="AN790" s="46"/>
      <c r="AO790" s="46"/>
      <c r="AP790" s="46"/>
      <c r="AQ790" s="46"/>
      <c r="AR790" s="46"/>
      <c r="AS790" s="46"/>
      <c r="AT790" s="46"/>
      <c r="AU790" s="46"/>
      <c r="AV790" s="46"/>
      <c r="AW790" s="46"/>
      <c r="AX790" s="46"/>
      <c r="AY790" s="46"/>
      <c r="AZ790" s="46"/>
      <c r="BA790" s="46"/>
      <c r="BB790" s="46"/>
    </row>
    <row r="791" spans="1:54" x14ac:dyDescent="0.25">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c r="AA791" s="46"/>
      <c r="AB791" s="46"/>
      <c r="AC791" s="46"/>
      <c r="AD791" s="46"/>
      <c r="AE791" s="46"/>
      <c r="AF791" s="46"/>
      <c r="AG791" s="46"/>
      <c r="AH791" s="46"/>
      <c r="AI791" s="46"/>
      <c r="AJ791" s="46"/>
      <c r="AK791" s="46"/>
      <c r="AL791" s="46"/>
      <c r="AM791" s="46"/>
      <c r="AN791" s="46"/>
      <c r="AO791" s="46"/>
      <c r="AP791" s="46"/>
      <c r="AQ791" s="46"/>
      <c r="AR791" s="46"/>
      <c r="AS791" s="46"/>
      <c r="AT791" s="46"/>
      <c r="AU791" s="46"/>
      <c r="AV791" s="46"/>
      <c r="AW791" s="46"/>
      <c r="AX791" s="46"/>
      <c r="AY791" s="46"/>
      <c r="AZ791" s="46"/>
      <c r="BA791" s="46"/>
      <c r="BB791" s="46"/>
    </row>
    <row r="792" spans="1:54" x14ac:dyDescent="0.25">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c r="AD792" s="46"/>
      <c r="AE792" s="46"/>
      <c r="AF792" s="46"/>
      <c r="AG792" s="46"/>
      <c r="AH792" s="46"/>
      <c r="AI792" s="46"/>
      <c r="AJ792" s="46"/>
      <c r="AK792" s="46"/>
      <c r="AL792" s="46"/>
      <c r="AM792" s="46"/>
      <c r="AN792" s="46"/>
      <c r="AO792" s="46"/>
      <c r="AP792" s="46"/>
      <c r="AQ792" s="46"/>
      <c r="AR792" s="46"/>
      <c r="AS792" s="46"/>
      <c r="AT792" s="46"/>
      <c r="AU792" s="46"/>
      <c r="AV792" s="46"/>
      <c r="AW792" s="46"/>
      <c r="AX792" s="46"/>
      <c r="AY792" s="46"/>
      <c r="AZ792" s="46"/>
      <c r="BA792" s="46"/>
      <c r="BB792" s="46"/>
    </row>
    <row r="793" spans="1:54" x14ac:dyDescent="0.25">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c r="AD793" s="46"/>
      <c r="AE793" s="46"/>
      <c r="AF793" s="46"/>
      <c r="AG793" s="46"/>
      <c r="AH793" s="46"/>
      <c r="AI793" s="46"/>
      <c r="AJ793" s="46"/>
      <c r="AK793" s="46"/>
      <c r="AL793" s="46"/>
      <c r="AM793" s="46"/>
      <c r="AN793" s="46"/>
      <c r="AO793" s="46"/>
      <c r="AP793" s="46"/>
      <c r="AQ793" s="46"/>
      <c r="AR793" s="46"/>
      <c r="AS793" s="46"/>
      <c r="AT793" s="46"/>
      <c r="AU793" s="46"/>
      <c r="AV793" s="46"/>
      <c r="AW793" s="46"/>
      <c r="AX793" s="46"/>
      <c r="AY793" s="46"/>
      <c r="AZ793" s="46"/>
      <c r="BA793" s="46"/>
      <c r="BB793" s="46"/>
    </row>
    <row r="794" spans="1:54" x14ac:dyDescent="0.25">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6"/>
      <c r="AF794" s="46"/>
      <c r="AG794" s="46"/>
      <c r="AH794" s="46"/>
      <c r="AI794" s="46"/>
      <c r="AJ794" s="46"/>
      <c r="AK794" s="46"/>
      <c r="AL794" s="46"/>
      <c r="AM794" s="46"/>
      <c r="AN794" s="46"/>
      <c r="AO794" s="46"/>
      <c r="AP794" s="46"/>
      <c r="AQ794" s="46"/>
      <c r="AR794" s="46"/>
      <c r="AS794" s="46"/>
      <c r="AT794" s="46"/>
      <c r="AU794" s="46"/>
      <c r="AV794" s="46"/>
      <c r="AW794" s="46"/>
      <c r="AX794" s="46"/>
      <c r="AY794" s="46"/>
      <c r="AZ794" s="46"/>
      <c r="BA794" s="46"/>
      <c r="BB794" s="46"/>
    </row>
    <row r="795" spans="1:54" x14ac:dyDescent="0.25">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c r="AA795" s="46"/>
      <c r="AB795" s="46"/>
      <c r="AC795" s="46"/>
      <c r="AD795" s="46"/>
      <c r="AE795" s="46"/>
      <c r="AF795" s="46"/>
      <c r="AG795" s="46"/>
      <c r="AH795" s="46"/>
      <c r="AI795" s="46"/>
      <c r="AJ795" s="46"/>
      <c r="AK795" s="46"/>
      <c r="AL795" s="46"/>
      <c r="AM795" s="46"/>
      <c r="AN795" s="46"/>
      <c r="AO795" s="46"/>
      <c r="AP795" s="46"/>
      <c r="AQ795" s="46"/>
      <c r="AR795" s="46"/>
      <c r="AS795" s="46"/>
      <c r="AT795" s="46"/>
      <c r="AU795" s="46"/>
      <c r="AV795" s="46"/>
      <c r="AW795" s="46"/>
      <c r="AX795" s="46"/>
      <c r="AY795" s="46"/>
      <c r="AZ795" s="46"/>
      <c r="BA795" s="46"/>
      <c r="BB795" s="46"/>
    </row>
    <row r="796" spans="1:54" x14ac:dyDescent="0.25">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c r="AL796" s="46"/>
      <c r="AM796" s="46"/>
      <c r="AN796" s="46"/>
      <c r="AO796" s="46"/>
      <c r="AP796" s="46"/>
      <c r="AQ796" s="46"/>
      <c r="AR796" s="46"/>
      <c r="AS796" s="46"/>
      <c r="AT796" s="46"/>
      <c r="AU796" s="46"/>
      <c r="AV796" s="46"/>
      <c r="AW796" s="46"/>
      <c r="AX796" s="46"/>
      <c r="AY796" s="46"/>
      <c r="AZ796" s="46"/>
      <c r="BA796" s="46"/>
      <c r="BB796" s="46"/>
    </row>
    <row r="797" spans="1:54" x14ac:dyDescent="0.25">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6"/>
      <c r="AF797" s="46"/>
      <c r="AG797" s="46"/>
      <c r="AH797" s="46"/>
      <c r="AI797" s="46"/>
      <c r="AJ797" s="46"/>
      <c r="AK797" s="46"/>
      <c r="AL797" s="46"/>
      <c r="AM797" s="46"/>
      <c r="AN797" s="46"/>
      <c r="AO797" s="46"/>
      <c r="AP797" s="46"/>
      <c r="AQ797" s="46"/>
      <c r="AR797" s="46"/>
      <c r="AS797" s="46"/>
      <c r="AT797" s="46"/>
      <c r="AU797" s="46"/>
      <c r="AV797" s="46"/>
      <c r="AW797" s="46"/>
      <c r="AX797" s="46"/>
      <c r="AY797" s="46"/>
      <c r="AZ797" s="46"/>
      <c r="BA797" s="46"/>
      <c r="BB797" s="46"/>
    </row>
    <row r="798" spans="1:54" x14ac:dyDescent="0.25">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c r="AM798" s="46"/>
      <c r="AN798" s="46"/>
      <c r="AO798" s="46"/>
      <c r="AP798" s="46"/>
      <c r="AQ798" s="46"/>
      <c r="AR798" s="46"/>
      <c r="AS798" s="46"/>
      <c r="AT798" s="46"/>
      <c r="AU798" s="46"/>
      <c r="AV798" s="46"/>
      <c r="AW798" s="46"/>
      <c r="AX798" s="46"/>
      <c r="AY798" s="46"/>
      <c r="AZ798" s="46"/>
      <c r="BA798" s="46"/>
      <c r="BB798" s="46"/>
    </row>
    <row r="799" spans="1:54" x14ac:dyDescent="0.25">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c r="AM799" s="46"/>
      <c r="AN799" s="46"/>
      <c r="AO799" s="46"/>
      <c r="AP799" s="46"/>
      <c r="AQ799" s="46"/>
      <c r="AR799" s="46"/>
      <c r="AS799" s="46"/>
      <c r="AT799" s="46"/>
      <c r="AU799" s="46"/>
      <c r="AV799" s="46"/>
      <c r="AW799" s="46"/>
      <c r="AX799" s="46"/>
      <c r="AY799" s="46"/>
      <c r="AZ799" s="46"/>
      <c r="BA799" s="46"/>
      <c r="BB799" s="46"/>
    </row>
    <row r="800" spans="1:54" x14ac:dyDescent="0.25">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c r="AM800" s="46"/>
      <c r="AN800" s="46"/>
      <c r="AO800" s="46"/>
      <c r="AP800" s="46"/>
      <c r="AQ800" s="46"/>
      <c r="AR800" s="46"/>
      <c r="AS800" s="46"/>
      <c r="AT800" s="46"/>
      <c r="AU800" s="46"/>
      <c r="AV800" s="46"/>
      <c r="AW800" s="46"/>
      <c r="AX800" s="46"/>
      <c r="AY800" s="46"/>
      <c r="AZ800" s="46"/>
      <c r="BA800" s="46"/>
      <c r="BB800" s="46"/>
    </row>
    <row r="801" spans="1:54" x14ac:dyDescent="0.25">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6"/>
      <c r="AF801" s="46"/>
      <c r="AG801" s="46"/>
      <c r="AH801" s="46"/>
      <c r="AI801" s="46"/>
      <c r="AJ801" s="46"/>
      <c r="AK801" s="46"/>
      <c r="AL801" s="46"/>
      <c r="AM801" s="46"/>
      <c r="AN801" s="46"/>
      <c r="AO801" s="46"/>
      <c r="AP801" s="46"/>
      <c r="AQ801" s="46"/>
      <c r="AR801" s="46"/>
      <c r="AS801" s="46"/>
      <c r="AT801" s="46"/>
      <c r="AU801" s="46"/>
      <c r="AV801" s="46"/>
      <c r="AW801" s="46"/>
      <c r="AX801" s="46"/>
      <c r="AY801" s="46"/>
      <c r="AZ801" s="46"/>
      <c r="BA801" s="46"/>
      <c r="BB801" s="46"/>
    </row>
    <row r="802" spans="1:54" x14ac:dyDescent="0.25">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6"/>
      <c r="AF802" s="46"/>
      <c r="AG802" s="46"/>
      <c r="AH802" s="46"/>
      <c r="AI802" s="46"/>
      <c r="AJ802" s="46"/>
      <c r="AK802" s="46"/>
      <c r="AL802" s="46"/>
      <c r="AM802" s="46"/>
      <c r="AN802" s="46"/>
      <c r="AO802" s="46"/>
      <c r="AP802" s="46"/>
      <c r="AQ802" s="46"/>
      <c r="AR802" s="46"/>
      <c r="AS802" s="46"/>
      <c r="AT802" s="46"/>
      <c r="AU802" s="46"/>
      <c r="AV802" s="46"/>
      <c r="AW802" s="46"/>
      <c r="AX802" s="46"/>
      <c r="AY802" s="46"/>
      <c r="AZ802" s="46"/>
      <c r="BA802" s="46"/>
      <c r="BB802" s="46"/>
    </row>
    <row r="803" spans="1:54" x14ac:dyDescent="0.25">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c r="AM803" s="46"/>
      <c r="AN803" s="46"/>
      <c r="AO803" s="46"/>
      <c r="AP803" s="46"/>
      <c r="AQ803" s="46"/>
      <c r="AR803" s="46"/>
      <c r="AS803" s="46"/>
      <c r="AT803" s="46"/>
      <c r="AU803" s="46"/>
      <c r="AV803" s="46"/>
      <c r="AW803" s="46"/>
      <c r="AX803" s="46"/>
      <c r="AY803" s="46"/>
      <c r="AZ803" s="46"/>
      <c r="BA803" s="46"/>
      <c r="BB803" s="46"/>
    </row>
    <row r="804" spans="1:54" x14ac:dyDescent="0.25">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c r="AM804" s="46"/>
      <c r="AN804" s="46"/>
      <c r="AO804" s="46"/>
      <c r="AP804" s="46"/>
      <c r="AQ804" s="46"/>
      <c r="AR804" s="46"/>
      <c r="AS804" s="46"/>
      <c r="AT804" s="46"/>
      <c r="AU804" s="46"/>
      <c r="AV804" s="46"/>
      <c r="AW804" s="46"/>
      <c r="AX804" s="46"/>
      <c r="AY804" s="46"/>
      <c r="AZ804" s="46"/>
      <c r="BA804" s="46"/>
      <c r="BB804" s="46"/>
    </row>
    <row r="805" spans="1:54" x14ac:dyDescent="0.25">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c r="AM805" s="46"/>
      <c r="AN805" s="46"/>
      <c r="AO805" s="46"/>
      <c r="AP805" s="46"/>
      <c r="AQ805" s="46"/>
      <c r="AR805" s="46"/>
      <c r="AS805" s="46"/>
      <c r="AT805" s="46"/>
      <c r="AU805" s="46"/>
      <c r="AV805" s="46"/>
      <c r="AW805" s="46"/>
      <c r="AX805" s="46"/>
      <c r="AY805" s="46"/>
      <c r="AZ805" s="46"/>
      <c r="BA805" s="46"/>
      <c r="BB805" s="46"/>
    </row>
    <row r="806" spans="1:54" x14ac:dyDescent="0.25">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c r="AM806" s="46"/>
      <c r="AN806" s="46"/>
      <c r="AO806" s="46"/>
      <c r="AP806" s="46"/>
      <c r="AQ806" s="46"/>
      <c r="AR806" s="46"/>
      <c r="AS806" s="46"/>
      <c r="AT806" s="46"/>
      <c r="AU806" s="46"/>
      <c r="AV806" s="46"/>
      <c r="AW806" s="46"/>
      <c r="AX806" s="46"/>
      <c r="AY806" s="46"/>
      <c r="AZ806" s="46"/>
      <c r="BA806" s="46"/>
      <c r="BB806" s="46"/>
    </row>
    <row r="807" spans="1:54" x14ac:dyDescent="0.25">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c r="AM807" s="46"/>
      <c r="AN807" s="46"/>
      <c r="AO807" s="46"/>
      <c r="AP807" s="46"/>
      <c r="AQ807" s="46"/>
      <c r="AR807" s="46"/>
      <c r="AS807" s="46"/>
      <c r="AT807" s="46"/>
      <c r="AU807" s="46"/>
      <c r="AV807" s="46"/>
      <c r="AW807" s="46"/>
      <c r="AX807" s="46"/>
      <c r="AY807" s="46"/>
      <c r="AZ807" s="46"/>
      <c r="BA807" s="46"/>
      <c r="BB807" s="46"/>
    </row>
    <row r="808" spans="1:54" x14ac:dyDescent="0.25">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c r="AF808" s="46"/>
      <c r="AG808" s="46"/>
      <c r="AH808" s="46"/>
      <c r="AI808" s="46"/>
      <c r="AJ808" s="46"/>
      <c r="AK808" s="46"/>
      <c r="AL808" s="46"/>
      <c r="AM808" s="46"/>
      <c r="AN808" s="46"/>
      <c r="AO808" s="46"/>
      <c r="AP808" s="46"/>
      <c r="AQ808" s="46"/>
      <c r="AR808" s="46"/>
      <c r="AS808" s="46"/>
      <c r="AT808" s="46"/>
      <c r="AU808" s="46"/>
      <c r="AV808" s="46"/>
      <c r="AW808" s="46"/>
      <c r="AX808" s="46"/>
      <c r="AY808" s="46"/>
      <c r="AZ808" s="46"/>
      <c r="BA808" s="46"/>
      <c r="BB808" s="46"/>
    </row>
    <row r="809" spans="1:54" x14ac:dyDescent="0.25">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c r="AA809" s="46"/>
      <c r="AB809" s="46"/>
      <c r="AC809" s="46"/>
      <c r="AD809" s="46"/>
      <c r="AE809" s="46"/>
      <c r="AF809" s="46"/>
      <c r="AG809" s="46"/>
      <c r="AH809" s="46"/>
      <c r="AI809" s="46"/>
      <c r="AJ809" s="46"/>
      <c r="AK809" s="46"/>
      <c r="AL809" s="46"/>
      <c r="AM809" s="46"/>
      <c r="AN809" s="46"/>
      <c r="AO809" s="46"/>
      <c r="AP809" s="46"/>
      <c r="AQ809" s="46"/>
      <c r="AR809" s="46"/>
      <c r="AS809" s="46"/>
      <c r="AT809" s="46"/>
      <c r="AU809" s="46"/>
      <c r="AV809" s="46"/>
      <c r="AW809" s="46"/>
      <c r="AX809" s="46"/>
      <c r="AY809" s="46"/>
      <c r="AZ809" s="46"/>
      <c r="BA809" s="46"/>
      <c r="BB809" s="46"/>
    </row>
    <row r="810" spans="1:54" x14ac:dyDescent="0.25">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c r="AH810" s="46"/>
      <c r="AI810" s="46"/>
      <c r="AJ810" s="46"/>
      <c r="AK810" s="46"/>
      <c r="AL810" s="46"/>
      <c r="AM810" s="46"/>
      <c r="AN810" s="46"/>
      <c r="AO810" s="46"/>
      <c r="AP810" s="46"/>
      <c r="AQ810" s="46"/>
      <c r="AR810" s="46"/>
      <c r="AS810" s="46"/>
      <c r="AT810" s="46"/>
      <c r="AU810" s="46"/>
      <c r="AV810" s="46"/>
      <c r="AW810" s="46"/>
      <c r="AX810" s="46"/>
      <c r="AY810" s="46"/>
      <c r="AZ810" s="46"/>
      <c r="BA810" s="46"/>
      <c r="BB810" s="46"/>
    </row>
    <row r="811" spans="1:54" x14ac:dyDescent="0.25">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c r="AH811" s="46"/>
      <c r="AI811" s="46"/>
      <c r="AJ811" s="46"/>
      <c r="AK811" s="46"/>
      <c r="AL811" s="46"/>
      <c r="AM811" s="46"/>
      <c r="AN811" s="46"/>
      <c r="AO811" s="46"/>
      <c r="AP811" s="46"/>
      <c r="AQ811" s="46"/>
      <c r="AR811" s="46"/>
      <c r="AS811" s="46"/>
      <c r="AT811" s="46"/>
      <c r="AU811" s="46"/>
      <c r="AV811" s="46"/>
      <c r="AW811" s="46"/>
      <c r="AX811" s="46"/>
      <c r="AY811" s="46"/>
      <c r="AZ811" s="46"/>
      <c r="BA811" s="46"/>
      <c r="BB811" s="46"/>
    </row>
    <row r="812" spans="1:54" x14ac:dyDescent="0.25">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c r="AM812" s="46"/>
      <c r="AN812" s="46"/>
      <c r="AO812" s="46"/>
      <c r="AP812" s="46"/>
      <c r="AQ812" s="46"/>
      <c r="AR812" s="46"/>
      <c r="AS812" s="46"/>
      <c r="AT812" s="46"/>
      <c r="AU812" s="46"/>
      <c r="AV812" s="46"/>
      <c r="AW812" s="46"/>
      <c r="AX812" s="46"/>
      <c r="AY812" s="46"/>
      <c r="AZ812" s="46"/>
      <c r="BA812" s="46"/>
      <c r="BB812" s="46"/>
    </row>
    <row r="813" spans="1:54" x14ac:dyDescent="0.25">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c r="AM813" s="46"/>
      <c r="AN813" s="46"/>
      <c r="AO813" s="46"/>
      <c r="AP813" s="46"/>
      <c r="AQ813" s="46"/>
      <c r="AR813" s="46"/>
      <c r="AS813" s="46"/>
      <c r="AT813" s="46"/>
      <c r="AU813" s="46"/>
      <c r="AV813" s="46"/>
      <c r="AW813" s="46"/>
      <c r="AX813" s="46"/>
      <c r="AY813" s="46"/>
      <c r="AZ813" s="46"/>
      <c r="BA813" s="46"/>
      <c r="BB813" s="46"/>
    </row>
    <row r="814" spans="1:54" x14ac:dyDescent="0.25">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c r="AM814" s="46"/>
      <c r="AN814" s="46"/>
      <c r="AO814" s="46"/>
      <c r="AP814" s="46"/>
      <c r="AQ814" s="46"/>
      <c r="AR814" s="46"/>
      <c r="AS814" s="46"/>
      <c r="AT814" s="46"/>
      <c r="AU814" s="46"/>
      <c r="AV814" s="46"/>
      <c r="AW814" s="46"/>
      <c r="AX814" s="46"/>
      <c r="AY814" s="46"/>
      <c r="AZ814" s="46"/>
      <c r="BA814" s="46"/>
      <c r="BB814" s="46"/>
    </row>
    <row r="815" spans="1:54" x14ac:dyDescent="0.25">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6"/>
      <c r="AF815" s="46"/>
      <c r="AG815" s="46"/>
      <c r="AH815" s="46"/>
      <c r="AI815" s="46"/>
      <c r="AJ815" s="46"/>
      <c r="AK815" s="46"/>
      <c r="AL815" s="46"/>
      <c r="AM815" s="46"/>
      <c r="AN815" s="46"/>
      <c r="AO815" s="46"/>
      <c r="AP815" s="46"/>
      <c r="AQ815" s="46"/>
      <c r="AR815" s="46"/>
      <c r="AS815" s="46"/>
      <c r="AT815" s="46"/>
      <c r="AU815" s="46"/>
      <c r="AV815" s="46"/>
      <c r="AW815" s="46"/>
      <c r="AX815" s="46"/>
      <c r="AY815" s="46"/>
      <c r="AZ815" s="46"/>
      <c r="BA815" s="46"/>
      <c r="BB815" s="46"/>
    </row>
    <row r="816" spans="1:54" x14ac:dyDescent="0.25">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6"/>
      <c r="AF816" s="46"/>
      <c r="AG816" s="46"/>
      <c r="AH816" s="46"/>
      <c r="AI816" s="46"/>
      <c r="AJ816" s="46"/>
      <c r="AK816" s="46"/>
      <c r="AL816" s="46"/>
      <c r="AM816" s="46"/>
      <c r="AN816" s="46"/>
      <c r="AO816" s="46"/>
      <c r="AP816" s="46"/>
      <c r="AQ816" s="46"/>
      <c r="AR816" s="46"/>
      <c r="AS816" s="46"/>
      <c r="AT816" s="46"/>
      <c r="AU816" s="46"/>
      <c r="AV816" s="46"/>
      <c r="AW816" s="46"/>
      <c r="AX816" s="46"/>
      <c r="AY816" s="46"/>
      <c r="AZ816" s="46"/>
      <c r="BA816" s="46"/>
      <c r="BB816" s="46"/>
    </row>
    <row r="817" spans="1:54" x14ac:dyDescent="0.25">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c r="AA817" s="46"/>
      <c r="AB817" s="46"/>
      <c r="AC817" s="46"/>
      <c r="AD817" s="46"/>
      <c r="AE817" s="46"/>
      <c r="AF817" s="46"/>
      <c r="AG817" s="46"/>
      <c r="AH817" s="46"/>
      <c r="AI817" s="46"/>
      <c r="AJ817" s="46"/>
      <c r="AK817" s="46"/>
      <c r="AL817" s="46"/>
      <c r="AM817" s="46"/>
      <c r="AN817" s="46"/>
      <c r="AO817" s="46"/>
      <c r="AP817" s="46"/>
      <c r="AQ817" s="46"/>
      <c r="AR817" s="46"/>
      <c r="AS817" s="46"/>
      <c r="AT817" s="46"/>
      <c r="AU817" s="46"/>
      <c r="AV817" s="46"/>
      <c r="AW817" s="46"/>
      <c r="AX817" s="46"/>
      <c r="AY817" s="46"/>
      <c r="AZ817" s="46"/>
      <c r="BA817" s="46"/>
      <c r="BB817" s="46"/>
    </row>
    <row r="818" spans="1:54" x14ac:dyDescent="0.25">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c r="AM818" s="46"/>
      <c r="AN818" s="46"/>
      <c r="AO818" s="46"/>
      <c r="AP818" s="46"/>
      <c r="AQ818" s="46"/>
      <c r="AR818" s="46"/>
      <c r="AS818" s="46"/>
      <c r="AT818" s="46"/>
      <c r="AU818" s="46"/>
      <c r="AV818" s="46"/>
      <c r="AW818" s="46"/>
      <c r="AX818" s="46"/>
      <c r="AY818" s="46"/>
      <c r="AZ818" s="46"/>
      <c r="BA818" s="46"/>
      <c r="BB818" s="46"/>
    </row>
    <row r="819" spans="1:54" x14ac:dyDescent="0.25">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c r="AM819" s="46"/>
      <c r="AN819" s="46"/>
      <c r="AO819" s="46"/>
      <c r="AP819" s="46"/>
      <c r="AQ819" s="46"/>
      <c r="AR819" s="46"/>
      <c r="AS819" s="46"/>
      <c r="AT819" s="46"/>
      <c r="AU819" s="46"/>
      <c r="AV819" s="46"/>
      <c r="AW819" s="46"/>
      <c r="AX819" s="46"/>
      <c r="AY819" s="46"/>
      <c r="AZ819" s="46"/>
      <c r="BA819" s="46"/>
      <c r="BB819" s="46"/>
    </row>
    <row r="820" spans="1:54" x14ac:dyDescent="0.25">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c r="AM820" s="46"/>
      <c r="AN820" s="46"/>
      <c r="AO820" s="46"/>
      <c r="AP820" s="46"/>
      <c r="AQ820" s="46"/>
      <c r="AR820" s="46"/>
      <c r="AS820" s="46"/>
      <c r="AT820" s="46"/>
      <c r="AU820" s="46"/>
      <c r="AV820" s="46"/>
      <c r="AW820" s="46"/>
      <c r="AX820" s="46"/>
      <c r="AY820" s="46"/>
      <c r="AZ820" s="46"/>
      <c r="BA820" s="46"/>
      <c r="BB820" s="46"/>
    </row>
    <row r="821" spans="1:54" x14ac:dyDescent="0.25">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c r="AM821" s="46"/>
      <c r="AN821" s="46"/>
      <c r="AO821" s="46"/>
      <c r="AP821" s="46"/>
      <c r="AQ821" s="46"/>
      <c r="AR821" s="46"/>
      <c r="AS821" s="46"/>
      <c r="AT821" s="46"/>
      <c r="AU821" s="46"/>
      <c r="AV821" s="46"/>
      <c r="AW821" s="46"/>
      <c r="AX821" s="46"/>
      <c r="AY821" s="46"/>
      <c r="AZ821" s="46"/>
      <c r="BA821" s="46"/>
      <c r="BB821" s="46"/>
    </row>
    <row r="822" spans="1:54" x14ac:dyDescent="0.25">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c r="AM822" s="46"/>
      <c r="AN822" s="46"/>
      <c r="AO822" s="46"/>
      <c r="AP822" s="46"/>
      <c r="AQ822" s="46"/>
      <c r="AR822" s="46"/>
      <c r="AS822" s="46"/>
      <c r="AT822" s="46"/>
      <c r="AU822" s="46"/>
      <c r="AV822" s="46"/>
      <c r="AW822" s="46"/>
      <c r="AX822" s="46"/>
      <c r="AY822" s="46"/>
      <c r="AZ822" s="46"/>
      <c r="BA822" s="46"/>
      <c r="BB822" s="46"/>
    </row>
    <row r="823" spans="1:54" x14ac:dyDescent="0.25">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6"/>
      <c r="AF823" s="46"/>
      <c r="AG823" s="46"/>
      <c r="AH823" s="46"/>
      <c r="AI823" s="46"/>
      <c r="AJ823" s="46"/>
      <c r="AK823" s="46"/>
      <c r="AL823" s="46"/>
      <c r="AM823" s="46"/>
      <c r="AN823" s="46"/>
      <c r="AO823" s="46"/>
      <c r="AP823" s="46"/>
      <c r="AQ823" s="46"/>
      <c r="AR823" s="46"/>
      <c r="AS823" s="46"/>
      <c r="AT823" s="46"/>
      <c r="AU823" s="46"/>
      <c r="AV823" s="46"/>
      <c r="AW823" s="46"/>
      <c r="AX823" s="46"/>
      <c r="AY823" s="46"/>
      <c r="AZ823" s="46"/>
      <c r="BA823" s="46"/>
      <c r="BB823" s="46"/>
    </row>
    <row r="824" spans="1:54" x14ac:dyDescent="0.25">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c r="AH824" s="46"/>
      <c r="AI824" s="46"/>
      <c r="AJ824" s="46"/>
      <c r="AK824" s="46"/>
      <c r="AL824" s="46"/>
      <c r="AM824" s="46"/>
      <c r="AN824" s="46"/>
      <c r="AO824" s="46"/>
      <c r="AP824" s="46"/>
      <c r="AQ824" s="46"/>
      <c r="AR824" s="46"/>
      <c r="AS824" s="46"/>
      <c r="AT824" s="46"/>
      <c r="AU824" s="46"/>
      <c r="AV824" s="46"/>
      <c r="AW824" s="46"/>
      <c r="AX824" s="46"/>
      <c r="AY824" s="46"/>
      <c r="AZ824" s="46"/>
      <c r="BA824" s="46"/>
      <c r="BB824" s="46"/>
    </row>
    <row r="825" spans="1:54" x14ac:dyDescent="0.25">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c r="AM825" s="46"/>
      <c r="AN825" s="46"/>
      <c r="AO825" s="46"/>
      <c r="AP825" s="46"/>
      <c r="AQ825" s="46"/>
      <c r="AR825" s="46"/>
      <c r="AS825" s="46"/>
      <c r="AT825" s="46"/>
      <c r="AU825" s="46"/>
      <c r="AV825" s="46"/>
      <c r="AW825" s="46"/>
      <c r="AX825" s="46"/>
      <c r="AY825" s="46"/>
      <c r="AZ825" s="46"/>
      <c r="BA825" s="46"/>
      <c r="BB825" s="46"/>
    </row>
    <row r="826" spans="1:54" x14ac:dyDescent="0.25">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c r="AM826" s="46"/>
      <c r="AN826" s="46"/>
      <c r="AO826" s="46"/>
      <c r="AP826" s="46"/>
      <c r="AQ826" s="46"/>
      <c r="AR826" s="46"/>
      <c r="AS826" s="46"/>
      <c r="AT826" s="46"/>
      <c r="AU826" s="46"/>
      <c r="AV826" s="46"/>
      <c r="AW826" s="46"/>
      <c r="AX826" s="46"/>
      <c r="AY826" s="46"/>
      <c r="AZ826" s="46"/>
      <c r="BA826" s="46"/>
      <c r="BB826" s="46"/>
    </row>
    <row r="827" spans="1:54" x14ac:dyDescent="0.25">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c r="AM827" s="46"/>
      <c r="AN827" s="46"/>
      <c r="AO827" s="46"/>
      <c r="AP827" s="46"/>
      <c r="AQ827" s="46"/>
      <c r="AR827" s="46"/>
      <c r="AS827" s="46"/>
      <c r="AT827" s="46"/>
      <c r="AU827" s="46"/>
      <c r="AV827" s="46"/>
      <c r="AW827" s="46"/>
      <c r="AX827" s="46"/>
      <c r="AY827" s="46"/>
      <c r="AZ827" s="46"/>
      <c r="BA827" s="46"/>
      <c r="BB827" s="46"/>
    </row>
    <row r="828" spans="1:54" x14ac:dyDescent="0.25">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c r="AM828" s="46"/>
      <c r="AN828" s="46"/>
      <c r="AO828" s="46"/>
      <c r="AP828" s="46"/>
      <c r="AQ828" s="46"/>
      <c r="AR828" s="46"/>
      <c r="AS828" s="46"/>
      <c r="AT828" s="46"/>
      <c r="AU828" s="46"/>
      <c r="AV828" s="46"/>
      <c r="AW828" s="46"/>
      <c r="AX828" s="46"/>
      <c r="AY828" s="46"/>
      <c r="AZ828" s="46"/>
      <c r="BA828" s="46"/>
      <c r="BB828" s="46"/>
    </row>
    <row r="829" spans="1:54" x14ac:dyDescent="0.25">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c r="AM829" s="46"/>
      <c r="AN829" s="46"/>
      <c r="AO829" s="46"/>
      <c r="AP829" s="46"/>
      <c r="AQ829" s="46"/>
      <c r="AR829" s="46"/>
      <c r="AS829" s="46"/>
      <c r="AT829" s="46"/>
      <c r="AU829" s="46"/>
      <c r="AV829" s="46"/>
      <c r="AW829" s="46"/>
      <c r="AX829" s="46"/>
      <c r="AY829" s="46"/>
      <c r="AZ829" s="46"/>
      <c r="BA829" s="46"/>
      <c r="BB829" s="46"/>
    </row>
    <row r="830" spans="1:54" x14ac:dyDescent="0.25">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c r="AF830" s="46"/>
      <c r="AG830" s="46"/>
      <c r="AH830" s="46"/>
      <c r="AI830" s="46"/>
      <c r="AJ830" s="46"/>
      <c r="AK830" s="46"/>
      <c r="AL830" s="46"/>
      <c r="AM830" s="46"/>
      <c r="AN830" s="46"/>
      <c r="AO830" s="46"/>
      <c r="AP830" s="46"/>
      <c r="AQ830" s="46"/>
      <c r="AR830" s="46"/>
      <c r="AS830" s="46"/>
      <c r="AT830" s="46"/>
      <c r="AU830" s="46"/>
      <c r="AV830" s="46"/>
      <c r="AW830" s="46"/>
      <c r="AX830" s="46"/>
      <c r="AY830" s="46"/>
      <c r="AZ830" s="46"/>
      <c r="BA830" s="46"/>
      <c r="BB830" s="46"/>
    </row>
    <row r="831" spans="1:54" x14ac:dyDescent="0.25">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c r="AM831" s="46"/>
      <c r="AN831" s="46"/>
      <c r="AO831" s="46"/>
      <c r="AP831" s="46"/>
      <c r="AQ831" s="46"/>
      <c r="AR831" s="46"/>
      <c r="AS831" s="46"/>
      <c r="AT831" s="46"/>
      <c r="AU831" s="46"/>
      <c r="AV831" s="46"/>
      <c r="AW831" s="46"/>
      <c r="AX831" s="46"/>
      <c r="AY831" s="46"/>
      <c r="AZ831" s="46"/>
      <c r="BA831" s="46"/>
      <c r="BB831" s="46"/>
    </row>
    <row r="832" spans="1:54" x14ac:dyDescent="0.25">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c r="AH832" s="46"/>
      <c r="AI832" s="46"/>
      <c r="AJ832" s="46"/>
      <c r="AK832" s="46"/>
      <c r="AL832" s="46"/>
      <c r="AM832" s="46"/>
      <c r="AN832" s="46"/>
      <c r="AO832" s="46"/>
      <c r="AP832" s="46"/>
      <c r="AQ832" s="46"/>
      <c r="AR832" s="46"/>
      <c r="AS832" s="46"/>
      <c r="AT832" s="46"/>
      <c r="AU832" s="46"/>
      <c r="AV832" s="46"/>
      <c r="AW832" s="46"/>
      <c r="AX832" s="46"/>
      <c r="AY832" s="46"/>
      <c r="AZ832" s="46"/>
      <c r="BA832" s="46"/>
      <c r="BB832" s="46"/>
    </row>
    <row r="833" spans="1:54" x14ac:dyDescent="0.25">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c r="AH833" s="46"/>
      <c r="AI833" s="46"/>
      <c r="AJ833" s="46"/>
      <c r="AK833" s="46"/>
      <c r="AL833" s="46"/>
      <c r="AM833" s="46"/>
      <c r="AN833" s="46"/>
      <c r="AO833" s="46"/>
      <c r="AP833" s="46"/>
      <c r="AQ833" s="46"/>
      <c r="AR833" s="46"/>
      <c r="AS833" s="46"/>
      <c r="AT833" s="46"/>
      <c r="AU833" s="46"/>
      <c r="AV833" s="46"/>
      <c r="AW833" s="46"/>
      <c r="AX833" s="46"/>
      <c r="AY833" s="46"/>
      <c r="AZ833" s="46"/>
      <c r="BA833" s="46"/>
      <c r="BB833" s="46"/>
    </row>
    <row r="834" spans="1:54" x14ac:dyDescent="0.25">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c r="AM834" s="46"/>
      <c r="AN834" s="46"/>
      <c r="AO834" s="46"/>
      <c r="AP834" s="46"/>
      <c r="AQ834" s="46"/>
      <c r="AR834" s="46"/>
      <c r="AS834" s="46"/>
      <c r="AT834" s="46"/>
      <c r="AU834" s="46"/>
      <c r="AV834" s="46"/>
      <c r="AW834" s="46"/>
      <c r="AX834" s="46"/>
      <c r="AY834" s="46"/>
      <c r="AZ834" s="46"/>
      <c r="BA834" s="46"/>
      <c r="BB834" s="46"/>
    </row>
    <row r="835" spans="1:54" x14ac:dyDescent="0.25">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c r="AL835" s="46"/>
      <c r="AM835" s="46"/>
      <c r="AN835" s="46"/>
      <c r="AO835" s="46"/>
      <c r="AP835" s="46"/>
      <c r="AQ835" s="46"/>
      <c r="AR835" s="46"/>
      <c r="AS835" s="46"/>
      <c r="AT835" s="46"/>
      <c r="AU835" s="46"/>
      <c r="AV835" s="46"/>
      <c r="AW835" s="46"/>
      <c r="AX835" s="46"/>
      <c r="AY835" s="46"/>
      <c r="AZ835" s="46"/>
      <c r="BA835" s="46"/>
      <c r="BB835" s="46"/>
    </row>
    <row r="836" spans="1:54" x14ac:dyDescent="0.25">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6"/>
      <c r="AF836" s="46"/>
      <c r="AG836" s="46"/>
      <c r="AH836" s="46"/>
      <c r="AI836" s="46"/>
      <c r="AJ836" s="46"/>
      <c r="AK836" s="46"/>
      <c r="AL836" s="46"/>
      <c r="AM836" s="46"/>
      <c r="AN836" s="46"/>
      <c r="AO836" s="46"/>
      <c r="AP836" s="46"/>
      <c r="AQ836" s="46"/>
      <c r="AR836" s="46"/>
      <c r="AS836" s="46"/>
      <c r="AT836" s="46"/>
      <c r="AU836" s="46"/>
      <c r="AV836" s="46"/>
      <c r="AW836" s="46"/>
      <c r="AX836" s="46"/>
      <c r="AY836" s="46"/>
      <c r="AZ836" s="46"/>
      <c r="BA836" s="46"/>
      <c r="BB836" s="46"/>
    </row>
    <row r="837" spans="1:54" x14ac:dyDescent="0.25">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6"/>
      <c r="AF837" s="46"/>
      <c r="AG837" s="46"/>
      <c r="AH837" s="46"/>
      <c r="AI837" s="46"/>
      <c r="AJ837" s="46"/>
      <c r="AK837" s="46"/>
      <c r="AL837" s="46"/>
      <c r="AM837" s="46"/>
      <c r="AN837" s="46"/>
      <c r="AO837" s="46"/>
      <c r="AP837" s="46"/>
      <c r="AQ837" s="46"/>
      <c r="AR837" s="46"/>
      <c r="AS837" s="46"/>
      <c r="AT837" s="46"/>
      <c r="AU837" s="46"/>
      <c r="AV837" s="46"/>
      <c r="AW837" s="46"/>
      <c r="AX837" s="46"/>
      <c r="AY837" s="46"/>
      <c r="AZ837" s="46"/>
      <c r="BA837" s="46"/>
      <c r="BB837" s="46"/>
    </row>
    <row r="838" spans="1:54" x14ac:dyDescent="0.25">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c r="AM838" s="46"/>
      <c r="AN838" s="46"/>
      <c r="AO838" s="46"/>
      <c r="AP838" s="46"/>
      <c r="AQ838" s="46"/>
      <c r="AR838" s="46"/>
      <c r="AS838" s="46"/>
      <c r="AT838" s="46"/>
      <c r="AU838" s="46"/>
      <c r="AV838" s="46"/>
      <c r="AW838" s="46"/>
      <c r="AX838" s="46"/>
      <c r="AY838" s="46"/>
      <c r="AZ838" s="46"/>
      <c r="BA838" s="46"/>
      <c r="BB838" s="46"/>
    </row>
    <row r="839" spans="1:54" x14ac:dyDescent="0.25">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c r="AF839" s="46"/>
      <c r="AG839" s="46"/>
      <c r="AH839" s="46"/>
      <c r="AI839" s="46"/>
      <c r="AJ839" s="46"/>
      <c r="AK839" s="46"/>
      <c r="AL839" s="46"/>
      <c r="AM839" s="46"/>
      <c r="AN839" s="46"/>
      <c r="AO839" s="46"/>
      <c r="AP839" s="46"/>
      <c r="AQ839" s="46"/>
      <c r="AR839" s="46"/>
      <c r="AS839" s="46"/>
      <c r="AT839" s="46"/>
      <c r="AU839" s="46"/>
      <c r="AV839" s="46"/>
      <c r="AW839" s="46"/>
      <c r="AX839" s="46"/>
      <c r="AY839" s="46"/>
      <c r="AZ839" s="46"/>
      <c r="BA839" s="46"/>
      <c r="BB839" s="46"/>
    </row>
    <row r="840" spans="1:54" x14ac:dyDescent="0.25">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c r="AF840" s="46"/>
      <c r="AG840" s="46"/>
      <c r="AH840" s="46"/>
      <c r="AI840" s="46"/>
      <c r="AJ840" s="46"/>
      <c r="AK840" s="46"/>
      <c r="AL840" s="46"/>
      <c r="AM840" s="46"/>
      <c r="AN840" s="46"/>
      <c r="AO840" s="46"/>
      <c r="AP840" s="46"/>
      <c r="AQ840" s="46"/>
      <c r="AR840" s="46"/>
      <c r="AS840" s="46"/>
      <c r="AT840" s="46"/>
      <c r="AU840" s="46"/>
      <c r="AV840" s="46"/>
      <c r="AW840" s="46"/>
      <c r="AX840" s="46"/>
      <c r="AY840" s="46"/>
      <c r="AZ840" s="46"/>
      <c r="BA840" s="46"/>
      <c r="BB840" s="46"/>
    </row>
    <row r="841" spans="1:54" x14ac:dyDescent="0.25">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6"/>
      <c r="AF841" s="46"/>
      <c r="AG841" s="46"/>
      <c r="AH841" s="46"/>
      <c r="AI841" s="46"/>
      <c r="AJ841" s="46"/>
      <c r="AK841" s="46"/>
      <c r="AL841" s="46"/>
      <c r="AM841" s="46"/>
      <c r="AN841" s="46"/>
      <c r="AO841" s="46"/>
      <c r="AP841" s="46"/>
      <c r="AQ841" s="46"/>
      <c r="AR841" s="46"/>
      <c r="AS841" s="46"/>
      <c r="AT841" s="46"/>
      <c r="AU841" s="46"/>
      <c r="AV841" s="46"/>
      <c r="AW841" s="46"/>
      <c r="AX841" s="46"/>
      <c r="AY841" s="46"/>
      <c r="AZ841" s="46"/>
      <c r="BA841" s="46"/>
      <c r="BB841" s="46"/>
    </row>
    <row r="842" spans="1:54" x14ac:dyDescent="0.25">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c r="AM842" s="46"/>
      <c r="AN842" s="46"/>
      <c r="AO842" s="46"/>
      <c r="AP842" s="46"/>
      <c r="AQ842" s="46"/>
      <c r="AR842" s="46"/>
      <c r="AS842" s="46"/>
      <c r="AT842" s="46"/>
      <c r="AU842" s="46"/>
      <c r="AV842" s="46"/>
      <c r="AW842" s="46"/>
      <c r="AX842" s="46"/>
      <c r="AY842" s="46"/>
      <c r="AZ842" s="46"/>
      <c r="BA842" s="46"/>
      <c r="BB842" s="46"/>
    </row>
    <row r="843" spans="1:54" x14ac:dyDescent="0.25">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c r="AM843" s="46"/>
      <c r="AN843" s="46"/>
      <c r="AO843" s="46"/>
      <c r="AP843" s="46"/>
      <c r="AQ843" s="46"/>
      <c r="AR843" s="46"/>
      <c r="AS843" s="46"/>
      <c r="AT843" s="46"/>
      <c r="AU843" s="46"/>
      <c r="AV843" s="46"/>
      <c r="AW843" s="46"/>
      <c r="AX843" s="46"/>
      <c r="AY843" s="46"/>
      <c r="AZ843" s="46"/>
      <c r="BA843" s="46"/>
      <c r="BB843" s="46"/>
    </row>
    <row r="844" spans="1:54" x14ac:dyDescent="0.25">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c r="AM844" s="46"/>
      <c r="AN844" s="46"/>
      <c r="AO844" s="46"/>
      <c r="AP844" s="46"/>
      <c r="AQ844" s="46"/>
      <c r="AR844" s="46"/>
      <c r="AS844" s="46"/>
      <c r="AT844" s="46"/>
      <c r="AU844" s="46"/>
      <c r="AV844" s="46"/>
      <c r="AW844" s="46"/>
      <c r="AX844" s="46"/>
      <c r="AY844" s="46"/>
      <c r="AZ844" s="46"/>
      <c r="BA844" s="46"/>
      <c r="BB844" s="46"/>
    </row>
    <row r="845" spans="1:54" x14ac:dyDescent="0.25">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c r="AM845" s="46"/>
      <c r="AN845" s="46"/>
      <c r="AO845" s="46"/>
      <c r="AP845" s="46"/>
      <c r="AQ845" s="46"/>
      <c r="AR845" s="46"/>
      <c r="AS845" s="46"/>
      <c r="AT845" s="46"/>
      <c r="AU845" s="46"/>
      <c r="AV845" s="46"/>
      <c r="AW845" s="46"/>
      <c r="AX845" s="46"/>
      <c r="AY845" s="46"/>
      <c r="AZ845" s="46"/>
      <c r="BA845" s="46"/>
      <c r="BB845" s="46"/>
    </row>
    <row r="846" spans="1:54" x14ac:dyDescent="0.25">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c r="AQ846" s="46"/>
      <c r="AR846" s="46"/>
      <c r="AS846" s="46"/>
      <c r="AT846" s="46"/>
      <c r="AU846" s="46"/>
      <c r="AV846" s="46"/>
      <c r="AW846" s="46"/>
      <c r="AX846" s="46"/>
      <c r="AY846" s="46"/>
      <c r="AZ846" s="46"/>
      <c r="BA846" s="46"/>
      <c r="BB846" s="46"/>
    </row>
    <row r="847" spans="1:54" x14ac:dyDescent="0.25">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c r="AM847" s="46"/>
      <c r="AN847" s="46"/>
      <c r="AO847" s="46"/>
      <c r="AP847" s="46"/>
      <c r="AQ847" s="46"/>
      <c r="AR847" s="46"/>
      <c r="AS847" s="46"/>
      <c r="AT847" s="46"/>
      <c r="AU847" s="46"/>
      <c r="AV847" s="46"/>
      <c r="AW847" s="46"/>
      <c r="AX847" s="46"/>
      <c r="AY847" s="46"/>
      <c r="AZ847" s="46"/>
      <c r="BA847" s="46"/>
      <c r="BB847" s="46"/>
    </row>
    <row r="848" spans="1:54" x14ac:dyDescent="0.25">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c r="AF848" s="46"/>
      <c r="AG848" s="46"/>
      <c r="AH848" s="46"/>
      <c r="AI848" s="46"/>
      <c r="AJ848" s="46"/>
      <c r="AK848" s="46"/>
      <c r="AL848" s="46"/>
      <c r="AM848" s="46"/>
      <c r="AN848" s="46"/>
      <c r="AO848" s="46"/>
      <c r="AP848" s="46"/>
      <c r="AQ848" s="46"/>
      <c r="AR848" s="46"/>
      <c r="AS848" s="46"/>
      <c r="AT848" s="46"/>
      <c r="AU848" s="46"/>
      <c r="AV848" s="46"/>
      <c r="AW848" s="46"/>
      <c r="AX848" s="46"/>
      <c r="AY848" s="46"/>
      <c r="AZ848" s="46"/>
      <c r="BA848" s="46"/>
      <c r="BB848" s="46"/>
    </row>
    <row r="849" spans="1:54" x14ac:dyDescent="0.25">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c r="AM849" s="46"/>
      <c r="AN849" s="46"/>
      <c r="AO849" s="46"/>
      <c r="AP849" s="46"/>
      <c r="AQ849" s="46"/>
      <c r="AR849" s="46"/>
      <c r="AS849" s="46"/>
      <c r="AT849" s="46"/>
      <c r="AU849" s="46"/>
      <c r="AV849" s="46"/>
      <c r="AW849" s="46"/>
      <c r="AX849" s="46"/>
      <c r="AY849" s="46"/>
      <c r="AZ849" s="46"/>
      <c r="BA849" s="46"/>
      <c r="BB849" s="46"/>
    </row>
    <row r="850" spans="1:54" x14ac:dyDescent="0.25">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c r="AM850" s="46"/>
      <c r="AN850" s="46"/>
      <c r="AO850" s="46"/>
      <c r="AP850" s="46"/>
      <c r="AQ850" s="46"/>
      <c r="AR850" s="46"/>
      <c r="AS850" s="46"/>
      <c r="AT850" s="46"/>
      <c r="AU850" s="46"/>
      <c r="AV850" s="46"/>
      <c r="AW850" s="46"/>
      <c r="AX850" s="46"/>
      <c r="AY850" s="46"/>
      <c r="AZ850" s="46"/>
      <c r="BA850" s="46"/>
      <c r="BB850" s="46"/>
    </row>
    <row r="851" spans="1:54" x14ac:dyDescent="0.25">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c r="AM851" s="46"/>
      <c r="AN851" s="46"/>
      <c r="AO851" s="46"/>
      <c r="AP851" s="46"/>
      <c r="AQ851" s="46"/>
      <c r="AR851" s="46"/>
      <c r="AS851" s="46"/>
      <c r="AT851" s="46"/>
      <c r="AU851" s="46"/>
      <c r="AV851" s="46"/>
      <c r="AW851" s="46"/>
      <c r="AX851" s="46"/>
      <c r="AY851" s="46"/>
      <c r="AZ851" s="46"/>
      <c r="BA851" s="46"/>
      <c r="BB851" s="46"/>
    </row>
    <row r="852" spans="1:54" x14ac:dyDescent="0.25">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c r="AM852" s="46"/>
      <c r="AN852" s="46"/>
      <c r="AO852" s="46"/>
      <c r="AP852" s="46"/>
      <c r="AQ852" s="46"/>
      <c r="AR852" s="46"/>
      <c r="AS852" s="46"/>
      <c r="AT852" s="46"/>
      <c r="AU852" s="46"/>
      <c r="AV852" s="46"/>
      <c r="AW852" s="46"/>
      <c r="AX852" s="46"/>
      <c r="AY852" s="46"/>
      <c r="AZ852" s="46"/>
      <c r="BA852" s="46"/>
      <c r="BB852" s="46"/>
    </row>
    <row r="853" spans="1:54" x14ac:dyDescent="0.25">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c r="AM853" s="46"/>
      <c r="AN853" s="46"/>
      <c r="AO853" s="46"/>
      <c r="AP853" s="46"/>
      <c r="AQ853" s="46"/>
      <c r="AR853" s="46"/>
      <c r="AS853" s="46"/>
      <c r="AT853" s="46"/>
      <c r="AU853" s="46"/>
      <c r="AV853" s="46"/>
      <c r="AW853" s="46"/>
      <c r="AX853" s="46"/>
      <c r="AY853" s="46"/>
      <c r="AZ853" s="46"/>
      <c r="BA853" s="46"/>
      <c r="BB853" s="46"/>
    </row>
    <row r="854" spans="1:54" x14ac:dyDescent="0.25">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c r="AA854" s="46"/>
      <c r="AB854" s="46"/>
      <c r="AC854" s="46"/>
      <c r="AD854" s="46"/>
      <c r="AE854" s="46"/>
      <c r="AF854" s="46"/>
      <c r="AG854" s="46"/>
      <c r="AH854" s="46"/>
      <c r="AI854" s="46"/>
      <c r="AJ854" s="46"/>
      <c r="AK854" s="46"/>
      <c r="AL854" s="46"/>
      <c r="AM854" s="46"/>
      <c r="AN854" s="46"/>
      <c r="AO854" s="46"/>
      <c r="AP854" s="46"/>
      <c r="AQ854" s="46"/>
      <c r="AR854" s="46"/>
      <c r="AS854" s="46"/>
      <c r="AT854" s="46"/>
      <c r="AU854" s="46"/>
      <c r="AV854" s="46"/>
      <c r="AW854" s="46"/>
      <c r="AX854" s="46"/>
      <c r="AY854" s="46"/>
      <c r="AZ854" s="46"/>
      <c r="BA854" s="46"/>
      <c r="BB854" s="46"/>
    </row>
    <row r="855" spans="1:54" x14ac:dyDescent="0.25">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c r="AM855" s="46"/>
      <c r="AN855" s="46"/>
      <c r="AO855" s="46"/>
      <c r="AP855" s="46"/>
      <c r="AQ855" s="46"/>
      <c r="AR855" s="46"/>
      <c r="AS855" s="46"/>
      <c r="AT855" s="46"/>
      <c r="AU855" s="46"/>
      <c r="AV855" s="46"/>
      <c r="AW855" s="46"/>
      <c r="AX855" s="46"/>
      <c r="AY855" s="46"/>
      <c r="AZ855" s="46"/>
      <c r="BA855" s="46"/>
      <c r="BB855" s="46"/>
    </row>
    <row r="856" spans="1:54" x14ac:dyDescent="0.25">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c r="AM856" s="46"/>
      <c r="AN856" s="46"/>
      <c r="AO856" s="46"/>
      <c r="AP856" s="46"/>
      <c r="AQ856" s="46"/>
      <c r="AR856" s="46"/>
      <c r="AS856" s="46"/>
      <c r="AT856" s="46"/>
      <c r="AU856" s="46"/>
      <c r="AV856" s="46"/>
      <c r="AW856" s="46"/>
      <c r="AX856" s="46"/>
      <c r="AY856" s="46"/>
      <c r="AZ856" s="46"/>
      <c r="BA856" s="46"/>
      <c r="BB856" s="46"/>
    </row>
    <row r="857" spans="1:54" x14ac:dyDescent="0.25">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c r="AM857" s="46"/>
      <c r="AN857" s="46"/>
      <c r="AO857" s="46"/>
      <c r="AP857" s="46"/>
      <c r="AQ857" s="46"/>
      <c r="AR857" s="46"/>
      <c r="AS857" s="46"/>
      <c r="AT857" s="46"/>
      <c r="AU857" s="46"/>
      <c r="AV857" s="46"/>
      <c r="AW857" s="46"/>
      <c r="AX857" s="46"/>
      <c r="AY857" s="46"/>
      <c r="AZ857" s="46"/>
      <c r="BA857" s="46"/>
      <c r="BB857" s="46"/>
    </row>
    <row r="858" spans="1:54" x14ac:dyDescent="0.25">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c r="AM858" s="46"/>
      <c r="AN858" s="46"/>
      <c r="AO858" s="46"/>
      <c r="AP858" s="46"/>
      <c r="AQ858" s="46"/>
      <c r="AR858" s="46"/>
      <c r="AS858" s="46"/>
      <c r="AT858" s="46"/>
      <c r="AU858" s="46"/>
      <c r="AV858" s="46"/>
      <c r="AW858" s="46"/>
      <c r="AX858" s="46"/>
      <c r="AY858" s="46"/>
      <c r="AZ858" s="46"/>
      <c r="BA858" s="46"/>
      <c r="BB858" s="46"/>
    </row>
    <row r="859" spans="1:54" x14ac:dyDescent="0.25">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c r="AM859" s="46"/>
      <c r="AN859" s="46"/>
      <c r="AO859" s="46"/>
      <c r="AP859" s="46"/>
      <c r="AQ859" s="46"/>
      <c r="AR859" s="46"/>
      <c r="AS859" s="46"/>
      <c r="AT859" s="46"/>
      <c r="AU859" s="46"/>
      <c r="AV859" s="46"/>
      <c r="AW859" s="46"/>
      <c r="AX859" s="46"/>
      <c r="AY859" s="46"/>
      <c r="AZ859" s="46"/>
      <c r="BA859" s="46"/>
      <c r="BB859" s="46"/>
    </row>
    <row r="860" spans="1:54" x14ac:dyDescent="0.25">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c r="AD860" s="46"/>
      <c r="AE860" s="46"/>
      <c r="AF860" s="46"/>
      <c r="AG860" s="46"/>
      <c r="AH860" s="46"/>
      <c r="AI860" s="46"/>
      <c r="AJ860" s="46"/>
      <c r="AK860" s="46"/>
      <c r="AL860" s="46"/>
      <c r="AM860" s="46"/>
      <c r="AN860" s="46"/>
      <c r="AO860" s="46"/>
      <c r="AP860" s="46"/>
      <c r="AQ860" s="46"/>
      <c r="AR860" s="46"/>
      <c r="AS860" s="46"/>
      <c r="AT860" s="46"/>
      <c r="AU860" s="46"/>
      <c r="AV860" s="46"/>
      <c r="AW860" s="46"/>
      <c r="AX860" s="46"/>
      <c r="AY860" s="46"/>
      <c r="AZ860" s="46"/>
      <c r="BA860" s="46"/>
      <c r="BB860" s="46"/>
    </row>
    <row r="861" spans="1:54" x14ac:dyDescent="0.25">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c r="AM861" s="46"/>
      <c r="AN861" s="46"/>
      <c r="AO861" s="46"/>
      <c r="AP861" s="46"/>
      <c r="AQ861" s="46"/>
      <c r="AR861" s="46"/>
      <c r="AS861" s="46"/>
      <c r="AT861" s="46"/>
      <c r="AU861" s="46"/>
      <c r="AV861" s="46"/>
      <c r="AW861" s="46"/>
      <c r="AX861" s="46"/>
      <c r="AY861" s="46"/>
      <c r="AZ861" s="46"/>
      <c r="BA861" s="46"/>
      <c r="BB861" s="46"/>
    </row>
    <row r="862" spans="1:54" x14ac:dyDescent="0.25">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c r="AH862" s="46"/>
      <c r="AI862" s="46"/>
      <c r="AJ862" s="46"/>
      <c r="AK862" s="46"/>
      <c r="AL862" s="46"/>
      <c r="AM862" s="46"/>
      <c r="AN862" s="46"/>
      <c r="AO862" s="46"/>
      <c r="AP862" s="46"/>
      <c r="AQ862" s="46"/>
      <c r="AR862" s="46"/>
      <c r="AS862" s="46"/>
      <c r="AT862" s="46"/>
      <c r="AU862" s="46"/>
      <c r="AV862" s="46"/>
      <c r="AW862" s="46"/>
      <c r="AX862" s="46"/>
      <c r="AY862" s="46"/>
      <c r="AZ862" s="46"/>
      <c r="BA862" s="46"/>
      <c r="BB862" s="46"/>
    </row>
    <row r="863" spans="1:54" x14ac:dyDescent="0.25">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c r="AM863" s="46"/>
      <c r="AN863" s="46"/>
      <c r="AO863" s="46"/>
      <c r="AP863" s="46"/>
      <c r="AQ863" s="46"/>
      <c r="AR863" s="46"/>
      <c r="AS863" s="46"/>
      <c r="AT863" s="46"/>
      <c r="AU863" s="46"/>
      <c r="AV863" s="46"/>
      <c r="AW863" s="46"/>
      <c r="AX863" s="46"/>
      <c r="AY863" s="46"/>
      <c r="AZ863" s="46"/>
      <c r="BA863" s="46"/>
      <c r="BB863" s="46"/>
    </row>
    <row r="864" spans="1:54" x14ac:dyDescent="0.25">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6"/>
      <c r="AF864" s="46"/>
      <c r="AG864" s="46"/>
      <c r="AH864" s="46"/>
      <c r="AI864" s="46"/>
      <c r="AJ864" s="46"/>
      <c r="AK864" s="46"/>
      <c r="AL864" s="46"/>
      <c r="AM864" s="46"/>
      <c r="AN864" s="46"/>
      <c r="AO864" s="46"/>
      <c r="AP864" s="46"/>
      <c r="AQ864" s="46"/>
      <c r="AR864" s="46"/>
      <c r="AS864" s="46"/>
      <c r="AT864" s="46"/>
      <c r="AU864" s="46"/>
      <c r="AV864" s="46"/>
      <c r="AW864" s="46"/>
      <c r="AX864" s="46"/>
      <c r="AY864" s="46"/>
      <c r="AZ864" s="46"/>
      <c r="BA864" s="46"/>
      <c r="BB864" s="46"/>
    </row>
    <row r="865" spans="1:54" x14ac:dyDescent="0.25">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c r="AM865" s="46"/>
      <c r="AN865" s="46"/>
      <c r="AO865" s="46"/>
      <c r="AP865" s="46"/>
      <c r="AQ865" s="46"/>
      <c r="AR865" s="46"/>
      <c r="AS865" s="46"/>
      <c r="AT865" s="46"/>
      <c r="AU865" s="46"/>
      <c r="AV865" s="46"/>
      <c r="AW865" s="46"/>
      <c r="AX865" s="46"/>
      <c r="AY865" s="46"/>
      <c r="AZ865" s="46"/>
      <c r="BA865" s="46"/>
      <c r="BB865" s="46"/>
    </row>
    <row r="866" spans="1:54" x14ac:dyDescent="0.25">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c r="AF866" s="46"/>
      <c r="AG866" s="46"/>
      <c r="AH866" s="46"/>
      <c r="AI866" s="46"/>
      <c r="AJ866" s="46"/>
      <c r="AK866" s="46"/>
      <c r="AL866" s="46"/>
      <c r="AM866" s="46"/>
      <c r="AN866" s="46"/>
      <c r="AO866" s="46"/>
      <c r="AP866" s="46"/>
      <c r="AQ866" s="46"/>
      <c r="AR866" s="46"/>
      <c r="AS866" s="46"/>
      <c r="AT866" s="46"/>
      <c r="AU866" s="46"/>
      <c r="AV866" s="46"/>
      <c r="AW866" s="46"/>
      <c r="AX866" s="46"/>
      <c r="AY866" s="46"/>
      <c r="AZ866" s="46"/>
      <c r="BA866" s="46"/>
      <c r="BB866" s="46"/>
    </row>
    <row r="867" spans="1:54" x14ac:dyDescent="0.25">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c r="AM867" s="46"/>
      <c r="AN867" s="46"/>
      <c r="AO867" s="46"/>
      <c r="AP867" s="46"/>
      <c r="AQ867" s="46"/>
      <c r="AR867" s="46"/>
      <c r="AS867" s="46"/>
      <c r="AT867" s="46"/>
      <c r="AU867" s="46"/>
      <c r="AV867" s="46"/>
      <c r="AW867" s="46"/>
      <c r="AX867" s="46"/>
      <c r="AY867" s="46"/>
      <c r="AZ867" s="46"/>
      <c r="BA867" s="46"/>
      <c r="BB867" s="46"/>
    </row>
    <row r="868" spans="1:54" x14ac:dyDescent="0.25">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c r="AD868" s="46"/>
      <c r="AE868" s="46"/>
      <c r="AF868" s="46"/>
      <c r="AG868" s="46"/>
      <c r="AH868" s="46"/>
      <c r="AI868" s="46"/>
      <c r="AJ868" s="46"/>
      <c r="AK868" s="46"/>
      <c r="AL868" s="46"/>
      <c r="AM868" s="46"/>
      <c r="AN868" s="46"/>
      <c r="AO868" s="46"/>
      <c r="AP868" s="46"/>
      <c r="AQ868" s="46"/>
      <c r="AR868" s="46"/>
      <c r="AS868" s="46"/>
      <c r="AT868" s="46"/>
      <c r="AU868" s="46"/>
      <c r="AV868" s="46"/>
      <c r="AW868" s="46"/>
      <c r="AX868" s="46"/>
      <c r="AY868" s="46"/>
      <c r="AZ868" s="46"/>
      <c r="BA868" s="46"/>
      <c r="BB868" s="46"/>
    </row>
    <row r="869" spans="1:54" x14ac:dyDescent="0.25">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c r="AM869" s="46"/>
      <c r="AN869" s="46"/>
      <c r="AO869" s="46"/>
      <c r="AP869" s="46"/>
      <c r="AQ869" s="46"/>
      <c r="AR869" s="46"/>
      <c r="AS869" s="46"/>
      <c r="AT869" s="46"/>
      <c r="AU869" s="46"/>
      <c r="AV869" s="46"/>
      <c r="AW869" s="46"/>
      <c r="AX869" s="46"/>
      <c r="AY869" s="46"/>
      <c r="AZ869" s="46"/>
      <c r="BA869" s="46"/>
      <c r="BB869" s="46"/>
    </row>
    <row r="870" spans="1:54" x14ac:dyDescent="0.25">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c r="AM870" s="46"/>
      <c r="AN870" s="46"/>
      <c r="AO870" s="46"/>
      <c r="AP870" s="46"/>
      <c r="AQ870" s="46"/>
      <c r="AR870" s="46"/>
      <c r="AS870" s="46"/>
      <c r="AT870" s="46"/>
      <c r="AU870" s="46"/>
      <c r="AV870" s="46"/>
      <c r="AW870" s="46"/>
      <c r="AX870" s="46"/>
      <c r="AY870" s="46"/>
      <c r="AZ870" s="46"/>
      <c r="BA870" s="46"/>
      <c r="BB870" s="46"/>
    </row>
    <row r="871" spans="1:54" x14ac:dyDescent="0.25">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c r="AM871" s="46"/>
      <c r="AN871" s="46"/>
      <c r="AO871" s="46"/>
      <c r="AP871" s="46"/>
      <c r="AQ871" s="46"/>
      <c r="AR871" s="46"/>
      <c r="AS871" s="46"/>
      <c r="AT871" s="46"/>
      <c r="AU871" s="46"/>
      <c r="AV871" s="46"/>
      <c r="AW871" s="46"/>
      <c r="AX871" s="46"/>
      <c r="AY871" s="46"/>
      <c r="AZ871" s="46"/>
      <c r="BA871" s="46"/>
      <c r="BB871" s="46"/>
    </row>
    <row r="872" spans="1:54" x14ac:dyDescent="0.25">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6"/>
      <c r="AF872" s="46"/>
      <c r="AG872" s="46"/>
      <c r="AH872" s="46"/>
      <c r="AI872" s="46"/>
      <c r="AJ872" s="46"/>
      <c r="AK872" s="46"/>
      <c r="AL872" s="46"/>
      <c r="AM872" s="46"/>
      <c r="AN872" s="46"/>
      <c r="AO872" s="46"/>
      <c r="AP872" s="46"/>
      <c r="AQ872" s="46"/>
      <c r="AR872" s="46"/>
      <c r="AS872" s="46"/>
      <c r="AT872" s="46"/>
      <c r="AU872" s="46"/>
      <c r="AV872" s="46"/>
      <c r="AW872" s="46"/>
      <c r="AX872" s="46"/>
      <c r="AY872" s="46"/>
      <c r="AZ872" s="46"/>
      <c r="BA872" s="46"/>
      <c r="BB872" s="46"/>
    </row>
    <row r="873" spans="1:54" x14ac:dyDescent="0.25">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c r="AM873" s="46"/>
      <c r="AN873" s="46"/>
      <c r="AO873" s="46"/>
      <c r="AP873" s="46"/>
      <c r="AQ873" s="46"/>
      <c r="AR873" s="46"/>
      <c r="AS873" s="46"/>
      <c r="AT873" s="46"/>
      <c r="AU873" s="46"/>
      <c r="AV873" s="46"/>
      <c r="AW873" s="46"/>
      <c r="AX873" s="46"/>
      <c r="AY873" s="46"/>
      <c r="AZ873" s="46"/>
      <c r="BA873" s="46"/>
      <c r="BB873" s="46"/>
    </row>
    <row r="874" spans="1:54" x14ac:dyDescent="0.25">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c r="AF874" s="46"/>
      <c r="AG874" s="46"/>
      <c r="AH874" s="46"/>
      <c r="AI874" s="46"/>
      <c r="AJ874" s="46"/>
      <c r="AK874" s="46"/>
      <c r="AL874" s="46"/>
      <c r="AM874" s="46"/>
      <c r="AN874" s="46"/>
      <c r="AO874" s="46"/>
      <c r="AP874" s="46"/>
      <c r="AQ874" s="46"/>
      <c r="AR874" s="46"/>
      <c r="AS874" s="46"/>
      <c r="AT874" s="46"/>
      <c r="AU874" s="46"/>
      <c r="AV874" s="46"/>
      <c r="AW874" s="46"/>
      <c r="AX874" s="46"/>
      <c r="AY874" s="46"/>
      <c r="AZ874" s="46"/>
      <c r="BA874" s="46"/>
      <c r="BB874" s="46"/>
    </row>
    <row r="875" spans="1:54" x14ac:dyDescent="0.25">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c r="AM875" s="46"/>
      <c r="AN875" s="46"/>
      <c r="AO875" s="46"/>
      <c r="AP875" s="46"/>
      <c r="AQ875" s="46"/>
      <c r="AR875" s="46"/>
      <c r="AS875" s="46"/>
      <c r="AT875" s="46"/>
      <c r="AU875" s="46"/>
      <c r="AV875" s="46"/>
      <c r="AW875" s="46"/>
      <c r="AX875" s="46"/>
      <c r="AY875" s="46"/>
      <c r="AZ875" s="46"/>
      <c r="BA875" s="46"/>
      <c r="BB875" s="46"/>
    </row>
    <row r="876" spans="1:54" x14ac:dyDescent="0.25">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c r="AM876" s="46"/>
      <c r="AN876" s="46"/>
      <c r="AO876" s="46"/>
      <c r="AP876" s="46"/>
      <c r="AQ876" s="46"/>
      <c r="AR876" s="46"/>
      <c r="AS876" s="46"/>
      <c r="AT876" s="46"/>
      <c r="AU876" s="46"/>
      <c r="AV876" s="46"/>
      <c r="AW876" s="46"/>
      <c r="AX876" s="46"/>
      <c r="AY876" s="46"/>
      <c r="AZ876" s="46"/>
      <c r="BA876" s="46"/>
      <c r="BB876" s="46"/>
    </row>
    <row r="877" spans="1:54" x14ac:dyDescent="0.25">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c r="AM877" s="46"/>
      <c r="AN877" s="46"/>
      <c r="AO877" s="46"/>
      <c r="AP877" s="46"/>
      <c r="AQ877" s="46"/>
      <c r="AR877" s="46"/>
      <c r="AS877" s="46"/>
      <c r="AT877" s="46"/>
      <c r="AU877" s="46"/>
      <c r="AV877" s="46"/>
      <c r="AW877" s="46"/>
      <c r="AX877" s="46"/>
      <c r="AY877" s="46"/>
      <c r="AZ877" s="46"/>
      <c r="BA877" s="46"/>
      <c r="BB877" s="46"/>
    </row>
    <row r="878" spans="1:54" x14ac:dyDescent="0.25">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c r="AM878" s="46"/>
      <c r="AN878" s="46"/>
      <c r="AO878" s="46"/>
      <c r="AP878" s="46"/>
      <c r="AQ878" s="46"/>
      <c r="AR878" s="46"/>
      <c r="AS878" s="46"/>
      <c r="AT878" s="46"/>
      <c r="AU878" s="46"/>
      <c r="AV878" s="46"/>
      <c r="AW878" s="46"/>
      <c r="AX878" s="46"/>
      <c r="AY878" s="46"/>
      <c r="AZ878" s="46"/>
      <c r="BA878" s="46"/>
      <c r="BB878" s="46"/>
    </row>
    <row r="879" spans="1:54" x14ac:dyDescent="0.25">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c r="AM879" s="46"/>
      <c r="AN879" s="46"/>
      <c r="AO879" s="46"/>
      <c r="AP879" s="46"/>
      <c r="AQ879" s="46"/>
      <c r="AR879" s="46"/>
      <c r="AS879" s="46"/>
      <c r="AT879" s="46"/>
      <c r="AU879" s="46"/>
      <c r="AV879" s="46"/>
      <c r="AW879" s="46"/>
      <c r="AX879" s="46"/>
      <c r="AY879" s="46"/>
      <c r="AZ879" s="46"/>
      <c r="BA879" s="46"/>
      <c r="BB879" s="46"/>
    </row>
    <row r="880" spans="1:54" x14ac:dyDescent="0.25">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6"/>
      <c r="AF880" s="46"/>
      <c r="AG880" s="46"/>
      <c r="AH880" s="46"/>
      <c r="AI880" s="46"/>
      <c r="AJ880" s="46"/>
      <c r="AK880" s="46"/>
      <c r="AL880" s="46"/>
      <c r="AM880" s="46"/>
      <c r="AN880" s="46"/>
      <c r="AO880" s="46"/>
      <c r="AP880" s="46"/>
      <c r="AQ880" s="46"/>
      <c r="AR880" s="46"/>
      <c r="AS880" s="46"/>
      <c r="AT880" s="46"/>
      <c r="AU880" s="46"/>
      <c r="AV880" s="46"/>
      <c r="AW880" s="46"/>
      <c r="AX880" s="46"/>
      <c r="AY880" s="46"/>
      <c r="AZ880" s="46"/>
      <c r="BA880" s="46"/>
      <c r="BB880" s="46"/>
    </row>
    <row r="881" spans="1:54" x14ac:dyDescent="0.25">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c r="AM881" s="46"/>
      <c r="AN881" s="46"/>
      <c r="AO881" s="46"/>
      <c r="AP881" s="46"/>
      <c r="AQ881" s="46"/>
      <c r="AR881" s="46"/>
      <c r="AS881" s="46"/>
      <c r="AT881" s="46"/>
      <c r="AU881" s="46"/>
      <c r="AV881" s="46"/>
      <c r="AW881" s="46"/>
      <c r="AX881" s="46"/>
      <c r="AY881" s="46"/>
      <c r="AZ881" s="46"/>
      <c r="BA881" s="46"/>
      <c r="BB881" s="46"/>
    </row>
    <row r="882" spans="1:54" x14ac:dyDescent="0.25">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c r="AM882" s="46"/>
      <c r="AN882" s="46"/>
      <c r="AO882" s="46"/>
      <c r="AP882" s="46"/>
      <c r="AQ882" s="46"/>
      <c r="AR882" s="46"/>
      <c r="AS882" s="46"/>
      <c r="AT882" s="46"/>
      <c r="AU882" s="46"/>
      <c r="AV882" s="46"/>
      <c r="AW882" s="46"/>
      <c r="AX882" s="46"/>
      <c r="AY882" s="46"/>
      <c r="AZ882" s="46"/>
      <c r="BA882" s="46"/>
      <c r="BB882" s="46"/>
    </row>
    <row r="883" spans="1:54" x14ac:dyDescent="0.25">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c r="AM883" s="46"/>
      <c r="AN883" s="46"/>
      <c r="AO883" s="46"/>
      <c r="AP883" s="46"/>
      <c r="AQ883" s="46"/>
      <c r="AR883" s="46"/>
      <c r="AS883" s="46"/>
      <c r="AT883" s="46"/>
      <c r="AU883" s="46"/>
      <c r="AV883" s="46"/>
      <c r="AW883" s="46"/>
      <c r="AX883" s="46"/>
      <c r="AY883" s="46"/>
      <c r="AZ883" s="46"/>
      <c r="BA883" s="46"/>
      <c r="BB883" s="46"/>
    </row>
    <row r="884" spans="1:54" x14ac:dyDescent="0.25">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c r="AM884" s="46"/>
      <c r="AN884" s="46"/>
      <c r="AO884" s="46"/>
      <c r="AP884" s="46"/>
      <c r="AQ884" s="46"/>
      <c r="AR884" s="46"/>
      <c r="AS884" s="46"/>
      <c r="AT884" s="46"/>
      <c r="AU884" s="46"/>
      <c r="AV884" s="46"/>
      <c r="AW884" s="46"/>
      <c r="AX884" s="46"/>
      <c r="AY884" s="46"/>
      <c r="AZ884" s="46"/>
      <c r="BA884" s="46"/>
      <c r="BB884" s="46"/>
    </row>
    <row r="885" spans="1:54" x14ac:dyDescent="0.25">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c r="AM885" s="46"/>
      <c r="AN885" s="46"/>
      <c r="AO885" s="46"/>
      <c r="AP885" s="46"/>
      <c r="AQ885" s="46"/>
      <c r="AR885" s="46"/>
      <c r="AS885" s="46"/>
      <c r="AT885" s="46"/>
      <c r="AU885" s="46"/>
      <c r="AV885" s="46"/>
      <c r="AW885" s="46"/>
      <c r="AX885" s="46"/>
      <c r="AY885" s="46"/>
      <c r="AZ885" s="46"/>
      <c r="BA885" s="46"/>
      <c r="BB885" s="46"/>
    </row>
    <row r="886" spans="1:54" x14ac:dyDescent="0.25">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c r="AA886" s="46"/>
      <c r="AB886" s="46"/>
      <c r="AC886" s="46"/>
      <c r="AD886" s="46"/>
      <c r="AE886" s="46"/>
      <c r="AF886" s="46"/>
      <c r="AG886" s="46"/>
      <c r="AH886" s="46"/>
      <c r="AI886" s="46"/>
      <c r="AJ886" s="46"/>
      <c r="AK886" s="46"/>
      <c r="AL886" s="46"/>
      <c r="AM886" s="46"/>
      <c r="AN886" s="46"/>
      <c r="AO886" s="46"/>
      <c r="AP886" s="46"/>
      <c r="AQ886" s="46"/>
      <c r="AR886" s="46"/>
      <c r="AS886" s="46"/>
      <c r="AT886" s="46"/>
      <c r="AU886" s="46"/>
      <c r="AV886" s="46"/>
      <c r="AW886" s="46"/>
      <c r="AX886" s="46"/>
      <c r="AY886" s="46"/>
      <c r="AZ886" s="46"/>
      <c r="BA886" s="46"/>
      <c r="BB886" s="46"/>
    </row>
    <row r="887" spans="1:54" x14ac:dyDescent="0.25">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c r="AM887" s="46"/>
      <c r="AN887" s="46"/>
      <c r="AO887" s="46"/>
      <c r="AP887" s="46"/>
      <c r="AQ887" s="46"/>
      <c r="AR887" s="46"/>
      <c r="AS887" s="46"/>
      <c r="AT887" s="46"/>
      <c r="AU887" s="46"/>
      <c r="AV887" s="46"/>
      <c r="AW887" s="46"/>
      <c r="AX887" s="46"/>
      <c r="AY887" s="46"/>
      <c r="AZ887" s="46"/>
      <c r="BA887" s="46"/>
      <c r="BB887" s="46"/>
    </row>
    <row r="888" spans="1:54" x14ac:dyDescent="0.25">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c r="AM888" s="46"/>
      <c r="AN888" s="46"/>
      <c r="AO888" s="46"/>
      <c r="AP888" s="46"/>
      <c r="AQ888" s="46"/>
      <c r="AR888" s="46"/>
      <c r="AS888" s="46"/>
      <c r="AT888" s="46"/>
      <c r="AU888" s="46"/>
      <c r="AV888" s="46"/>
      <c r="AW888" s="46"/>
      <c r="AX888" s="46"/>
      <c r="AY888" s="46"/>
      <c r="AZ888" s="46"/>
      <c r="BA888" s="46"/>
      <c r="BB888" s="46"/>
    </row>
    <row r="889" spans="1:54" x14ac:dyDescent="0.25">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c r="AM889" s="46"/>
      <c r="AN889" s="46"/>
      <c r="AO889" s="46"/>
      <c r="AP889" s="46"/>
      <c r="AQ889" s="46"/>
      <c r="AR889" s="46"/>
      <c r="AS889" s="46"/>
      <c r="AT889" s="46"/>
      <c r="AU889" s="46"/>
      <c r="AV889" s="46"/>
      <c r="AW889" s="46"/>
      <c r="AX889" s="46"/>
      <c r="AY889" s="46"/>
      <c r="AZ889" s="46"/>
      <c r="BA889" s="46"/>
      <c r="BB889" s="46"/>
    </row>
    <row r="890" spans="1:54" x14ac:dyDescent="0.25">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c r="AM890" s="46"/>
      <c r="AN890" s="46"/>
      <c r="AO890" s="46"/>
      <c r="AP890" s="46"/>
      <c r="AQ890" s="46"/>
      <c r="AR890" s="46"/>
      <c r="AS890" s="46"/>
      <c r="AT890" s="46"/>
      <c r="AU890" s="46"/>
      <c r="AV890" s="46"/>
      <c r="AW890" s="46"/>
      <c r="AX890" s="46"/>
      <c r="AY890" s="46"/>
      <c r="AZ890" s="46"/>
      <c r="BA890" s="46"/>
      <c r="BB890" s="46"/>
    </row>
    <row r="891" spans="1:54" x14ac:dyDescent="0.25">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c r="AH891" s="46"/>
      <c r="AI891" s="46"/>
      <c r="AJ891" s="46"/>
      <c r="AK891" s="46"/>
      <c r="AL891" s="46"/>
      <c r="AM891" s="46"/>
      <c r="AN891" s="46"/>
      <c r="AO891" s="46"/>
      <c r="AP891" s="46"/>
      <c r="AQ891" s="46"/>
      <c r="AR891" s="46"/>
      <c r="AS891" s="46"/>
      <c r="AT891" s="46"/>
      <c r="AU891" s="46"/>
      <c r="AV891" s="46"/>
      <c r="AW891" s="46"/>
      <c r="AX891" s="46"/>
      <c r="AY891" s="46"/>
      <c r="AZ891" s="46"/>
      <c r="BA891" s="46"/>
      <c r="BB891" s="46"/>
    </row>
    <row r="892" spans="1:54" x14ac:dyDescent="0.25">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c r="AD892" s="46"/>
      <c r="AE892" s="46"/>
      <c r="AF892" s="46"/>
      <c r="AG892" s="46"/>
      <c r="AH892" s="46"/>
      <c r="AI892" s="46"/>
      <c r="AJ892" s="46"/>
      <c r="AK892" s="46"/>
      <c r="AL892" s="46"/>
      <c r="AM892" s="46"/>
      <c r="AN892" s="46"/>
      <c r="AO892" s="46"/>
      <c r="AP892" s="46"/>
      <c r="AQ892" s="46"/>
      <c r="AR892" s="46"/>
      <c r="AS892" s="46"/>
      <c r="AT892" s="46"/>
      <c r="AU892" s="46"/>
      <c r="AV892" s="46"/>
      <c r="AW892" s="46"/>
      <c r="AX892" s="46"/>
      <c r="AY892" s="46"/>
      <c r="AZ892" s="46"/>
      <c r="BA892" s="46"/>
      <c r="BB892" s="46"/>
    </row>
    <row r="893" spans="1:54" x14ac:dyDescent="0.25">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c r="AM893" s="46"/>
      <c r="AN893" s="46"/>
      <c r="AO893" s="46"/>
      <c r="AP893" s="46"/>
      <c r="AQ893" s="46"/>
      <c r="AR893" s="46"/>
      <c r="AS893" s="46"/>
      <c r="AT893" s="46"/>
      <c r="AU893" s="46"/>
      <c r="AV893" s="46"/>
      <c r="AW893" s="46"/>
      <c r="AX893" s="46"/>
      <c r="AY893" s="46"/>
      <c r="AZ893" s="46"/>
      <c r="BA893" s="46"/>
      <c r="BB893" s="46"/>
    </row>
    <row r="894" spans="1:54" x14ac:dyDescent="0.25">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c r="AM894" s="46"/>
      <c r="AN894" s="46"/>
      <c r="AO894" s="46"/>
      <c r="AP894" s="46"/>
      <c r="AQ894" s="46"/>
      <c r="AR894" s="46"/>
      <c r="AS894" s="46"/>
      <c r="AT894" s="46"/>
      <c r="AU894" s="46"/>
      <c r="AV894" s="46"/>
      <c r="AW894" s="46"/>
      <c r="AX894" s="46"/>
      <c r="AY894" s="46"/>
      <c r="AZ894" s="46"/>
      <c r="BA894" s="46"/>
      <c r="BB894" s="46"/>
    </row>
    <row r="895" spans="1:54" x14ac:dyDescent="0.25">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c r="AL895" s="46"/>
      <c r="AM895" s="46"/>
      <c r="AN895" s="46"/>
      <c r="AO895" s="46"/>
      <c r="AP895" s="46"/>
      <c r="AQ895" s="46"/>
      <c r="AR895" s="46"/>
      <c r="AS895" s="46"/>
      <c r="AT895" s="46"/>
      <c r="AU895" s="46"/>
      <c r="AV895" s="46"/>
      <c r="AW895" s="46"/>
      <c r="AX895" s="46"/>
      <c r="AY895" s="46"/>
      <c r="AZ895" s="46"/>
      <c r="BA895" s="46"/>
      <c r="BB895" s="46"/>
    </row>
    <row r="896" spans="1:54" x14ac:dyDescent="0.25">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c r="AM896" s="46"/>
      <c r="AN896" s="46"/>
      <c r="AO896" s="46"/>
      <c r="AP896" s="46"/>
      <c r="AQ896" s="46"/>
      <c r="AR896" s="46"/>
      <c r="AS896" s="46"/>
      <c r="AT896" s="46"/>
      <c r="AU896" s="46"/>
      <c r="AV896" s="46"/>
      <c r="AW896" s="46"/>
      <c r="AX896" s="46"/>
      <c r="AY896" s="46"/>
      <c r="AZ896" s="46"/>
      <c r="BA896" s="46"/>
      <c r="BB896" s="46"/>
    </row>
    <row r="897" spans="1:54" x14ac:dyDescent="0.25">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c r="AD897" s="46"/>
      <c r="AE897" s="46"/>
      <c r="AF897" s="46"/>
      <c r="AG897" s="46"/>
      <c r="AH897" s="46"/>
      <c r="AI897" s="46"/>
      <c r="AJ897" s="46"/>
      <c r="AK897" s="46"/>
      <c r="AL897" s="46"/>
      <c r="AM897" s="46"/>
      <c r="AN897" s="46"/>
      <c r="AO897" s="46"/>
      <c r="AP897" s="46"/>
      <c r="AQ897" s="46"/>
      <c r="AR897" s="46"/>
      <c r="AS897" s="46"/>
      <c r="AT897" s="46"/>
      <c r="AU897" s="46"/>
      <c r="AV897" s="46"/>
      <c r="AW897" s="46"/>
      <c r="AX897" s="46"/>
      <c r="AY897" s="46"/>
      <c r="AZ897" s="46"/>
      <c r="BA897" s="46"/>
      <c r="BB897" s="46"/>
    </row>
    <row r="898" spans="1:54" x14ac:dyDescent="0.25">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c r="AL898" s="46"/>
      <c r="AM898" s="46"/>
      <c r="AN898" s="46"/>
      <c r="AO898" s="46"/>
      <c r="AP898" s="46"/>
      <c r="AQ898" s="46"/>
      <c r="AR898" s="46"/>
      <c r="AS898" s="46"/>
      <c r="AT898" s="46"/>
      <c r="AU898" s="46"/>
      <c r="AV898" s="46"/>
      <c r="AW898" s="46"/>
      <c r="AX898" s="46"/>
      <c r="AY898" s="46"/>
      <c r="AZ898" s="46"/>
      <c r="BA898" s="46"/>
      <c r="BB898" s="46"/>
    </row>
    <row r="899" spans="1:54" x14ac:dyDescent="0.25">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c r="AF899" s="46"/>
      <c r="AG899" s="46"/>
      <c r="AH899" s="46"/>
      <c r="AI899" s="46"/>
      <c r="AJ899" s="46"/>
      <c r="AK899" s="46"/>
      <c r="AL899" s="46"/>
      <c r="AM899" s="46"/>
      <c r="AN899" s="46"/>
      <c r="AO899" s="46"/>
      <c r="AP899" s="46"/>
      <c r="AQ899" s="46"/>
      <c r="AR899" s="46"/>
      <c r="AS899" s="46"/>
      <c r="AT899" s="46"/>
      <c r="AU899" s="46"/>
      <c r="AV899" s="46"/>
      <c r="AW899" s="46"/>
      <c r="AX899" s="46"/>
      <c r="AY899" s="46"/>
      <c r="AZ899" s="46"/>
      <c r="BA899" s="46"/>
      <c r="BB899" s="46"/>
    </row>
    <row r="900" spans="1:54" x14ac:dyDescent="0.25">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c r="AM900" s="46"/>
      <c r="AN900" s="46"/>
      <c r="AO900" s="46"/>
      <c r="AP900" s="46"/>
      <c r="AQ900" s="46"/>
      <c r="AR900" s="46"/>
      <c r="AS900" s="46"/>
      <c r="AT900" s="46"/>
      <c r="AU900" s="46"/>
      <c r="AV900" s="46"/>
      <c r="AW900" s="46"/>
      <c r="AX900" s="46"/>
      <c r="AY900" s="46"/>
      <c r="AZ900" s="46"/>
      <c r="BA900" s="46"/>
      <c r="BB900" s="46"/>
    </row>
    <row r="901" spans="1:54" x14ac:dyDescent="0.25">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c r="AM901" s="46"/>
      <c r="AN901" s="46"/>
      <c r="AO901" s="46"/>
      <c r="AP901" s="46"/>
      <c r="AQ901" s="46"/>
      <c r="AR901" s="46"/>
      <c r="AS901" s="46"/>
      <c r="AT901" s="46"/>
      <c r="AU901" s="46"/>
      <c r="AV901" s="46"/>
      <c r="AW901" s="46"/>
      <c r="AX901" s="46"/>
      <c r="AY901" s="46"/>
      <c r="AZ901" s="46"/>
      <c r="BA901" s="46"/>
      <c r="BB901" s="46"/>
    </row>
    <row r="902" spans="1:54" x14ac:dyDescent="0.25">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c r="AM902" s="46"/>
      <c r="AN902" s="46"/>
      <c r="AO902" s="46"/>
      <c r="AP902" s="46"/>
      <c r="AQ902" s="46"/>
      <c r="AR902" s="46"/>
      <c r="AS902" s="46"/>
      <c r="AT902" s="46"/>
      <c r="AU902" s="46"/>
      <c r="AV902" s="46"/>
      <c r="AW902" s="46"/>
      <c r="AX902" s="46"/>
      <c r="AY902" s="46"/>
      <c r="AZ902" s="46"/>
      <c r="BA902" s="46"/>
      <c r="BB902" s="46"/>
    </row>
    <row r="903" spans="1:54" x14ac:dyDescent="0.25">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c r="AH903" s="46"/>
      <c r="AI903" s="46"/>
      <c r="AJ903" s="46"/>
      <c r="AK903" s="46"/>
      <c r="AL903" s="46"/>
      <c r="AM903" s="46"/>
      <c r="AN903" s="46"/>
      <c r="AO903" s="46"/>
      <c r="AP903" s="46"/>
      <c r="AQ903" s="46"/>
      <c r="AR903" s="46"/>
      <c r="AS903" s="46"/>
      <c r="AT903" s="46"/>
      <c r="AU903" s="46"/>
      <c r="AV903" s="46"/>
      <c r="AW903" s="46"/>
      <c r="AX903" s="46"/>
      <c r="AY903" s="46"/>
      <c r="AZ903" s="46"/>
      <c r="BA903" s="46"/>
      <c r="BB903" s="46"/>
    </row>
    <row r="904" spans="1:54" x14ac:dyDescent="0.25">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c r="AM904" s="46"/>
      <c r="AN904" s="46"/>
      <c r="AO904" s="46"/>
      <c r="AP904" s="46"/>
      <c r="AQ904" s="46"/>
      <c r="AR904" s="46"/>
      <c r="AS904" s="46"/>
      <c r="AT904" s="46"/>
      <c r="AU904" s="46"/>
      <c r="AV904" s="46"/>
      <c r="AW904" s="46"/>
      <c r="AX904" s="46"/>
      <c r="AY904" s="46"/>
      <c r="AZ904" s="46"/>
      <c r="BA904" s="46"/>
      <c r="BB904" s="46"/>
    </row>
    <row r="905" spans="1:54" x14ac:dyDescent="0.25">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c r="AD905" s="46"/>
      <c r="AE905" s="46"/>
      <c r="AF905" s="46"/>
      <c r="AG905" s="46"/>
      <c r="AH905" s="46"/>
      <c r="AI905" s="46"/>
      <c r="AJ905" s="46"/>
      <c r="AK905" s="46"/>
      <c r="AL905" s="46"/>
      <c r="AM905" s="46"/>
      <c r="AN905" s="46"/>
      <c r="AO905" s="46"/>
      <c r="AP905" s="46"/>
      <c r="AQ905" s="46"/>
      <c r="AR905" s="46"/>
      <c r="AS905" s="46"/>
      <c r="AT905" s="46"/>
      <c r="AU905" s="46"/>
      <c r="AV905" s="46"/>
      <c r="AW905" s="46"/>
      <c r="AX905" s="46"/>
      <c r="AY905" s="46"/>
      <c r="AZ905" s="46"/>
      <c r="BA905" s="46"/>
      <c r="BB905" s="46"/>
    </row>
    <row r="906" spans="1:54" x14ac:dyDescent="0.25">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c r="AM906" s="46"/>
      <c r="AN906" s="46"/>
      <c r="AO906" s="46"/>
      <c r="AP906" s="46"/>
      <c r="AQ906" s="46"/>
      <c r="AR906" s="46"/>
      <c r="AS906" s="46"/>
      <c r="AT906" s="46"/>
      <c r="AU906" s="46"/>
      <c r="AV906" s="46"/>
      <c r="AW906" s="46"/>
      <c r="AX906" s="46"/>
      <c r="AY906" s="46"/>
      <c r="AZ906" s="46"/>
      <c r="BA906" s="46"/>
      <c r="BB906" s="46"/>
    </row>
    <row r="907" spans="1:54" x14ac:dyDescent="0.25">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c r="AM907" s="46"/>
      <c r="AN907" s="46"/>
      <c r="AO907" s="46"/>
      <c r="AP907" s="46"/>
      <c r="AQ907" s="46"/>
      <c r="AR907" s="46"/>
      <c r="AS907" s="46"/>
      <c r="AT907" s="46"/>
      <c r="AU907" s="46"/>
      <c r="AV907" s="46"/>
      <c r="AW907" s="46"/>
      <c r="AX907" s="46"/>
      <c r="AY907" s="46"/>
      <c r="AZ907" s="46"/>
      <c r="BA907" s="46"/>
      <c r="BB907" s="46"/>
    </row>
    <row r="908" spans="1:54" x14ac:dyDescent="0.25">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c r="AH908" s="46"/>
      <c r="AI908" s="46"/>
      <c r="AJ908" s="46"/>
      <c r="AK908" s="46"/>
      <c r="AL908" s="46"/>
      <c r="AM908" s="46"/>
      <c r="AN908" s="46"/>
      <c r="AO908" s="46"/>
      <c r="AP908" s="46"/>
      <c r="AQ908" s="46"/>
      <c r="AR908" s="46"/>
      <c r="AS908" s="46"/>
      <c r="AT908" s="46"/>
      <c r="AU908" s="46"/>
      <c r="AV908" s="46"/>
      <c r="AW908" s="46"/>
      <c r="AX908" s="46"/>
      <c r="AY908" s="46"/>
      <c r="AZ908" s="46"/>
      <c r="BA908" s="46"/>
      <c r="BB908" s="46"/>
    </row>
    <row r="909" spans="1:54" x14ac:dyDescent="0.25">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c r="AD909" s="46"/>
      <c r="AE909" s="46"/>
      <c r="AF909" s="46"/>
      <c r="AG909" s="46"/>
      <c r="AH909" s="46"/>
      <c r="AI909" s="46"/>
      <c r="AJ909" s="46"/>
      <c r="AK909" s="46"/>
      <c r="AL909" s="46"/>
      <c r="AM909" s="46"/>
      <c r="AN909" s="46"/>
      <c r="AO909" s="46"/>
      <c r="AP909" s="46"/>
      <c r="AQ909" s="46"/>
      <c r="AR909" s="46"/>
      <c r="AS909" s="46"/>
      <c r="AT909" s="46"/>
      <c r="AU909" s="46"/>
      <c r="AV909" s="46"/>
      <c r="AW909" s="46"/>
      <c r="AX909" s="46"/>
      <c r="AY909" s="46"/>
      <c r="AZ909" s="46"/>
      <c r="BA909" s="46"/>
      <c r="BB909" s="46"/>
    </row>
    <row r="910" spans="1:54" x14ac:dyDescent="0.25">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c r="AM910" s="46"/>
      <c r="AN910" s="46"/>
      <c r="AO910" s="46"/>
      <c r="AP910" s="46"/>
      <c r="AQ910" s="46"/>
      <c r="AR910" s="46"/>
      <c r="AS910" s="46"/>
      <c r="AT910" s="46"/>
      <c r="AU910" s="46"/>
      <c r="AV910" s="46"/>
      <c r="AW910" s="46"/>
      <c r="AX910" s="46"/>
      <c r="AY910" s="46"/>
      <c r="AZ910" s="46"/>
      <c r="BA910" s="46"/>
      <c r="BB910" s="46"/>
    </row>
    <row r="911" spans="1:54" x14ac:dyDescent="0.25">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c r="AM911" s="46"/>
      <c r="AN911" s="46"/>
      <c r="AO911" s="46"/>
      <c r="AP911" s="46"/>
      <c r="AQ911" s="46"/>
      <c r="AR911" s="46"/>
      <c r="AS911" s="46"/>
      <c r="AT911" s="46"/>
      <c r="AU911" s="46"/>
      <c r="AV911" s="46"/>
      <c r="AW911" s="46"/>
      <c r="AX911" s="46"/>
      <c r="AY911" s="46"/>
      <c r="AZ911" s="46"/>
      <c r="BA911" s="46"/>
      <c r="BB911" s="46"/>
    </row>
    <row r="912" spans="1:54" x14ac:dyDescent="0.25">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c r="AM912" s="46"/>
      <c r="AN912" s="46"/>
      <c r="AO912" s="46"/>
      <c r="AP912" s="46"/>
      <c r="AQ912" s="46"/>
      <c r="AR912" s="46"/>
      <c r="AS912" s="46"/>
      <c r="AT912" s="46"/>
      <c r="AU912" s="46"/>
      <c r="AV912" s="46"/>
      <c r="AW912" s="46"/>
      <c r="AX912" s="46"/>
      <c r="AY912" s="46"/>
      <c r="AZ912" s="46"/>
      <c r="BA912" s="46"/>
      <c r="BB912" s="46"/>
    </row>
    <row r="913" spans="1:54" x14ac:dyDescent="0.25">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c r="AL913" s="46"/>
      <c r="AM913" s="46"/>
      <c r="AN913" s="46"/>
      <c r="AO913" s="46"/>
      <c r="AP913" s="46"/>
      <c r="AQ913" s="46"/>
      <c r="AR913" s="46"/>
      <c r="AS913" s="46"/>
      <c r="AT913" s="46"/>
      <c r="AU913" s="46"/>
      <c r="AV913" s="46"/>
      <c r="AW913" s="46"/>
      <c r="AX913" s="46"/>
      <c r="AY913" s="46"/>
      <c r="AZ913" s="46"/>
      <c r="BA913" s="46"/>
      <c r="BB913" s="46"/>
    </row>
    <row r="914" spans="1:54" x14ac:dyDescent="0.25">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c r="AD914" s="46"/>
      <c r="AE914" s="46"/>
      <c r="AF914" s="46"/>
      <c r="AG914" s="46"/>
      <c r="AH914" s="46"/>
      <c r="AI914" s="46"/>
      <c r="AJ914" s="46"/>
      <c r="AK914" s="46"/>
      <c r="AL914" s="46"/>
      <c r="AM914" s="46"/>
      <c r="AN914" s="46"/>
      <c r="AO914" s="46"/>
      <c r="AP914" s="46"/>
      <c r="AQ914" s="46"/>
      <c r="AR914" s="46"/>
      <c r="AS914" s="46"/>
      <c r="AT914" s="46"/>
      <c r="AU914" s="46"/>
      <c r="AV914" s="46"/>
      <c r="AW914" s="46"/>
      <c r="AX914" s="46"/>
      <c r="AY914" s="46"/>
      <c r="AZ914" s="46"/>
      <c r="BA914" s="46"/>
      <c r="BB914" s="46"/>
    </row>
    <row r="915" spans="1:54" x14ac:dyDescent="0.25">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c r="AM915" s="46"/>
      <c r="AN915" s="46"/>
      <c r="AO915" s="46"/>
      <c r="AP915" s="46"/>
      <c r="AQ915" s="46"/>
      <c r="AR915" s="46"/>
      <c r="AS915" s="46"/>
      <c r="AT915" s="46"/>
      <c r="AU915" s="46"/>
      <c r="AV915" s="46"/>
      <c r="AW915" s="46"/>
      <c r="AX915" s="46"/>
      <c r="AY915" s="46"/>
      <c r="AZ915" s="46"/>
      <c r="BA915" s="46"/>
      <c r="BB915" s="46"/>
    </row>
    <row r="916" spans="1:54" x14ac:dyDescent="0.25">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c r="AM916" s="46"/>
      <c r="AN916" s="46"/>
      <c r="AO916" s="46"/>
      <c r="AP916" s="46"/>
      <c r="AQ916" s="46"/>
      <c r="AR916" s="46"/>
      <c r="AS916" s="46"/>
      <c r="AT916" s="46"/>
      <c r="AU916" s="46"/>
      <c r="AV916" s="46"/>
      <c r="AW916" s="46"/>
      <c r="AX916" s="46"/>
      <c r="AY916" s="46"/>
      <c r="AZ916" s="46"/>
      <c r="BA916" s="46"/>
      <c r="BB916" s="46"/>
    </row>
    <row r="917" spans="1:54" x14ac:dyDescent="0.25">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c r="AM917" s="46"/>
      <c r="AN917" s="46"/>
      <c r="AO917" s="46"/>
      <c r="AP917" s="46"/>
      <c r="AQ917" s="46"/>
      <c r="AR917" s="46"/>
      <c r="AS917" s="46"/>
      <c r="AT917" s="46"/>
      <c r="AU917" s="46"/>
      <c r="AV917" s="46"/>
      <c r="AW917" s="46"/>
      <c r="AX917" s="46"/>
      <c r="AY917" s="46"/>
      <c r="AZ917" s="46"/>
      <c r="BA917" s="46"/>
      <c r="BB917" s="46"/>
    </row>
    <row r="918" spans="1:54" x14ac:dyDescent="0.25">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c r="AM918" s="46"/>
      <c r="AN918" s="46"/>
      <c r="AO918" s="46"/>
      <c r="AP918" s="46"/>
      <c r="AQ918" s="46"/>
      <c r="AR918" s="46"/>
      <c r="AS918" s="46"/>
      <c r="AT918" s="46"/>
      <c r="AU918" s="46"/>
      <c r="AV918" s="46"/>
      <c r="AW918" s="46"/>
      <c r="AX918" s="46"/>
      <c r="AY918" s="46"/>
      <c r="AZ918" s="46"/>
      <c r="BA918" s="46"/>
      <c r="BB918" s="46"/>
    </row>
    <row r="919" spans="1:54" x14ac:dyDescent="0.25">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c r="AD919" s="46"/>
      <c r="AE919" s="46"/>
      <c r="AF919" s="46"/>
      <c r="AG919" s="46"/>
      <c r="AH919" s="46"/>
      <c r="AI919" s="46"/>
      <c r="AJ919" s="46"/>
      <c r="AK919" s="46"/>
      <c r="AL919" s="46"/>
      <c r="AM919" s="46"/>
      <c r="AN919" s="46"/>
      <c r="AO919" s="46"/>
      <c r="AP919" s="46"/>
      <c r="AQ919" s="46"/>
      <c r="AR919" s="46"/>
      <c r="AS919" s="46"/>
      <c r="AT919" s="46"/>
      <c r="AU919" s="46"/>
      <c r="AV919" s="46"/>
      <c r="AW919" s="46"/>
      <c r="AX919" s="46"/>
      <c r="AY919" s="46"/>
      <c r="AZ919" s="46"/>
      <c r="BA919" s="46"/>
      <c r="BB919" s="46"/>
    </row>
    <row r="920" spans="1:54" x14ac:dyDescent="0.25">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c r="AM920" s="46"/>
      <c r="AN920" s="46"/>
      <c r="AO920" s="46"/>
      <c r="AP920" s="46"/>
      <c r="AQ920" s="46"/>
      <c r="AR920" s="46"/>
      <c r="AS920" s="46"/>
      <c r="AT920" s="46"/>
      <c r="AU920" s="46"/>
      <c r="AV920" s="46"/>
      <c r="AW920" s="46"/>
      <c r="AX920" s="46"/>
      <c r="AY920" s="46"/>
      <c r="AZ920" s="46"/>
      <c r="BA920" s="46"/>
      <c r="BB920" s="46"/>
    </row>
    <row r="921" spans="1:54" x14ac:dyDescent="0.25">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c r="AH921" s="46"/>
      <c r="AI921" s="46"/>
      <c r="AJ921" s="46"/>
      <c r="AK921" s="46"/>
      <c r="AL921" s="46"/>
      <c r="AM921" s="46"/>
      <c r="AN921" s="46"/>
      <c r="AO921" s="46"/>
      <c r="AP921" s="46"/>
      <c r="AQ921" s="46"/>
      <c r="AR921" s="46"/>
      <c r="AS921" s="46"/>
      <c r="AT921" s="46"/>
      <c r="AU921" s="46"/>
      <c r="AV921" s="46"/>
      <c r="AW921" s="46"/>
      <c r="AX921" s="46"/>
      <c r="AY921" s="46"/>
      <c r="AZ921" s="46"/>
      <c r="BA921" s="46"/>
      <c r="BB921" s="46"/>
    </row>
    <row r="922" spans="1:54" x14ac:dyDescent="0.25">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c r="AM922" s="46"/>
      <c r="AN922" s="46"/>
      <c r="AO922" s="46"/>
      <c r="AP922" s="46"/>
      <c r="AQ922" s="46"/>
      <c r="AR922" s="46"/>
      <c r="AS922" s="46"/>
      <c r="AT922" s="46"/>
      <c r="AU922" s="46"/>
      <c r="AV922" s="46"/>
      <c r="AW922" s="46"/>
      <c r="AX922" s="46"/>
      <c r="AY922" s="46"/>
      <c r="AZ922" s="46"/>
      <c r="BA922" s="46"/>
      <c r="BB922" s="46"/>
    </row>
    <row r="923" spans="1:54" x14ac:dyDescent="0.25">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c r="AH923" s="46"/>
      <c r="AI923" s="46"/>
      <c r="AJ923" s="46"/>
      <c r="AK923" s="46"/>
      <c r="AL923" s="46"/>
      <c r="AM923" s="46"/>
      <c r="AN923" s="46"/>
      <c r="AO923" s="46"/>
      <c r="AP923" s="46"/>
      <c r="AQ923" s="46"/>
      <c r="AR923" s="46"/>
      <c r="AS923" s="46"/>
      <c r="AT923" s="46"/>
      <c r="AU923" s="46"/>
      <c r="AV923" s="46"/>
      <c r="AW923" s="46"/>
      <c r="AX923" s="46"/>
      <c r="AY923" s="46"/>
      <c r="AZ923" s="46"/>
      <c r="BA923" s="46"/>
      <c r="BB923" s="46"/>
    </row>
    <row r="924" spans="1:54" x14ac:dyDescent="0.25">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c r="AF924" s="46"/>
      <c r="AG924" s="46"/>
      <c r="AH924" s="46"/>
      <c r="AI924" s="46"/>
      <c r="AJ924" s="46"/>
      <c r="AK924" s="46"/>
      <c r="AL924" s="46"/>
      <c r="AM924" s="46"/>
      <c r="AN924" s="46"/>
      <c r="AO924" s="46"/>
      <c r="AP924" s="46"/>
      <c r="AQ924" s="46"/>
      <c r="AR924" s="46"/>
      <c r="AS924" s="46"/>
      <c r="AT924" s="46"/>
      <c r="AU924" s="46"/>
      <c r="AV924" s="46"/>
      <c r="AW924" s="46"/>
      <c r="AX924" s="46"/>
      <c r="AY924" s="46"/>
      <c r="AZ924" s="46"/>
      <c r="BA924" s="46"/>
      <c r="BB924" s="46"/>
    </row>
    <row r="925" spans="1:54" x14ac:dyDescent="0.25">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c r="AA925" s="46"/>
      <c r="AB925" s="46"/>
      <c r="AC925" s="46"/>
      <c r="AD925" s="46"/>
      <c r="AE925" s="46"/>
      <c r="AF925" s="46"/>
      <c r="AG925" s="46"/>
      <c r="AH925" s="46"/>
      <c r="AI925" s="46"/>
      <c r="AJ925" s="46"/>
      <c r="AK925" s="46"/>
      <c r="AL925" s="46"/>
      <c r="AM925" s="46"/>
      <c r="AN925" s="46"/>
      <c r="AO925" s="46"/>
      <c r="AP925" s="46"/>
      <c r="AQ925" s="46"/>
      <c r="AR925" s="46"/>
      <c r="AS925" s="46"/>
      <c r="AT925" s="46"/>
      <c r="AU925" s="46"/>
      <c r="AV925" s="46"/>
      <c r="AW925" s="46"/>
      <c r="AX925" s="46"/>
      <c r="AY925" s="46"/>
      <c r="AZ925" s="46"/>
      <c r="BA925" s="46"/>
      <c r="BB925" s="46"/>
    </row>
    <row r="926" spans="1:54" x14ac:dyDescent="0.25">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c r="AD926" s="46"/>
      <c r="AE926" s="46"/>
      <c r="AF926" s="46"/>
      <c r="AG926" s="46"/>
      <c r="AH926" s="46"/>
      <c r="AI926" s="46"/>
      <c r="AJ926" s="46"/>
      <c r="AK926" s="46"/>
      <c r="AL926" s="46"/>
      <c r="AM926" s="46"/>
      <c r="AN926" s="46"/>
      <c r="AO926" s="46"/>
      <c r="AP926" s="46"/>
      <c r="AQ926" s="46"/>
      <c r="AR926" s="46"/>
      <c r="AS926" s="46"/>
      <c r="AT926" s="46"/>
      <c r="AU926" s="46"/>
      <c r="AV926" s="46"/>
      <c r="AW926" s="46"/>
      <c r="AX926" s="46"/>
      <c r="AY926" s="46"/>
      <c r="AZ926" s="46"/>
      <c r="BA926" s="46"/>
      <c r="BB926" s="46"/>
    </row>
    <row r="927" spans="1:54" x14ac:dyDescent="0.25">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c r="AA927" s="46"/>
      <c r="AB927" s="46"/>
      <c r="AC927" s="46"/>
      <c r="AD927" s="46"/>
      <c r="AE927" s="46"/>
      <c r="AF927" s="46"/>
      <c r="AG927" s="46"/>
      <c r="AH927" s="46"/>
      <c r="AI927" s="46"/>
      <c r="AJ927" s="46"/>
      <c r="AK927" s="46"/>
      <c r="AL927" s="46"/>
      <c r="AM927" s="46"/>
      <c r="AN927" s="46"/>
      <c r="AO927" s="46"/>
      <c r="AP927" s="46"/>
      <c r="AQ927" s="46"/>
      <c r="AR927" s="46"/>
      <c r="AS927" s="46"/>
      <c r="AT927" s="46"/>
      <c r="AU927" s="46"/>
      <c r="AV927" s="46"/>
      <c r="AW927" s="46"/>
      <c r="AX927" s="46"/>
      <c r="AY927" s="46"/>
      <c r="AZ927" s="46"/>
      <c r="BA927" s="46"/>
      <c r="BB927" s="46"/>
    </row>
    <row r="928" spans="1:54" x14ac:dyDescent="0.25">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c r="AA928" s="46"/>
      <c r="AB928" s="46"/>
      <c r="AC928" s="46"/>
      <c r="AD928" s="46"/>
      <c r="AE928" s="46"/>
      <c r="AF928" s="46"/>
      <c r="AG928" s="46"/>
      <c r="AH928" s="46"/>
      <c r="AI928" s="46"/>
      <c r="AJ928" s="46"/>
      <c r="AK928" s="46"/>
      <c r="AL928" s="46"/>
      <c r="AM928" s="46"/>
      <c r="AN928" s="46"/>
      <c r="AO928" s="46"/>
      <c r="AP928" s="46"/>
      <c r="AQ928" s="46"/>
      <c r="AR928" s="46"/>
      <c r="AS928" s="46"/>
      <c r="AT928" s="46"/>
      <c r="AU928" s="46"/>
      <c r="AV928" s="46"/>
      <c r="AW928" s="46"/>
      <c r="AX928" s="46"/>
      <c r="AY928" s="46"/>
      <c r="AZ928" s="46"/>
      <c r="BA928" s="46"/>
      <c r="BB928" s="46"/>
    </row>
    <row r="929" spans="1:54" x14ac:dyDescent="0.25">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c r="AA929" s="46"/>
      <c r="AB929" s="46"/>
      <c r="AC929" s="46"/>
      <c r="AD929" s="46"/>
      <c r="AE929" s="46"/>
      <c r="AF929" s="46"/>
      <c r="AG929" s="46"/>
      <c r="AH929" s="46"/>
      <c r="AI929" s="46"/>
      <c r="AJ929" s="46"/>
      <c r="AK929" s="46"/>
      <c r="AL929" s="46"/>
      <c r="AM929" s="46"/>
      <c r="AN929" s="46"/>
      <c r="AO929" s="46"/>
      <c r="AP929" s="46"/>
      <c r="AQ929" s="46"/>
      <c r="AR929" s="46"/>
      <c r="AS929" s="46"/>
      <c r="AT929" s="46"/>
      <c r="AU929" s="46"/>
      <c r="AV929" s="46"/>
      <c r="AW929" s="46"/>
      <c r="AX929" s="46"/>
      <c r="AY929" s="46"/>
      <c r="AZ929" s="46"/>
      <c r="BA929" s="46"/>
      <c r="BB929" s="46"/>
    </row>
    <row r="930" spans="1:54" x14ac:dyDescent="0.25">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c r="AA930" s="46"/>
      <c r="AB930" s="46"/>
      <c r="AC930" s="46"/>
      <c r="AD930" s="46"/>
      <c r="AE930" s="46"/>
      <c r="AF930" s="46"/>
      <c r="AG930" s="46"/>
      <c r="AH930" s="46"/>
      <c r="AI930" s="46"/>
      <c r="AJ930" s="46"/>
      <c r="AK930" s="46"/>
      <c r="AL930" s="46"/>
      <c r="AM930" s="46"/>
      <c r="AN930" s="46"/>
      <c r="AO930" s="46"/>
      <c r="AP930" s="46"/>
      <c r="AQ930" s="46"/>
      <c r="AR930" s="46"/>
      <c r="AS930" s="46"/>
      <c r="AT930" s="46"/>
      <c r="AU930" s="46"/>
      <c r="AV930" s="46"/>
      <c r="AW930" s="46"/>
      <c r="AX930" s="46"/>
      <c r="AY930" s="46"/>
      <c r="AZ930" s="46"/>
      <c r="BA930" s="46"/>
      <c r="BB930" s="46"/>
    </row>
    <row r="931" spans="1:54" x14ac:dyDescent="0.25">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c r="AA931" s="46"/>
      <c r="AB931" s="46"/>
      <c r="AC931" s="46"/>
      <c r="AD931" s="46"/>
      <c r="AE931" s="46"/>
      <c r="AF931" s="46"/>
      <c r="AG931" s="46"/>
      <c r="AH931" s="46"/>
      <c r="AI931" s="46"/>
      <c r="AJ931" s="46"/>
      <c r="AK931" s="46"/>
      <c r="AL931" s="46"/>
      <c r="AM931" s="46"/>
      <c r="AN931" s="46"/>
      <c r="AO931" s="46"/>
      <c r="AP931" s="46"/>
      <c r="AQ931" s="46"/>
      <c r="AR931" s="46"/>
      <c r="AS931" s="46"/>
      <c r="AT931" s="46"/>
      <c r="AU931" s="46"/>
      <c r="AV931" s="46"/>
      <c r="AW931" s="46"/>
      <c r="AX931" s="46"/>
      <c r="AY931" s="46"/>
      <c r="AZ931" s="46"/>
      <c r="BA931" s="46"/>
      <c r="BB931" s="46"/>
    </row>
    <row r="932" spans="1:54" x14ac:dyDescent="0.25">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c r="AA932" s="46"/>
      <c r="AB932" s="46"/>
      <c r="AC932" s="46"/>
      <c r="AD932" s="46"/>
      <c r="AE932" s="46"/>
      <c r="AF932" s="46"/>
      <c r="AG932" s="46"/>
      <c r="AH932" s="46"/>
      <c r="AI932" s="46"/>
      <c r="AJ932" s="46"/>
      <c r="AK932" s="46"/>
      <c r="AL932" s="46"/>
      <c r="AM932" s="46"/>
      <c r="AN932" s="46"/>
      <c r="AO932" s="46"/>
      <c r="AP932" s="46"/>
      <c r="AQ932" s="46"/>
      <c r="AR932" s="46"/>
      <c r="AS932" s="46"/>
      <c r="AT932" s="46"/>
      <c r="AU932" s="46"/>
      <c r="AV932" s="46"/>
      <c r="AW932" s="46"/>
      <c r="AX932" s="46"/>
      <c r="AY932" s="46"/>
      <c r="AZ932" s="46"/>
      <c r="BA932" s="46"/>
      <c r="BB932" s="46"/>
    </row>
    <row r="933" spans="1:54" x14ac:dyDescent="0.25">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c r="AA933" s="46"/>
      <c r="AB933" s="46"/>
      <c r="AC933" s="46"/>
      <c r="AD933" s="46"/>
      <c r="AE933" s="46"/>
      <c r="AF933" s="46"/>
      <c r="AG933" s="46"/>
      <c r="AH933" s="46"/>
      <c r="AI933" s="46"/>
      <c r="AJ933" s="46"/>
      <c r="AK933" s="46"/>
      <c r="AL933" s="46"/>
      <c r="AM933" s="46"/>
      <c r="AN933" s="46"/>
      <c r="AO933" s="46"/>
      <c r="AP933" s="46"/>
      <c r="AQ933" s="46"/>
      <c r="AR933" s="46"/>
      <c r="AS933" s="46"/>
      <c r="AT933" s="46"/>
      <c r="AU933" s="46"/>
      <c r="AV933" s="46"/>
      <c r="AW933" s="46"/>
      <c r="AX933" s="46"/>
      <c r="AY933" s="46"/>
      <c r="AZ933" s="46"/>
      <c r="BA933" s="46"/>
      <c r="BB933" s="46"/>
    </row>
    <row r="934" spans="1:54" x14ac:dyDescent="0.25">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c r="AA934" s="46"/>
      <c r="AB934" s="46"/>
      <c r="AC934" s="46"/>
      <c r="AD934" s="46"/>
      <c r="AE934" s="46"/>
      <c r="AF934" s="46"/>
      <c r="AG934" s="46"/>
      <c r="AH934" s="46"/>
      <c r="AI934" s="46"/>
      <c r="AJ934" s="46"/>
      <c r="AK934" s="46"/>
      <c r="AL934" s="46"/>
      <c r="AM934" s="46"/>
      <c r="AN934" s="46"/>
      <c r="AO934" s="46"/>
      <c r="AP934" s="46"/>
      <c r="AQ934" s="46"/>
      <c r="AR934" s="46"/>
      <c r="AS934" s="46"/>
      <c r="AT934" s="46"/>
      <c r="AU934" s="46"/>
      <c r="AV934" s="46"/>
      <c r="AW934" s="46"/>
      <c r="AX934" s="46"/>
      <c r="AY934" s="46"/>
      <c r="AZ934" s="46"/>
      <c r="BA934" s="46"/>
      <c r="BB934" s="46"/>
    </row>
    <row r="935" spans="1:54" x14ac:dyDescent="0.25">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c r="AA935" s="46"/>
      <c r="AB935" s="46"/>
      <c r="AC935" s="46"/>
      <c r="AD935" s="46"/>
      <c r="AE935" s="46"/>
      <c r="AF935" s="46"/>
      <c r="AG935" s="46"/>
      <c r="AH935" s="46"/>
      <c r="AI935" s="46"/>
      <c r="AJ935" s="46"/>
      <c r="AK935" s="46"/>
      <c r="AL935" s="46"/>
      <c r="AM935" s="46"/>
      <c r="AN935" s="46"/>
      <c r="AO935" s="46"/>
      <c r="AP935" s="46"/>
      <c r="AQ935" s="46"/>
      <c r="AR935" s="46"/>
      <c r="AS935" s="46"/>
      <c r="AT935" s="46"/>
      <c r="AU935" s="46"/>
      <c r="AV935" s="46"/>
      <c r="AW935" s="46"/>
      <c r="AX935" s="46"/>
      <c r="AY935" s="46"/>
      <c r="AZ935" s="46"/>
      <c r="BA935" s="46"/>
      <c r="BB935" s="46"/>
    </row>
    <row r="936" spans="1:54" x14ac:dyDescent="0.25">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c r="AA936" s="46"/>
      <c r="AB936" s="46"/>
      <c r="AC936" s="46"/>
      <c r="AD936" s="46"/>
      <c r="AE936" s="46"/>
      <c r="AF936" s="46"/>
      <c r="AG936" s="46"/>
      <c r="AH936" s="46"/>
      <c r="AI936" s="46"/>
      <c r="AJ936" s="46"/>
      <c r="AK936" s="46"/>
      <c r="AL936" s="46"/>
      <c r="AM936" s="46"/>
      <c r="AN936" s="46"/>
      <c r="AO936" s="46"/>
      <c r="AP936" s="46"/>
      <c r="AQ936" s="46"/>
      <c r="AR936" s="46"/>
      <c r="AS936" s="46"/>
      <c r="AT936" s="46"/>
      <c r="AU936" s="46"/>
      <c r="AV936" s="46"/>
      <c r="AW936" s="46"/>
      <c r="AX936" s="46"/>
      <c r="AY936" s="46"/>
      <c r="AZ936" s="46"/>
      <c r="BA936" s="46"/>
      <c r="BB936" s="46"/>
    </row>
    <row r="937" spans="1:54" x14ac:dyDescent="0.25">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c r="AA937" s="46"/>
      <c r="AB937" s="46"/>
      <c r="AC937" s="46"/>
      <c r="AD937" s="46"/>
      <c r="AE937" s="46"/>
      <c r="AF937" s="46"/>
      <c r="AG937" s="46"/>
      <c r="AH937" s="46"/>
      <c r="AI937" s="46"/>
      <c r="AJ937" s="46"/>
      <c r="AK937" s="46"/>
      <c r="AL937" s="46"/>
      <c r="AM937" s="46"/>
      <c r="AN937" s="46"/>
      <c r="AO937" s="46"/>
      <c r="AP937" s="46"/>
      <c r="AQ937" s="46"/>
      <c r="AR937" s="46"/>
      <c r="AS937" s="46"/>
      <c r="AT937" s="46"/>
      <c r="AU937" s="46"/>
      <c r="AV937" s="46"/>
      <c r="AW937" s="46"/>
      <c r="AX937" s="46"/>
      <c r="AY937" s="46"/>
      <c r="AZ937" s="46"/>
      <c r="BA937" s="46"/>
      <c r="BB937" s="46"/>
    </row>
    <row r="938" spans="1:54" x14ac:dyDescent="0.25">
      <c r="A938" s="46"/>
      <c r="B938" s="46"/>
      <c r="C938" s="46"/>
      <c r="D938" s="46"/>
      <c r="E938" s="46"/>
      <c r="F938" s="46"/>
      <c r="G938" s="46"/>
      <c r="H938" s="46"/>
      <c r="L938" s="46"/>
      <c r="M938" s="46"/>
      <c r="N938" s="46"/>
      <c r="O938" s="46"/>
      <c r="P938" s="46"/>
      <c r="Q938" s="46"/>
      <c r="R938" s="46"/>
      <c r="S938" s="46"/>
      <c r="T938" s="46"/>
      <c r="U938" s="46"/>
      <c r="V938" s="46"/>
      <c r="W938" s="46"/>
      <c r="X938" s="46"/>
      <c r="Y938" s="46"/>
      <c r="Z938" s="46"/>
      <c r="AA938" s="46"/>
      <c r="AB938" s="46"/>
      <c r="AC938" s="46"/>
      <c r="AD938" s="46"/>
      <c r="AE938" s="46"/>
      <c r="AF938" s="46"/>
      <c r="AG938" s="46"/>
      <c r="AH938" s="46"/>
      <c r="AI938" s="46"/>
      <c r="AJ938" s="46"/>
      <c r="AK938" s="46"/>
      <c r="AL938" s="46"/>
      <c r="AM938" s="46"/>
      <c r="AN938" s="46"/>
      <c r="AO938" s="46"/>
      <c r="AP938" s="46"/>
      <c r="AQ938" s="46"/>
      <c r="AR938" s="46"/>
      <c r="AS938" s="46"/>
      <c r="AT938" s="46"/>
      <c r="AU938" s="46"/>
      <c r="AV938" s="46"/>
      <c r="AW938" s="46"/>
      <c r="AX938" s="46"/>
      <c r="AY938" s="46"/>
      <c r="AZ938" s="46"/>
      <c r="BA938" s="46"/>
      <c r="BB938" s="46"/>
    </row>
    <row r="939" spans="1:54" x14ac:dyDescent="0.25">
      <c r="A939" s="46"/>
      <c r="B939" s="46"/>
      <c r="C939" s="46"/>
      <c r="D939" s="46"/>
      <c r="E939" s="46"/>
      <c r="F939" s="46"/>
      <c r="G939" s="46"/>
      <c r="H939" s="46"/>
      <c r="L939" s="46"/>
      <c r="M939" s="46"/>
      <c r="N939" s="46"/>
      <c r="O939" s="46"/>
      <c r="P939" s="46"/>
      <c r="Q939" s="46"/>
      <c r="R939" s="46"/>
      <c r="S939" s="46"/>
      <c r="T939" s="46"/>
      <c r="U939" s="46"/>
      <c r="V939" s="46"/>
      <c r="W939" s="46"/>
      <c r="X939" s="46"/>
      <c r="Y939" s="46"/>
      <c r="Z939" s="46"/>
      <c r="AA939" s="46"/>
      <c r="AB939" s="46"/>
      <c r="AC939" s="46"/>
      <c r="AD939" s="46"/>
      <c r="AE939" s="46"/>
      <c r="AF939" s="46"/>
      <c r="AG939" s="46"/>
      <c r="AH939" s="46"/>
      <c r="AI939" s="46"/>
      <c r="AJ939" s="46"/>
      <c r="AK939" s="46"/>
      <c r="AL939" s="46"/>
      <c r="AM939" s="46"/>
      <c r="AN939" s="46"/>
      <c r="AO939" s="46"/>
      <c r="AP939" s="46"/>
      <c r="AQ939" s="46"/>
      <c r="AR939" s="46"/>
      <c r="AS939" s="46"/>
      <c r="AT939" s="46"/>
      <c r="AU939" s="46"/>
      <c r="AV939" s="46"/>
      <c r="AW939" s="46"/>
      <c r="AX939" s="46"/>
      <c r="AY939" s="46"/>
      <c r="AZ939" s="46"/>
      <c r="BA939" s="46"/>
      <c r="BB939" s="46"/>
    </row>
    <row r="940" spans="1:54" x14ac:dyDescent="0.25">
      <c r="AE940" s="46"/>
      <c r="AF940" s="46"/>
      <c r="AG940" s="46"/>
      <c r="AH940" s="46"/>
      <c r="AI940" s="46"/>
      <c r="AJ940" s="46"/>
      <c r="AO940" s="46"/>
      <c r="AP940" s="46"/>
      <c r="AQ940" s="46"/>
      <c r="AR940" s="46"/>
    </row>
    <row r="941" spans="1:54" x14ac:dyDescent="0.25">
      <c r="AE941" s="46"/>
      <c r="AF941" s="46"/>
      <c r="AG941" s="46"/>
      <c r="AH941" s="46"/>
      <c r="AI941" s="46"/>
      <c r="AJ941" s="46"/>
      <c r="AO941" s="46"/>
      <c r="AP941" s="46"/>
      <c r="AQ941" s="46"/>
      <c r="AR941" s="46"/>
    </row>
    <row r="942" spans="1:54" x14ac:dyDescent="0.25">
      <c r="AO942" s="46"/>
      <c r="AP942" s="46"/>
      <c r="AQ942" s="46"/>
      <c r="AR942" s="46"/>
    </row>
    <row r="943" spans="1:54" x14ac:dyDescent="0.25">
      <c r="AO943" s="46"/>
      <c r="AP943" s="46"/>
      <c r="AQ943" s="46"/>
      <c r="AR943" s="46"/>
    </row>
  </sheetData>
  <mergeCells count="53">
    <mergeCell ref="AM107:AN107"/>
    <mergeCell ref="P64:R64"/>
    <mergeCell ref="P141:R141"/>
    <mergeCell ref="P150:R150"/>
    <mergeCell ref="Q71:R71"/>
    <mergeCell ref="R112:S112"/>
    <mergeCell ref="R137:S137"/>
    <mergeCell ref="AD120:AF120"/>
    <mergeCell ref="P68:U68"/>
    <mergeCell ref="P69:U69"/>
    <mergeCell ref="P73:R73"/>
    <mergeCell ref="P75:R75"/>
    <mergeCell ref="P79:R79"/>
    <mergeCell ref="P85:R85"/>
    <mergeCell ref="P136:U136"/>
    <mergeCell ref="Q118:R118"/>
    <mergeCell ref="Q15:T15"/>
    <mergeCell ref="P17:R17"/>
    <mergeCell ref="P41:R41"/>
    <mergeCell ref="Q50:R50"/>
    <mergeCell ref="AD88:AF88"/>
    <mergeCell ref="P77:R77"/>
    <mergeCell ref="P52:R52"/>
    <mergeCell ref="P54:R54"/>
    <mergeCell ref="P58:R58"/>
    <mergeCell ref="Q30:R30"/>
    <mergeCell ref="Q35:T35"/>
    <mergeCell ref="P47:U47"/>
    <mergeCell ref="P48:U48"/>
    <mergeCell ref="P56:R56"/>
    <mergeCell ref="Q28:R28"/>
    <mergeCell ref="P186:U186"/>
    <mergeCell ref="AE324:AH324"/>
    <mergeCell ref="P245:R245"/>
    <mergeCell ref="P241:U241"/>
    <mergeCell ref="AE323:AH323"/>
    <mergeCell ref="AE312:AF312"/>
    <mergeCell ref="Q267:T267"/>
    <mergeCell ref="P243:R243"/>
    <mergeCell ref="P227:U227"/>
    <mergeCell ref="P285:U285"/>
    <mergeCell ref="AF292:AH292"/>
    <mergeCell ref="P324:U324"/>
    <mergeCell ref="P139:R139"/>
    <mergeCell ref="P148:U148"/>
    <mergeCell ref="P152:R152"/>
    <mergeCell ref="P172:U172"/>
    <mergeCell ref="Q166:R166"/>
    <mergeCell ref="P325:U325"/>
    <mergeCell ref="P345:U345"/>
    <mergeCell ref="P346:U346"/>
    <mergeCell ref="P366:U366"/>
    <mergeCell ref="P367:U367"/>
  </mergeCells>
  <phoneticPr fontId="0" type="noConversion"/>
  <pageMargins left="0.35433070866141736" right="0.35433070866141736" top="0.59055118110236227" bottom="0.39370078740157483" header="0.51181102362204722" footer="0.51181102362204722"/>
  <pageSetup paperSize="9" scale="10" fitToHeight="2" orientation="landscape"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43"/>
  <sheetViews>
    <sheetView workbookViewId="0"/>
  </sheetViews>
  <sheetFormatPr defaultRowHeight="13.2" x14ac:dyDescent="0.25"/>
  <cols>
    <col min="1" max="1" width="120.88671875" customWidth="1"/>
    <col min="2" max="2" width="23.6640625" style="30" customWidth="1"/>
    <col min="3" max="3" width="18.6640625" style="24" customWidth="1"/>
    <col min="4" max="4" width="19.5546875" style="24" customWidth="1"/>
    <col min="5" max="5" width="25.88671875" style="30" customWidth="1"/>
    <col min="6" max="6" width="25.109375" style="24" customWidth="1"/>
    <col min="7" max="7" width="25.5546875" style="16" customWidth="1"/>
    <col min="8" max="8" width="86.109375" customWidth="1"/>
    <col min="9" max="9" width="25" style="24" customWidth="1"/>
    <col min="10" max="10" width="28.6640625" style="16" customWidth="1"/>
    <col min="11" max="11" width="28" customWidth="1"/>
    <col min="12" max="12" width="29.88671875" style="24" customWidth="1"/>
    <col min="13" max="13" width="30.44140625" style="16" customWidth="1"/>
    <col min="14" max="14" width="24.88671875" customWidth="1"/>
    <col min="15" max="15" width="9.109375" style="24"/>
    <col min="16" max="16" width="29.44140625" style="16" customWidth="1"/>
  </cols>
  <sheetData>
    <row r="1" spans="1:16" x14ac:dyDescent="0.25">
      <c r="A1" s="154" t="s">
        <v>1449</v>
      </c>
      <c r="B1" s="82"/>
      <c r="C1" s="369"/>
      <c r="D1" s="82"/>
      <c r="E1" s="82"/>
      <c r="F1" s="82"/>
      <c r="G1" s="82"/>
      <c r="H1" s="34"/>
      <c r="I1" s="82"/>
      <c r="J1" s="82"/>
      <c r="K1" s="82"/>
      <c r="L1" s="82"/>
      <c r="M1" s="82"/>
      <c r="N1" s="34"/>
      <c r="O1" s="82"/>
      <c r="P1" s="370"/>
    </row>
    <row r="2" spans="1:16" x14ac:dyDescent="0.25">
      <c r="A2" s="82"/>
      <c r="B2" s="82"/>
      <c r="C2" s="369"/>
      <c r="D2" s="82"/>
      <c r="E2" s="82"/>
      <c r="F2" s="82"/>
      <c r="G2" s="82"/>
      <c r="H2" s="34"/>
      <c r="I2" s="82"/>
      <c r="J2" s="82"/>
      <c r="K2" s="82"/>
      <c r="L2" s="82"/>
      <c r="M2" s="82"/>
      <c r="N2" s="34"/>
      <c r="O2" s="82"/>
      <c r="P2" s="370"/>
    </row>
    <row r="3" spans="1:16" x14ac:dyDescent="0.25">
      <c r="A3" s="1330" t="s">
        <v>1975</v>
      </c>
      <c r="B3" s="82"/>
      <c r="C3" s="369"/>
      <c r="D3" s="82"/>
      <c r="E3" s="82"/>
      <c r="F3" s="82"/>
      <c r="G3" s="82"/>
      <c r="H3" s="34"/>
      <c r="I3" s="82"/>
      <c r="J3" s="82"/>
      <c r="K3" s="82"/>
      <c r="L3" s="82"/>
      <c r="M3" s="82"/>
      <c r="N3" s="34"/>
      <c r="O3" s="82"/>
      <c r="P3" s="370"/>
    </row>
    <row r="4" spans="1:16" x14ac:dyDescent="0.25">
      <c r="A4" s="82"/>
      <c r="B4" s="82"/>
      <c r="C4" s="369"/>
      <c r="D4" s="82"/>
      <c r="E4" s="82"/>
      <c r="F4" s="82"/>
      <c r="G4" s="82"/>
      <c r="H4" s="34"/>
      <c r="I4" s="82"/>
      <c r="J4" s="82"/>
      <c r="K4" s="82"/>
      <c r="L4" s="82"/>
      <c r="M4" s="82"/>
      <c r="N4" s="34"/>
      <c r="O4" s="82"/>
      <c r="P4" s="370"/>
    </row>
    <row r="5" spans="1:16" x14ac:dyDescent="0.25">
      <c r="A5" s="82" t="s">
        <v>238</v>
      </c>
      <c r="B5" s="1090" t="s">
        <v>1447</v>
      </c>
      <c r="C5" s="369"/>
      <c r="D5" s="82"/>
      <c r="E5" s="82"/>
      <c r="F5" s="82"/>
      <c r="G5" s="82"/>
      <c r="H5" s="34"/>
      <c r="I5" s="82"/>
      <c r="J5" s="82"/>
      <c r="K5" s="82"/>
      <c r="L5" s="82"/>
      <c r="M5" s="82"/>
      <c r="N5" s="34"/>
      <c r="O5" s="82"/>
      <c r="P5" s="370"/>
    </row>
    <row r="6" spans="1:16" x14ac:dyDescent="0.25">
      <c r="A6" s="82" t="s">
        <v>241</v>
      </c>
      <c r="B6" s="232" t="s">
        <v>450</v>
      </c>
      <c r="C6" s="369"/>
      <c r="D6" s="82"/>
      <c r="E6" s="82"/>
      <c r="F6" s="82"/>
      <c r="G6" s="82"/>
      <c r="H6" s="34"/>
      <c r="I6" s="82"/>
      <c r="J6" s="82"/>
      <c r="K6" s="82"/>
      <c r="L6" s="82"/>
      <c r="M6" s="82"/>
      <c r="N6" s="34"/>
      <c r="O6" s="82"/>
      <c r="P6" s="370"/>
    </row>
    <row r="7" spans="1:16" x14ac:dyDescent="0.25">
      <c r="A7" s="82" t="s">
        <v>239</v>
      </c>
      <c r="B7" s="1090" t="s">
        <v>1422</v>
      </c>
      <c r="C7" s="369"/>
      <c r="D7" s="82"/>
      <c r="E7" s="82"/>
      <c r="F7" s="82"/>
      <c r="G7" s="82"/>
      <c r="H7" s="34"/>
      <c r="I7" s="82"/>
      <c r="J7" s="82"/>
      <c r="K7" s="82"/>
      <c r="L7" s="82"/>
      <c r="M7" s="82"/>
      <c r="N7" s="34"/>
      <c r="O7" s="82"/>
      <c r="P7" s="370"/>
    </row>
    <row r="8" spans="1:16" x14ac:dyDescent="0.25">
      <c r="A8" s="82" t="s">
        <v>240</v>
      </c>
      <c r="B8" s="352">
        <v>2010</v>
      </c>
      <c r="C8" s="369"/>
      <c r="D8" s="82"/>
      <c r="E8" s="82"/>
      <c r="F8" s="82"/>
      <c r="G8" s="82"/>
      <c r="H8" s="34"/>
      <c r="I8" s="82"/>
      <c r="J8" s="82"/>
      <c r="K8" s="82"/>
      <c r="L8" s="82"/>
      <c r="M8" s="82"/>
      <c r="N8" s="34"/>
      <c r="O8" s="82"/>
      <c r="P8" s="370"/>
    </row>
    <row r="9" spans="1:16" x14ac:dyDescent="0.25">
      <c r="A9" s="82"/>
      <c r="B9" s="82"/>
      <c r="C9" s="369"/>
      <c r="D9" s="82"/>
      <c r="E9" s="82"/>
      <c r="F9" s="82"/>
      <c r="G9" s="82"/>
      <c r="H9" s="34"/>
      <c r="I9" s="82"/>
      <c r="J9" s="82"/>
      <c r="K9" s="82"/>
      <c r="L9" s="82"/>
      <c r="M9" s="82"/>
      <c r="N9" s="34"/>
      <c r="O9" s="82"/>
      <c r="P9" s="370"/>
    </row>
    <row r="10" spans="1:16" ht="13.8" thickBot="1" x14ac:dyDescent="0.3">
      <c r="A10" s="33" t="s">
        <v>425</v>
      </c>
      <c r="B10" s="82"/>
      <c r="C10" s="369"/>
      <c r="D10" s="82"/>
      <c r="E10" s="82"/>
      <c r="F10" s="82"/>
      <c r="G10" s="82"/>
      <c r="H10" s="33" t="s">
        <v>159</v>
      </c>
      <c r="I10" s="82"/>
      <c r="J10" s="369"/>
      <c r="K10" s="70"/>
      <c r="L10" s="70"/>
      <c r="M10" s="70"/>
      <c r="N10" s="34"/>
      <c r="O10" s="82"/>
      <c r="P10" s="370"/>
    </row>
    <row r="11" spans="1:16" ht="30.75" customHeight="1" x14ac:dyDescent="0.25">
      <c r="A11" s="36" t="s">
        <v>39</v>
      </c>
      <c r="B11" s="37" t="s">
        <v>933</v>
      </c>
      <c r="C11" s="372" t="s">
        <v>23</v>
      </c>
      <c r="D11" s="37" t="s">
        <v>24</v>
      </c>
      <c r="E11" s="37" t="s">
        <v>25</v>
      </c>
      <c r="F11" s="371" t="s">
        <v>26</v>
      </c>
      <c r="G11" s="370"/>
      <c r="H11" s="36" t="s">
        <v>39</v>
      </c>
      <c r="I11" s="373" t="s">
        <v>933</v>
      </c>
      <c r="J11" s="37" t="s">
        <v>23</v>
      </c>
      <c r="K11" s="373" t="s">
        <v>24</v>
      </c>
      <c r="L11" s="373" t="s">
        <v>25</v>
      </c>
      <c r="M11" s="812" t="s">
        <v>26</v>
      </c>
      <c r="N11" s="82"/>
      <c r="O11" s="82"/>
      <c r="P11" s="370"/>
    </row>
    <row r="12" spans="1:16" ht="17.25" customHeight="1" x14ac:dyDescent="0.35">
      <c r="A12" s="38"/>
      <c r="B12" s="39" t="s">
        <v>451</v>
      </c>
      <c r="C12" s="39" t="s">
        <v>452</v>
      </c>
      <c r="D12" s="39" t="s">
        <v>452</v>
      </c>
      <c r="E12" s="39" t="s">
        <v>452</v>
      </c>
      <c r="F12" s="513" t="s">
        <v>452</v>
      </c>
      <c r="G12" s="370"/>
      <c r="H12" s="38"/>
      <c r="I12" s="374" t="s">
        <v>453</v>
      </c>
      <c r="J12" s="39" t="s">
        <v>454</v>
      </c>
      <c r="K12" s="39" t="s">
        <v>454</v>
      </c>
      <c r="L12" s="39" t="s">
        <v>454</v>
      </c>
      <c r="M12" s="513" t="s">
        <v>454</v>
      </c>
      <c r="N12" s="82"/>
      <c r="O12" s="82"/>
      <c r="P12" s="370"/>
    </row>
    <row r="13" spans="1:16" x14ac:dyDescent="0.25">
      <c r="A13" s="416" t="s">
        <v>41</v>
      </c>
      <c r="B13" s="375">
        <f>B115</f>
        <v>2267.6113893076836</v>
      </c>
      <c r="C13" s="375">
        <f>E115</f>
        <v>128.59027267043217</v>
      </c>
      <c r="D13" s="376">
        <f>GlobalWarmingPotentials!$B$11*H115</f>
        <v>1.2350896991376179</v>
      </c>
      <c r="E13" s="375">
        <f>GlobalWarmingPotentials!$C$11*K115</f>
        <v>19.191954324334397</v>
      </c>
      <c r="F13" s="377">
        <f t="shared" ref="F13:F27" si="0">SUM(C13:E13)</f>
        <v>149.01731669390421</v>
      </c>
      <c r="G13" s="378"/>
      <c r="H13" s="416" t="s">
        <v>41</v>
      </c>
      <c r="I13" s="375">
        <f>D115</f>
        <v>168.23950701664418</v>
      </c>
      <c r="J13" s="375">
        <f>G115</f>
        <v>9.6502802677548889</v>
      </c>
      <c r="K13" s="376">
        <f>GlobalWarmingPotentials!$B$11*J115</f>
        <v>0.10599746538778106</v>
      </c>
      <c r="L13" s="375">
        <f>GlobalWarmingPotentials!$C$11*M115</f>
        <v>2.01169648758797E-5</v>
      </c>
      <c r="M13" s="377">
        <f t="shared" ref="M13:M14" si="1">SUM(J13:L13)</f>
        <v>9.7562978501075452</v>
      </c>
      <c r="N13" s="34"/>
      <c r="O13" s="82"/>
      <c r="P13" s="370"/>
    </row>
    <row r="14" spans="1:16" x14ac:dyDescent="0.25">
      <c r="A14" s="1020" t="s">
        <v>1253</v>
      </c>
      <c r="B14" s="375">
        <f>B142</f>
        <v>369.22612973150552</v>
      </c>
      <c r="C14" s="375">
        <f>E142</f>
        <v>26.49619011120776</v>
      </c>
      <c r="D14" s="376">
        <f>GlobalWarmingPotentials!$B$11*H142</f>
        <v>0.12663114234966824</v>
      </c>
      <c r="E14" s="375">
        <f>GlobalWarmingPotentials!$C$11*K142</f>
        <v>2.1185940685283629</v>
      </c>
      <c r="F14" s="377">
        <f t="shared" si="0"/>
        <v>28.741415322085793</v>
      </c>
      <c r="G14" s="378"/>
      <c r="H14" s="1020" t="s">
        <v>1253</v>
      </c>
      <c r="I14" s="375">
        <f>D142</f>
        <v>0</v>
      </c>
      <c r="J14" s="375">
        <f>G142</f>
        <v>0</v>
      </c>
      <c r="K14" s="376">
        <f>GlobalWarmingPotentials!$B$11*J142</f>
        <v>0</v>
      </c>
      <c r="L14" s="375">
        <f>GlobalWarmingPotentials!$C$11*M142</f>
        <v>0</v>
      </c>
      <c r="M14" s="377">
        <f t="shared" si="1"/>
        <v>0</v>
      </c>
      <c r="N14" s="34"/>
      <c r="O14" s="82"/>
      <c r="P14" s="370"/>
    </row>
    <row r="15" spans="1:16" x14ac:dyDescent="0.25">
      <c r="A15" s="416" t="s">
        <v>876</v>
      </c>
      <c r="B15" s="375">
        <f>B176</f>
        <v>275.59665533211654</v>
      </c>
      <c r="C15" s="375">
        <f>E176</f>
        <v>19.777206393823835</v>
      </c>
      <c r="D15" s="376">
        <f>GlobalWarmingPotentials!$B$11*H176</f>
        <v>9.4519635752300935E-2</v>
      </c>
      <c r="E15" s="375">
        <f>GlobalWarmingPotentials!$C$11*K176</f>
        <v>1.5813546016298001</v>
      </c>
      <c r="F15" s="377">
        <f t="shared" si="0"/>
        <v>21.453080631205939</v>
      </c>
      <c r="G15" s="378"/>
      <c r="H15" s="416" t="s">
        <v>876</v>
      </c>
      <c r="I15" s="375">
        <f>D176</f>
        <v>12.953042800609477</v>
      </c>
      <c r="J15" s="375">
        <f>G176</f>
        <v>0.92952870050972014</v>
      </c>
      <c r="K15" s="376">
        <f>GlobalWarmingPotentials!$B$11*J176</f>
        <v>4.4424228803581437E-3</v>
      </c>
      <c r="L15" s="375">
        <f>GlobalWarmingPotentials!$C$11*M176</f>
        <v>7.43236662766006E-2</v>
      </c>
      <c r="M15" s="377">
        <f t="shared" ref="M15:M27" si="2">SUM(J15:L15)</f>
        <v>1.008294789666679</v>
      </c>
      <c r="N15" s="34"/>
      <c r="O15" s="82"/>
      <c r="P15" s="370"/>
    </row>
    <row r="16" spans="1:16" x14ac:dyDescent="0.25">
      <c r="A16" s="416" t="s">
        <v>877</v>
      </c>
      <c r="B16" s="375">
        <f>B210</f>
        <v>0</v>
      </c>
      <c r="C16" s="375">
        <f>E210</f>
        <v>0</v>
      </c>
      <c r="D16" s="376">
        <f>GlobalWarmingPotentials!$B$11*H210</f>
        <v>0</v>
      </c>
      <c r="E16" s="375">
        <f>GlobalWarmingPotentials!$C$11*K210</f>
        <v>0</v>
      </c>
      <c r="F16" s="377">
        <f>SUM(C16:E16)</f>
        <v>0</v>
      </c>
      <c r="G16" s="378"/>
      <c r="H16" s="416" t="s">
        <v>877</v>
      </c>
      <c r="I16" s="375">
        <f>D210</f>
        <v>0</v>
      </c>
      <c r="J16" s="375">
        <f>G210</f>
        <v>0</v>
      </c>
      <c r="K16" s="376">
        <f>GlobalWarmingPotentials!$B$11*J210</f>
        <v>0</v>
      </c>
      <c r="L16" s="375">
        <f>GlobalWarmingPotentials!$C$11*M210</f>
        <v>0</v>
      </c>
      <c r="M16" s="377">
        <f t="shared" ref="M16" si="3">SUM(J16:L16)</f>
        <v>0</v>
      </c>
      <c r="N16" s="34"/>
      <c r="O16" s="82"/>
      <c r="P16" s="370"/>
    </row>
    <row r="17" spans="1:16" x14ac:dyDescent="0.25">
      <c r="A17" s="1103" t="s">
        <v>1739</v>
      </c>
      <c r="B17" s="375">
        <f>B216</f>
        <v>0</v>
      </c>
      <c r="C17" s="375">
        <f>E216</f>
        <v>0</v>
      </c>
      <c r="D17" s="376">
        <f>GlobalWarmingPotentials!$B$11*H216</f>
        <v>5.2575471225858469E-2</v>
      </c>
      <c r="E17" s="375">
        <f>GlobalWarmingPotentials!$C$11*K216</f>
        <v>0.20298703673287963</v>
      </c>
      <c r="F17" s="377">
        <f>SUM(C17:E17)</f>
        <v>0.25556250795873808</v>
      </c>
      <c r="G17" s="378"/>
      <c r="H17" s="1020" t="s">
        <v>1739</v>
      </c>
      <c r="I17" s="375">
        <f>D216</f>
        <v>0</v>
      </c>
      <c r="J17" s="375">
        <f>G216</f>
        <v>0</v>
      </c>
      <c r="K17" s="376">
        <f>GlobalWarmingPotentials!$B$11*J216</f>
        <v>0</v>
      </c>
      <c r="L17" s="375">
        <f>GlobalWarmingPotentials!$C$11*M216</f>
        <v>0</v>
      </c>
      <c r="M17" s="377">
        <f t="shared" ref="M17" si="4">SUM(J17:L17)</f>
        <v>0</v>
      </c>
      <c r="N17" s="34"/>
      <c r="O17" s="82"/>
      <c r="P17" s="370"/>
    </row>
    <row r="18" spans="1:16" x14ac:dyDescent="0.25">
      <c r="A18" s="1061" t="s">
        <v>1805</v>
      </c>
      <c r="B18" s="379">
        <f>B233</f>
        <v>8239.0610076539524</v>
      </c>
      <c r="C18" s="379">
        <f>E233</f>
        <v>520.95369617105189</v>
      </c>
      <c r="D18" s="376">
        <f>GlobalWarmingPotentials!$B$11*H233</f>
        <v>17.303893648306993</v>
      </c>
      <c r="E18" s="375">
        <f>GlobalWarmingPotentials!$C$11*K233</f>
        <v>40.815433731402173</v>
      </c>
      <c r="F18" s="377">
        <f>SUM(C18:E18)</f>
        <v>579.07302355076104</v>
      </c>
      <c r="G18" s="378"/>
      <c r="H18" s="1061" t="s">
        <v>1805</v>
      </c>
      <c r="I18" s="379">
        <f>D233</f>
        <v>786.7316995671614</v>
      </c>
      <c r="J18" s="379">
        <f>G233</f>
        <v>49.43723316863327</v>
      </c>
      <c r="K18" s="376">
        <f>GlobalWarmingPotentials!$B$11*J233</f>
        <v>1.7521889488268372</v>
      </c>
      <c r="L18" s="375">
        <f>GlobalWarmingPotentials!$C$11*M233</f>
        <v>0.20278976584307196</v>
      </c>
      <c r="M18" s="377">
        <f>SUM(J18:L18)</f>
        <v>51.392211883303176</v>
      </c>
      <c r="N18" s="34"/>
      <c r="O18" s="82"/>
      <c r="P18" s="370"/>
    </row>
    <row r="19" spans="1:16" x14ac:dyDescent="0.25">
      <c r="A19" s="381" t="s">
        <v>411</v>
      </c>
      <c r="B19" s="379">
        <f>B240</f>
        <v>0</v>
      </c>
      <c r="C19" s="379">
        <f>E240</f>
        <v>0</v>
      </c>
      <c r="D19" s="376">
        <f>GlobalWarmingPotentials!$B$11*H240</f>
        <v>7.792941176470591E-3</v>
      </c>
      <c r="E19" s="375">
        <f>GlobalWarmingPotentials!$C$11*K240</f>
        <v>3.0087529411764707E-2</v>
      </c>
      <c r="F19" s="377">
        <f t="shared" si="0"/>
        <v>3.78804705882353E-2</v>
      </c>
      <c r="G19" s="378"/>
      <c r="H19" s="381" t="s">
        <v>411</v>
      </c>
      <c r="I19" s="379">
        <f>D240</f>
        <v>0</v>
      </c>
      <c r="J19" s="379">
        <f>G240</f>
        <v>0</v>
      </c>
      <c r="K19" s="376">
        <f>GlobalWarmingPotentials!$B$11*J240</f>
        <v>0</v>
      </c>
      <c r="L19" s="375">
        <f>GlobalWarmingPotentials!$C$11*M240</f>
        <v>0</v>
      </c>
      <c r="M19" s="377">
        <f t="shared" si="2"/>
        <v>0</v>
      </c>
      <c r="N19" s="34"/>
      <c r="O19" s="82"/>
      <c r="P19" s="370"/>
    </row>
    <row r="20" spans="1:16" x14ac:dyDescent="0.25">
      <c r="A20" s="1061" t="s">
        <v>1806</v>
      </c>
      <c r="B20" s="379">
        <f>B247</f>
        <v>0</v>
      </c>
      <c r="C20" s="379">
        <f>E247</f>
        <v>0</v>
      </c>
      <c r="D20" s="376">
        <f>GlobalWarmingPotentials!$B$11*H247</f>
        <v>0.73140000000000005</v>
      </c>
      <c r="E20" s="375">
        <f>GlobalWarmingPotentials!$C$11*K247</f>
        <v>2.8238400000000001</v>
      </c>
      <c r="F20" s="377">
        <f t="shared" si="0"/>
        <v>3.5552400000000004</v>
      </c>
      <c r="G20" s="378"/>
      <c r="H20" s="381" t="s">
        <v>1806</v>
      </c>
      <c r="I20" s="379">
        <f>D247</f>
        <v>0</v>
      </c>
      <c r="J20" s="379">
        <f>G247</f>
        <v>0</v>
      </c>
      <c r="K20" s="376">
        <f>GlobalWarmingPotentials!$B$11*J247</f>
        <v>0</v>
      </c>
      <c r="L20" s="375">
        <f>GlobalWarmingPotentials!$C$11*M247</f>
        <v>0</v>
      </c>
      <c r="M20" s="377">
        <f t="shared" si="2"/>
        <v>0</v>
      </c>
      <c r="N20" s="34"/>
      <c r="O20" s="82"/>
      <c r="P20" s="370"/>
    </row>
    <row r="21" spans="1:16" x14ac:dyDescent="0.25">
      <c r="A21" s="1061" t="s">
        <v>1808</v>
      </c>
      <c r="B21" s="379">
        <f>B254</f>
        <v>0</v>
      </c>
      <c r="C21" s="379">
        <f>E254</f>
        <v>0</v>
      </c>
      <c r="D21" s="376">
        <f>GlobalWarmingPotentials!$B$11*H254</f>
        <v>5.7919532222513913E-2</v>
      </c>
      <c r="E21" s="375">
        <f>GlobalWarmingPotentials!$C$11*K254</f>
        <v>0.22361975918953195</v>
      </c>
      <c r="F21" s="377">
        <f t="shared" si="0"/>
        <v>0.28153929141204587</v>
      </c>
      <c r="G21" s="378"/>
      <c r="H21" s="381" t="s">
        <v>1808</v>
      </c>
      <c r="I21" s="379">
        <f>D254</f>
        <v>0</v>
      </c>
      <c r="J21" s="379">
        <f>G254</f>
        <v>0</v>
      </c>
      <c r="K21" s="376">
        <f>GlobalWarmingPotentials!$B$11*J254</f>
        <v>0</v>
      </c>
      <c r="L21" s="375">
        <f>GlobalWarmingPotentials!$C$11*M254</f>
        <v>0</v>
      </c>
      <c r="M21" s="377">
        <f t="shared" si="2"/>
        <v>0</v>
      </c>
      <c r="N21" s="34"/>
      <c r="O21" s="82"/>
      <c r="P21" s="370"/>
    </row>
    <row r="22" spans="1:16" x14ac:dyDescent="0.25">
      <c r="A22" s="381" t="s">
        <v>907</v>
      </c>
      <c r="B22" s="379">
        <f>B261</f>
        <v>1274.9999999999998</v>
      </c>
      <c r="C22" s="379">
        <f>E261</f>
        <v>71.400000000000006</v>
      </c>
      <c r="D22" s="376">
        <f>GlobalWarmingPotentials!$B$11*H261</f>
        <v>4.9106183823529408</v>
      </c>
      <c r="E22" s="375">
        <f>GlobalWarmingPotentials!$C$11*K261</f>
        <v>0.5610070588235293</v>
      </c>
      <c r="F22" s="377">
        <f t="shared" si="0"/>
        <v>76.871625441176477</v>
      </c>
      <c r="G22" s="378"/>
      <c r="H22" s="381" t="s">
        <v>907</v>
      </c>
      <c r="I22" s="379">
        <f>D261</f>
        <v>191.24999999999997</v>
      </c>
      <c r="J22" s="379">
        <f>G261</f>
        <v>10.8375</v>
      </c>
      <c r="K22" s="376">
        <f>GlobalWarmingPotentials!$B$11*J261</f>
        <v>0.71846249999999989</v>
      </c>
      <c r="L22" s="375">
        <f>GlobalWarmingPotentials!$C$11*M261</f>
        <v>0</v>
      </c>
      <c r="M22" s="377">
        <f t="shared" si="2"/>
        <v>11.5559625</v>
      </c>
      <c r="N22" s="34"/>
      <c r="O22" s="82"/>
      <c r="P22" s="370"/>
    </row>
    <row r="23" spans="1:16" x14ac:dyDescent="0.25">
      <c r="A23" s="1061" t="s">
        <v>1830</v>
      </c>
      <c r="B23" s="379">
        <f>B267</f>
        <v>0</v>
      </c>
      <c r="C23" s="379">
        <f>E267</f>
        <v>0</v>
      </c>
      <c r="D23" s="376">
        <f>GlobalWarmingPotentials!$B$11*H267</f>
        <v>9.767152941176474E-2</v>
      </c>
      <c r="E23" s="375">
        <f>GlobalWarmingPotentials!$C$11*K267</f>
        <v>0.3770970352941177</v>
      </c>
      <c r="F23" s="377">
        <f t="shared" ref="F23" si="5">SUM(C23:E23)</f>
        <v>0.47476856470588247</v>
      </c>
      <c r="G23" s="378"/>
      <c r="H23" s="1061" t="s">
        <v>1830</v>
      </c>
      <c r="I23" s="379">
        <f>D267</f>
        <v>0</v>
      </c>
      <c r="J23" s="379">
        <f>G267</f>
        <v>0</v>
      </c>
      <c r="K23" s="376">
        <f>GlobalWarmingPotentials!$B$11*J267</f>
        <v>0</v>
      </c>
      <c r="L23" s="375">
        <f>GlobalWarmingPotentials!$C$11*M267</f>
        <v>0</v>
      </c>
      <c r="M23" s="377">
        <f t="shared" ref="M23" si="6">SUM(J23:L23)</f>
        <v>0</v>
      </c>
      <c r="N23" s="34"/>
      <c r="O23" s="82"/>
      <c r="P23" s="370"/>
    </row>
    <row r="24" spans="1:16" x14ac:dyDescent="0.25">
      <c r="A24" s="381" t="s">
        <v>902</v>
      </c>
      <c r="B24" s="379">
        <f>B273</f>
        <v>0</v>
      </c>
      <c r="C24" s="379">
        <f>E273</f>
        <v>0</v>
      </c>
      <c r="D24" s="376">
        <f>GlobalWarmingPotentials!$B$11*H273</f>
        <v>0</v>
      </c>
      <c r="E24" s="375">
        <f>GlobalWarmingPotentials!$C$11*K273</f>
        <v>0</v>
      </c>
      <c r="F24" s="377">
        <f t="shared" ref="F24" si="7">SUM(C24:E24)</f>
        <v>0</v>
      </c>
      <c r="G24" s="378"/>
      <c r="H24" s="381" t="s">
        <v>902</v>
      </c>
      <c r="I24" s="379">
        <f>D273</f>
        <v>0</v>
      </c>
      <c r="J24" s="379">
        <f>G273</f>
        <v>0</v>
      </c>
      <c r="K24" s="376">
        <f>GlobalWarmingPotentials!$B$11*J273</f>
        <v>0</v>
      </c>
      <c r="L24" s="375">
        <f>GlobalWarmingPotentials!$C$11*M273</f>
        <v>0</v>
      </c>
      <c r="M24" s="377">
        <f t="shared" ref="M24" si="8">SUM(J24:L24)</f>
        <v>0</v>
      </c>
      <c r="N24" s="34"/>
      <c r="O24" s="82"/>
      <c r="P24" s="370"/>
    </row>
    <row r="25" spans="1:16" x14ac:dyDescent="0.25">
      <c r="A25" s="381" t="s">
        <v>903</v>
      </c>
      <c r="B25" s="379">
        <f>B279</f>
        <v>0</v>
      </c>
      <c r="C25" s="379">
        <f>E279</f>
        <v>0</v>
      </c>
      <c r="D25" s="376">
        <f>GlobalWarmingPotentials!$B$11*H279</f>
        <v>-1.7053609858389147</v>
      </c>
      <c r="E25" s="375">
        <f>GlobalWarmingPotentials!$C$11*K279</f>
        <v>-6.5841763279345917</v>
      </c>
      <c r="F25" s="377">
        <f t="shared" si="0"/>
        <v>-8.289537313773506</v>
      </c>
      <c r="G25" s="378"/>
      <c r="H25" s="381" t="s">
        <v>903</v>
      </c>
      <c r="I25" s="379">
        <f>D279</f>
        <v>0</v>
      </c>
      <c r="J25" s="379">
        <f>G279</f>
        <v>0</v>
      </c>
      <c r="K25" s="376">
        <f>GlobalWarmingPotentials!$B$11*J279</f>
        <v>0</v>
      </c>
      <c r="L25" s="375">
        <f>GlobalWarmingPotentials!$C$11*M279</f>
        <v>0</v>
      </c>
      <c r="M25" s="377">
        <f t="shared" si="2"/>
        <v>0</v>
      </c>
      <c r="N25" s="34"/>
      <c r="O25" s="82"/>
      <c r="P25" s="370"/>
    </row>
    <row r="26" spans="1:16" x14ac:dyDescent="0.25">
      <c r="A26" s="416" t="s">
        <v>879</v>
      </c>
      <c r="B26" s="379">
        <f>B389</f>
        <v>0</v>
      </c>
      <c r="C26" s="379">
        <f>E389</f>
        <v>0</v>
      </c>
      <c r="D26" s="376">
        <f>GlobalWarmingPotentials!$B$11*H389</f>
        <v>0</v>
      </c>
      <c r="E26" s="375">
        <f>GlobalWarmingPotentials!$C$11*K389</f>
        <v>0</v>
      </c>
      <c r="F26" s="377">
        <f t="shared" si="0"/>
        <v>0</v>
      </c>
      <c r="G26" s="378"/>
      <c r="H26" s="416" t="s">
        <v>879</v>
      </c>
      <c r="I26" s="379">
        <f>D389</f>
        <v>0</v>
      </c>
      <c r="J26" s="379">
        <f>G389</f>
        <v>0</v>
      </c>
      <c r="K26" s="376">
        <f>GlobalWarmingPotentials!$B$11*J389</f>
        <v>0</v>
      </c>
      <c r="L26" s="375">
        <f>GlobalWarmingPotentials!$C$11*M389</f>
        <v>0</v>
      </c>
      <c r="M26" s="377">
        <f t="shared" si="2"/>
        <v>0</v>
      </c>
      <c r="N26" s="34"/>
      <c r="O26" s="82"/>
      <c r="P26" s="370"/>
    </row>
    <row r="27" spans="1:16" x14ac:dyDescent="0.25">
      <c r="A27" s="416" t="s">
        <v>908</v>
      </c>
      <c r="B27" s="379">
        <f>B313</f>
        <v>517.88672232212184</v>
      </c>
      <c r="C27" s="379">
        <f>E313</f>
        <v>37.164284826471004</v>
      </c>
      <c r="D27" s="376">
        <f>GlobalWarmingPotentials!$B$11*H313</f>
        <v>0.1776163222875497</v>
      </c>
      <c r="E27" s="375">
        <f>GlobalWarmingPotentials!$C$11*K313</f>
        <v>2.9715982963586582</v>
      </c>
      <c r="F27" s="377">
        <f t="shared" si="0"/>
        <v>40.313499445117209</v>
      </c>
      <c r="G27" s="378"/>
      <c r="H27" s="416" t="s">
        <v>908</v>
      </c>
      <c r="I27" s="379">
        <f>D313</f>
        <v>24.34067594913973</v>
      </c>
      <c r="J27" s="379">
        <f>G313</f>
        <v>1.7467213868441371</v>
      </c>
      <c r="K27" s="376">
        <f>GlobalWarmingPotentials!$B$11*J313</f>
        <v>0</v>
      </c>
      <c r="L27" s="375">
        <f>GlobalWarmingPotentials!$C$11*M313</f>
        <v>0.13966511992885694</v>
      </c>
      <c r="M27" s="377">
        <f t="shared" si="2"/>
        <v>1.8863865067729941</v>
      </c>
      <c r="N27" s="34"/>
      <c r="O27" s="82"/>
      <c r="P27" s="370"/>
    </row>
    <row r="28" spans="1:16" x14ac:dyDescent="0.25">
      <c r="A28" s="416" t="s">
        <v>911</v>
      </c>
      <c r="B28" s="808">
        <f>B347</f>
        <v>0</v>
      </c>
      <c r="C28" s="808">
        <f>E347</f>
        <v>0</v>
      </c>
      <c r="D28" s="379">
        <f>GlobalWarmingPotentials!$B$11*H347</f>
        <v>0</v>
      </c>
      <c r="E28" s="379">
        <f>GlobalWarmingPotentials!$C$11*K347</f>
        <v>0</v>
      </c>
      <c r="F28" s="813">
        <f t="shared" ref="F28" si="9">SUM(C28:E28)</f>
        <v>0</v>
      </c>
      <c r="G28" s="809"/>
      <c r="H28" s="416" t="s">
        <v>911</v>
      </c>
      <c r="I28" s="808">
        <f>D347</f>
        <v>0</v>
      </c>
      <c r="J28" s="808">
        <f>G347</f>
        <v>0</v>
      </c>
      <c r="K28" s="379">
        <f>GlobalWarmingPotentials!$B$11*J347</f>
        <v>0</v>
      </c>
      <c r="L28" s="379">
        <f>GlobalWarmingPotentials!$C$11*M347</f>
        <v>0</v>
      </c>
      <c r="M28" s="813">
        <f t="shared" ref="M28" si="10">SUM(J28:L28)</f>
        <v>0</v>
      </c>
      <c r="N28" s="34"/>
      <c r="O28" s="82"/>
      <c r="P28" s="370"/>
    </row>
    <row r="29" spans="1:16" x14ac:dyDescent="0.25">
      <c r="A29" s="416" t="s">
        <v>912</v>
      </c>
      <c r="B29" s="808">
        <f>B381</f>
        <v>0</v>
      </c>
      <c r="C29" s="808">
        <f>E381</f>
        <v>0</v>
      </c>
      <c r="D29" s="379">
        <f>GlobalWarmingPotentials!$B$11*H381</f>
        <v>0</v>
      </c>
      <c r="E29" s="379">
        <f>GlobalWarmingPotentials!$C$11*K381</f>
        <v>0</v>
      </c>
      <c r="F29" s="813">
        <f t="shared" ref="F29" si="11">SUM(C29:E29)</f>
        <v>0</v>
      </c>
      <c r="G29" s="809"/>
      <c r="H29" s="416" t="s">
        <v>912</v>
      </c>
      <c r="I29" s="808">
        <f>D381</f>
        <v>0</v>
      </c>
      <c r="J29" s="808">
        <f>G381</f>
        <v>0</v>
      </c>
      <c r="K29" s="379">
        <f>GlobalWarmingPotentials!$B$11*J381</f>
        <v>0</v>
      </c>
      <c r="L29" s="379">
        <f>GlobalWarmingPotentials!$C$11*M381</f>
        <v>0</v>
      </c>
      <c r="M29" s="813">
        <f t="shared" ref="M29" si="12">SUM(J29:L29)</f>
        <v>0</v>
      </c>
      <c r="N29" s="34"/>
      <c r="O29" s="82"/>
      <c r="P29" s="370"/>
    </row>
    <row r="30" spans="1:16" ht="13.8" thickBot="1" x14ac:dyDescent="0.3">
      <c r="A30" s="382" t="s">
        <v>375</v>
      </c>
      <c r="B30" s="383">
        <f>SUM(B13:B29)</f>
        <v>12944.38190434738</v>
      </c>
      <c r="C30" s="383">
        <f t="shared" ref="C30:F30" si="13">SUM(C13:C29)</f>
        <v>804.38165017298661</v>
      </c>
      <c r="D30" s="383">
        <f t="shared" si="13"/>
        <v>23.090367318384764</v>
      </c>
      <c r="E30" s="383">
        <f t="shared" si="13"/>
        <v>64.31339711377062</v>
      </c>
      <c r="F30" s="811">
        <f t="shared" si="13"/>
        <v>891.78541460514214</v>
      </c>
      <c r="G30" s="810"/>
      <c r="H30" s="382" t="s">
        <v>375</v>
      </c>
      <c r="I30" s="383">
        <f>SQRT(SUMSQ(I13:I29))</f>
        <v>827.39839929050697</v>
      </c>
      <c r="J30" s="383">
        <f t="shared" ref="J30:M30" si="14">SQRT(SUMSQ(J13:J29))</f>
        <v>51.560977474000268</v>
      </c>
      <c r="K30" s="383">
        <f t="shared" si="14"/>
        <v>1.8967365853188018</v>
      </c>
      <c r="L30" s="383">
        <f t="shared" si="14"/>
        <v>0.2572042819023776</v>
      </c>
      <c r="M30" s="811">
        <f t="shared" si="14"/>
        <v>53.613992312973224</v>
      </c>
      <c r="N30" s="82"/>
      <c r="O30" s="82"/>
      <c r="P30" s="370"/>
    </row>
    <row r="31" spans="1:16" x14ac:dyDescent="0.25">
      <c r="A31" s="34"/>
      <c r="B31" s="82"/>
      <c r="C31" s="369"/>
      <c r="D31" s="82"/>
      <c r="E31" s="82"/>
      <c r="F31" s="82"/>
      <c r="G31" s="82"/>
      <c r="H31" s="60"/>
      <c r="I31" s="82"/>
      <c r="J31" s="82"/>
      <c r="K31" s="60"/>
      <c r="L31" s="60"/>
      <c r="M31" s="60"/>
      <c r="N31" s="34"/>
      <c r="O31" s="82"/>
      <c r="P31" s="370"/>
    </row>
    <row r="32" spans="1:16" x14ac:dyDescent="0.25">
      <c r="A32" s="34"/>
      <c r="B32" s="82"/>
      <c r="C32" s="369"/>
      <c r="D32" s="82"/>
      <c r="E32" s="82"/>
      <c r="F32" s="82"/>
      <c r="G32" s="82"/>
      <c r="H32" s="82"/>
      <c r="I32" s="82"/>
      <c r="J32" s="82"/>
      <c r="K32" s="82"/>
      <c r="L32" s="82"/>
      <c r="M32" s="82"/>
      <c r="N32" s="34"/>
      <c r="O32" s="82"/>
      <c r="P32" s="370"/>
    </row>
    <row r="33" spans="1:16" x14ac:dyDescent="0.25">
      <c r="A33" s="34"/>
      <c r="B33" s="82"/>
      <c r="C33" s="369"/>
      <c r="D33" s="82"/>
      <c r="E33" s="82"/>
      <c r="F33" s="82"/>
      <c r="G33" s="82"/>
      <c r="H33" s="82"/>
      <c r="I33" s="82"/>
      <c r="J33" s="82"/>
      <c r="K33" s="82"/>
      <c r="L33" s="82"/>
      <c r="M33" s="82"/>
      <c r="N33" s="34"/>
      <c r="O33" s="82"/>
      <c r="P33" s="370"/>
    </row>
    <row r="34" spans="1:16" x14ac:dyDescent="0.25">
      <c r="A34" s="34"/>
      <c r="B34" s="82"/>
      <c r="C34" s="369"/>
      <c r="D34" s="82"/>
      <c r="E34" s="82"/>
      <c r="F34" s="82"/>
      <c r="G34" s="82"/>
      <c r="H34" s="82"/>
      <c r="I34" s="82"/>
      <c r="J34" s="82"/>
      <c r="K34" s="82"/>
      <c r="L34" s="82"/>
      <c r="M34" s="82"/>
      <c r="N34" s="34"/>
      <c r="O34" s="82"/>
      <c r="P34" s="370"/>
    </row>
    <row r="35" spans="1:16" x14ac:dyDescent="0.25">
      <c r="A35" s="34"/>
      <c r="B35" s="82"/>
      <c r="C35" s="369"/>
      <c r="D35" s="82"/>
      <c r="E35" s="82"/>
      <c r="F35" s="82"/>
      <c r="G35" s="82"/>
      <c r="H35" s="82"/>
      <c r="I35" s="82"/>
      <c r="J35" s="82"/>
      <c r="K35" s="82"/>
      <c r="L35" s="82"/>
      <c r="M35" s="82"/>
      <c r="N35" s="34"/>
      <c r="O35" s="82"/>
      <c r="P35" s="370"/>
    </row>
    <row r="36" spans="1:16" x14ac:dyDescent="0.25">
      <c r="A36" s="34"/>
      <c r="B36" s="82"/>
      <c r="C36" s="369"/>
      <c r="D36" s="82"/>
      <c r="E36" s="82"/>
      <c r="F36" s="82"/>
      <c r="G36" s="82"/>
      <c r="H36" s="82"/>
      <c r="I36" s="82"/>
      <c r="J36" s="82"/>
      <c r="K36" s="82"/>
      <c r="L36" s="82"/>
      <c r="M36" s="82"/>
      <c r="N36" s="34"/>
      <c r="O36" s="82"/>
      <c r="P36" s="370"/>
    </row>
    <row r="37" spans="1:16" x14ac:dyDescent="0.25">
      <c r="A37" s="34"/>
      <c r="B37" s="82"/>
      <c r="C37" s="369"/>
      <c r="D37" s="82"/>
      <c r="E37" s="82"/>
      <c r="F37" s="82"/>
      <c r="G37" s="82"/>
      <c r="H37" s="82"/>
      <c r="I37" s="82"/>
      <c r="J37" s="82"/>
      <c r="K37" s="82"/>
      <c r="L37" s="82"/>
      <c r="M37" s="82"/>
      <c r="N37" s="34"/>
      <c r="O37" s="82"/>
      <c r="P37" s="370"/>
    </row>
    <row r="38" spans="1:16" x14ac:dyDescent="0.25">
      <c r="A38" s="34"/>
      <c r="B38" s="82"/>
      <c r="C38" s="369"/>
      <c r="D38" s="82"/>
      <c r="E38" s="82"/>
      <c r="F38" s="82"/>
      <c r="G38" s="82"/>
      <c r="H38" s="82"/>
      <c r="I38" s="82"/>
      <c r="J38" s="82"/>
      <c r="K38" s="82"/>
      <c r="L38" s="82"/>
      <c r="M38" s="82"/>
      <c r="N38" s="34"/>
      <c r="O38" s="82"/>
      <c r="P38" s="370"/>
    </row>
    <row r="39" spans="1:16" x14ac:dyDescent="0.25">
      <c r="A39" s="34"/>
      <c r="B39" s="82"/>
      <c r="C39" s="369"/>
      <c r="D39" s="82"/>
      <c r="E39" s="82"/>
      <c r="F39" s="82"/>
      <c r="G39" s="82"/>
      <c r="H39" s="82"/>
      <c r="I39" s="82"/>
      <c r="J39" s="82"/>
      <c r="K39" s="82"/>
      <c r="L39" s="82"/>
      <c r="M39" s="82"/>
      <c r="N39" s="34"/>
      <c r="O39" s="82"/>
      <c r="P39" s="370"/>
    </row>
    <row r="40" spans="1:16" x14ac:dyDescent="0.25">
      <c r="A40" s="34"/>
      <c r="B40" s="82"/>
      <c r="C40" s="369"/>
      <c r="D40" s="82"/>
      <c r="E40" s="82"/>
      <c r="F40" s="82"/>
      <c r="G40" s="82"/>
      <c r="H40" s="82"/>
      <c r="I40" s="82"/>
      <c r="J40" s="82"/>
      <c r="K40" s="82"/>
      <c r="L40" s="82"/>
      <c r="M40" s="82"/>
      <c r="N40" s="34"/>
      <c r="O40" s="82"/>
      <c r="P40" s="370"/>
    </row>
    <row r="41" spans="1:16" x14ac:dyDescent="0.25">
      <c r="A41" s="34"/>
      <c r="B41" s="82"/>
      <c r="C41" s="369"/>
      <c r="D41" s="82"/>
      <c r="E41" s="82"/>
      <c r="F41" s="82"/>
      <c r="G41" s="82"/>
      <c r="H41" s="82"/>
      <c r="I41" s="82"/>
      <c r="J41" s="82"/>
      <c r="K41" s="82"/>
      <c r="L41" s="82"/>
      <c r="M41" s="82"/>
      <c r="N41" s="34"/>
      <c r="O41" s="82"/>
      <c r="P41" s="370"/>
    </row>
    <row r="42" spans="1:16" x14ac:dyDescent="0.25">
      <c r="A42" s="34"/>
      <c r="B42" s="82"/>
      <c r="C42" s="369"/>
      <c r="D42" s="82"/>
      <c r="E42" s="82"/>
      <c r="F42" s="82"/>
      <c r="G42" s="82"/>
      <c r="H42" s="82"/>
      <c r="I42" s="82"/>
      <c r="J42" s="82"/>
      <c r="K42" s="82"/>
      <c r="L42" s="82"/>
      <c r="M42" s="82"/>
      <c r="N42" s="34"/>
      <c r="O42" s="82"/>
      <c r="P42" s="370"/>
    </row>
    <row r="43" spans="1:16" x14ac:dyDescent="0.25">
      <c r="A43" s="34"/>
      <c r="B43" s="82"/>
      <c r="C43" s="369"/>
      <c r="D43" s="82"/>
      <c r="E43" s="82"/>
      <c r="F43" s="82"/>
      <c r="G43" s="82"/>
      <c r="H43" s="82"/>
      <c r="I43" s="82"/>
      <c r="J43" s="82"/>
      <c r="K43" s="82"/>
      <c r="L43" s="82"/>
      <c r="M43" s="82"/>
      <c r="N43" s="34"/>
      <c r="O43" s="82"/>
      <c r="P43" s="370"/>
    </row>
    <row r="44" spans="1:16" x14ac:dyDescent="0.25">
      <c r="A44" s="34"/>
      <c r="B44" s="82"/>
      <c r="C44" s="369"/>
      <c r="D44" s="82"/>
      <c r="E44" s="82"/>
      <c r="F44" s="82"/>
      <c r="G44" s="82"/>
      <c r="H44" s="82"/>
      <c r="I44" s="82"/>
      <c r="J44" s="82"/>
      <c r="K44" s="82"/>
      <c r="L44" s="82"/>
      <c r="M44" s="82"/>
      <c r="N44" s="34"/>
      <c r="O44" s="82"/>
      <c r="P44" s="370"/>
    </row>
    <row r="45" spans="1:16" x14ac:dyDescent="0.25">
      <c r="A45" s="34"/>
      <c r="B45" s="82"/>
      <c r="C45" s="369"/>
      <c r="D45" s="82"/>
      <c r="E45" s="82"/>
      <c r="F45" s="82"/>
      <c r="G45" s="82"/>
      <c r="H45" s="82"/>
      <c r="I45" s="82"/>
      <c r="J45" s="82"/>
      <c r="K45" s="82"/>
      <c r="L45" s="82"/>
      <c r="M45" s="82"/>
      <c r="N45" s="34"/>
      <c r="O45" s="82"/>
      <c r="P45" s="370"/>
    </row>
    <row r="46" spans="1:16" x14ac:dyDescent="0.25">
      <c r="A46" s="34"/>
      <c r="B46" s="82"/>
      <c r="C46" s="369"/>
      <c r="D46" s="82"/>
      <c r="E46" s="82"/>
      <c r="F46" s="82"/>
      <c r="G46" s="82"/>
      <c r="H46" s="82"/>
      <c r="I46" s="82"/>
      <c r="J46" s="82"/>
      <c r="K46" s="82"/>
      <c r="L46" s="82"/>
      <c r="M46" s="82"/>
      <c r="N46" s="34"/>
      <c r="O46" s="82"/>
      <c r="P46" s="370"/>
    </row>
    <row r="47" spans="1:16" x14ac:dyDescent="0.25">
      <c r="A47" s="34"/>
      <c r="B47" s="82"/>
      <c r="C47" s="369"/>
      <c r="D47" s="82"/>
      <c r="E47" s="82"/>
      <c r="F47" s="82"/>
      <c r="G47" s="82"/>
      <c r="H47" s="82"/>
      <c r="I47" s="82"/>
      <c r="J47" s="82"/>
      <c r="K47" s="82"/>
      <c r="L47" s="82"/>
      <c r="M47" s="82"/>
      <c r="N47" s="34"/>
      <c r="O47" s="82"/>
      <c r="P47" s="82"/>
    </row>
    <row r="48" spans="1:16" x14ac:dyDescent="0.25">
      <c r="A48" s="34"/>
      <c r="B48" s="82"/>
      <c r="C48" s="369"/>
      <c r="D48" s="82"/>
      <c r="E48" s="82"/>
      <c r="F48" s="82"/>
      <c r="G48" s="82"/>
      <c r="H48" s="82"/>
      <c r="I48" s="82"/>
      <c r="J48" s="82"/>
      <c r="K48" s="82"/>
      <c r="L48" s="82"/>
      <c r="M48" s="82"/>
      <c r="N48" s="34"/>
      <c r="O48" s="82"/>
      <c r="P48" s="82"/>
    </row>
    <row r="49" spans="1:16" x14ac:dyDescent="0.25">
      <c r="A49" s="34"/>
      <c r="B49" s="82"/>
      <c r="C49" s="369"/>
      <c r="D49" s="82"/>
      <c r="E49" s="82"/>
      <c r="F49" s="82"/>
      <c r="G49" s="82"/>
      <c r="H49" s="82"/>
      <c r="I49" s="82"/>
      <c r="J49" s="82"/>
      <c r="K49" s="82"/>
      <c r="L49" s="82"/>
      <c r="M49" s="82"/>
      <c r="N49" s="34"/>
      <c r="O49" s="82"/>
      <c r="P49" s="82"/>
    </row>
    <row r="50" spans="1:16" x14ac:dyDescent="0.25">
      <c r="A50" s="34"/>
      <c r="B50" s="82"/>
      <c r="C50" s="369"/>
      <c r="D50" s="82"/>
      <c r="E50" s="82"/>
      <c r="F50" s="82"/>
      <c r="G50" s="82"/>
      <c r="H50" s="82"/>
      <c r="I50" s="82"/>
      <c r="J50" s="82"/>
      <c r="K50" s="82"/>
      <c r="L50" s="82"/>
      <c r="M50" s="82"/>
      <c r="N50" s="34"/>
      <c r="O50" s="82"/>
      <c r="P50" s="82"/>
    </row>
    <row r="51" spans="1:16" x14ac:dyDescent="0.25">
      <c r="A51" s="34"/>
      <c r="B51" s="82"/>
      <c r="C51" s="369"/>
      <c r="D51" s="82"/>
      <c r="E51" s="82"/>
      <c r="F51" s="82"/>
      <c r="G51" s="82"/>
      <c r="H51" s="82"/>
      <c r="I51" s="82"/>
      <c r="J51" s="82"/>
      <c r="K51" s="82"/>
      <c r="L51" s="82"/>
      <c r="M51" s="82"/>
      <c r="N51" s="34"/>
      <c r="O51" s="82"/>
      <c r="P51" s="82"/>
    </row>
    <row r="52" spans="1:16" x14ac:dyDescent="0.25">
      <c r="A52" s="34"/>
      <c r="B52" s="82"/>
      <c r="C52" s="369"/>
      <c r="D52" s="82"/>
      <c r="E52" s="82"/>
      <c r="F52" s="82"/>
      <c r="G52" s="82"/>
      <c r="H52" s="82"/>
      <c r="I52" s="82"/>
      <c r="J52" s="82"/>
      <c r="K52" s="82"/>
      <c r="L52" s="82"/>
      <c r="M52" s="82"/>
      <c r="N52" s="34"/>
      <c r="O52" s="82"/>
      <c r="P52" s="370"/>
    </row>
    <row r="53" spans="1:16" x14ac:dyDescent="0.25">
      <c r="A53" s="33" t="s">
        <v>44</v>
      </c>
      <c r="B53" s="92"/>
      <c r="C53" s="92"/>
      <c r="D53" s="92"/>
      <c r="E53" s="92"/>
      <c r="F53" s="92"/>
      <c r="G53" s="92"/>
      <c r="H53" s="92"/>
      <c r="I53" s="92"/>
      <c r="J53" s="384"/>
      <c r="K53" s="92"/>
      <c r="L53" s="92"/>
      <c r="M53" s="384"/>
      <c r="N53" s="33"/>
      <c r="O53" s="92"/>
      <c r="P53" s="385"/>
    </row>
    <row r="54" spans="1:16" x14ac:dyDescent="0.25">
      <c r="A54" s="40"/>
      <c r="B54" s="40"/>
      <c r="C54" s="40"/>
      <c r="D54" s="40"/>
      <c r="E54" s="40"/>
      <c r="F54" s="40"/>
      <c r="G54" s="40"/>
      <c r="H54" s="40"/>
      <c r="I54" s="40"/>
      <c r="J54" s="41"/>
      <c r="K54" s="40"/>
      <c r="L54" s="40"/>
      <c r="M54" s="41"/>
      <c r="N54" s="40"/>
      <c r="O54" s="40"/>
      <c r="P54" s="386"/>
    </row>
    <row r="55" spans="1:16" x14ac:dyDescent="0.25">
      <c r="A55" s="22" t="s">
        <v>243</v>
      </c>
      <c r="B55" s="29" t="s">
        <v>22</v>
      </c>
      <c r="C55" s="23"/>
      <c r="D55" s="22"/>
      <c r="E55" s="29" t="s">
        <v>23</v>
      </c>
      <c r="F55" s="23"/>
      <c r="G55" s="19"/>
      <c r="H55" s="7" t="s">
        <v>24</v>
      </c>
      <c r="I55" s="23"/>
      <c r="J55" s="19"/>
      <c r="K55" s="7" t="s">
        <v>25</v>
      </c>
      <c r="L55" s="23"/>
      <c r="M55" s="19"/>
      <c r="N55" s="7" t="s">
        <v>26</v>
      </c>
      <c r="O55" s="23"/>
      <c r="P55" s="19"/>
    </row>
    <row r="56" spans="1:16" x14ac:dyDescent="0.25">
      <c r="A56" s="23"/>
    </row>
    <row r="57" spans="1:16" ht="14.4" x14ac:dyDescent="0.3">
      <c r="A57" s="21"/>
      <c r="B57" s="28" t="s">
        <v>880</v>
      </c>
      <c r="C57" s="21" t="s">
        <v>21</v>
      </c>
      <c r="D57" s="21" t="s">
        <v>881</v>
      </c>
      <c r="E57" s="28" t="s">
        <v>882</v>
      </c>
      <c r="F57" s="21" t="s">
        <v>21</v>
      </c>
      <c r="G57" s="20" t="s">
        <v>883</v>
      </c>
      <c r="H57" s="28" t="s">
        <v>884</v>
      </c>
      <c r="I57" s="21" t="s">
        <v>21</v>
      </c>
      <c r="J57" s="20" t="s">
        <v>885</v>
      </c>
      <c r="K57" s="28" t="s">
        <v>886</v>
      </c>
      <c r="L57" s="21" t="s">
        <v>21</v>
      </c>
      <c r="M57" s="20" t="s">
        <v>887</v>
      </c>
      <c r="N57" s="28" t="s">
        <v>888</v>
      </c>
      <c r="O57" s="21" t="s">
        <v>21</v>
      </c>
      <c r="P57" s="20" t="s">
        <v>889</v>
      </c>
    </row>
    <row r="58" spans="1:16" x14ac:dyDescent="0.25">
      <c r="A58" s="387" t="s">
        <v>20</v>
      </c>
    </row>
    <row r="59" spans="1:16" x14ac:dyDescent="0.25">
      <c r="A59" s="154" t="str">
        <f>Cultivation!A21</f>
        <v>MAIN LAND USE</v>
      </c>
    </row>
    <row r="60" spans="1:16" x14ac:dyDescent="0.25">
      <c r="A60" s="154" t="str">
        <f>Cultivation!A22</f>
        <v>Diesel Fuel:</v>
      </c>
      <c r="B60" s="729"/>
      <c r="C60" s="992"/>
      <c r="D60" s="213"/>
      <c r="E60" s="729"/>
      <c r="F60" s="992"/>
      <c r="G60" s="213"/>
      <c r="H60" s="729"/>
      <c r="I60" s="992"/>
      <c r="J60" s="213"/>
      <c r="K60" s="729"/>
      <c r="L60" s="992"/>
      <c r="M60" s="736"/>
      <c r="N60" s="729"/>
      <c r="O60" s="992"/>
      <c r="P60" s="758"/>
    </row>
    <row r="61" spans="1:16" s="5" customFormat="1" x14ac:dyDescent="0.25">
      <c r="A61" s="979" t="str">
        <f>Cultivation!A23</f>
        <v>subsoiling</v>
      </c>
      <c r="B61" s="1027">
        <f>(Unitflowchart!$S$17*(AllocationEnergy!$H$20/100)*Cultivation!J23)/Unitflowchart!$S$383</f>
        <v>37.584063592008938</v>
      </c>
      <c r="C61" s="26">
        <f t="shared" ref="C61:C69" si="15">(B61/B$391)*100</f>
        <v>0.29035039192861195</v>
      </c>
      <c r="D61" s="1036">
        <f>(Unitflowchart!$S$17*(AllocationEnergy!$H$20/100)*Cultivation!K23)/Unitflowchart!$S$383</f>
        <v>0</v>
      </c>
      <c r="E61" s="1027">
        <f>(Unitflowchart!$S$17*(AllocationEnergy!$H$20/100)*Cultivation!P23)/Unitflowchart!$S$383</f>
        <v>2.6970856445337263</v>
      </c>
      <c r="F61" s="26">
        <f t="shared" ref="F61:F69" si="16">(E61/E$391)*100</f>
        <v>0.33529925054278692</v>
      </c>
      <c r="G61" s="1036">
        <f>(Unitflowchart!$S$17*(AllocationEnergy!$H$20/100)*Cultivation!Q23)/Unitflowchart!$S$383</f>
        <v>0</v>
      </c>
      <c r="H61" s="1027">
        <f>(Unitflowchart!$S$17*(AllocationEnergy!$H$20/100)*Cultivation!V23)/Unitflowchart!$S$383</f>
        <v>5.604333806823326E-4</v>
      </c>
      <c r="I61" s="26">
        <f t="shared" ref="I61:I69" si="17">(H61/H$391)*100</f>
        <v>5.5951402986928543E-2</v>
      </c>
      <c r="J61" s="1036">
        <f>(Unitflowchart!$S$17*(AllocationEnergy!$H$20/100)*Cultivation!W23)/Unitflowchart!$S$383</f>
        <v>0</v>
      </c>
      <c r="K61" s="1027">
        <f>(Unitflowchart!$S$17*(AllocationEnergy!$H$20/100)*Cultivation!AB23)/Unitflowchart!$S$383</f>
        <v>7.2856339488703258E-4</v>
      </c>
      <c r="L61" s="26">
        <f t="shared" ref="L61:L69" si="18">(K61/K$391)*100</f>
        <v>0.33638026122032577</v>
      </c>
      <c r="M61" s="1036">
        <f>(Unitflowchart!$S$17*(AllocationEnergy!$H$20/100)*Cultivation!AC23)/Unitflowchart!$S$383</f>
        <v>0</v>
      </c>
      <c r="N61" s="1028">
        <f>E61+(GlobalWarmingPotentials!$B$11*H61)+(GlobalWarmingPotentials!$C$11*K61)</f>
        <v>2.925630377175982</v>
      </c>
      <c r="O61" s="26">
        <f t="shared" ref="O61:O69" si="19">(N61/N$391)*100</f>
        <v>0.32815843129581107</v>
      </c>
      <c r="P61" s="1031">
        <f>SQRT((G61^2)+((GlobalWarmingPotentials!$B$11*J61)^2)+((GlobalWarmingPotentials!$C$11*M61)^2))</f>
        <v>0</v>
      </c>
    </row>
    <row r="62" spans="1:16" x14ac:dyDescent="0.25">
      <c r="A62" s="979" t="str">
        <f>Cultivation!A24</f>
        <v>ploughing</v>
      </c>
      <c r="B62" s="1027">
        <f>(Unitflowchart!$S$17*(AllocationEnergy!$H$20/100)*Cultivation!J24)/Unitflowchart!$S$383</f>
        <v>37.600836367946258</v>
      </c>
      <c r="C62" s="26">
        <f t="shared" si="15"/>
        <v>0.29047996764772516</v>
      </c>
      <c r="D62" s="1036">
        <f>(Unitflowchart!$S$17*(AllocationEnergy!$H$20/100)*Cultivation!K24)/Unitflowchart!$S$383</f>
        <v>0</v>
      </c>
      <c r="E62" s="1027">
        <f>(Unitflowchart!$S$17*(AllocationEnergy!$H$20/100)*Cultivation!P24)/Unitflowchart!$S$383</f>
        <v>2.6982892826951184</v>
      </c>
      <c r="F62" s="26">
        <f t="shared" si="16"/>
        <v>0.33544888575153803</v>
      </c>
      <c r="G62" s="1036">
        <f>(Unitflowchart!$S$17*(AllocationEnergy!$H$20/100)*Cultivation!Q24)/Unitflowchart!$S$383</f>
        <v>0</v>
      </c>
      <c r="H62" s="1027">
        <f>(Unitflowchart!$S$17*(AllocationEnergy!$H$20/100)*Cultivation!V24)/Unitflowchart!$S$383</f>
        <v>5.6068348731327141E-4</v>
      </c>
      <c r="I62" s="26">
        <f t="shared" si="17"/>
        <v>5.597637262182132E-2</v>
      </c>
      <c r="J62" s="1036">
        <f>(Unitflowchart!$S$17*(AllocationEnergy!$H$20/100)*Cultivation!W24)/Unitflowchart!$S$383</f>
        <v>0</v>
      </c>
      <c r="K62" s="1027">
        <f>(Unitflowchart!$S$17*(AllocationEnergy!$H$20/100)*Cultivation!AB24)/Unitflowchart!$S$383</f>
        <v>7.2888853350725272E-4</v>
      </c>
      <c r="L62" s="26">
        <f t="shared" si="18"/>
        <v>0.33653037885562015</v>
      </c>
      <c r="M62" s="1036">
        <f>(Unitflowchart!$S$17*(AllocationEnergy!$H$20/100)*Cultivation!AC24)/Unitflowchart!$S$383</f>
        <v>0</v>
      </c>
      <c r="N62" s="1028">
        <f>E62+(GlobalWarmingPotentials!$B$11*H62)+(GlobalWarmingPotentials!$C$11*K62)</f>
        <v>2.9269360088214706</v>
      </c>
      <c r="O62" s="26">
        <f t="shared" si="19"/>
        <v>0.32830487974534056</v>
      </c>
      <c r="P62" s="1031">
        <f>SQRT((G62^2)+((GlobalWarmingPotentials!$B$11*J62)^2)+((GlobalWarmingPotentials!$C$11*M62)^2))</f>
        <v>0</v>
      </c>
    </row>
    <row r="63" spans="1:16" x14ac:dyDescent="0.25">
      <c r="A63" s="979" t="str">
        <f>Cultivation!A25</f>
        <v>rotavating/power harrowing</v>
      </c>
      <c r="B63" s="1027">
        <f>(Unitflowchart!$S$17*(AllocationEnergy!$H$20/100)*Cultivation!J25)/Unitflowchart!$S$383</f>
        <v>19.680057099797409</v>
      </c>
      <c r="C63" s="26">
        <f t="shared" si="15"/>
        <v>0.15203551042624791</v>
      </c>
      <c r="D63" s="1036">
        <f>(Unitflowchart!$S$17*(AllocationEnergy!$H$20/100)*Cultivation!K25)/Unitflowchart!$S$383</f>
        <v>0</v>
      </c>
      <c r="E63" s="1027">
        <f>(Unitflowchart!$S$17*(AllocationEnergy!$H$20/100)*Cultivation!P25)/Unitflowchart!$S$383</f>
        <v>1.4122687760339239</v>
      </c>
      <c r="F63" s="26">
        <f t="shared" si="16"/>
        <v>0.17557197826805321</v>
      </c>
      <c r="G63" s="1036">
        <f>(Unitflowchart!$S$17*(AllocationEnergy!$H$20/100)*Cultivation!Q25)/Unitflowchart!$S$383</f>
        <v>0</v>
      </c>
      <c r="H63" s="1027">
        <f>(Unitflowchart!$S$17*(AllocationEnergy!$H$20/100)*Cultivation!V25)/Unitflowchart!$S$383</f>
        <v>2.9345844696808811E-4</v>
      </c>
      <c r="I63" s="26">
        <f t="shared" si="17"/>
        <v>2.9297704940842238E-2</v>
      </c>
      <c r="J63" s="1036">
        <f>(Unitflowchart!$S$17*(AllocationEnergy!$H$20/100)*Cultivation!W25)/Unitflowchart!$S$383</f>
        <v>0</v>
      </c>
      <c r="K63" s="1027">
        <f>(Unitflowchart!$S$17*(AllocationEnergy!$H$20/100)*Cultivation!AB25)/Unitflowchart!$S$383</f>
        <v>3.8149598105851457E-4</v>
      </c>
      <c r="L63" s="26">
        <f t="shared" si="18"/>
        <v>0.1761380254121406</v>
      </c>
      <c r="M63" s="1036">
        <f>(Unitflowchart!$S$17*(AllocationEnergy!$H$20/100)*Cultivation!AC25)/Unitflowchart!$S$383</f>
        <v>0</v>
      </c>
      <c r="N63" s="1028">
        <f>E63+(GlobalWarmingPotentials!$B$11*H63)+(GlobalWarmingPotentials!$C$11*K63)</f>
        <v>1.5319411307075104</v>
      </c>
      <c r="O63" s="26">
        <f t="shared" si="19"/>
        <v>0.17183284744799746</v>
      </c>
      <c r="P63" s="1031">
        <f>SQRT((G63^2)+((GlobalWarmingPotentials!$B$11*J63)^2)+((GlobalWarmingPotentials!$C$11*M63)^2))</f>
        <v>0</v>
      </c>
    </row>
    <row r="64" spans="1:16" x14ac:dyDescent="0.25">
      <c r="A64" s="979" t="str">
        <f>Cultivation!A26</f>
        <v xml:space="preserve">planting </v>
      </c>
      <c r="B64" s="1027">
        <f>(Unitflowchart!$S$17*(AllocationEnergy!$H$20/100)*Cultivation!J26)/Unitflowchart!$S$383</f>
        <v>32.800095166329015</v>
      </c>
      <c r="C64" s="26">
        <f t="shared" si="15"/>
        <v>0.25339251737707985</v>
      </c>
      <c r="D64" s="1036">
        <f>(Unitflowchart!$S$17*(AllocationEnergy!$H$20/100)*Cultivation!K26)/Unitflowchart!$S$383</f>
        <v>0</v>
      </c>
      <c r="E64" s="1027">
        <f>(Unitflowchart!$S$17*(AllocationEnergy!$H$20/100)*Cultivation!P26)/Unitflowchart!$S$383</f>
        <v>2.3537812933898734</v>
      </c>
      <c r="F64" s="26">
        <f t="shared" si="16"/>
        <v>0.2926199637800887</v>
      </c>
      <c r="G64" s="1036">
        <f>(Unitflowchart!$S$17*(AllocationEnergy!$H$20/100)*Cultivation!Q26)/Unitflowchart!$S$383</f>
        <v>0</v>
      </c>
      <c r="H64" s="1027">
        <f>(Unitflowchart!$S$17*(AllocationEnergy!$H$20/100)*Cultivation!V26)/Unitflowchart!$S$383</f>
        <v>4.8909741161348025E-4</v>
      </c>
      <c r="I64" s="26">
        <f t="shared" si="17"/>
        <v>4.8829508234737071E-2</v>
      </c>
      <c r="J64" s="1036">
        <f>(Unitflowchart!$S$17*(AllocationEnergy!$H$20/100)*Cultivation!W26)/Unitflowchart!$S$383</f>
        <v>0</v>
      </c>
      <c r="K64" s="1027">
        <f>(Unitflowchart!$S$17*(AllocationEnergy!$H$20/100)*Cultivation!AB26)/Unitflowchart!$S$383</f>
        <v>6.3582663509752419E-4</v>
      </c>
      <c r="L64" s="26">
        <f t="shared" si="18"/>
        <v>0.293563375686901</v>
      </c>
      <c r="M64" s="1036">
        <f>(Unitflowchart!$S$17*(AllocationEnergy!$H$20/100)*Cultivation!AC26)/Unitflowchart!$S$383</f>
        <v>0</v>
      </c>
      <c r="N64" s="1028">
        <f>E64+(GlobalWarmingPotentials!$B$11*H64)+(GlobalWarmingPotentials!$C$11*K64)</f>
        <v>2.5532352178458506</v>
      </c>
      <c r="O64" s="26">
        <f t="shared" si="19"/>
        <v>0.28638807907999575</v>
      </c>
      <c r="P64" s="1031">
        <f>SQRT((G64^2)+((GlobalWarmingPotentials!$B$11*J64)^2)+((GlobalWarmingPotentials!$C$11*M64)^2))</f>
        <v>0</v>
      </c>
    </row>
    <row r="65" spans="1:16" x14ac:dyDescent="0.25">
      <c r="A65" s="979" t="str">
        <f>Cultivation!A27</f>
        <v>rolling</v>
      </c>
      <c r="B65" s="1027">
        <f>(Unitflowchart!$S$17*(AllocationEnergy!$H$20/100)*Cultivation!J27)/Unitflowchart!$S$383</f>
        <v>5.9040171299392217</v>
      </c>
      <c r="C65" s="26">
        <f t="shared" si="15"/>
        <v>4.5610653127874365E-2</v>
      </c>
      <c r="D65" s="1036">
        <f>(Unitflowchart!$S$17*(AllocationEnergy!$H$20/100)*Cultivation!K27)/Unitflowchart!$S$383</f>
        <v>0</v>
      </c>
      <c r="E65" s="1027">
        <f>(Unitflowchart!$S$17*(AllocationEnergy!$H$20/100)*Cultivation!P27)/Unitflowchart!$S$383</f>
        <v>0.4236806328101772</v>
      </c>
      <c r="F65" s="26">
        <f t="shared" si="16"/>
        <v>5.2671593480415974E-2</v>
      </c>
      <c r="G65" s="1036">
        <f>(Unitflowchart!$S$17*(AllocationEnergy!$H$20/100)*Cultivation!Q27)/Unitflowchart!$S$383</f>
        <v>0</v>
      </c>
      <c r="H65" s="1027">
        <f>(Unitflowchart!$S$17*(AllocationEnergy!$H$20/100)*Cultivation!V27)/Unitflowchart!$S$383</f>
        <v>8.8037534090426424E-5</v>
      </c>
      <c r="I65" s="26">
        <f t="shared" si="17"/>
        <v>8.7893114822526711E-3</v>
      </c>
      <c r="J65" s="1036">
        <f>(Unitflowchart!$S$17*(AllocationEnergy!$H$20/100)*Cultivation!W27)/Unitflowchart!$S$383</f>
        <v>0</v>
      </c>
      <c r="K65" s="1027">
        <f>(Unitflowchart!$S$17*(AllocationEnergy!$H$20/100)*Cultivation!AB27)/Unitflowchart!$S$383</f>
        <v>1.1444879431755436E-4</v>
      </c>
      <c r="L65" s="26">
        <f t="shared" si="18"/>
        <v>5.2841407623642173E-2</v>
      </c>
      <c r="M65" s="1036">
        <f>(Unitflowchart!$S$17*(AllocationEnergy!$H$20/100)*Cultivation!AC27)/Unitflowchart!$S$383</f>
        <v>0</v>
      </c>
      <c r="N65" s="1028">
        <f>E65+(GlobalWarmingPotentials!$B$11*H65)+(GlobalWarmingPotentials!$C$11*K65)</f>
        <v>0.45958233921225311</v>
      </c>
      <c r="O65" s="26">
        <f t="shared" si="19"/>
        <v>5.1549854234399228E-2</v>
      </c>
      <c r="P65" s="1031">
        <f>SQRT((G65^2)+((GlobalWarmingPotentials!$B$11*J65)^2)+((GlobalWarmingPotentials!$C$11*M65)^2))</f>
        <v>0</v>
      </c>
    </row>
    <row r="66" spans="1:16" x14ac:dyDescent="0.25">
      <c r="A66" s="979" t="str">
        <f>Cultivation!A28</f>
        <v>fertilizer application</v>
      </c>
      <c r="B66" s="1027">
        <f>(Unitflowchart!$S$17*(AllocationEnergy!$H$20/100)*Cultivation!J28)/Unitflowchart!$S$383</f>
        <v>147.60042824848057</v>
      </c>
      <c r="C66" s="26">
        <f t="shared" si="15"/>
        <v>1.1402663281968595</v>
      </c>
      <c r="D66" s="1036">
        <f>(Unitflowchart!$S$17*(AllocationEnergy!$H$20/100)*Cultivation!K28)/Unitflowchart!$S$383</f>
        <v>0</v>
      </c>
      <c r="E66" s="1027">
        <f>(Unitflowchart!$S$17*(AllocationEnergy!$H$20/100)*Cultivation!P28)/Unitflowchart!$S$383</f>
        <v>10.59201582025443</v>
      </c>
      <c r="F66" s="26">
        <f t="shared" si="16"/>
        <v>1.3167898370103992</v>
      </c>
      <c r="G66" s="1036">
        <f>(Unitflowchart!$S$17*(AllocationEnergy!$H$20/100)*Cultivation!Q28)/Unitflowchart!$S$383</f>
        <v>0</v>
      </c>
      <c r="H66" s="1027">
        <f>(Unitflowchart!$S$17*(AllocationEnergy!$H$20/100)*Cultivation!V28)/Unitflowchart!$S$383</f>
        <v>2.2009383522606607E-3</v>
      </c>
      <c r="I66" s="26">
        <f t="shared" si="17"/>
        <v>0.21973278705631677</v>
      </c>
      <c r="J66" s="1036">
        <f>(Unitflowchart!$S$17*(AllocationEnergy!$H$20/100)*Cultivation!W28)/Unitflowchart!$S$383</f>
        <v>0</v>
      </c>
      <c r="K66" s="1027">
        <f>(Unitflowchart!$S$17*(AllocationEnergy!$H$20/100)*Cultivation!AB28)/Unitflowchart!$S$383</f>
        <v>2.8612198579388596E-3</v>
      </c>
      <c r="L66" s="26">
        <f t="shared" si="18"/>
        <v>1.3210351905910549</v>
      </c>
      <c r="M66" s="1036">
        <f>(Unitflowchart!$S$17*(AllocationEnergy!$H$20/100)*Cultivation!AC28)/Unitflowchart!$S$383</f>
        <v>0</v>
      </c>
      <c r="N66" s="1028">
        <f>E66+(GlobalWarmingPotentials!$B$11*H66)+(GlobalWarmingPotentials!$C$11*K66)</f>
        <v>11.489558480306327</v>
      </c>
      <c r="O66" s="26">
        <f t="shared" si="19"/>
        <v>1.2887463558599808</v>
      </c>
      <c r="P66" s="1031">
        <f>SQRT((G66^2)+((GlobalWarmingPotentials!$B$11*J66)^2)+((GlobalWarmingPotentials!$C$11*M66)^2))</f>
        <v>0</v>
      </c>
    </row>
    <row r="67" spans="1:16" x14ac:dyDescent="0.25">
      <c r="A67" s="979" t="str">
        <f>Cultivation!A29</f>
        <v>herbicide application</v>
      </c>
      <c r="B67" s="1027">
        <f>(Unitflowchart!$S$17*(AllocationEnergy!$H$20/100)*Cultivation!J29)/Unitflowchart!$S$383</f>
        <v>11.808034259878443</v>
      </c>
      <c r="C67" s="26">
        <f t="shared" si="15"/>
        <v>9.122130625574873E-2</v>
      </c>
      <c r="D67" s="1036">
        <f>(Unitflowchart!$S$17*(AllocationEnergy!$H$20/100)*Cultivation!K29)/Unitflowchart!$S$383</f>
        <v>0</v>
      </c>
      <c r="E67" s="1027">
        <f>(Unitflowchart!$S$17*(AllocationEnergy!$H$20/100)*Cultivation!P29)/Unitflowchart!$S$383</f>
        <v>0.84736126562035441</v>
      </c>
      <c r="F67" s="26">
        <f t="shared" si="16"/>
        <v>0.10534318696083195</v>
      </c>
      <c r="G67" s="1036">
        <f>(Unitflowchart!$S$17*(AllocationEnergy!$H$20/100)*Cultivation!Q29)/Unitflowchart!$S$383</f>
        <v>0</v>
      </c>
      <c r="H67" s="1027">
        <f>(Unitflowchart!$S$17*(AllocationEnergy!$H$20/100)*Cultivation!V29)/Unitflowchart!$S$383</f>
        <v>1.7607506818085285E-4</v>
      </c>
      <c r="I67" s="26">
        <f t="shared" si="17"/>
        <v>1.7578622964505342E-2</v>
      </c>
      <c r="J67" s="1036">
        <f>(Unitflowchart!$S$17*(AllocationEnergy!$H$20/100)*Cultivation!W29)/Unitflowchart!$S$383</f>
        <v>0</v>
      </c>
      <c r="K67" s="1027">
        <f>(Unitflowchart!$S$17*(AllocationEnergy!$H$20/100)*Cultivation!AB29)/Unitflowchart!$S$383</f>
        <v>2.2889758863510871E-4</v>
      </c>
      <c r="L67" s="26">
        <f t="shared" si="18"/>
        <v>0.10568281524728435</v>
      </c>
      <c r="M67" s="1036">
        <f>(Unitflowchart!$S$17*(AllocationEnergy!$H$20/100)*Cultivation!AC29)/Unitflowchart!$S$383</f>
        <v>0</v>
      </c>
      <c r="N67" s="1028">
        <f>E67+(GlobalWarmingPotentials!$B$11*H67)+(GlobalWarmingPotentials!$C$11*K67)</f>
        <v>0.91916467842450622</v>
      </c>
      <c r="O67" s="26">
        <f t="shared" si="19"/>
        <v>0.10309970846879846</v>
      </c>
      <c r="P67" s="1031">
        <f>SQRT((G67^2)+((GlobalWarmingPotentials!$B$11*J67)^2)+((GlobalWarmingPotentials!$C$11*M67)^2))</f>
        <v>0</v>
      </c>
    </row>
    <row r="68" spans="1:16" x14ac:dyDescent="0.25">
      <c r="A68" s="979" t="str">
        <f>Cultivation!A30</f>
        <v>weed cultivating</v>
      </c>
      <c r="B68" s="1027">
        <f>(Unitflowchart!$S$17*(AllocationEnergy!$H$20/100)*Cultivation!J30)/Unitflowchart!$S$383</f>
        <v>5.9040171299392217</v>
      </c>
      <c r="C68" s="26">
        <f t="shared" si="15"/>
        <v>4.5610653127874365E-2</v>
      </c>
      <c r="D68" s="1036">
        <f>(Unitflowchart!$S$17*(AllocationEnergy!$H$20/100)*Cultivation!K30)/Unitflowchart!$S$383</f>
        <v>0</v>
      </c>
      <c r="E68" s="1027">
        <f>(Unitflowchart!$S$17*(AllocationEnergy!$H$20/100)*Cultivation!P30)/Unitflowchart!$S$383</f>
        <v>0.4236806328101772</v>
      </c>
      <c r="F68" s="26">
        <f t="shared" si="16"/>
        <v>5.2671593480415974E-2</v>
      </c>
      <c r="G68" s="1036">
        <f>(Unitflowchart!$S$17*(AllocationEnergy!$H$20/100)*Cultivation!Q30)/Unitflowchart!$S$383</f>
        <v>0</v>
      </c>
      <c r="H68" s="1027">
        <f>(Unitflowchart!$S$17*(AllocationEnergy!$H$20/100)*Cultivation!V30)/Unitflowchart!$S$383</f>
        <v>8.8037534090426424E-5</v>
      </c>
      <c r="I68" s="26">
        <f t="shared" si="17"/>
        <v>8.7893114822526711E-3</v>
      </c>
      <c r="J68" s="1036">
        <f>(Unitflowchart!$S$17*(AllocationEnergy!$H$20/100)*Cultivation!W30)/Unitflowchart!$S$383</f>
        <v>0</v>
      </c>
      <c r="K68" s="1027">
        <f>(Unitflowchart!$S$17*(AllocationEnergy!$H$20/100)*Cultivation!AB30)/Unitflowchart!$S$383</f>
        <v>1.1444879431755436E-4</v>
      </c>
      <c r="L68" s="26">
        <f t="shared" si="18"/>
        <v>5.2841407623642173E-2</v>
      </c>
      <c r="M68" s="1036">
        <f>(Unitflowchart!$S$17*(AllocationEnergy!$H$20/100)*Cultivation!AC30)/Unitflowchart!$S$383</f>
        <v>0</v>
      </c>
      <c r="N68" s="1028">
        <f>E68+(GlobalWarmingPotentials!$B$11*H68)+(GlobalWarmingPotentials!$C$11*K68)</f>
        <v>0.45958233921225311</v>
      </c>
      <c r="O68" s="26">
        <f t="shared" si="19"/>
        <v>5.1549854234399228E-2</v>
      </c>
      <c r="P68" s="1031">
        <f>SQRT((G68^2)+((GlobalWarmingPotentials!$B$11*J68)^2)+((GlobalWarmingPotentials!$C$11*M68)^2))</f>
        <v>0</v>
      </c>
    </row>
    <row r="69" spans="1:16" x14ac:dyDescent="0.25">
      <c r="A69" s="979" t="str">
        <f>Cultivation!A31</f>
        <v>residue removal</v>
      </c>
      <c r="B69" s="1027">
        <f>(Unitflowchart!$S$17*(AllocationEnergy!$H$20/100)*Cultivation!J31)/Unitflowchart!$S$383</f>
        <v>52.480152266126431</v>
      </c>
      <c r="C69" s="26">
        <f t="shared" si="15"/>
        <v>0.40542802780332782</v>
      </c>
      <c r="D69" s="1036">
        <f>(Unitflowchart!$S$17*(AllocationEnergy!$H$20/100)*Cultivation!K31)/Unitflowchart!$S$383</f>
        <v>0</v>
      </c>
      <c r="E69" s="1027">
        <f>(Unitflowchart!$S$17*(AllocationEnergy!$H$20/100)*Cultivation!P31)/Unitflowchart!$S$383</f>
        <v>3.7660500694237977</v>
      </c>
      <c r="F69" s="26">
        <f t="shared" si="16"/>
        <v>0.46819194204814202</v>
      </c>
      <c r="G69" s="1036">
        <f>(Unitflowchart!$S$17*(AllocationEnergy!$H$20/100)*Cultivation!Q31)/Unitflowchart!$S$383</f>
        <v>0</v>
      </c>
      <c r="H69" s="1027">
        <f>(Unitflowchart!$S$17*(AllocationEnergy!$H$20/100)*Cultivation!V31)/Unitflowchart!$S$383</f>
        <v>7.8255585858156835E-4</v>
      </c>
      <c r="I69" s="26">
        <f t="shared" si="17"/>
        <v>7.8127213175579302E-2</v>
      </c>
      <c r="J69" s="1036">
        <f>(Unitflowchart!$S$17*(AllocationEnergy!$H$20/100)*Cultivation!W31)/Unitflowchart!$S$383</f>
        <v>0</v>
      </c>
      <c r="K69" s="1027">
        <f>(Unitflowchart!$S$17*(AllocationEnergy!$H$20/100)*Cultivation!AB31)/Unitflowchart!$S$383</f>
        <v>1.0173226161560389E-3</v>
      </c>
      <c r="L69" s="26">
        <f t="shared" si="18"/>
        <v>0.46970140109904163</v>
      </c>
      <c r="M69" s="1036">
        <f>(Unitflowchart!$S$17*(AllocationEnergy!$H$20/100)*Cultivation!AC31)/Unitflowchart!$S$383</f>
        <v>0</v>
      </c>
      <c r="N69" s="1028">
        <f>E69+(GlobalWarmingPotentials!$B$11*H69)+(GlobalWarmingPotentials!$C$11*K69)</f>
        <v>4.085176348553361</v>
      </c>
      <c r="O69" s="26">
        <f t="shared" si="19"/>
        <v>0.45822092652799318</v>
      </c>
      <c r="P69" s="1031">
        <f>SQRT((G69^2)+((GlobalWarmingPotentials!$B$11*J69)^2)+((GlobalWarmingPotentials!$C$11*M69)^2))</f>
        <v>0</v>
      </c>
    </row>
    <row r="70" spans="1:16" s="43" customFormat="1" x14ac:dyDescent="0.25">
      <c r="A70" s="154"/>
      <c r="B70" s="1029"/>
      <c r="C70" s="992"/>
      <c r="D70" s="1040"/>
      <c r="E70" s="1029"/>
      <c r="F70" s="992"/>
      <c r="G70" s="1040"/>
      <c r="H70" s="1029"/>
      <c r="I70" s="992"/>
      <c r="J70" s="1040"/>
      <c r="K70" s="1029"/>
      <c r="L70" s="992"/>
      <c r="M70" s="1040"/>
      <c r="N70" s="1029"/>
      <c r="O70" s="992"/>
      <c r="P70" s="1030"/>
    </row>
    <row r="71" spans="1:16" s="5" customFormat="1" x14ac:dyDescent="0.25">
      <c r="A71" s="996" t="str">
        <f>Cultivation!A33</f>
        <v>Sub-Totals for Diesel Fuel</v>
      </c>
      <c r="B71" s="1041">
        <f>(Unitflowchart!$S$17*(AllocationEnergy!$H$20/100)*Cultivation!J33)/Unitflowchart!$S$383</f>
        <v>351.36170126044561</v>
      </c>
      <c r="C71" s="997">
        <f>(B71/B$391)*100</f>
        <v>2.7143953558913503</v>
      </c>
      <c r="D71" s="1056">
        <f>(Unitflowchart!$S$17*(AllocationEnergy!$H$20/100)*Cultivation!K33)/Unitflowchart!$S$383</f>
        <v>0</v>
      </c>
      <c r="E71" s="1041">
        <f>(Unitflowchart!$S$17*(AllocationEnergy!$H$20/100)*Cultivation!P33)/Unitflowchart!$S$383</f>
        <v>25.214213417571582</v>
      </c>
      <c r="F71" s="997">
        <f>(E71/E$391)*100</f>
        <v>3.1346082313226726</v>
      </c>
      <c r="G71" s="1056">
        <f>(Unitflowchart!$S$17*(AllocationEnergy!$H$20/100)*Cultivation!Q33)/Unitflowchart!$S$383</f>
        <v>0</v>
      </c>
      <c r="H71" s="1041">
        <f>(Unitflowchart!$S$17*(AllocationEnergy!$H$20/100)*Cultivation!V33)/Unitflowchart!$S$383</f>
        <v>5.2393170737811082E-3</v>
      </c>
      <c r="I71" s="997">
        <f>(H71/H$391)*100</f>
        <v>0.52307223494523603</v>
      </c>
      <c r="J71" s="1056">
        <f>(Unitflowchart!$S$17*(AllocationEnergy!$H$20/100)*Cultivation!W33)/Unitflowchart!$S$383</f>
        <v>0</v>
      </c>
      <c r="K71" s="1041">
        <f>(Unitflowchart!$S$17*(AllocationEnergy!$H$20/100)*Cultivation!AB33)/Unitflowchart!$S$383</f>
        <v>6.8111121959154395E-3</v>
      </c>
      <c r="L71" s="997">
        <f>(K71/K$391)*100</f>
        <v>3.1447142633596528</v>
      </c>
      <c r="M71" s="1056">
        <f>(Unitflowchart!$S$17*(AllocationEnergy!$H$20/100)*Cultivation!AC33)/Unitflowchart!$S$383</f>
        <v>0</v>
      </c>
      <c r="N71" s="1032">
        <f>E71+(GlobalWarmingPotentials!$B$11*H71)+(GlobalWarmingPotentials!$C$11*K71)</f>
        <v>27.350806920259515</v>
      </c>
      <c r="O71" s="997">
        <f>(N71/N$391)*100</f>
        <v>3.0678509368947156</v>
      </c>
      <c r="P71" s="1033">
        <f>SQRT((G71^2)+((GlobalWarmingPotentials!$B$11*J71)^2)+((GlobalWarmingPotentials!$C$11*M71)^2))</f>
        <v>0</v>
      </c>
    </row>
    <row r="72" spans="1:16" s="43" customFormat="1" x14ac:dyDescent="0.25">
      <c r="A72" s="154"/>
      <c r="B72" s="1029"/>
      <c r="C72" s="992"/>
      <c r="D72" s="1040"/>
      <c r="E72" s="1029"/>
      <c r="F72" s="992"/>
      <c r="G72" s="1040"/>
      <c r="H72" s="1029"/>
      <c r="I72" s="992"/>
      <c r="J72" s="1040"/>
      <c r="K72" s="1029"/>
      <c r="L72" s="992"/>
      <c r="M72" s="1040"/>
      <c r="N72" s="1029"/>
      <c r="O72" s="992"/>
      <c r="P72" s="1030"/>
    </row>
    <row r="73" spans="1:16" x14ac:dyDescent="0.25">
      <c r="A73" s="154" t="str">
        <f>Cultivation!A35</f>
        <v>Machinery:</v>
      </c>
      <c r="B73" s="1029"/>
      <c r="C73" s="992"/>
      <c r="D73" s="1040"/>
      <c r="E73" s="1029"/>
      <c r="F73" s="992"/>
      <c r="G73" s="1040"/>
      <c r="H73" s="1029"/>
      <c r="I73" s="992"/>
      <c r="J73" s="1040"/>
      <c r="K73" s="1029"/>
      <c r="L73" s="992"/>
      <c r="M73" s="1040"/>
      <c r="N73" s="1029"/>
      <c r="O73" s="992"/>
      <c r="P73" s="1030"/>
    </row>
    <row r="74" spans="1:16" x14ac:dyDescent="0.25">
      <c r="A74" s="979" t="str">
        <f>Cultivation!A36</f>
        <v>subsoiling</v>
      </c>
      <c r="B74" s="1027">
        <f>(Unitflowchart!$S$17*(AllocationEnergy!$H$20/100)*Cultivation!J36)/Unitflowchart!$S$383</f>
        <v>0</v>
      </c>
      <c r="C74" s="26">
        <f t="shared" ref="C74:C82" si="20">(B74/B$391)*100</f>
        <v>0</v>
      </c>
      <c r="D74" s="1036">
        <f>(Unitflowchart!$S$17*(AllocationEnergy!$H$20/100)*Cultivation!K36)/Unitflowchart!$S$383</f>
        <v>0</v>
      </c>
      <c r="E74" s="1027">
        <f>(Unitflowchart!$S$17*(AllocationEnergy!$H$20/100)*Cultivation!P36)/Unitflowchart!$S$383</f>
        <v>0</v>
      </c>
      <c r="F74" s="26">
        <f t="shared" ref="F74:F82" si="21">(E74/E$391)*100</f>
        <v>0</v>
      </c>
      <c r="G74" s="1036">
        <f>(Unitflowchart!$S$17*(AllocationEnergy!$H$20/100)*Cultivation!Q36)/Unitflowchart!$S$383</f>
        <v>0</v>
      </c>
      <c r="H74" s="1027">
        <f>(Unitflowchart!$S$17*(AllocationEnergy!$H$20/100)*Cultivation!V36)/Unitflowchart!$S$383</f>
        <v>0</v>
      </c>
      <c r="I74" s="26">
        <f t="shared" ref="I74:I82" si="22">(H74/H$391)*100</f>
        <v>0</v>
      </c>
      <c r="J74" s="1036">
        <f>(Unitflowchart!$S$17*(AllocationEnergy!$H$20/100)*Cultivation!W36)/Unitflowchart!$S$383</f>
        <v>0</v>
      </c>
      <c r="K74" s="1027">
        <f>(Unitflowchart!$S$17*(AllocationEnergy!$H$20/100)*Cultivation!AB36)/Unitflowchart!$S$383</f>
        <v>0</v>
      </c>
      <c r="L74" s="26">
        <f t="shared" ref="L74:L82" si="23">(K74/K$391)*100</f>
        <v>0</v>
      </c>
      <c r="M74" s="1036">
        <f>(Unitflowchart!$S$17*(AllocationEnergy!$H$20/100)*Cultivation!AC36)/Unitflowchart!$S$383</f>
        <v>0</v>
      </c>
      <c r="N74" s="1028">
        <f>E74+(GlobalWarmingPotentials!$B$11*H74)+(GlobalWarmingPotentials!$C$11*K74)</f>
        <v>0</v>
      </c>
      <c r="O74" s="26">
        <f t="shared" ref="O74:O82" si="24">(N74/N$391)*100</f>
        <v>0</v>
      </c>
      <c r="P74" s="1031">
        <f>SQRT((G74^2)+((GlobalWarmingPotentials!$B$11*J74)^2)+((GlobalWarmingPotentials!$C$11*M74)^2))</f>
        <v>0</v>
      </c>
    </row>
    <row r="75" spans="1:16" x14ac:dyDescent="0.25">
      <c r="A75" s="979" t="str">
        <f>Cultivation!A37</f>
        <v>ploughing</v>
      </c>
      <c r="B75" s="1027">
        <f>(Unitflowchart!$S$17*(AllocationEnergy!$H$20/100)*Cultivation!J37)/Unitflowchart!$S$383</f>
        <v>0</v>
      </c>
      <c r="C75" s="26">
        <f t="shared" si="20"/>
        <v>0</v>
      </c>
      <c r="D75" s="1036">
        <f>(Unitflowchart!$S$17*(AllocationEnergy!$H$20/100)*Cultivation!K37)/Unitflowchart!$S$383</f>
        <v>0</v>
      </c>
      <c r="E75" s="1027">
        <f>(Unitflowchart!$S$17*(AllocationEnergy!$H$20/100)*Cultivation!P37)/Unitflowchart!$S$383</f>
        <v>0</v>
      </c>
      <c r="F75" s="26">
        <f t="shared" si="21"/>
        <v>0</v>
      </c>
      <c r="G75" s="1036">
        <f>(Unitflowchart!$S$17*(AllocationEnergy!$H$20/100)*Cultivation!Q37)/Unitflowchart!$S$383</f>
        <v>0</v>
      </c>
      <c r="H75" s="1027">
        <f>(Unitflowchart!$S$17*(AllocationEnergy!$H$20/100)*Cultivation!V37)/Unitflowchart!$S$383</f>
        <v>0</v>
      </c>
      <c r="I75" s="26">
        <f t="shared" si="22"/>
        <v>0</v>
      </c>
      <c r="J75" s="1036">
        <f>(Unitflowchart!$S$17*(AllocationEnergy!$H$20/100)*Cultivation!W37)/Unitflowchart!$S$383</f>
        <v>0</v>
      </c>
      <c r="K75" s="1027">
        <f>(Unitflowchart!$S$17*(AllocationEnergy!$H$20/100)*Cultivation!AB37)/Unitflowchart!$S$383</f>
        <v>0</v>
      </c>
      <c r="L75" s="26">
        <f t="shared" si="23"/>
        <v>0</v>
      </c>
      <c r="M75" s="1036">
        <f>(Unitflowchart!$S$17*(AllocationEnergy!$H$20/100)*Cultivation!AC37)/Unitflowchart!$S$383</f>
        <v>0</v>
      </c>
      <c r="N75" s="1028">
        <f>E75+(GlobalWarmingPotentials!$B$11*H75)+(GlobalWarmingPotentials!$C$11*K75)</f>
        <v>0</v>
      </c>
      <c r="O75" s="26">
        <f t="shared" si="24"/>
        <v>0</v>
      </c>
      <c r="P75" s="1031">
        <f>SQRT((G75^2)+((GlobalWarmingPotentials!$B$11*J75)^2)+((GlobalWarmingPotentials!$C$11*M75)^2))</f>
        <v>0</v>
      </c>
    </row>
    <row r="76" spans="1:16" x14ac:dyDescent="0.25">
      <c r="A76" s="979" t="str">
        <f>Cultivation!A38</f>
        <v>rotavating/power harrowing</v>
      </c>
      <c r="B76" s="1027">
        <f>(Unitflowchart!$S$17*(AllocationEnergy!$H$20/100)*Cultivation!J38)/Unitflowchart!$S$383</f>
        <v>0</v>
      </c>
      <c r="C76" s="26">
        <f t="shared" si="20"/>
        <v>0</v>
      </c>
      <c r="D76" s="1036">
        <f>(Unitflowchart!$S$17*(AllocationEnergy!$H$20/100)*Cultivation!K38)/Unitflowchart!$S$383</f>
        <v>0</v>
      </c>
      <c r="E76" s="1027">
        <f>(Unitflowchart!$S$17*(AllocationEnergy!$H$20/100)*Cultivation!P38)/Unitflowchart!$S$383</f>
        <v>0</v>
      </c>
      <c r="F76" s="26">
        <f t="shared" si="21"/>
        <v>0</v>
      </c>
      <c r="G76" s="1036">
        <f>(Unitflowchart!$S$17*(AllocationEnergy!$H$20/100)*Cultivation!Q38)/Unitflowchart!$S$383</f>
        <v>0</v>
      </c>
      <c r="H76" s="1027">
        <f>(Unitflowchart!$S$17*(AllocationEnergy!$H$20/100)*Cultivation!V38)/Unitflowchart!$S$383</f>
        <v>0</v>
      </c>
      <c r="I76" s="26">
        <f t="shared" si="22"/>
        <v>0</v>
      </c>
      <c r="J76" s="1036">
        <f>(Unitflowchart!$S$17*(AllocationEnergy!$H$20/100)*Cultivation!W38)/Unitflowchart!$S$383</f>
        <v>0</v>
      </c>
      <c r="K76" s="1027">
        <f>(Unitflowchart!$S$17*(AllocationEnergy!$H$20/100)*Cultivation!AB38)/Unitflowchart!$S$383</f>
        <v>0</v>
      </c>
      <c r="L76" s="26">
        <f t="shared" si="23"/>
        <v>0</v>
      </c>
      <c r="M76" s="1036">
        <f>(Unitflowchart!$S$17*(AllocationEnergy!$H$20/100)*Cultivation!AC38)/Unitflowchart!$S$383</f>
        <v>0</v>
      </c>
      <c r="N76" s="1028">
        <f>E76+(GlobalWarmingPotentials!$B$11*H76)+(GlobalWarmingPotentials!$C$11*K76)</f>
        <v>0</v>
      </c>
      <c r="O76" s="26">
        <f t="shared" si="24"/>
        <v>0</v>
      </c>
      <c r="P76" s="1031">
        <f>SQRT((G76^2)+((GlobalWarmingPotentials!$B$11*J76)^2)+((GlobalWarmingPotentials!$C$11*M76)^2))</f>
        <v>0</v>
      </c>
    </row>
    <row r="77" spans="1:16" x14ac:dyDescent="0.25">
      <c r="A77" s="979" t="str">
        <f>Cultivation!A39</f>
        <v xml:space="preserve">planting </v>
      </c>
      <c r="B77" s="1027">
        <f>(Unitflowchart!$S$17*(AllocationEnergy!$H$20/100)*Cultivation!J39)/Unitflowchart!$S$383</f>
        <v>0</v>
      </c>
      <c r="C77" s="26">
        <f t="shared" si="20"/>
        <v>0</v>
      </c>
      <c r="D77" s="1036">
        <f>(Unitflowchart!$S$17*(AllocationEnergy!$H$20/100)*Cultivation!K39)/Unitflowchart!$S$383</f>
        <v>0</v>
      </c>
      <c r="E77" s="1027">
        <f>(Unitflowchart!$S$17*(AllocationEnergy!$H$20/100)*Cultivation!P39)/Unitflowchart!$S$383</f>
        <v>0</v>
      </c>
      <c r="F77" s="26">
        <f t="shared" si="21"/>
        <v>0</v>
      </c>
      <c r="G77" s="1036">
        <f>(Unitflowchart!$S$17*(AllocationEnergy!$H$20/100)*Cultivation!Q39)/Unitflowchart!$S$383</f>
        <v>0</v>
      </c>
      <c r="H77" s="1027">
        <f>(Unitflowchart!$S$17*(AllocationEnergy!$H$20/100)*Cultivation!V39)/Unitflowchart!$S$383</f>
        <v>0</v>
      </c>
      <c r="I77" s="26">
        <f t="shared" si="22"/>
        <v>0</v>
      </c>
      <c r="J77" s="1036">
        <f>(Unitflowchart!$S$17*(AllocationEnergy!$H$20/100)*Cultivation!W39)/Unitflowchart!$S$383</f>
        <v>0</v>
      </c>
      <c r="K77" s="1027">
        <f>(Unitflowchart!$S$17*(AllocationEnergy!$H$20/100)*Cultivation!AB39)/Unitflowchart!$S$383</f>
        <v>0</v>
      </c>
      <c r="L77" s="26">
        <f t="shared" si="23"/>
        <v>0</v>
      </c>
      <c r="M77" s="1036">
        <f>(Unitflowchart!$S$17*(AllocationEnergy!$H$20/100)*Cultivation!AC39)/Unitflowchart!$S$383</f>
        <v>0</v>
      </c>
      <c r="N77" s="1028">
        <f>E77+(GlobalWarmingPotentials!$B$11*H77)+(GlobalWarmingPotentials!$C$11*K77)</f>
        <v>0</v>
      </c>
      <c r="O77" s="26">
        <f t="shared" si="24"/>
        <v>0</v>
      </c>
      <c r="P77" s="1031">
        <f>SQRT((G77^2)+((GlobalWarmingPotentials!$B$11*J77)^2)+((GlobalWarmingPotentials!$C$11*M77)^2))</f>
        <v>0</v>
      </c>
    </row>
    <row r="78" spans="1:16" x14ac:dyDescent="0.25">
      <c r="A78" s="979" t="str">
        <f>Cultivation!A40</f>
        <v>rolling</v>
      </c>
      <c r="B78" s="1027">
        <f>(Unitflowchart!$S$17*(AllocationEnergy!$H$20/100)*Cultivation!J40)/Unitflowchart!$S$383</f>
        <v>0</v>
      </c>
      <c r="C78" s="26">
        <f t="shared" si="20"/>
        <v>0</v>
      </c>
      <c r="D78" s="1036">
        <f>(Unitflowchart!$S$17*(AllocationEnergy!$H$20/100)*Cultivation!K40)/Unitflowchart!$S$383</f>
        <v>0</v>
      </c>
      <c r="E78" s="1027">
        <f>(Unitflowchart!$S$17*(AllocationEnergy!$H$20/100)*Cultivation!P40)/Unitflowchart!$S$383</f>
        <v>0</v>
      </c>
      <c r="F78" s="26">
        <f t="shared" si="21"/>
        <v>0</v>
      </c>
      <c r="G78" s="1036">
        <f>(Unitflowchart!$S$17*(AllocationEnergy!$H$20/100)*Cultivation!Q40)/Unitflowchart!$S$383</f>
        <v>0</v>
      </c>
      <c r="H78" s="1027">
        <f>(Unitflowchart!$S$17*(AllocationEnergy!$H$20/100)*Cultivation!V40)/Unitflowchart!$S$383</f>
        <v>0</v>
      </c>
      <c r="I78" s="26">
        <f t="shared" si="22"/>
        <v>0</v>
      </c>
      <c r="J78" s="1036">
        <f>(Unitflowchart!$S$17*(AllocationEnergy!$H$20/100)*Cultivation!W40)/Unitflowchart!$S$383</f>
        <v>0</v>
      </c>
      <c r="K78" s="1027">
        <f>(Unitflowchart!$S$17*(AllocationEnergy!$H$20/100)*Cultivation!AB40)/Unitflowchart!$S$383</f>
        <v>0</v>
      </c>
      <c r="L78" s="26">
        <f t="shared" si="23"/>
        <v>0</v>
      </c>
      <c r="M78" s="1036">
        <f>(Unitflowchart!$S$17*(AllocationEnergy!$H$20/100)*Cultivation!AC40)/Unitflowchart!$S$383</f>
        <v>0</v>
      </c>
      <c r="N78" s="1028">
        <f>E78+(GlobalWarmingPotentials!$B$11*H78)+(GlobalWarmingPotentials!$C$11*K78)</f>
        <v>0</v>
      </c>
      <c r="O78" s="26">
        <f t="shared" si="24"/>
        <v>0</v>
      </c>
      <c r="P78" s="1031">
        <f>SQRT((G78^2)+((GlobalWarmingPotentials!$B$11*J78)^2)+((GlobalWarmingPotentials!$C$11*M78)^2))</f>
        <v>0</v>
      </c>
    </row>
    <row r="79" spans="1:16" x14ac:dyDescent="0.25">
      <c r="A79" s="979" t="str">
        <f>Cultivation!A41</f>
        <v>fertilizer application</v>
      </c>
      <c r="B79" s="1027">
        <f>(Unitflowchart!$S$17*(AllocationEnergy!$H$20/100)*Cultivation!J41)/Unitflowchart!$S$383</f>
        <v>0</v>
      </c>
      <c r="C79" s="26">
        <f t="shared" si="20"/>
        <v>0</v>
      </c>
      <c r="D79" s="1036">
        <f>(Unitflowchart!$S$17*(AllocationEnergy!$H$20/100)*Cultivation!K41)/Unitflowchart!$S$383</f>
        <v>0</v>
      </c>
      <c r="E79" s="1027">
        <f>(Unitflowchart!$S$17*(AllocationEnergy!$H$20/100)*Cultivation!P41)/Unitflowchart!$S$383</f>
        <v>0</v>
      </c>
      <c r="F79" s="26">
        <f t="shared" si="21"/>
        <v>0</v>
      </c>
      <c r="G79" s="1036">
        <f>(Unitflowchart!$S$17*(AllocationEnergy!$H$20/100)*Cultivation!Q41)/Unitflowchart!$S$383</f>
        <v>0</v>
      </c>
      <c r="H79" s="1027">
        <f>(Unitflowchart!$S$17*(AllocationEnergy!$H$20/100)*Cultivation!V41)/Unitflowchart!$S$383</f>
        <v>0</v>
      </c>
      <c r="I79" s="26">
        <f t="shared" si="22"/>
        <v>0</v>
      </c>
      <c r="J79" s="1036">
        <f>(Unitflowchart!$S$17*(AllocationEnergy!$H$20/100)*Cultivation!W41)/Unitflowchart!$S$383</f>
        <v>0</v>
      </c>
      <c r="K79" s="1027">
        <f>(Unitflowchart!$S$17*(AllocationEnergy!$H$20/100)*Cultivation!AB41)/Unitflowchart!$S$383</f>
        <v>0</v>
      </c>
      <c r="L79" s="26">
        <f t="shared" si="23"/>
        <v>0</v>
      </c>
      <c r="M79" s="1036">
        <f>(Unitflowchart!$S$17*(AllocationEnergy!$H$20/100)*Cultivation!AC41)/Unitflowchart!$S$383</f>
        <v>0</v>
      </c>
      <c r="N79" s="1028">
        <f>E79+(GlobalWarmingPotentials!$B$11*H79)+(GlobalWarmingPotentials!$C$11*K79)</f>
        <v>0</v>
      </c>
      <c r="O79" s="26">
        <f t="shared" si="24"/>
        <v>0</v>
      </c>
      <c r="P79" s="1031">
        <f>SQRT((G79^2)+((GlobalWarmingPotentials!$B$11*J79)^2)+((GlobalWarmingPotentials!$C$11*M79)^2))</f>
        <v>0</v>
      </c>
    </row>
    <row r="80" spans="1:16" x14ac:dyDescent="0.25">
      <c r="A80" s="979" t="str">
        <f>Cultivation!A42</f>
        <v>herbicide application</v>
      </c>
      <c r="B80" s="1027">
        <f>(Unitflowchart!$S$17*(AllocationEnergy!$H$20/100)*Cultivation!J42)/Unitflowchart!$S$383</f>
        <v>0</v>
      </c>
      <c r="C80" s="26">
        <f t="shared" si="20"/>
        <v>0</v>
      </c>
      <c r="D80" s="1036">
        <f>(Unitflowchart!$S$17*(AllocationEnergy!$H$20/100)*Cultivation!K42)/Unitflowchart!$S$383</f>
        <v>0</v>
      </c>
      <c r="E80" s="1027">
        <f>(Unitflowchart!$S$17*(AllocationEnergy!$H$20/100)*Cultivation!P42)/Unitflowchart!$S$383</f>
        <v>0</v>
      </c>
      <c r="F80" s="26">
        <f t="shared" si="21"/>
        <v>0</v>
      </c>
      <c r="G80" s="1036">
        <f>(Unitflowchart!$S$17*(AllocationEnergy!$H$20/100)*Cultivation!Q42)/Unitflowchart!$S$383</f>
        <v>0</v>
      </c>
      <c r="H80" s="1027">
        <f>(Unitflowchart!$S$17*(AllocationEnergy!$H$20/100)*Cultivation!V42)/Unitflowchart!$S$383</f>
        <v>0</v>
      </c>
      <c r="I80" s="26">
        <f t="shared" si="22"/>
        <v>0</v>
      </c>
      <c r="J80" s="1036">
        <f>(Unitflowchart!$S$17*(AllocationEnergy!$H$20/100)*Cultivation!W42)/Unitflowchart!$S$383</f>
        <v>0</v>
      </c>
      <c r="K80" s="1027">
        <f>(Unitflowchart!$S$17*(AllocationEnergy!$H$20/100)*Cultivation!AB42)/Unitflowchart!$S$383</f>
        <v>0</v>
      </c>
      <c r="L80" s="26">
        <f t="shared" si="23"/>
        <v>0</v>
      </c>
      <c r="M80" s="1036">
        <f>(Unitflowchart!$S$17*(AllocationEnergy!$H$20/100)*Cultivation!AC42)/Unitflowchart!$S$383</f>
        <v>0</v>
      </c>
      <c r="N80" s="1028">
        <f>E80+(GlobalWarmingPotentials!$B$11*H80)+(GlobalWarmingPotentials!$C$11*K80)</f>
        <v>0</v>
      </c>
      <c r="O80" s="26">
        <f t="shared" si="24"/>
        <v>0</v>
      </c>
      <c r="P80" s="1031">
        <f>SQRT((G80^2)+((GlobalWarmingPotentials!$B$11*J80)^2)+((GlobalWarmingPotentials!$C$11*M80)^2))</f>
        <v>0</v>
      </c>
    </row>
    <row r="81" spans="1:16" x14ac:dyDescent="0.25">
      <c r="A81" s="979" t="str">
        <f>Cultivation!A43</f>
        <v>weed cultivating</v>
      </c>
      <c r="B81" s="1027">
        <f>(Unitflowchart!$S$17*(AllocationEnergy!$H$20/100)*Cultivation!J43)/Unitflowchart!$S$383</f>
        <v>0</v>
      </c>
      <c r="C81" s="26">
        <f t="shared" si="20"/>
        <v>0</v>
      </c>
      <c r="D81" s="1036">
        <f>(Unitflowchart!$S$17*(AllocationEnergy!$H$20/100)*Cultivation!K43)/Unitflowchart!$S$383</f>
        <v>0</v>
      </c>
      <c r="E81" s="1027">
        <f>(Unitflowchart!$S$17*(AllocationEnergy!$H$20/100)*Cultivation!P43)/Unitflowchart!$S$383</f>
        <v>0</v>
      </c>
      <c r="F81" s="26">
        <f t="shared" si="21"/>
        <v>0</v>
      </c>
      <c r="G81" s="1036">
        <f>(Unitflowchart!$S$17*(AllocationEnergy!$H$20/100)*Cultivation!Q43)/Unitflowchart!$S$383</f>
        <v>0</v>
      </c>
      <c r="H81" s="1027">
        <f>(Unitflowchart!$S$17*(AllocationEnergy!$H$20/100)*Cultivation!V43)/Unitflowchart!$S$383</f>
        <v>0</v>
      </c>
      <c r="I81" s="26">
        <f t="shared" si="22"/>
        <v>0</v>
      </c>
      <c r="J81" s="1036">
        <f>(Unitflowchart!$S$17*(AllocationEnergy!$H$20/100)*Cultivation!W43)/Unitflowchart!$S$383</f>
        <v>0</v>
      </c>
      <c r="K81" s="1027">
        <f>(Unitflowchart!$S$17*(AllocationEnergy!$H$20/100)*Cultivation!AB43)/Unitflowchart!$S$383</f>
        <v>0</v>
      </c>
      <c r="L81" s="26">
        <f t="shared" si="23"/>
        <v>0</v>
      </c>
      <c r="M81" s="1036">
        <f>(Unitflowchart!$S$17*(AllocationEnergy!$H$20/100)*Cultivation!AC43)/Unitflowchart!$S$383</f>
        <v>0</v>
      </c>
      <c r="N81" s="1028">
        <f>E81+(GlobalWarmingPotentials!$B$11*H81)+(GlobalWarmingPotentials!$C$11*K81)</f>
        <v>0</v>
      </c>
      <c r="O81" s="26">
        <f t="shared" si="24"/>
        <v>0</v>
      </c>
      <c r="P81" s="1031">
        <f>SQRT((G81^2)+((GlobalWarmingPotentials!$B$11*J81)^2)+((GlobalWarmingPotentials!$C$11*M81)^2))</f>
        <v>0</v>
      </c>
    </row>
    <row r="82" spans="1:16" x14ac:dyDescent="0.25">
      <c r="A82" s="979" t="str">
        <f>Cultivation!A44</f>
        <v>residue removal</v>
      </c>
      <c r="B82" s="1027">
        <f>(Unitflowchart!$S$17*(AllocationEnergy!$H$20/100)*Cultivation!J44)/Unitflowchart!$S$383</f>
        <v>0</v>
      </c>
      <c r="C82" s="26">
        <f t="shared" si="20"/>
        <v>0</v>
      </c>
      <c r="D82" s="1036">
        <f>(Unitflowchart!$S$17*(AllocationEnergy!$H$20/100)*Cultivation!K44)/Unitflowchart!$S$383</f>
        <v>0</v>
      </c>
      <c r="E82" s="1027">
        <f>(Unitflowchart!$S$17*(AllocationEnergy!$H$20/100)*Cultivation!P44)/Unitflowchart!$S$383</f>
        <v>0</v>
      </c>
      <c r="F82" s="26">
        <f t="shared" si="21"/>
        <v>0</v>
      </c>
      <c r="G82" s="1036">
        <f>(Unitflowchart!$S$17*(AllocationEnergy!$H$20/100)*Cultivation!Q44)/Unitflowchart!$S$383</f>
        <v>0</v>
      </c>
      <c r="H82" s="1027">
        <f>(Unitflowchart!$S$17*(AllocationEnergy!$H$20/100)*Cultivation!V44)/Unitflowchart!$S$383</f>
        <v>0</v>
      </c>
      <c r="I82" s="26">
        <f t="shared" si="22"/>
        <v>0</v>
      </c>
      <c r="J82" s="1036">
        <f>(Unitflowchart!$S$17*(AllocationEnergy!$H$20/100)*Cultivation!W44)/Unitflowchart!$S$383</f>
        <v>0</v>
      </c>
      <c r="K82" s="1027">
        <f>(Unitflowchart!$S$17*(AllocationEnergy!$H$20/100)*Cultivation!AB44)/Unitflowchart!$S$383</f>
        <v>0</v>
      </c>
      <c r="L82" s="26">
        <f t="shared" si="23"/>
        <v>0</v>
      </c>
      <c r="M82" s="1036">
        <f>(Unitflowchart!$S$17*(AllocationEnergy!$H$20/100)*Cultivation!AC44)/Unitflowchart!$S$383</f>
        <v>0</v>
      </c>
      <c r="N82" s="1028">
        <f>E82+(GlobalWarmingPotentials!$B$11*H82)+(GlobalWarmingPotentials!$C$11*K82)</f>
        <v>0</v>
      </c>
      <c r="O82" s="26">
        <f t="shared" si="24"/>
        <v>0</v>
      </c>
      <c r="P82" s="1031">
        <f>SQRT((G82^2)+((GlobalWarmingPotentials!$B$11*J82)^2)+((GlobalWarmingPotentials!$C$11*M82)^2))</f>
        <v>0</v>
      </c>
    </row>
    <row r="83" spans="1:16" s="43" customFormat="1" x14ac:dyDescent="0.25">
      <c r="A83" s="154"/>
      <c r="B83" s="1029"/>
      <c r="C83" s="992"/>
      <c r="D83" s="1040"/>
      <c r="E83" s="1029"/>
      <c r="F83" s="992"/>
      <c r="G83" s="1040"/>
      <c r="H83" s="1029"/>
      <c r="I83" s="992"/>
      <c r="J83" s="1040"/>
      <c r="K83" s="1029"/>
      <c r="L83" s="992"/>
      <c r="M83" s="1040"/>
      <c r="N83" s="1029"/>
      <c r="O83" s="992"/>
      <c r="P83" s="1030"/>
    </row>
    <row r="84" spans="1:16" s="5" customFormat="1" x14ac:dyDescent="0.25">
      <c r="A84" s="996" t="str">
        <f>Cultivation!A46</f>
        <v>Sub-Totals for Machinery</v>
      </c>
      <c r="B84" s="1041">
        <f>(Unitflowchart!$S$17*(AllocationEnergy!$H$20/100)*Cultivation!J46)/Unitflowchart!$S$383</f>
        <v>0</v>
      </c>
      <c r="C84" s="997">
        <f>(B84/B$391)*100</f>
        <v>0</v>
      </c>
      <c r="D84" s="1056">
        <f>(Unitflowchart!$S$17*(AllocationEnergy!$H$20/100)*Cultivation!K46)/Unitflowchart!$S$383</f>
        <v>0</v>
      </c>
      <c r="E84" s="1041">
        <f>(Unitflowchart!$S$17*(AllocationEnergy!$H$20/100)*Cultivation!P46)/Unitflowchart!$S$383</f>
        <v>0</v>
      </c>
      <c r="F84" s="997">
        <f>(E84/E$391)*100</f>
        <v>0</v>
      </c>
      <c r="G84" s="1056">
        <f>(Unitflowchart!$S$17*(AllocationEnergy!$H$20/100)*Cultivation!Q46)/Unitflowchart!$S$383</f>
        <v>0</v>
      </c>
      <c r="H84" s="1041">
        <f>(Unitflowchart!$S$17*(AllocationEnergy!$H$20/100)*Cultivation!V46)/Unitflowchart!$S$383</f>
        <v>0</v>
      </c>
      <c r="I84" s="997">
        <f>(H84/H$391)*100</f>
        <v>0</v>
      </c>
      <c r="J84" s="1056">
        <f>(Unitflowchart!$S$17*(AllocationEnergy!$H$20/100)*Cultivation!W46)/Unitflowchart!$S$383</f>
        <v>0</v>
      </c>
      <c r="K84" s="1041">
        <f>(Unitflowchart!$S$17*(AllocationEnergy!$H$20/100)*Cultivation!AB46)/Unitflowchart!$S$383</f>
        <v>0</v>
      </c>
      <c r="L84" s="997">
        <f>(K84/K$391)*100</f>
        <v>0</v>
      </c>
      <c r="M84" s="1056">
        <f>(Unitflowchart!$S$17*(AllocationEnergy!$H$20/100)*Cultivation!AC46)/Unitflowchart!$S$383</f>
        <v>0</v>
      </c>
      <c r="N84" s="1032">
        <f>E84+(GlobalWarmingPotentials!$B$11*H84)+(GlobalWarmingPotentials!$C$11*K84)</f>
        <v>0</v>
      </c>
      <c r="O84" s="997">
        <f>(N84/N$391)*100</f>
        <v>0</v>
      </c>
      <c r="P84" s="1033">
        <f>SQRT((G84^2)+((GlobalWarmingPotentials!$B$11*J84)^2)+((GlobalWarmingPotentials!$C$11*M84)^2))</f>
        <v>0</v>
      </c>
    </row>
    <row r="85" spans="1:16" s="907" customFormat="1" x14ac:dyDescent="0.25">
      <c r="A85" s="154"/>
      <c r="B85" s="1029"/>
      <c r="C85" s="992"/>
      <c r="D85" s="1040"/>
      <c r="E85" s="1029"/>
      <c r="F85" s="992"/>
      <c r="G85" s="1040"/>
      <c r="H85" s="1029"/>
      <c r="I85" s="992"/>
      <c r="J85" s="1040"/>
      <c r="K85" s="1029"/>
      <c r="L85" s="992"/>
      <c r="M85" s="1040"/>
      <c r="N85" s="1029"/>
      <c r="O85" s="992"/>
      <c r="P85" s="1030"/>
    </row>
    <row r="86" spans="1:16" s="5" customFormat="1" x14ac:dyDescent="0.25">
      <c r="A86" s="154" t="str">
        <f>Cultivation!A48</f>
        <v>Maintenance:</v>
      </c>
      <c r="B86" s="1029"/>
      <c r="C86" s="992"/>
      <c r="D86" s="1040"/>
      <c r="E86" s="1029"/>
      <c r="F86" s="992"/>
      <c r="G86" s="1040"/>
      <c r="H86" s="1029"/>
      <c r="I86" s="992"/>
      <c r="J86" s="1040"/>
      <c r="K86" s="1029"/>
      <c r="L86" s="992"/>
      <c r="M86" s="1040"/>
      <c r="N86" s="1029"/>
      <c r="O86" s="992"/>
      <c r="P86" s="1030"/>
    </row>
    <row r="87" spans="1:16" s="5" customFormat="1" x14ac:dyDescent="0.25">
      <c r="A87" s="979" t="str">
        <f>Cultivation!A49</f>
        <v xml:space="preserve"> - subsoiling</v>
      </c>
      <c r="B87" s="1027">
        <f>(Unitflowchart!$S$17*(AllocationEnergy!$H$20/100)*Cultivation!J49)/Unitflowchart!$S$383</f>
        <v>0</v>
      </c>
      <c r="C87" s="26">
        <f t="shared" ref="C87:C95" si="25">(B87/B$391)*100</f>
        <v>0</v>
      </c>
      <c r="D87" s="1036">
        <f>(Unitflowchart!$S$17*(AllocationEnergy!$H$20/100)*Cultivation!K49)/Unitflowchart!$S$383</f>
        <v>0</v>
      </c>
      <c r="E87" s="1027">
        <f>(Unitflowchart!$S$17*(AllocationEnergy!$H$20/100)*Cultivation!P49)/Unitflowchart!$S$383</f>
        <v>0</v>
      </c>
      <c r="F87" s="26">
        <f t="shared" ref="F87:F95" si="26">(E87/E$391)*100</f>
        <v>0</v>
      </c>
      <c r="G87" s="1036">
        <f>(Unitflowchart!$S$17*(AllocationEnergy!$H$20/100)*Cultivation!Q49)/Unitflowchart!$S$383</f>
        <v>0</v>
      </c>
      <c r="H87" s="1027">
        <f>(Unitflowchart!$S$17*(AllocationEnergy!$H$20/100)*Cultivation!V49)/Unitflowchart!$S$383</f>
        <v>0</v>
      </c>
      <c r="I87" s="26">
        <f t="shared" ref="I87:I95" si="27">(H87/H$391)*100</f>
        <v>0</v>
      </c>
      <c r="J87" s="1036">
        <f>(Unitflowchart!$S$17*(AllocationEnergy!$H$20/100)*Cultivation!W49)/Unitflowchart!$S$383</f>
        <v>0</v>
      </c>
      <c r="K87" s="1027">
        <f>(Unitflowchart!$S$17*(AllocationEnergy!$H$20/100)*Cultivation!AB49)/Unitflowchart!$S$383</f>
        <v>0</v>
      </c>
      <c r="L87" s="26">
        <f t="shared" ref="L87:L95" si="28">(K87/K$391)*100</f>
        <v>0</v>
      </c>
      <c r="M87" s="1036">
        <f>(Unitflowchart!$S$17*(AllocationEnergy!$H$20/100)*Cultivation!AC49)/Unitflowchart!$S$383</f>
        <v>0</v>
      </c>
      <c r="N87" s="1028">
        <f>E87+(GlobalWarmingPotentials!$B$11*H87)+(GlobalWarmingPotentials!$C$11*K87)</f>
        <v>0</v>
      </c>
      <c r="O87" s="26">
        <f t="shared" ref="O87:O95" si="29">(N87/N$391)*100</f>
        <v>0</v>
      </c>
      <c r="P87" s="1031">
        <f>SQRT((G87^2)+((GlobalWarmingPotentials!$B$11*J87)^2)+((GlobalWarmingPotentials!$C$11*M87)^2))</f>
        <v>0</v>
      </c>
    </row>
    <row r="88" spans="1:16" x14ac:dyDescent="0.25">
      <c r="A88" s="979" t="str">
        <f>Cultivation!A50</f>
        <v xml:space="preserve"> - ploughing</v>
      </c>
      <c r="B88" s="1027">
        <f>(Unitflowchart!$S$17*(AllocationEnergy!$H$20/100)*Cultivation!J50)/Unitflowchart!$S$383</f>
        <v>0</v>
      </c>
      <c r="C88" s="26">
        <f t="shared" si="25"/>
        <v>0</v>
      </c>
      <c r="D88" s="1036">
        <f>(Unitflowchart!$S$17*(AllocationEnergy!$H$20/100)*Cultivation!K50)/Unitflowchart!$S$383</f>
        <v>0</v>
      </c>
      <c r="E88" s="1027">
        <f>(Unitflowchart!$S$17*(AllocationEnergy!$H$20/100)*Cultivation!P50)/Unitflowchart!$S$383</f>
        <v>0</v>
      </c>
      <c r="F88" s="26">
        <f t="shared" si="26"/>
        <v>0</v>
      </c>
      <c r="G88" s="1036">
        <f>(Unitflowchart!$S$17*(AllocationEnergy!$H$20/100)*Cultivation!Q50)/Unitflowchart!$S$383</f>
        <v>0</v>
      </c>
      <c r="H88" s="1027">
        <f>(Unitflowchart!$S$17*(AllocationEnergy!$H$20/100)*Cultivation!V50)/Unitflowchart!$S$383</f>
        <v>0</v>
      </c>
      <c r="I88" s="26">
        <f t="shared" si="27"/>
        <v>0</v>
      </c>
      <c r="J88" s="1036">
        <f>(Unitflowchart!$S$17*(AllocationEnergy!$H$20/100)*Cultivation!W50)/Unitflowchart!$S$383</f>
        <v>0</v>
      </c>
      <c r="K88" s="1027">
        <f>(Unitflowchart!$S$17*(AllocationEnergy!$H$20/100)*Cultivation!AB50)/Unitflowchart!$S$383</f>
        <v>0</v>
      </c>
      <c r="L88" s="26">
        <f t="shared" si="28"/>
        <v>0</v>
      </c>
      <c r="M88" s="1036">
        <f>(Unitflowchart!$S$17*(AllocationEnergy!$H$20/100)*Cultivation!AC50)/Unitflowchart!$S$383</f>
        <v>0</v>
      </c>
      <c r="N88" s="1028">
        <f>E88+(GlobalWarmingPotentials!$B$11*H88)+(GlobalWarmingPotentials!$C$11*K88)</f>
        <v>0</v>
      </c>
      <c r="O88" s="26">
        <f t="shared" si="29"/>
        <v>0</v>
      </c>
      <c r="P88" s="1031">
        <f>SQRT((G88^2)+((GlobalWarmingPotentials!$B$11*J88)^2)+((GlobalWarmingPotentials!$C$11*M88)^2))</f>
        <v>0</v>
      </c>
    </row>
    <row r="89" spans="1:16" x14ac:dyDescent="0.25">
      <c r="A89" s="979" t="str">
        <f>Cultivation!A51</f>
        <v xml:space="preserve"> - rotavating/power harrowing</v>
      </c>
      <c r="B89" s="1027">
        <f>(Unitflowchart!$S$17*(AllocationEnergy!$H$20/100)*Cultivation!J51)/Unitflowchart!$S$383</f>
        <v>0</v>
      </c>
      <c r="C89" s="26">
        <f t="shared" si="25"/>
        <v>0</v>
      </c>
      <c r="D89" s="1036">
        <f>(Unitflowchart!$S$17*(AllocationEnergy!$H$20/100)*Cultivation!K51)/Unitflowchart!$S$383</f>
        <v>0</v>
      </c>
      <c r="E89" s="1027">
        <f>(Unitflowchart!$S$17*(AllocationEnergy!$H$20/100)*Cultivation!P51)/Unitflowchart!$S$383</f>
        <v>0</v>
      </c>
      <c r="F89" s="26">
        <f t="shared" si="26"/>
        <v>0</v>
      </c>
      <c r="G89" s="1036">
        <f>(Unitflowchart!$S$17*(AllocationEnergy!$H$20/100)*Cultivation!Q51)/Unitflowchart!$S$383</f>
        <v>0</v>
      </c>
      <c r="H89" s="1027">
        <f>(Unitflowchart!$S$17*(AllocationEnergy!$H$20/100)*Cultivation!V51)/Unitflowchart!$S$383</f>
        <v>0</v>
      </c>
      <c r="I89" s="26">
        <f t="shared" si="27"/>
        <v>0</v>
      </c>
      <c r="J89" s="1036">
        <f>(Unitflowchart!$S$17*(AllocationEnergy!$H$20/100)*Cultivation!W51)/Unitflowchart!$S$383</f>
        <v>0</v>
      </c>
      <c r="K89" s="1027">
        <f>(Unitflowchart!$S$17*(AllocationEnergy!$H$20/100)*Cultivation!AB51)/Unitflowchart!$S$383</f>
        <v>0</v>
      </c>
      <c r="L89" s="26">
        <f t="shared" si="28"/>
        <v>0</v>
      </c>
      <c r="M89" s="1036">
        <f>(Unitflowchart!$S$17*(AllocationEnergy!$H$20/100)*Cultivation!AC51)/Unitflowchart!$S$383</f>
        <v>0</v>
      </c>
      <c r="N89" s="1028">
        <f>E89+(GlobalWarmingPotentials!$B$11*H89)+(GlobalWarmingPotentials!$C$11*K89)</f>
        <v>0</v>
      </c>
      <c r="O89" s="26">
        <f t="shared" si="29"/>
        <v>0</v>
      </c>
      <c r="P89" s="1031">
        <f>SQRT((G89^2)+((GlobalWarmingPotentials!$B$11*J89)^2)+((GlobalWarmingPotentials!$C$11*M89)^2))</f>
        <v>0</v>
      </c>
    </row>
    <row r="90" spans="1:16" x14ac:dyDescent="0.25">
      <c r="A90" s="979" t="str">
        <f>Cultivation!A52</f>
        <v xml:space="preserve"> - planting </v>
      </c>
      <c r="B90" s="1027">
        <f>(Unitflowchart!$S$17*(AllocationEnergy!$H$20/100)*Cultivation!J52)/Unitflowchart!$S$383</f>
        <v>0</v>
      </c>
      <c r="C90" s="26">
        <f t="shared" si="25"/>
        <v>0</v>
      </c>
      <c r="D90" s="1036">
        <f>(Unitflowchart!$S$17*(AllocationEnergy!$H$20/100)*Cultivation!K52)/Unitflowchart!$S$383</f>
        <v>0</v>
      </c>
      <c r="E90" s="1027">
        <f>(Unitflowchart!$S$17*(AllocationEnergy!$H$20/100)*Cultivation!P52)/Unitflowchart!$S$383</f>
        <v>0</v>
      </c>
      <c r="F90" s="26">
        <f t="shared" si="26"/>
        <v>0</v>
      </c>
      <c r="G90" s="1036">
        <f>(Unitflowchart!$S$17*(AllocationEnergy!$H$20/100)*Cultivation!Q52)/Unitflowchart!$S$383</f>
        <v>0</v>
      </c>
      <c r="H90" s="1027">
        <f>(Unitflowchart!$S$17*(AllocationEnergy!$H$20/100)*Cultivation!V52)/Unitflowchart!$S$383</f>
        <v>0</v>
      </c>
      <c r="I90" s="26">
        <f t="shared" si="27"/>
        <v>0</v>
      </c>
      <c r="J90" s="1036">
        <f>(Unitflowchart!$S$17*(AllocationEnergy!$H$20/100)*Cultivation!W52)/Unitflowchart!$S$383</f>
        <v>0</v>
      </c>
      <c r="K90" s="1027">
        <f>(Unitflowchart!$S$17*(AllocationEnergy!$H$20/100)*Cultivation!AB52)/Unitflowchart!$S$383</f>
        <v>0</v>
      </c>
      <c r="L90" s="26">
        <f t="shared" si="28"/>
        <v>0</v>
      </c>
      <c r="M90" s="1036">
        <f>(Unitflowchart!$S$17*(AllocationEnergy!$H$20/100)*Cultivation!AC52)/Unitflowchart!$S$383</f>
        <v>0</v>
      </c>
      <c r="N90" s="1028">
        <f>E90+(GlobalWarmingPotentials!$B$11*H90)+(GlobalWarmingPotentials!$C$11*K90)</f>
        <v>0</v>
      </c>
      <c r="O90" s="26">
        <f t="shared" si="29"/>
        <v>0</v>
      </c>
      <c r="P90" s="1031">
        <f>SQRT((G90^2)+((GlobalWarmingPotentials!$B$11*J90)^2)+((GlobalWarmingPotentials!$C$11*M90)^2))</f>
        <v>0</v>
      </c>
    </row>
    <row r="91" spans="1:16" x14ac:dyDescent="0.25">
      <c r="A91" s="979" t="str">
        <f>Cultivation!A53</f>
        <v xml:space="preserve"> - rolling</v>
      </c>
      <c r="B91" s="1027">
        <f>(Unitflowchart!$S$17*(AllocationEnergy!$H$20/100)*Cultivation!J53)/Unitflowchart!$S$383</f>
        <v>0</v>
      </c>
      <c r="C91" s="26">
        <f t="shared" si="25"/>
        <v>0</v>
      </c>
      <c r="D91" s="1036">
        <f>(Unitflowchart!$S$17*(AllocationEnergy!$H$20/100)*Cultivation!K53)/Unitflowchart!$S$383</f>
        <v>0</v>
      </c>
      <c r="E91" s="1027">
        <f>(Unitflowchart!$S$17*(AllocationEnergy!$H$20/100)*Cultivation!P53)/Unitflowchart!$S$383</f>
        <v>0</v>
      </c>
      <c r="F91" s="26">
        <f t="shared" si="26"/>
        <v>0</v>
      </c>
      <c r="G91" s="1036">
        <f>(Unitflowchart!$S$17*(AllocationEnergy!$H$20/100)*Cultivation!Q53)/Unitflowchart!$S$383</f>
        <v>0</v>
      </c>
      <c r="H91" s="1027">
        <f>(Unitflowchart!$S$17*(AllocationEnergy!$H$20/100)*Cultivation!V53)/Unitflowchart!$S$383</f>
        <v>0</v>
      </c>
      <c r="I91" s="26">
        <f t="shared" si="27"/>
        <v>0</v>
      </c>
      <c r="J91" s="1036">
        <f>(Unitflowchart!$S$17*(AllocationEnergy!$H$20/100)*Cultivation!W53)/Unitflowchart!$S$383</f>
        <v>0</v>
      </c>
      <c r="K91" s="1027">
        <f>(Unitflowchart!$S$17*(AllocationEnergy!$H$20/100)*Cultivation!AB53)/Unitflowchart!$S$383</f>
        <v>0</v>
      </c>
      <c r="L91" s="26">
        <f t="shared" si="28"/>
        <v>0</v>
      </c>
      <c r="M91" s="1036">
        <f>(Unitflowchart!$S$17*(AllocationEnergy!$H$20/100)*Cultivation!AC53)/Unitflowchart!$S$383</f>
        <v>0</v>
      </c>
      <c r="N91" s="1028">
        <f>E91+(GlobalWarmingPotentials!$B$11*H91)+(GlobalWarmingPotentials!$C$11*K91)</f>
        <v>0</v>
      </c>
      <c r="O91" s="26">
        <f t="shared" si="29"/>
        <v>0</v>
      </c>
      <c r="P91" s="1031">
        <f>SQRT((G91^2)+((GlobalWarmingPotentials!$B$11*J91)^2)+((GlobalWarmingPotentials!$C$11*M91)^2))</f>
        <v>0</v>
      </c>
    </row>
    <row r="92" spans="1:16" x14ac:dyDescent="0.25">
      <c r="A92" s="979" t="str">
        <f>Cultivation!A54</f>
        <v xml:space="preserve"> - fertilizer application</v>
      </c>
      <c r="B92" s="1027">
        <f>(Unitflowchart!$S$17*(AllocationEnergy!$H$20/100)*Cultivation!J54)/Unitflowchart!$S$383</f>
        <v>0</v>
      </c>
      <c r="C92" s="26">
        <f t="shared" si="25"/>
        <v>0</v>
      </c>
      <c r="D92" s="1036">
        <f>(Unitflowchart!$S$17*(AllocationEnergy!$H$20/100)*Cultivation!K54)/Unitflowchart!$S$383</f>
        <v>0</v>
      </c>
      <c r="E92" s="1027">
        <f>(Unitflowchart!$S$17*(AllocationEnergy!$H$20/100)*Cultivation!P54)/Unitflowchart!$S$383</f>
        <v>0</v>
      </c>
      <c r="F92" s="26">
        <f t="shared" si="26"/>
        <v>0</v>
      </c>
      <c r="G92" s="1036">
        <f>(Unitflowchart!$S$17*(AllocationEnergy!$H$20/100)*Cultivation!Q54)/Unitflowchart!$S$383</f>
        <v>0</v>
      </c>
      <c r="H92" s="1027">
        <f>(Unitflowchart!$S$17*(AllocationEnergy!$H$20/100)*Cultivation!V54)/Unitflowchart!$S$383</f>
        <v>0</v>
      </c>
      <c r="I92" s="26">
        <f t="shared" si="27"/>
        <v>0</v>
      </c>
      <c r="J92" s="1036">
        <f>(Unitflowchart!$S$17*(AllocationEnergy!$H$20/100)*Cultivation!W54)/Unitflowchart!$S$383</f>
        <v>0</v>
      </c>
      <c r="K92" s="1027">
        <f>(Unitflowchart!$S$17*(AllocationEnergy!$H$20/100)*Cultivation!AB54)/Unitflowchart!$S$383</f>
        <v>0</v>
      </c>
      <c r="L92" s="26">
        <f t="shared" si="28"/>
        <v>0</v>
      </c>
      <c r="M92" s="1036">
        <f>(Unitflowchart!$S$17*(AllocationEnergy!$H$20/100)*Cultivation!AC54)/Unitflowchart!$S$383</f>
        <v>0</v>
      </c>
      <c r="N92" s="1028">
        <f>E92+(GlobalWarmingPotentials!$B$11*H92)+(GlobalWarmingPotentials!$C$11*K92)</f>
        <v>0</v>
      </c>
      <c r="O92" s="26">
        <f t="shared" si="29"/>
        <v>0</v>
      </c>
      <c r="P92" s="1031">
        <f>SQRT((G92^2)+((GlobalWarmingPotentials!$B$11*J92)^2)+((GlobalWarmingPotentials!$C$11*M92)^2))</f>
        <v>0</v>
      </c>
    </row>
    <row r="93" spans="1:16" x14ac:dyDescent="0.25">
      <c r="A93" s="979" t="str">
        <f>Cultivation!A55</f>
        <v xml:space="preserve"> - dessicant application</v>
      </c>
      <c r="B93" s="1027">
        <f>(Unitflowchart!$S$17*(AllocationEnergy!$H$20/100)*Cultivation!J55)/Unitflowchart!$S$383</f>
        <v>0</v>
      </c>
      <c r="C93" s="26">
        <f t="shared" si="25"/>
        <v>0</v>
      </c>
      <c r="D93" s="1036">
        <f>(Unitflowchart!$S$17*(AllocationEnergy!$H$20/100)*Cultivation!K55)/Unitflowchart!$S$383</f>
        <v>0</v>
      </c>
      <c r="E93" s="1027">
        <f>(Unitflowchart!$S$17*(AllocationEnergy!$H$20/100)*Cultivation!P55)/Unitflowchart!$S$383</f>
        <v>0</v>
      </c>
      <c r="F93" s="26">
        <f t="shared" si="26"/>
        <v>0</v>
      </c>
      <c r="G93" s="1036">
        <f>(Unitflowchart!$S$17*(AllocationEnergy!$H$20/100)*Cultivation!Q55)/Unitflowchart!$S$383</f>
        <v>0</v>
      </c>
      <c r="H93" s="1027">
        <f>(Unitflowchart!$S$17*(AllocationEnergy!$H$20/100)*Cultivation!V55)/Unitflowchart!$S$383</f>
        <v>0</v>
      </c>
      <c r="I93" s="26">
        <f t="shared" si="27"/>
        <v>0</v>
      </c>
      <c r="J93" s="1036">
        <f>(Unitflowchart!$S$17*(AllocationEnergy!$H$20/100)*Cultivation!W55)/Unitflowchart!$S$383</f>
        <v>0</v>
      </c>
      <c r="K93" s="1027">
        <f>(Unitflowchart!$S$17*(AllocationEnergy!$H$20/100)*Cultivation!AB55)/Unitflowchart!$S$383</f>
        <v>0</v>
      </c>
      <c r="L93" s="26">
        <f t="shared" si="28"/>
        <v>0</v>
      </c>
      <c r="M93" s="1036">
        <f>(Unitflowchart!$S$17*(AllocationEnergy!$H$20/100)*Cultivation!AC55)/Unitflowchart!$S$383</f>
        <v>0</v>
      </c>
      <c r="N93" s="1028">
        <f>E93+(GlobalWarmingPotentials!$B$11*H93)+(GlobalWarmingPotentials!$C$11*K93)</f>
        <v>0</v>
      </c>
      <c r="O93" s="26">
        <f t="shared" si="29"/>
        <v>0</v>
      </c>
      <c r="P93" s="1031">
        <f>SQRT((G93^2)+((GlobalWarmingPotentials!$B$11*J93)^2)+((GlobalWarmingPotentials!$C$11*M93)^2))</f>
        <v>0</v>
      </c>
    </row>
    <row r="94" spans="1:16" x14ac:dyDescent="0.25">
      <c r="A94" s="979" t="str">
        <f>Cultivation!A56</f>
        <v>weed cultivating</v>
      </c>
      <c r="B94" s="1027">
        <f>(Unitflowchart!$S$17*(AllocationEnergy!$H$20/100)*Cultivation!J56)/Unitflowchart!$S$383</f>
        <v>0</v>
      </c>
      <c r="C94" s="26">
        <f t="shared" si="25"/>
        <v>0</v>
      </c>
      <c r="D94" s="1036">
        <f>(Unitflowchart!$S$17*(AllocationEnergy!$H$20/100)*Cultivation!K56)/Unitflowchart!$S$383</f>
        <v>0</v>
      </c>
      <c r="E94" s="1027">
        <f>(Unitflowchart!$S$17*(AllocationEnergy!$H$20/100)*Cultivation!P56)/Unitflowchart!$S$383</f>
        <v>0</v>
      </c>
      <c r="F94" s="26">
        <f t="shared" si="26"/>
        <v>0</v>
      </c>
      <c r="G94" s="1036">
        <f>(Unitflowchart!$S$17*(AllocationEnergy!$H$20/100)*Cultivation!Q56)/Unitflowchart!$S$383</f>
        <v>0</v>
      </c>
      <c r="H94" s="1027">
        <f>(Unitflowchart!$S$17*(AllocationEnergy!$H$20/100)*Cultivation!V56)/Unitflowchart!$S$383</f>
        <v>0</v>
      </c>
      <c r="I94" s="26">
        <f t="shared" si="27"/>
        <v>0</v>
      </c>
      <c r="J94" s="1036">
        <f>(Unitflowchart!$S$17*(AllocationEnergy!$H$20/100)*Cultivation!W56)/Unitflowchart!$S$383</f>
        <v>0</v>
      </c>
      <c r="K94" s="1027">
        <f>(Unitflowchart!$S$17*(AllocationEnergy!$H$20/100)*Cultivation!AB56)/Unitflowchart!$S$383</f>
        <v>0</v>
      </c>
      <c r="L94" s="26">
        <f t="shared" si="28"/>
        <v>0</v>
      </c>
      <c r="M94" s="1036">
        <f>(Unitflowchart!$S$17*(AllocationEnergy!$H$20/100)*Cultivation!AC56)/Unitflowchart!$S$383</f>
        <v>0</v>
      </c>
      <c r="N94" s="1028">
        <f>E94+(GlobalWarmingPotentials!$B$11*H94)+(GlobalWarmingPotentials!$C$11*K94)</f>
        <v>0</v>
      </c>
      <c r="O94" s="26">
        <f t="shared" si="29"/>
        <v>0</v>
      </c>
      <c r="P94" s="1031">
        <f>SQRT((G94^2)+((GlobalWarmingPotentials!$B$11*J94)^2)+((GlobalWarmingPotentials!$C$11*M94)^2))</f>
        <v>0</v>
      </c>
    </row>
    <row r="95" spans="1:16" x14ac:dyDescent="0.25">
      <c r="A95" s="979" t="str">
        <f>Cultivation!A57</f>
        <v>residue removal</v>
      </c>
      <c r="B95" s="1027">
        <f>(Unitflowchart!$S$17*(AllocationEnergy!$H$20/100)*Cultivation!J57)/Unitflowchart!$S$383</f>
        <v>0</v>
      </c>
      <c r="C95" s="26">
        <f t="shared" si="25"/>
        <v>0</v>
      </c>
      <c r="D95" s="1036">
        <f>(Unitflowchart!$S$17*(AllocationEnergy!$H$20/100)*Cultivation!K57)/Unitflowchart!$S$383</f>
        <v>0</v>
      </c>
      <c r="E95" s="1027">
        <f>(Unitflowchart!$S$17*(AllocationEnergy!$H$20/100)*Cultivation!P57)/Unitflowchart!$S$383</f>
        <v>0</v>
      </c>
      <c r="F95" s="26">
        <f t="shared" si="26"/>
        <v>0</v>
      </c>
      <c r="G95" s="1036">
        <f>(Unitflowchart!$S$17*(AllocationEnergy!$H$20/100)*Cultivation!Q57)/Unitflowchart!$S$383</f>
        <v>0</v>
      </c>
      <c r="H95" s="1027">
        <f>(Unitflowchart!$S$17*(AllocationEnergy!$H$20/100)*Cultivation!V57)/Unitflowchart!$S$383</f>
        <v>0</v>
      </c>
      <c r="I95" s="26">
        <f t="shared" si="27"/>
        <v>0</v>
      </c>
      <c r="J95" s="1036">
        <f>(Unitflowchart!$S$17*(AllocationEnergy!$H$20/100)*Cultivation!W57)/Unitflowchart!$S$383</f>
        <v>0</v>
      </c>
      <c r="K95" s="1027">
        <f>(Unitflowchart!$S$17*(AllocationEnergy!$H$20/100)*Cultivation!AB57)/Unitflowchart!$S$383</f>
        <v>0</v>
      </c>
      <c r="L95" s="26">
        <f t="shared" si="28"/>
        <v>0</v>
      </c>
      <c r="M95" s="1036">
        <f>(Unitflowchart!$S$17*(AllocationEnergy!$H$20/100)*Cultivation!AC57)/Unitflowchart!$S$383</f>
        <v>0</v>
      </c>
      <c r="N95" s="1028">
        <f>E95+(GlobalWarmingPotentials!$B$11*H95)+(GlobalWarmingPotentials!$C$11*K95)</f>
        <v>0</v>
      </c>
      <c r="O95" s="26">
        <f t="shared" si="29"/>
        <v>0</v>
      </c>
      <c r="P95" s="1031">
        <f>SQRT((G95^2)+((GlobalWarmingPotentials!$B$11*J95)^2)+((GlobalWarmingPotentials!$C$11*M95)^2))</f>
        <v>0</v>
      </c>
    </row>
    <row r="96" spans="1:16" s="43" customFormat="1" x14ac:dyDescent="0.25">
      <c r="A96" s="154"/>
      <c r="B96" s="1029"/>
      <c r="C96" s="992"/>
      <c r="D96" s="1040"/>
      <c r="E96" s="1029"/>
      <c r="F96" s="992"/>
      <c r="G96" s="1040"/>
      <c r="H96" s="1029"/>
      <c r="I96" s="992"/>
      <c r="J96" s="1040"/>
      <c r="K96" s="1029"/>
      <c r="L96" s="992"/>
      <c r="M96" s="1040"/>
      <c r="N96" s="1029"/>
      <c r="O96" s="992"/>
      <c r="P96" s="1030"/>
    </row>
    <row r="97" spans="1:16" s="5" customFormat="1" x14ac:dyDescent="0.25">
      <c r="A97" s="996" t="str">
        <f>Cultivation!A59</f>
        <v>Sub-Totals for Maintenance</v>
      </c>
      <c r="B97" s="1041">
        <f>(Unitflowchart!$S$17*(AllocationEnergy!$H$20/100)*Cultivation!J59)/Unitflowchart!$S$383</f>
        <v>0</v>
      </c>
      <c r="C97" s="997">
        <f>(B97/B$391)*100</f>
        <v>0</v>
      </c>
      <c r="D97" s="1056">
        <f>(Unitflowchart!$S$17*(AllocationEnergy!$H$20/100)*Cultivation!K59)/Unitflowchart!$S$383</f>
        <v>0</v>
      </c>
      <c r="E97" s="1041">
        <f>(Unitflowchart!$S$17*(AllocationEnergy!$H$20/100)*Cultivation!P59)/Unitflowchart!$S$383</f>
        <v>0</v>
      </c>
      <c r="F97" s="997">
        <f>(E97/E$391)*100</f>
        <v>0</v>
      </c>
      <c r="G97" s="1056">
        <f>(Unitflowchart!$S$17*(AllocationEnergy!$H$20/100)*Cultivation!Q59)/Unitflowchart!$S$383</f>
        <v>0</v>
      </c>
      <c r="H97" s="1041">
        <f>(Unitflowchart!$S$17*(AllocationEnergy!$H$20/100)*Cultivation!V59)/Unitflowchart!$S$383</f>
        <v>0</v>
      </c>
      <c r="I97" s="997">
        <f>(H97/H$391)*100</f>
        <v>0</v>
      </c>
      <c r="J97" s="1056">
        <f>(Unitflowchart!$S$17*(AllocationEnergy!$H$20/100)*Cultivation!W59)/Unitflowchart!$S$383</f>
        <v>0</v>
      </c>
      <c r="K97" s="1041">
        <f>(Unitflowchart!$S$17*(AllocationEnergy!$H$20/100)*Cultivation!AB59)/Unitflowchart!$S$383</f>
        <v>0</v>
      </c>
      <c r="L97" s="997">
        <f>(K97/K$391)*100</f>
        <v>0</v>
      </c>
      <c r="M97" s="1056">
        <f>(Unitflowchart!$S$17*(AllocationEnergy!$H$20/100)*Cultivation!AC59)/Unitflowchart!$S$383</f>
        <v>0</v>
      </c>
      <c r="N97" s="1032">
        <f>E97+(GlobalWarmingPotentials!$B$11*H97)+(GlobalWarmingPotentials!$C$11*K97)</f>
        <v>0</v>
      </c>
      <c r="O97" s="997">
        <f>(N97/N$391)*100</f>
        <v>0</v>
      </c>
      <c r="P97" s="1033">
        <f>SQRT((G97^2)+((GlobalWarmingPotentials!$B$11*J97)^2)+((GlobalWarmingPotentials!$C$11*M97)^2))</f>
        <v>0</v>
      </c>
    </row>
    <row r="98" spans="1:16" s="907" customFormat="1" x14ac:dyDescent="0.25">
      <c r="A98" s="154"/>
      <c r="B98" s="1029"/>
      <c r="C98" s="992"/>
      <c r="D98" s="1040"/>
      <c r="E98" s="1029"/>
      <c r="F98" s="992"/>
      <c r="G98" s="1040"/>
      <c r="H98" s="1029"/>
      <c r="I98" s="992"/>
      <c r="J98" s="1040"/>
      <c r="K98" s="1029"/>
      <c r="L98" s="992"/>
      <c r="M98" s="1040"/>
      <c r="N98" s="1029"/>
      <c r="O98" s="992"/>
      <c r="P98" s="1030"/>
    </row>
    <row r="99" spans="1:16" s="5" customFormat="1" x14ac:dyDescent="0.25">
      <c r="A99" s="979" t="str">
        <f>Cultivation!A61</f>
        <v xml:space="preserve"> - N Fertiliser</v>
      </c>
      <c r="B99" s="1027">
        <f>(Unitflowchart!$S$17*(AllocationEnergy!$H$20/100)*Cultivation!J61)/Unitflowchart!$S$383</f>
        <v>111.5885146740152</v>
      </c>
      <c r="C99" s="26">
        <f t="shared" ref="C99:C106" si="30">(B99/B$391)*100</f>
        <v>0.86206135989033306</v>
      </c>
      <c r="D99" s="1036">
        <f>(Unitflowchart!$S$17*(AllocationEnergy!$H$20/100)*Cultivation!K61)/Unitflowchart!$S$383</f>
        <v>16.738277201102282</v>
      </c>
      <c r="E99" s="1027">
        <f>(Unitflowchart!$S$17*(AllocationEnergy!$H$20/100)*Cultivation!P61)/Unitflowchart!$S$383</f>
        <v>6.5362972470304408</v>
      </c>
      <c r="F99" s="26">
        <f t="shared" ref="F99:F106" si="31">(E99/E$391)*100</f>
        <v>0.81258656828195608</v>
      </c>
      <c r="G99" s="1036">
        <f>(Unitflowchart!$S$17*(AllocationEnergy!$H$20/100)*Cultivation!Q61)/Unitflowchart!$S$383</f>
        <v>0.98044458705456605</v>
      </c>
      <c r="H99" s="1027">
        <f>(Unitflowchart!$S$17*(AllocationEnergy!$H$20/100)*Cultivation!V61)/Unitflowchart!$S$383</f>
        <v>1.7324116903140865E-2</v>
      </c>
      <c r="I99" s="26">
        <f t="shared" ref="I99:I106" si="32">(H99/H$391)*100</f>
        <v>1.7295697930415084</v>
      </c>
      <c r="J99" s="1036">
        <f>(Unitflowchart!$S$17*(AllocationEnergy!$H$20/100)*Cultivation!W61)/Unitflowchart!$S$383</f>
        <v>2.5986175354711298E-3</v>
      </c>
      <c r="K99" s="1027">
        <f>(Unitflowchart!$S$17*(AllocationEnergy!$H$20/100)*Cultivation!AB61)/Unitflowchart!$S$383</f>
        <v>0</v>
      </c>
      <c r="L99" s="26">
        <f t="shared" ref="L99:L106" si="33">(K99/K$391)*100</f>
        <v>0</v>
      </c>
      <c r="M99" s="1036">
        <f>(Unitflowchart!$S$17*(AllocationEnergy!$H$20/100)*Cultivation!AC61)/Unitflowchart!$S$383</f>
        <v>0</v>
      </c>
      <c r="N99" s="1028">
        <f>E99+(GlobalWarmingPotentials!$B$11*H99)+(GlobalWarmingPotentials!$C$11*K99)</f>
        <v>6.934751935802681</v>
      </c>
      <c r="O99" s="26">
        <f t="shared" ref="O99:O106" si="34">(N99/N$391)*100</f>
        <v>0.77784853973086499</v>
      </c>
      <c r="P99" s="1031">
        <f>SQRT((G99^2)+((GlobalWarmingPotentials!$B$11*J99)^2)+((GlobalWarmingPotentials!$C$11*M99)^2))</f>
        <v>0.98226464173979189</v>
      </c>
    </row>
    <row r="100" spans="1:16" s="5" customFormat="1" x14ac:dyDescent="0.25">
      <c r="A100" s="979" t="str">
        <f>Cultivation!A62</f>
        <v xml:space="preserve"> - P Fertiliser</v>
      </c>
      <c r="B100" s="1027">
        <f>(Unitflowchart!$S$17*(AllocationEnergy!$H$20/100)*Cultivation!J62)/Unitflowchart!$S$383</f>
        <v>3.5369573847567324</v>
      </c>
      <c r="C100" s="26">
        <f t="shared" si="30"/>
        <v>2.7324266317952522E-2</v>
      </c>
      <c r="D100" s="1036">
        <f>(Unitflowchart!$S$17*(AllocationEnergy!$H$20/100)*Cultivation!K62)/Unitflowchart!$S$383</f>
        <v>0.53054360771350972</v>
      </c>
      <c r="E100" s="1027">
        <f>(Unitflowchart!$S$17*(AllocationEnergy!$H$20/100)*Cultivation!P62)/Unitflowchart!$S$383</f>
        <v>0.18818605938953564</v>
      </c>
      <c r="F100" s="26">
        <f t="shared" si="31"/>
        <v>2.3395120879381722E-2</v>
      </c>
      <c r="G100" s="1036">
        <f>(Unitflowchart!$S$17*(AllocationEnergy!$H$20/100)*Cultivation!Q62)/Unitflowchart!$S$383</f>
        <v>2.8227908908430348E-2</v>
      </c>
      <c r="H100" s="1027">
        <f>(Unitflowchart!$S$17*(AllocationEnergy!$H$20/100)*Cultivation!V62)/Unitflowchart!$S$383</f>
        <v>2.4071236736823281E-4</v>
      </c>
      <c r="I100" s="26">
        <f t="shared" si="32"/>
        <v>2.4031749597356131E-2</v>
      </c>
      <c r="J100" s="1036">
        <f>(Unitflowchart!$S$17*(AllocationEnergy!$H$20/100)*Cultivation!W62)/Unitflowchart!$S$383</f>
        <v>7.970608191001085E-5</v>
      </c>
      <c r="K100" s="1027">
        <f>(Unitflowchart!$S$17*(AllocationEnergy!$H$20/100)*Cultivation!AB62)/Unitflowchart!$S$383</f>
        <v>0</v>
      </c>
      <c r="L100" s="26">
        <f t="shared" si="33"/>
        <v>0</v>
      </c>
      <c r="M100" s="1036">
        <f>(Unitflowchart!$S$17*(AllocationEnergy!$H$20/100)*Cultivation!AC62)/Unitflowchart!$S$383</f>
        <v>0</v>
      </c>
      <c r="N100" s="1028">
        <f>E100+(GlobalWarmingPotentials!$B$11*H100)+(GlobalWarmingPotentials!$C$11*K100)</f>
        <v>0.193722443839005</v>
      </c>
      <c r="O100" s="26">
        <f t="shared" si="34"/>
        <v>2.1729215615529138E-2</v>
      </c>
      <c r="P100" s="1031">
        <f>SQRT((G100^2)+((GlobalWarmingPotentials!$B$11*J100)^2)+((GlobalWarmingPotentials!$C$11*M100)^2))</f>
        <v>2.828737544938862E-2</v>
      </c>
    </row>
    <row r="101" spans="1:16" s="5" customFormat="1" x14ac:dyDescent="0.25">
      <c r="A101" s="979" t="str">
        <f>Cultivation!A63</f>
        <v xml:space="preserve"> - K Fertiliser</v>
      </c>
      <c r="B101" s="1027">
        <f>(Unitflowchart!$S$17*(AllocationEnergy!$H$20/100)*Cultivation!J63)/Unitflowchart!$S$383</f>
        <v>38.573758340349755</v>
      </c>
      <c r="C101" s="26">
        <f t="shared" si="30"/>
        <v>0.29799613937066194</v>
      </c>
      <c r="D101" s="1036">
        <f>(Unitflowchart!$S$17*(AllocationEnergy!$H$20/100)*Cultivation!K63)/Unitflowchart!$S$383</f>
        <v>5.7860637510524633</v>
      </c>
      <c r="E101" s="1027">
        <f>(Unitflowchart!$S$17*(AllocationEnergy!$H$20/100)*Cultivation!P63)/Unitflowchart!$S$383</f>
        <v>2.1373185864169413</v>
      </c>
      <c r="F101" s="26">
        <f t="shared" si="31"/>
        <v>0.26570951562076278</v>
      </c>
      <c r="G101" s="1036">
        <f>(Unitflowchart!$S$17*(AllocationEnergy!$H$20/100)*Cultivation!Q63)/Unitflowchart!$S$383</f>
        <v>0.32059778796254118</v>
      </c>
      <c r="H101" s="1027">
        <f>(Unitflowchart!$S$17*(AllocationEnergy!$H$20/100)*Cultivation!V63)/Unitflowchart!$S$383</f>
        <v>6.2605142036218035E-3</v>
      </c>
      <c r="I101" s="26">
        <f t="shared" si="32"/>
        <v>0.62502442785574086</v>
      </c>
      <c r="J101" s="1036">
        <f>(Unitflowchart!$S$17*(AllocationEnergy!$H$20/100)*Cultivation!W63)/Unitflowchart!$S$383</f>
        <v>9.3907713054327028E-4</v>
      </c>
      <c r="K101" s="1027">
        <f>(Unitflowchart!$S$17*(AllocationEnergy!$H$20/100)*Cultivation!AB63)/Unitflowchart!$S$383</f>
        <v>0</v>
      </c>
      <c r="L101" s="26">
        <f t="shared" si="33"/>
        <v>0</v>
      </c>
      <c r="M101" s="1036">
        <f>(Unitflowchart!$S$17*(AllocationEnergy!$H$20/100)*Cultivation!AC63)/Unitflowchart!$S$383</f>
        <v>0</v>
      </c>
      <c r="N101" s="1028">
        <f>E101+(GlobalWarmingPotentials!$B$11*H101)+(GlobalWarmingPotentials!$C$11*K101)</f>
        <v>2.2813104131002429</v>
      </c>
      <c r="O101" s="26">
        <f t="shared" si="34"/>
        <v>0.25588715932885703</v>
      </c>
      <c r="P101" s="1031">
        <f>SQRT((G101^2)+((GlobalWarmingPotentials!$B$11*J101)^2)+((GlobalWarmingPotentials!$C$11*M101)^2))</f>
        <v>0.32132452238334591</v>
      </c>
    </row>
    <row r="102" spans="1:16" s="5" customFormat="1" x14ac:dyDescent="0.25">
      <c r="A102" s="979" t="str">
        <f>Cultivation!A64</f>
        <v xml:space="preserve"> - Lime  </v>
      </c>
      <c r="B102" s="1027">
        <f>(Unitflowchart!$S$17*(AllocationEnergy!$H$20/100)*Cultivation!J64)/Unitflowchart!$S$383</f>
        <v>224.71649538720661</v>
      </c>
      <c r="C102" s="26">
        <f t="shared" si="30"/>
        <v>1.7360156479293571</v>
      </c>
      <c r="D102" s="1036">
        <f>(Unitflowchart!$S$17*(AllocationEnergy!$H$20/100)*Cultivation!K64)/Unitflowchart!$S$383</f>
        <v>33.707474308080997</v>
      </c>
      <c r="E102" s="1027">
        <f>(Unitflowchart!$S$17*(AllocationEnergy!$H$20/100)*Cultivation!P64)/Unitflowchart!$S$383</f>
        <v>13.56324236113265</v>
      </c>
      <c r="F102" s="26">
        <f t="shared" si="31"/>
        <v>1.6861700361036083</v>
      </c>
      <c r="G102" s="1036">
        <f>(Unitflowchart!$S$17*(AllocationEnergy!$H$20/100)*Cultivation!Q64)/Unitflowchart!$S$383</f>
        <v>2.0344863541698968</v>
      </c>
      <c r="H102" s="1027">
        <f>(Unitflowchart!$S$17*(AllocationEnergy!$H$20/100)*Cultivation!V64)/Unitflowchart!$S$383</f>
        <v>2.4583632977673346E-2</v>
      </c>
      <c r="I102" s="26">
        <f t="shared" si="32"/>
        <v>2.4543305288879789</v>
      </c>
      <c r="J102" s="1036">
        <f>(Unitflowchart!$S$17*(AllocationEnergy!$H$20/100)*Cultivation!W64)/Unitflowchart!$S$383</f>
        <v>3.687544946651002E-3</v>
      </c>
      <c r="K102" s="1027">
        <f>(Unitflowchart!$S$17*(AllocationEnergy!$H$20/100)*Cultivation!AB64)/Unitflowchart!$S$383</f>
        <v>0</v>
      </c>
      <c r="L102" s="26">
        <f t="shared" si="33"/>
        <v>0</v>
      </c>
      <c r="M102" s="1036">
        <f>(Unitflowchart!$S$17*(AllocationEnergy!$H$20/100)*Cultivation!AC64)/Unitflowchart!$S$383</f>
        <v>0</v>
      </c>
      <c r="N102" s="1028">
        <f>E102+(GlobalWarmingPotentials!$B$11*H102)+(GlobalWarmingPotentials!$C$11*K102)</f>
        <v>14.128665919619136</v>
      </c>
      <c r="O102" s="26">
        <f t="shared" si="34"/>
        <v>1.5847664423556518</v>
      </c>
      <c r="P102" s="1031">
        <f>SQRT((G102^2)+((GlobalWarmingPotentials!$B$11*J102)^2)+((GlobalWarmingPotentials!$C$11*M102)^2))</f>
        <v>2.03625343727508</v>
      </c>
    </row>
    <row r="103" spans="1:16" s="5" customFormat="1" x14ac:dyDescent="0.25">
      <c r="A103" s="979" t="str">
        <f>Cultivation!A65</f>
        <v xml:space="preserve"> - Manganese</v>
      </c>
      <c r="B103" s="1027">
        <f>(Unitflowchart!$S$17*(AllocationEnergy!$H$20/100)*Cultivation!J65)/Unitflowchart!$S$383</f>
        <v>22.773166260003102</v>
      </c>
      <c r="C103" s="26">
        <f t="shared" si="30"/>
        <v>0.17593088977353735</v>
      </c>
      <c r="D103" s="1036">
        <f>(Unitflowchart!$S$17*(AllocationEnergy!$H$20/100)*Cultivation!K65)/Unitflowchart!$S$383</f>
        <v>3.4159749390004657</v>
      </c>
      <c r="E103" s="1027">
        <f>(Unitflowchart!$S$17*(AllocationEnergy!$H$20/100)*Cultivation!P65)/Unitflowchart!$S$383</f>
        <v>1.7079874695002328</v>
      </c>
      <c r="F103" s="26">
        <f t="shared" si="31"/>
        <v>0.21233545906136983</v>
      </c>
      <c r="G103" s="1036">
        <f>(Unitflowchart!$S$17*(AllocationEnergy!$H$20/100)*Cultivation!Q65)/Unitflowchart!$S$383</f>
        <v>0.25050482886003411</v>
      </c>
      <c r="H103" s="1027">
        <f>(Unitflowchart!$S$17*(AllocationEnergy!$H$20/100)*Cultivation!V65)/Unitflowchart!$S$383</f>
        <v>2.7145614181923698E-7</v>
      </c>
      <c r="I103" s="26">
        <f t="shared" si="32"/>
        <v>2.7101083746498113E-5</v>
      </c>
      <c r="J103" s="1036">
        <f>(Unitflowchart!$S$17*(AllocationEnergy!$H$20/100)*Cultivation!W65)/Unitflowchart!$S$383</f>
        <v>0</v>
      </c>
      <c r="K103" s="1027">
        <f>(Unitflowchart!$S$17*(AllocationEnergy!$H$20/100)*Cultivation!AB65)/Unitflowchart!$S$383</f>
        <v>0</v>
      </c>
      <c r="L103" s="26">
        <f t="shared" si="33"/>
        <v>0</v>
      </c>
      <c r="M103" s="1036">
        <f>(Unitflowchart!$S$17*(AllocationEnergy!$H$20/100)*Cultivation!AC65)/Unitflowchart!$S$383</f>
        <v>0</v>
      </c>
      <c r="N103" s="1028">
        <f>E103+(GlobalWarmingPotentials!$B$11*H103)+(GlobalWarmingPotentials!$C$11*K103)</f>
        <v>1.7079937129914946</v>
      </c>
      <c r="O103" s="26">
        <f t="shared" si="34"/>
        <v>0.19158009223961583</v>
      </c>
      <c r="P103" s="1031">
        <f>SQRT((G103^2)+((GlobalWarmingPotentials!$B$11*J103)^2)+((GlobalWarmingPotentials!$C$11*M103)^2))</f>
        <v>0.25050482886003411</v>
      </c>
    </row>
    <row r="104" spans="1:16" s="5" customFormat="1" x14ac:dyDescent="0.25">
      <c r="A104" s="979" t="str">
        <f>Cultivation!A66</f>
        <v xml:space="preserve"> - Advance Herbicide</v>
      </c>
      <c r="B104" s="1027">
        <f>(Unitflowchart!$S$17*(AllocationEnergy!$H$20/100)*Cultivation!J66)/Unitflowchart!$S$383</f>
        <v>18.06671189960246</v>
      </c>
      <c r="C104" s="26">
        <f t="shared" si="30"/>
        <v>0.13957183922033961</v>
      </c>
      <c r="D104" s="1036">
        <f>(Unitflowchart!$S$17*(AllocationEnergy!$H$20/100)*Cultivation!K66)/Unitflowchart!$S$383</f>
        <v>2.7327799512003721</v>
      </c>
      <c r="E104" s="1027">
        <f>(Unitflowchart!$S$17*(AllocationEnergy!$H$20/100)*Cultivation!P66)/Unitflowchart!$S$383</f>
        <v>1.0627477588001448</v>
      </c>
      <c r="F104" s="26">
        <f t="shared" si="31"/>
        <v>0.13211984119374121</v>
      </c>
      <c r="G104" s="1036">
        <f>(Unitflowchart!$S$17*(AllocationEnergy!$H$20/100)*Cultivation!Q66)/Unitflowchart!$S$383</f>
        <v>0.15182110840002069</v>
      </c>
      <c r="H104" s="1027">
        <f>(Unitflowchart!$S$17*(AllocationEnergy!$H$20/100)*Cultivation!V66)/Unitflowchart!$S$383</f>
        <v>9.0485380606412316E-9</v>
      </c>
      <c r="I104" s="26">
        <f t="shared" si="32"/>
        <v>9.0336945821660354E-7</v>
      </c>
      <c r="J104" s="1036">
        <f>(Unitflowchart!$S$17*(AllocationEnergy!$H$20/100)*Cultivation!W66)/Unitflowchart!$S$383</f>
        <v>0</v>
      </c>
      <c r="K104" s="1027">
        <f>(Unitflowchart!$S$17*(AllocationEnergy!$H$20/100)*Cultivation!AB66)/Unitflowchart!$S$383</f>
        <v>0</v>
      </c>
      <c r="L104" s="26">
        <f t="shared" si="33"/>
        <v>0</v>
      </c>
      <c r="M104" s="1036">
        <f>(Unitflowchart!$S$17*(AllocationEnergy!$H$20/100)*Cultivation!AC66)/Unitflowchart!$S$383</f>
        <v>0</v>
      </c>
      <c r="N104" s="1028">
        <f>E104+(GlobalWarmingPotentials!$B$11*H104)+(GlobalWarmingPotentials!$C$11*K104)</f>
        <v>1.0627479669165203</v>
      </c>
      <c r="O104" s="26">
        <f t="shared" si="34"/>
        <v>0.11920497832086871</v>
      </c>
      <c r="P104" s="1031">
        <f>SQRT((G104^2)+((GlobalWarmingPotentials!$B$11*J104)^2)+((GlobalWarmingPotentials!$C$11*M104)^2))</f>
        <v>0.15182110840002069</v>
      </c>
    </row>
    <row r="105" spans="1:16" s="5" customFormat="1" x14ac:dyDescent="0.25">
      <c r="A105" s="979" t="str">
        <f>Cultivation!A67</f>
        <v xml:space="preserve"> - Trifolex-Tra Herbicide</v>
      </c>
      <c r="B105" s="1027">
        <f>(Unitflowchart!$S$17*(AllocationEnergy!$H$20/100)*Cultivation!J67)/Unitflowchart!$S$383</f>
        <v>37.99323237710518</v>
      </c>
      <c r="C105" s="26">
        <f t="shared" si="30"/>
        <v>0.29351136777218484</v>
      </c>
      <c r="D105" s="1036">
        <f>(Unitflowchart!$S$17*(AllocationEnergy!$H$20/100)*Cultivation!K67)/Unitflowchart!$S$383</f>
        <v>5.552857039730756</v>
      </c>
      <c r="E105" s="1027">
        <f>(Unitflowchart!$S$17*(AllocationEnergy!$H$20/100)*Cultivation!P67)/Unitflowchart!$S$383</f>
        <v>4.0915788713805572</v>
      </c>
      <c r="F105" s="26">
        <f t="shared" si="31"/>
        <v>0.5086613885959036</v>
      </c>
      <c r="G105" s="1036">
        <f>(Unitflowchart!$S$17*(AllocationEnergy!$H$20/100)*Cultivation!Q67)/Unitflowchart!$S$383</f>
        <v>0.58451126734007963</v>
      </c>
      <c r="H105" s="1027">
        <f>(Unitflowchart!$S$17*(AllocationEnergy!$H$20/100)*Cultivation!V67)/Unitflowchart!$S$383</f>
        <v>3.483687153346874E-8</v>
      </c>
      <c r="I105" s="26">
        <f t="shared" si="32"/>
        <v>3.4779724141339236E-6</v>
      </c>
      <c r="J105" s="1036">
        <f>(Unitflowchart!$S$17*(AllocationEnergy!$H$20/100)*Cultivation!W67)/Unitflowchart!$S$383</f>
        <v>0</v>
      </c>
      <c r="K105" s="1027">
        <f>(Unitflowchart!$S$17*(AllocationEnergy!$H$20/100)*Cultivation!AB67)/Unitflowchart!$S$383</f>
        <v>0</v>
      </c>
      <c r="L105" s="26">
        <f t="shared" si="33"/>
        <v>0</v>
      </c>
      <c r="M105" s="1036">
        <f>(Unitflowchart!$S$17*(AllocationEnergy!$H$20/100)*Cultivation!AC67)/Unitflowchart!$S$383</f>
        <v>0</v>
      </c>
      <c r="N105" s="1028">
        <f>E105+(GlobalWarmingPotentials!$B$11*H105)+(GlobalWarmingPotentials!$C$11*K105)</f>
        <v>4.0915796726286029</v>
      </c>
      <c r="O105" s="26">
        <f t="shared" si="34"/>
        <v>0.4589391665353445</v>
      </c>
      <c r="P105" s="1031">
        <f>SQRT((G105^2)+((GlobalWarmingPotentials!$B$11*J105)^2)+((GlobalWarmingPotentials!$C$11*M105)^2))</f>
        <v>0.58451126734007963</v>
      </c>
    </row>
    <row r="106" spans="1:16" s="5" customFormat="1" x14ac:dyDescent="0.25">
      <c r="A106" s="979" t="str">
        <f>Cultivation!A68</f>
        <v xml:space="preserve"> - Glyphosate Herbicide</v>
      </c>
      <c r="B106" s="1027">
        <f>(Unitflowchart!$S$17*(AllocationEnergy!$H$20/100)*Cultivation!J68)/Unitflowchart!$S$383</f>
        <v>1033.9017482041409</v>
      </c>
      <c r="C106" s="26">
        <f t="shared" si="30"/>
        <v>7.987262395718596</v>
      </c>
      <c r="D106" s="1036">
        <f>(Unitflowchart!$S$17*(AllocationEnergy!$H$20/100)*Cultivation!K68)/Unitflowchart!$S$383</f>
        <v>154.8575305680211</v>
      </c>
      <c r="E106" s="1027">
        <f>(Unitflowchart!$S$17*(AllocationEnergy!$H$20/100)*Cultivation!P68)/Unitflowchart!$S$383</f>
        <v>59.210232276008071</v>
      </c>
      <c r="F106" s="26">
        <f t="shared" si="31"/>
        <v>7.360962580794153</v>
      </c>
      <c r="G106" s="1036">
        <f>(Unitflowchart!$S$17*(AllocationEnergy!$H$20/100)*Cultivation!Q68)/Unitflowchart!$S$383</f>
        <v>9.1092665040012406</v>
      </c>
      <c r="H106" s="1027">
        <f>(Unitflowchart!$S$17*(AllocationEnergy!$H$20/100)*Cultivation!V68)/Unitflowchart!$S$383</f>
        <v>2.7145614181923698E-7</v>
      </c>
      <c r="I106" s="26">
        <f t="shared" si="32"/>
        <v>2.7101083746498113E-5</v>
      </c>
      <c r="J106" s="1036">
        <f>(Unitflowchart!$S$17*(AllocationEnergy!$H$20/100)*Cultivation!W68)/Unitflowchart!$S$383</f>
        <v>0</v>
      </c>
      <c r="K106" s="1027">
        <f>(Unitflowchart!$S$17*(AllocationEnergy!$H$20/100)*Cultivation!AB68)/Unitflowchart!$S$383</f>
        <v>0</v>
      </c>
      <c r="L106" s="26">
        <f t="shared" si="33"/>
        <v>0</v>
      </c>
      <c r="M106" s="1036">
        <f>(Unitflowchart!$S$17*(AllocationEnergy!$H$20/100)*Cultivation!AC68)/Unitflowchart!$S$383</f>
        <v>0</v>
      </c>
      <c r="N106" s="1028">
        <f>E106+(GlobalWarmingPotentials!$B$11*H106)+(GlobalWarmingPotentials!$C$11*K106)</f>
        <v>59.210238519499335</v>
      </c>
      <c r="O106" s="26">
        <f t="shared" si="34"/>
        <v>6.6414196204666158</v>
      </c>
      <c r="P106" s="1031">
        <f>SQRT((G106^2)+((GlobalWarmingPotentials!$B$11*J106)^2)+((GlobalWarmingPotentials!$C$11*M106)^2))</f>
        <v>9.1092665040012406</v>
      </c>
    </row>
    <row r="107" spans="1:16" s="907" customFormat="1" x14ac:dyDescent="0.25">
      <c r="A107" s="154"/>
      <c r="B107" s="1029"/>
      <c r="C107" s="992"/>
      <c r="D107" s="1040"/>
      <c r="E107" s="1029"/>
      <c r="F107" s="992"/>
      <c r="G107" s="1040"/>
      <c r="H107" s="1029"/>
      <c r="I107" s="992"/>
      <c r="J107" s="1040"/>
      <c r="K107" s="1029"/>
      <c r="L107" s="992"/>
      <c r="M107" s="1040"/>
      <c r="N107" s="1029"/>
      <c r="O107" s="992"/>
      <c r="P107" s="1030"/>
    </row>
    <row r="108" spans="1:16" s="5" customFormat="1" x14ac:dyDescent="0.25">
      <c r="A108" s="996" t="str">
        <f>Cultivation!A70</f>
        <v>Sub-Totals for Agrochemicals</v>
      </c>
      <c r="B108" s="1041">
        <f>(Unitflowchart!$S$17*(AllocationEnergy!$H$20/100)*Cultivation!J70)/Unitflowchart!$S$383</f>
        <v>1491.1505845271799</v>
      </c>
      <c r="C108" s="997">
        <f>(B108/B$391)*100</f>
        <v>11.519673905992962</v>
      </c>
      <c r="D108" s="1056">
        <f>(Unitflowchart!$S$17*(AllocationEnergy!$H$20/100)*Cultivation!K70)/Unitflowchart!$S$383</f>
        <v>159.62753435456128</v>
      </c>
      <c r="E108" s="1041">
        <f>(Unitflowchart!$S$17*(AllocationEnergy!$H$20/100)*Cultivation!P70)/Unitflowchart!$S$383</f>
        <v>88.497590629658561</v>
      </c>
      <c r="F108" s="997">
        <f>(E108/E$391)*100</f>
        <v>11.001940510530876</v>
      </c>
      <c r="G108" s="1056">
        <f>(Unitflowchart!$S$17*(AllocationEnergy!$H$20/100)*Cultivation!Q70)/Unitflowchart!$S$383</f>
        <v>9.4132979370080729</v>
      </c>
      <c r="H108" s="1041">
        <f>(Unitflowchart!$S$17*(AllocationEnergy!$H$20/100)*Cultivation!V70)/Unitflowchart!$S$383</f>
        <v>4.8409563249497467E-2</v>
      </c>
      <c r="I108" s="997">
        <f>(H108/H$391)*100</f>
        <v>4.833015082891948</v>
      </c>
      <c r="J108" s="1056">
        <f>(Unitflowchart!$S$17*(AllocationEnergy!$H$20/100)*Cultivation!W70)/Unitflowchart!$S$383</f>
        <v>4.6085810989752824E-3</v>
      </c>
      <c r="K108" s="1041">
        <f>(Unitflowchart!$S$17*(AllocationEnergy!$H$20/100)*Cultivation!AB70)/Unitflowchart!$S$383</f>
        <v>0</v>
      </c>
      <c r="L108" s="997">
        <f>(K108/K$391)*100</f>
        <v>0</v>
      </c>
      <c r="M108" s="1056">
        <f>(Unitflowchart!$S$17*(AllocationEnergy!$H$20/100)*Cultivation!AC70)/Unitflowchart!$S$383</f>
        <v>0</v>
      </c>
      <c r="N108" s="1032">
        <f>E108+(GlobalWarmingPotentials!$B$11*H108)+(GlobalWarmingPotentials!$C$11*K108)</f>
        <v>89.611010584397008</v>
      </c>
      <c r="O108" s="997">
        <f>(N108/N$391)*100</f>
        <v>10.051375214593346</v>
      </c>
      <c r="P108" s="1033">
        <f>SQRT((G108^2)+((GlobalWarmingPotentials!$B$11*J108)^2)+((GlobalWarmingPotentials!$C$11*M108)^2))</f>
        <v>9.4138947036986753</v>
      </c>
    </row>
    <row r="109" spans="1:16" s="907" customFormat="1" x14ac:dyDescent="0.25">
      <c r="A109" s="154"/>
      <c r="B109" s="1029"/>
      <c r="C109" s="992"/>
      <c r="D109" s="1040"/>
      <c r="E109" s="1029"/>
      <c r="F109" s="992"/>
      <c r="G109" s="1040"/>
      <c r="H109" s="1029"/>
      <c r="I109" s="992"/>
      <c r="J109" s="1040"/>
      <c r="K109" s="1029"/>
      <c r="L109" s="992"/>
      <c r="M109" s="1040"/>
      <c r="N109" s="1029"/>
      <c r="O109" s="992"/>
      <c r="P109" s="1030"/>
    </row>
    <row r="110" spans="1:16" s="5" customFormat="1" x14ac:dyDescent="0.25">
      <c r="A110" s="979" t="str">
        <f>Cultivation!A72</f>
        <v xml:space="preserve"> - Rhizomes</v>
      </c>
      <c r="B110" s="1027">
        <f>(Unitflowchart!$S$17*(AllocationEnergy!$H$20/100)*Cultivation!J72)/Unitflowchart!$S$383</f>
        <v>425.09910352005795</v>
      </c>
      <c r="C110" s="26">
        <f>(B110/B$391)*100</f>
        <v>3.2840432757726976</v>
      </c>
      <c r="D110" s="1036">
        <f>(Unitflowchart!$S$17*(AllocationEnergy!$H$20/100)*Cultivation!K72)/Unitflowchart!$S$383</f>
        <v>53.137387940007244</v>
      </c>
      <c r="E110" s="1027">
        <f>(Unitflowchart!$S$17*(AllocationEnergy!$H$20/100)*Cultivation!P72)/Unitflowchart!$S$383</f>
        <v>14.878468623202032</v>
      </c>
      <c r="F110" s="26">
        <f>(E110/E$391)*100</f>
        <v>1.8496777767123773</v>
      </c>
      <c r="G110" s="1036">
        <f>(Unitflowchart!$S$17*(AllocationEnergy!$H$20/100)*Cultivation!Q72)/Unitflowchart!$S$383</f>
        <v>2.1254955176002901</v>
      </c>
      <c r="H110" s="1027">
        <f>(Unitflowchart!$S$17*(AllocationEnergy!$H$20/100)*Cultivation!V72)/Unitflowchart!$S$383</f>
        <v>5.0671813139590908E-5</v>
      </c>
      <c r="I110" s="26">
        <f>(H110/H$391)*100</f>
        <v>5.0588689660129816E-3</v>
      </c>
      <c r="J110" s="1036">
        <f>(Unitflowchart!$S$17*(AllocationEnergy!$H$20/100)*Cultivation!W72)/Unitflowchart!$S$383</f>
        <v>6.3339766424488635E-6</v>
      </c>
      <c r="K110" s="1027">
        <f>(Unitflowchart!$S$17*(AllocationEnergy!$H$20/100)*Cultivation!AB72)/Unitflowchart!$S$383</f>
        <v>5.4370175340215408E-7</v>
      </c>
      <c r="L110" s="26">
        <f>(K110/K$391)*100</f>
        <v>2.5102899640425092E-4</v>
      </c>
      <c r="M110" s="1036">
        <f>(Unitflowchart!$S$17*(AllocationEnergy!$H$20/100)*Cultivation!AC72)/Unitflowchart!$S$383</f>
        <v>6.7962719175269259E-8</v>
      </c>
      <c r="N110" s="1028">
        <f>E110+(GlobalWarmingPotentials!$B$11*H110)+(GlobalWarmingPotentials!$C$11*K110)</f>
        <v>14.879795010623249</v>
      </c>
      <c r="O110" s="26">
        <f>(N110/N$391)*100</f>
        <v>1.6690181462371538</v>
      </c>
      <c r="P110" s="1031">
        <f>SQRT((G110^2)+((GlobalWarmingPotentials!$B$11*J110)^2)+((GlobalWarmingPotentials!$C$11*M110)^2))</f>
        <v>2.1254955226879932</v>
      </c>
    </row>
    <row r="111" spans="1:16" s="907" customFormat="1" x14ac:dyDescent="0.25">
      <c r="A111" s="979"/>
      <c r="B111" s="1029"/>
      <c r="C111" s="992"/>
      <c r="D111" s="1040"/>
      <c r="E111" s="1029"/>
      <c r="F111" s="992"/>
      <c r="G111" s="1040"/>
      <c r="H111" s="1029"/>
      <c r="I111" s="992"/>
      <c r="J111" s="1040"/>
      <c r="K111" s="1029"/>
      <c r="L111" s="992"/>
      <c r="M111" s="1040"/>
      <c r="N111" s="1029"/>
      <c r="O111" s="992"/>
      <c r="P111" s="1030"/>
    </row>
    <row r="112" spans="1:16" s="5" customFormat="1" x14ac:dyDescent="0.25">
      <c r="A112" s="979" t="str">
        <f>Cultivation!A74</f>
        <v xml:space="preserve"> - Nitrous Oxide Emissions from Soil</v>
      </c>
      <c r="B112" s="1027">
        <f>(Unitflowchart!$S$17*(AllocationEnergy!$H$20/100)*Cultivation!J74)/Unitflowchart!$S$383</f>
        <v>0</v>
      </c>
      <c r="C112" s="26">
        <f>(B112/B$391)*100</f>
        <v>0</v>
      </c>
      <c r="D112" s="1036">
        <f>(Unitflowchart!$S$17*(AllocationEnergy!$H$20/100)*Cultivation!K74)/Unitflowchart!$S$383</f>
        <v>0</v>
      </c>
      <c r="E112" s="1027">
        <f>(Unitflowchart!$S$17*(AllocationEnergy!$H$20/100)*Cultivation!P74)/Unitflowchart!$S$383</f>
        <v>0</v>
      </c>
      <c r="F112" s="26">
        <f>(E112/E$391)*100</f>
        <v>0</v>
      </c>
      <c r="G112" s="1036">
        <f>(Unitflowchart!$S$17*(AllocationEnergy!$H$20/100)*Cultivation!Q74)/Unitflowchart!$S$383</f>
        <v>0</v>
      </c>
      <c r="H112" s="1027">
        <f>(Unitflowchart!$S$17*(AllocationEnergy!$H$20/100)*Cultivation!V74)/Unitflowchart!$S$383</f>
        <v>0</v>
      </c>
      <c r="I112" s="26">
        <f>(H112/H$391)*100</f>
        <v>0</v>
      </c>
      <c r="J112" s="1036">
        <f>(Unitflowchart!$S$17*(AllocationEnergy!$H$20/100)*Cultivation!W74)/Unitflowchart!$S$383</f>
        <v>0</v>
      </c>
      <c r="K112" s="1027">
        <f>(Unitflowchart!$S$17*(AllocationEnergy!$H$20/100)*Cultivation!AB74)/Unitflowchart!$S$383</f>
        <v>5.8026027630487899E-2</v>
      </c>
      <c r="L112" s="26">
        <f>(K112/K$391)*100</f>
        <v>26.790819397326228</v>
      </c>
      <c r="M112" s="1036">
        <f>(Unitflowchart!$S$17*(AllocationEnergy!$H$20/100)*Cultivation!AC74)/Unitflowchart!$S$383</f>
        <v>0</v>
      </c>
      <c r="N112" s="1028">
        <f>E112+(GlobalWarmingPotentials!$B$11*H112)+(GlobalWarmingPotentials!$C$11*K112)</f>
        <v>17.175704178624418</v>
      </c>
      <c r="O112" s="26">
        <f>(N112/N$391)*100</f>
        <v>1.9265428003584268</v>
      </c>
      <c r="P112" s="1031">
        <f>SQRT((G112^2)+((GlobalWarmingPotentials!$B$11*J112)^2)+((GlobalWarmingPotentials!$C$11*M112)^2))</f>
        <v>0</v>
      </c>
    </row>
    <row r="113" spans="1:16" s="5" customFormat="1" x14ac:dyDescent="0.25">
      <c r="A113" s="979" t="str">
        <f>Cultivation!A75</f>
        <v xml:space="preserve"> - Carbon Dioxide Emissions from Soil</v>
      </c>
      <c r="B113" s="1027">
        <f>(Unitflowchart!$S$17*(AllocationEnergy!$H$20/100)*Cultivation!J75)/Unitflowchart!$S$383</f>
        <v>0</v>
      </c>
      <c r="C113" s="26">
        <f>(B113/B$391)*100</f>
        <v>0</v>
      </c>
      <c r="D113" s="1036">
        <f>(Unitflowchart!$S$17*(AllocationEnergy!$H$20/100)*Cultivation!K75)/Unitflowchart!$S$383</f>
        <v>0</v>
      </c>
      <c r="E113" s="1027">
        <f>(Unitflowchart!$S$17*(AllocationEnergy!$H$20/100)*Cultivation!P75)/Unitflowchart!$S$383</f>
        <v>0</v>
      </c>
      <c r="F113" s="26">
        <f>(E113/E$391)*100</f>
        <v>0</v>
      </c>
      <c r="G113" s="1036">
        <f>(Unitflowchart!$S$17*(AllocationEnergy!$H$20/100)*Cultivation!Q75)/Unitflowchart!$S$383</f>
        <v>0</v>
      </c>
      <c r="H113" s="1027">
        <f>(Unitflowchart!$S$17*(AllocationEnergy!$H$20/100)*Cultivation!V75)/Unitflowchart!$S$383</f>
        <v>0</v>
      </c>
      <c r="I113" s="26">
        <f>(H113/H$391)*100</f>
        <v>0</v>
      </c>
      <c r="J113" s="1036">
        <f>(Unitflowchart!$S$17*(AllocationEnergy!$H$20/100)*Cultivation!W75)/Unitflowchart!$S$383</f>
        <v>0</v>
      </c>
      <c r="K113" s="1027">
        <f>(Unitflowchart!$S$17*(AllocationEnergy!$H$20/100)*Cultivation!AB75)/Unitflowchart!$S$383</f>
        <v>0</v>
      </c>
      <c r="L113" s="26">
        <f>(K113/K$391)*100</f>
        <v>0</v>
      </c>
      <c r="M113" s="1036">
        <f>(Unitflowchart!$S$17*(AllocationEnergy!$H$20/100)*Cultivation!AC75)/Unitflowchart!$S$383</f>
        <v>0</v>
      </c>
      <c r="N113" s="1028">
        <f>E113+(GlobalWarmingPotentials!$B$11*H113)+(GlobalWarmingPotentials!$C$11*K113)</f>
        <v>0</v>
      </c>
      <c r="O113" s="26">
        <f>(N113/N$391)*100</f>
        <v>0</v>
      </c>
      <c r="P113" s="1031">
        <f>SQRT((G113^2)+((GlobalWarmingPotentials!$B$11*J113)^2)+((GlobalWarmingPotentials!$C$11*M113)^2))</f>
        <v>0</v>
      </c>
    </row>
    <row r="114" spans="1:16" s="43" customFormat="1" x14ac:dyDescent="0.25">
      <c r="A114" s="154"/>
      <c r="B114" s="1029"/>
      <c r="C114" s="992"/>
      <c r="D114" s="1040"/>
      <c r="E114" s="1029"/>
      <c r="F114" s="992"/>
      <c r="G114" s="1040"/>
      <c r="H114" s="1029"/>
      <c r="I114" s="992"/>
      <c r="J114" s="1040"/>
      <c r="K114" s="1029"/>
      <c r="L114" s="992"/>
      <c r="M114" s="1040"/>
      <c r="N114" s="1029"/>
      <c r="O114" s="992"/>
      <c r="P114" s="1030"/>
    </row>
    <row r="115" spans="1:16" x14ac:dyDescent="0.25">
      <c r="A115" s="218" t="s">
        <v>27</v>
      </c>
      <c r="B115" s="1051">
        <f>(Unitflowchart!$S$17*(AllocationEnergy!$H$20/100)*Cultivation!J77)/Unitflowchart!$S$383</f>
        <v>2267.6113893076836</v>
      </c>
      <c r="C115" s="1052">
        <f>(B115/B$391)*100</f>
        <v>17.518112537657011</v>
      </c>
      <c r="D115" s="1053">
        <f>(Unitflowchart!$S$17*(AllocationEnergy!$H$20/100)*Cultivation!K77)/Unitflowchart!$S$383</f>
        <v>168.23950701664418</v>
      </c>
      <c r="E115" s="1051">
        <f>(Unitflowchart!$S$17*(AllocationEnergy!$H$20/100)*Cultivation!P77)/Unitflowchart!$S$383</f>
        <v>128.59027267043217</v>
      </c>
      <c r="F115" s="1052">
        <f>(E115/E$391)*100</f>
        <v>15.986226518565925</v>
      </c>
      <c r="G115" s="1053">
        <f>(Unitflowchart!$S$17*(AllocationEnergy!$H$20/100)*Cultivation!Q77)/Unitflowchart!$S$383</f>
        <v>9.6502802677548889</v>
      </c>
      <c r="H115" s="1051">
        <f>(Unitflowchart!$S$17*(AllocationEnergy!$H$20/100)*Cultivation!V77)/Unitflowchart!$S$383</f>
        <v>5.3699552136418166E-2</v>
      </c>
      <c r="I115" s="1052">
        <f>(H115/H$391)*100</f>
        <v>5.3611461868031975</v>
      </c>
      <c r="J115" s="1053">
        <f>(Unitflowchart!$S$17*(AllocationEnergy!$H$20/100)*Cultivation!W77)/Unitflowchart!$S$383</f>
        <v>4.6085854516426548E-3</v>
      </c>
      <c r="K115" s="1051">
        <f>(Unitflowchart!$S$17*(AllocationEnergy!$H$20/100)*Cultivation!AB77)/Unitflowchart!$S$383</f>
        <v>6.4837683528156748E-2</v>
      </c>
      <c r="L115" s="1052">
        <f>(K115/K$391)*100</f>
        <v>29.935784689682286</v>
      </c>
      <c r="M115" s="1053">
        <f>(Unitflowchart!$S$17*(AllocationEnergy!$H$20/100)*Cultivation!AC77)/Unitflowchart!$S$383</f>
        <v>6.7962719175269259E-8</v>
      </c>
      <c r="N115" s="1054">
        <f>E115+(GlobalWarmingPotentials!$B$11*H115)+(GlobalWarmingPotentials!$C$11*K115)</f>
        <v>149.01731669390421</v>
      </c>
      <c r="O115" s="1052">
        <f>(N115/N$391)*100</f>
        <v>16.714787098083644</v>
      </c>
      <c r="P115" s="1055">
        <f>SQRT((G115^2)+((GlobalWarmingPotentials!$B$11*J115)^2)+((GlobalWarmingPotentials!$C$11*M115)^2))</f>
        <v>9.65086238163682</v>
      </c>
    </row>
    <row r="116" spans="1:16" s="43" customFormat="1" x14ac:dyDescent="0.25">
      <c r="A116" s="154"/>
      <c r="B116" s="729"/>
      <c r="C116" s="992"/>
      <c r="D116" s="736"/>
      <c r="E116" s="729"/>
      <c r="F116" s="992"/>
      <c r="G116" s="736"/>
      <c r="H116" s="505"/>
      <c r="I116" s="992"/>
      <c r="J116" s="506"/>
      <c r="K116" s="505"/>
      <c r="L116" s="992"/>
      <c r="M116" s="506"/>
      <c r="N116" s="729"/>
      <c r="O116" s="992"/>
      <c r="P116" s="758"/>
    </row>
    <row r="117" spans="1:16" x14ac:dyDescent="0.25">
      <c r="A117" s="154" t="s">
        <v>1377</v>
      </c>
      <c r="B117" s="729"/>
      <c r="C117" s="992"/>
      <c r="D117" s="736"/>
      <c r="E117" s="729"/>
      <c r="F117" s="992"/>
      <c r="G117" s="736"/>
      <c r="H117" s="505"/>
      <c r="I117" s="992"/>
      <c r="J117" s="506"/>
      <c r="K117" s="505"/>
      <c r="L117" s="992"/>
      <c r="M117" s="506"/>
      <c r="N117" s="729"/>
      <c r="O117" s="992"/>
      <c r="P117" s="758"/>
    </row>
    <row r="118" spans="1:16" x14ac:dyDescent="0.25">
      <c r="A118" s="154" t="str">
        <f>Harvesting!A17</f>
        <v>MAIN LAND USE</v>
      </c>
      <c r="B118" s="729"/>
      <c r="C118" s="992"/>
      <c r="D118" s="736"/>
      <c r="E118" s="729"/>
      <c r="F118" s="992"/>
      <c r="G118" s="736"/>
      <c r="H118" s="505"/>
      <c r="I118" s="992"/>
      <c r="J118" s="506"/>
      <c r="K118" s="505"/>
      <c r="L118" s="992"/>
      <c r="M118" s="506"/>
      <c r="N118" s="729"/>
      <c r="O118" s="992"/>
      <c r="P118" s="758"/>
    </row>
    <row r="119" spans="1:16" x14ac:dyDescent="0.25">
      <c r="A119" s="154" t="str">
        <f>Harvesting!A18</f>
        <v xml:space="preserve"> Diesel Fuel</v>
      </c>
      <c r="B119" s="729"/>
      <c r="C119" s="992"/>
      <c r="D119" s="736"/>
      <c r="E119" s="729"/>
      <c r="F119" s="992"/>
      <c r="G119" s="736"/>
      <c r="H119" s="505"/>
      <c r="I119" s="992"/>
      <c r="J119" s="506"/>
      <c r="K119" s="505"/>
      <c r="L119" s="992"/>
      <c r="M119" s="506"/>
      <c r="N119" s="729"/>
      <c r="O119" s="992"/>
      <c r="P119" s="758"/>
    </row>
    <row r="120" spans="1:16" x14ac:dyDescent="0.25">
      <c r="A120" s="979" t="str">
        <f>Harvesting!A19</f>
        <v>Mower conditioner</v>
      </c>
      <c r="B120" s="1027">
        <f>(Unitflowchart!$S$17*(AllocationEnergy!$H$20/100)*Harvesting!J19)/Unitflowchart!$S$383</f>
        <v>117.14580485391284</v>
      </c>
      <c r="C120" s="26">
        <f>(B120/B$391)*100</f>
        <v>0.904993422780344</v>
      </c>
      <c r="D120" s="1036">
        <f>(Unitflowchart!$S$17*(AllocationEnergy!$H$20/100)*Harvesting!K19)/Unitflowchart!$S$383</f>
        <v>0</v>
      </c>
      <c r="E120" s="1027">
        <f>(Unitflowchart!$S$17*(AllocationEnergy!$H$20/100)*Harvesting!P19)/Unitflowchart!$S$383</f>
        <v>8.4065489037756649</v>
      </c>
      <c r="F120" s="26">
        <f>(E120/E$391)*100</f>
        <v>1.0450945644978091</v>
      </c>
      <c r="G120" s="1036">
        <f>(Unitflowchart!$S$17*(AllocationEnergy!$H$20/100)*Harvesting!Q19)/Unitflowchart!$S$383</f>
        <v>0</v>
      </c>
      <c r="H120" s="1027">
        <f>(Unitflowchart!$S$17*(AllocationEnergy!$H$20/100)*Harvesting!V19)/Unitflowchart!$S$383</f>
        <v>1.7468153566287097E-3</v>
      </c>
      <c r="I120" s="26">
        <f>(H120/H$391)*100</f>
        <v>0.17439498311733831</v>
      </c>
      <c r="J120" s="1036">
        <f>(Unitflowchart!$S$17*(AllocationEnergy!$H$20/100)*Harvesting!W19)/Unitflowchart!$S$383</f>
        <v>0</v>
      </c>
      <c r="K120" s="1027">
        <f>(Unitflowchart!$S$17*(AllocationEnergy!$H$20/100)*Harvesting!AB19)/Unitflowchart!$S$383</f>
        <v>2.2708599636173227E-3</v>
      </c>
      <c r="L120" s="26">
        <f>(K120/K$391)*100</f>
        <v>1.0484639677441066</v>
      </c>
      <c r="M120" s="1036">
        <f>(Unitflowchart!$S$17*(AllocationEnergy!$H$20/100)*Harvesting!AC19)/Unitflowchart!$S$383</f>
        <v>0</v>
      </c>
      <c r="N120" s="1028">
        <f>E120+(GlobalWarmingPotentials!$B$11*H120)+(GlobalWarmingPotentials!$C$11*K120)</f>
        <v>9.1189002062088527</v>
      </c>
      <c r="O120" s="26">
        <f>(N120/N$391)*100</f>
        <v>1.0228373379487046</v>
      </c>
      <c r="P120" s="1031">
        <f>SQRT((G120^2)+((GlobalWarmingPotentials!$B$11*J120)^2)+((GlobalWarmingPotentials!$C$11*M120)^2))</f>
        <v>0</v>
      </c>
    </row>
    <row r="121" spans="1:16" x14ac:dyDescent="0.25">
      <c r="A121" s="979" t="str">
        <f>Harvesting!A20</f>
        <v>Baler</v>
      </c>
      <c r="B121" s="1027">
        <f>(Unitflowchart!$S$17*(AllocationEnergy!$H$20/100)*Harvesting!J20)/Unitflowchart!$S$383</f>
        <v>150.61603481217364</v>
      </c>
      <c r="C121" s="26">
        <f>(B121/B$391)*100</f>
        <v>1.1635629721461567</v>
      </c>
      <c r="D121" s="1036">
        <f>(Unitflowchart!$S$17*(AllocationEnergy!$H$20/100)*Harvesting!K20)/Unitflowchart!$S$383</f>
        <v>0</v>
      </c>
      <c r="E121" s="1027">
        <f>(Unitflowchart!$S$17*(AllocationEnergy!$H$20/100)*Harvesting!P20)/Unitflowchart!$S$383</f>
        <v>10.808420019140142</v>
      </c>
      <c r="F121" s="26">
        <f>(E121/E$391)*100</f>
        <v>1.3436930114971835</v>
      </c>
      <c r="G121" s="1036">
        <f>(Unitflowchart!$S$17*(AllocationEnergy!$H$20/100)*Harvesting!Q20)/Unitflowchart!$S$383</f>
        <v>0</v>
      </c>
      <c r="H121" s="1027">
        <f>(Unitflowchart!$S$17*(AllocationEnergy!$H$20/100)*Harvesting!V20)/Unitflowchart!$S$383</f>
        <v>2.2459054585226268E-3</v>
      </c>
      <c r="I121" s="26">
        <f>(H121/H$391)*100</f>
        <v>0.22422212115086357</v>
      </c>
      <c r="J121" s="1036">
        <f>(Unitflowchart!$S$17*(AllocationEnergy!$H$20/100)*Harvesting!W20)/Unitflowchart!$S$383</f>
        <v>0</v>
      </c>
      <c r="K121" s="1027">
        <f>(Unitflowchart!$S$17*(AllocationEnergy!$H$20/100)*Harvesting!AB20)/Unitflowchart!$S$383</f>
        <v>2.9196770960794147E-3</v>
      </c>
      <c r="L121" s="26">
        <f>(K121/K$391)*100</f>
        <v>1.3480251013852798</v>
      </c>
      <c r="M121" s="1036">
        <f>(Unitflowchart!$S$17*(AllocationEnergy!$H$20/100)*Harvesting!AC20)/Unitflowchart!$S$383</f>
        <v>0</v>
      </c>
      <c r="N121" s="1028">
        <f>E121+(GlobalWarmingPotentials!$B$11*H121)+(GlobalWarmingPotentials!$C$11*K121)</f>
        <v>11.72430026512567</v>
      </c>
      <c r="O121" s="26">
        <f>(N121/N$391)*100</f>
        <v>1.3150765773626203</v>
      </c>
      <c r="P121" s="1031">
        <f>SQRT((G121^2)+((GlobalWarmingPotentials!$B$11*J121)^2)+((GlobalWarmingPotentials!$C$11*M121)^2))</f>
        <v>0</v>
      </c>
    </row>
    <row r="122" spans="1:16" x14ac:dyDescent="0.25">
      <c r="A122" s="979" t="str">
        <f>Harvesting!A21</f>
        <v>Tractor and trailer</v>
      </c>
      <c r="B122" s="1027">
        <f>(Unitflowchart!$S$17*(AllocationEnergy!$H$20/100)*Harvesting!J21)/Unitflowchart!$S$383</f>
        <v>101.46429006541904</v>
      </c>
      <c r="C122" s="26">
        <f>(B122/B$391)*100</f>
        <v>0.78384808803688177</v>
      </c>
      <c r="D122" s="1036">
        <f>(Unitflowchart!$S$17*(AllocationEnergy!$H$20/100)*Harvesting!K21)/Unitflowchart!$S$383</f>
        <v>0</v>
      </c>
      <c r="E122" s="1027">
        <f>(Unitflowchart!$S$17*(AllocationEnergy!$H$20/100)*Harvesting!P21)/Unitflowchart!$S$383</f>
        <v>7.2812211882919522</v>
      </c>
      <c r="F122" s="26">
        <f>(E122/E$391)*100</f>
        <v>0.90519483962943292</v>
      </c>
      <c r="G122" s="1036">
        <f>(Unitflowchart!$S$17*(AllocationEnergy!$H$20/100)*Harvesting!Q21)/Unitflowchart!$S$383</f>
        <v>0</v>
      </c>
      <c r="H122" s="1027">
        <f>(Unitflowchart!$S$17*(AllocationEnergy!$H$20/100)*Harvesting!V21)/Unitflowchart!$S$383</f>
        <v>1.5129810261385877E-3</v>
      </c>
      <c r="I122" s="26">
        <f>(H122/H$391)*100</f>
        <v>0.15104990891511585</v>
      </c>
      <c r="J122" s="1036">
        <f>(Unitflowchart!$S$17*(AllocationEnergy!$H$20/100)*Harvesting!W21)/Unitflowchart!$S$383</f>
        <v>0</v>
      </c>
      <c r="K122" s="1027">
        <f>(Unitflowchart!$S$17*(AllocationEnergy!$H$20/100)*Harvesting!AB21)/Unitflowchart!$S$383</f>
        <v>1.9668753339801641E-3</v>
      </c>
      <c r="L122" s="26">
        <f>(K122/K$391)*100</f>
        <v>0.90811320370363968</v>
      </c>
      <c r="M122" s="1036">
        <f>(Unitflowchart!$S$17*(AllocationEnergy!$H$20/100)*Harvesting!AC21)/Unitflowchart!$S$383</f>
        <v>0</v>
      </c>
      <c r="N122" s="1028">
        <f>E122+(GlobalWarmingPotentials!$B$11*H122)+(GlobalWarmingPotentials!$C$11*K122)</f>
        <v>7.8982148507512679</v>
      </c>
      <c r="O122" s="26">
        <f>(N122/N$391)*100</f>
        <v>0.88591703712129921</v>
      </c>
      <c r="P122" s="1031">
        <f>SQRT((G122^2)+((GlobalWarmingPotentials!$B$11*J122)^2)+((GlobalWarmingPotentials!$C$11*M122)^2))</f>
        <v>0</v>
      </c>
    </row>
    <row r="123" spans="1:16" s="43" customFormat="1" x14ac:dyDescent="0.25">
      <c r="A123" s="154"/>
      <c r="B123" s="1029"/>
      <c r="C123" s="992"/>
      <c r="D123" s="1040"/>
      <c r="E123" s="1029"/>
      <c r="F123" s="992"/>
      <c r="G123" s="1040"/>
      <c r="H123" s="1029"/>
      <c r="I123" s="992"/>
      <c r="J123" s="1040"/>
      <c r="K123" s="1029"/>
      <c r="L123" s="992"/>
      <c r="M123" s="1040"/>
      <c r="N123" s="1029"/>
      <c r="O123" s="992"/>
      <c r="P123" s="1030"/>
    </row>
    <row r="124" spans="1:16" x14ac:dyDescent="0.25">
      <c r="A124" s="996" t="str">
        <f>Harvesting!A23</f>
        <v>Sub-totals for diesel fuel</v>
      </c>
      <c r="B124" s="1027">
        <f>(Unitflowchart!$S$17*(AllocationEnergy!$H$20/100)*Harvesting!J23)/Unitflowchart!$S$383</f>
        <v>369.22612973150552</v>
      </c>
      <c r="C124" s="26">
        <f>(B124/B$391)*100</f>
        <v>2.8524044829633826</v>
      </c>
      <c r="D124" s="1036">
        <f>(Unitflowchart!$S$17*(AllocationEnergy!$H$20/100)*Harvesting!K23)/Unitflowchart!$S$383</f>
        <v>0</v>
      </c>
      <c r="E124" s="1027">
        <f>(Unitflowchart!$S$17*(AllocationEnergy!$H$20/100)*Harvesting!P23)/Unitflowchart!$S$383</f>
        <v>26.49619011120776</v>
      </c>
      <c r="F124" s="26">
        <f>(E124/E$391)*100</f>
        <v>3.2939824156244253</v>
      </c>
      <c r="G124" s="1036">
        <f>(Unitflowchart!$S$17*(AllocationEnergy!$H$20/100)*Harvesting!Q23)/Unitflowchart!$S$383</f>
        <v>0</v>
      </c>
      <c r="H124" s="1027">
        <f>(Unitflowchart!$S$17*(AllocationEnergy!$H$20/100)*Harvesting!V23)/Unitflowchart!$S$383</f>
        <v>5.505701841289924E-3</v>
      </c>
      <c r="I124" s="26">
        <f>(H124/H$391)*100</f>
        <v>0.54966701318331768</v>
      </c>
      <c r="J124" s="1036">
        <f>(Unitflowchart!$S$17*(AllocationEnergy!$H$20/100)*Harvesting!W23)/Unitflowchart!$S$383</f>
        <v>0</v>
      </c>
      <c r="K124" s="1027">
        <f>(Unitflowchart!$S$17*(AllocationEnergy!$H$20/100)*Harvesting!AB23)/Unitflowchart!$S$383</f>
        <v>7.157412393676902E-3</v>
      </c>
      <c r="L124" s="26">
        <f>(K124/K$391)*100</f>
        <v>3.304602272833026</v>
      </c>
      <c r="M124" s="1036">
        <f>(Unitflowchart!$S$17*(AllocationEnergy!$H$20/100)*Harvesting!AC23)/Unitflowchart!$S$383</f>
        <v>0</v>
      </c>
      <c r="N124" s="1028">
        <f>E124+(GlobalWarmingPotentials!$B$11*H124)+(GlobalWarmingPotentials!$C$11*K124)</f>
        <v>28.741415322085793</v>
      </c>
      <c r="O124" s="26">
        <f>(N124/N$391)*100</f>
        <v>3.2238309524326243</v>
      </c>
      <c r="P124" s="1031">
        <f>SQRT((G124^2)+((GlobalWarmingPotentials!$B$11*J124)^2)+((GlobalWarmingPotentials!$C$11*M124)^2))</f>
        <v>0</v>
      </c>
    </row>
    <row r="125" spans="1:16" s="43" customFormat="1" x14ac:dyDescent="0.25">
      <c r="A125" s="154"/>
      <c r="B125" s="1029"/>
      <c r="C125" s="992"/>
      <c r="D125" s="1040"/>
      <c r="E125" s="1029"/>
      <c r="F125" s="992"/>
      <c r="G125" s="1040"/>
      <c r="H125" s="1029"/>
      <c r="I125" s="992"/>
      <c r="J125" s="1040"/>
      <c r="K125" s="1029"/>
      <c r="L125" s="992"/>
      <c r="M125" s="1040"/>
      <c r="N125" s="1029"/>
      <c r="O125" s="992"/>
      <c r="P125" s="1030"/>
    </row>
    <row r="126" spans="1:16" x14ac:dyDescent="0.25">
      <c r="A126" s="154" t="str">
        <f>Harvesting!A25</f>
        <v xml:space="preserve"> Machinery</v>
      </c>
      <c r="B126" s="1027">
        <f>(Unitflowchart!$S$17*(AllocationEnergy!$H$20/100)*Harvesting!J25)/Unitflowchart!$S$383</f>
        <v>0</v>
      </c>
      <c r="C126" s="26">
        <f>(B126/B$391)*100</f>
        <v>0</v>
      </c>
      <c r="D126" s="1036">
        <f>(Unitflowchart!$S$17*(AllocationEnergy!$H$20/100)*Harvesting!K25)/Unitflowchart!$S$383</f>
        <v>0</v>
      </c>
      <c r="E126" s="1027">
        <f>(Unitflowchart!$S$17*(AllocationEnergy!$H$20/100)*Harvesting!P25)/Unitflowchart!$S$383</f>
        <v>0</v>
      </c>
      <c r="F126" s="26">
        <f>(E126/E$391)*100</f>
        <v>0</v>
      </c>
      <c r="G126" s="1036">
        <f>(Unitflowchart!$S$17*(AllocationEnergy!$H$20/100)*Harvesting!Q25)/Unitflowchart!$S$383</f>
        <v>0</v>
      </c>
      <c r="H126" s="1027">
        <f>(Unitflowchart!$S$17*(AllocationEnergy!$H$20/100)*Harvesting!V25)/Unitflowchart!$S$383</f>
        <v>0</v>
      </c>
      <c r="I126" s="26">
        <f>(H126/H$391)*100</f>
        <v>0</v>
      </c>
      <c r="J126" s="1036">
        <f>(Unitflowchart!$S$17*(AllocationEnergy!$H$20/100)*Harvesting!W25)/Unitflowchart!$S$383</f>
        <v>0</v>
      </c>
      <c r="K126" s="1027">
        <f>(Unitflowchart!$S$17*(AllocationEnergy!$H$20/100)*Harvesting!AB25)/Unitflowchart!$S$383</f>
        <v>0</v>
      </c>
      <c r="L126" s="26">
        <f>(K126/K$391)*100</f>
        <v>0</v>
      </c>
      <c r="M126" s="1036">
        <f>(Unitflowchart!$S$17*(AllocationEnergy!$H$20/100)*Harvesting!AC25)/Unitflowchart!$S$383</f>
        <v>0</v>
      </c>
      <c r="N126" s="1028">
        <f>E126+(GlobalWarmingPotentials!$B$11*H126)+(GlobalWarmingPotentials!$C$11*K126)</f>
        <v>0</v>
      </c>
      <c r="O126" s="26">
        <f>(N126/N$391)*100</f>
        <v>0</v>
      </c>
      <c r="P126" s="1031">
        <f>SQRT((G126^2)+((GlobalWarmingPotentials!$B$11*J126)^2)+((GlobalWarmingPotentials!$C$11*M126)^2))</f>
        <v>0</v>
      </c>
    </row>
    <row r="127" spans="1:16" x14ac:dyDescent="0.25">
      <c r="A127" s="979" t="str">
        <f>Harvesting!A26</f>
        <v>Mower conditioner</v>
      </c>
      <c r="B127" s="1027">
        <f>(Unitflowchart!$S$17*(AllocationEnergy!$H$20/100)*Harvesting!J26)/Unitflowchart!$S$383</f>
        <v>0</v>
      </c>
      <c r="C127" s="26">
        <f>(B127/B$391)*100</f>
        <v>0</v>
      </c>
      <c r="D127" s="1036">
        <f>(Unitflowchart!$S$17*(AllocationEnergy!$H$20/100)*Harvesting!K26)/Unitflowchart!$S$383</f>
        <v>0</v>
      </c>
      <c r="E127" s="1027">
        <f>(Unitflowchart!$S$17*(AllocationEnergy!$H$20/100)*Harvesting!P26)/Unitflowchart!$S$383</f>
        <v>0</v>
      </c>
      <c r="F127" s="26">
        <f>(E127/E$391)*100</f>
        <v>0</v>
      </c>
      <c r="G127" s="1036">
        <f>(Unitflowchart!$S$17*(AllocationEnergy!$H$20/100)*Harvesting!Q26)/Unitflowchart!$S$383</f>
        <v>0</v>
      </c>
      <c r="H127" s="1027">
        <f>(Unitflowchart!$S$17*(AllocationEnergy!$H$20/100)*Harvesting!V26)/Unitflowchart!$S$383</f>
        <v>0</v>
      </c>
      <c r="I127" s="26">
        <f>(H127/H$391)*100</f>
        <v>0</v>
      </c>
      <c r="J127" s="1036">
        <f>(Unitflowchart!$S$17*(AllocationEnergy!$H$20/100)*Harvesting!W26)/Unitflowchart!$S$383</f>
        <v>0</v>
      </c>
      <c r="K127" s="1027">
        <f>(Unitflowchart!$S$17*(AllocationEnergy!$H$20/100)*Harvesting!AB26)/Unitflowchart!$S$383</f>
        <v>0</v>
      </c>
      <c r="L127" s="26">
        <f>(K127/K$391)*100</f>
        <v>0</v>
      </c>
      <c r="M127" s="1036">
        <f>(Unitflowchart!$S$17*(AllocationEnergy!$H$20/100)*Harvesting!AC26)/Unitflowchart!$S$383</f>
        <v>0</v>
      </c>
      <c r="N127" s="1028">
        <f>E127+(GlobalWarmingPotentials!$B$11*H127)+(GlobalWarmingPotentials!$C$11*K127)</f>
        <v>0</v>
      </c>
      <c r="O127" s="26">
        <f>(N127/N$391)*100</f>
        <v>0</v>
      </c>
      <c r="P127" s="1031">
        <f>SQRT((G127^2)+((GlobalWarmingPotentials!$B$11*J127)^2)+((GlobalWarmingPotentials!$C$11*M127)^2))</f>
        <v>0</v>
      </c>
    </row>
    <row r="128" spans="1:16" x14ac:dyDescent="0.25">
      <c r="A128" s="979" t="str">
        <f>Harvesting!A27</f>
        <v>Baler</v>
      </c>
      <c r="B128" s="1027">
        <f>(Unitflowchart!$S$17*(AllocationEnergy!$H$20/100)*Harvesting!J27)/Unitflowchart!$S$383</f>
        <v>0</v>
      </c>
      <c r="C128" s="26">
        <f>(B128/B$391)*100</f>
        <v>0</v>
      </c>
      <c r="D128" s="1036">
        <f>(Unitflowchart!$S$17*(AllocationEnergy!$H$20/100)*Harvesting!K27)/Unitflowchart!$S$383</f>
        <v>0</v>
      </c>
      <c r="E128" s="1027">
        <f>(Unitflowchart!$S$17*(AllocationEnergy!$H$20/100)*Harvesting!P27)/Unitflowchart!$S$383</f>
        <v>0</v>
      </c>
      <c r="F128" s="26">
        <f>(E128/E$391)*100</f>
        <v>0</v>
      </c>
      <c r="G128" s="1036">
        <f>(Unitflowchart!$S$17*(AllocationEnergy!$H$20/100)*Harvesting!Q27)/Unitflowchart!$S$383</f>
        <v>0</v>
      </c>
      <c r="H128" s="1027">
        <f>(Unitflowchart!$S$17*(AllocationEnergy!$H$20/100)*Harvesting!V27)/Unitflowchart!$S$383</f>
        <v>0</v>
      </c>
      <c r="I128" s="26">
        <f>(H128/H$391)*100</f>
        <v>0</v>
      </c>
      <c r="J128" s="1036">
        <f>(Unitflowchart!$S$17*(AllocationEnergy!$H$20/100)*Harvesting!W27)/Unitflowchart!$S$383</f>
        <v>0</v>
      </c>
      <c r="K128" s="1027">
        <f>(Unitflowchart!$S$17*(AllocationEnergy!$H$20/100)*Harvesting!AB27)/Unitflowchart!$S$383</f>
        <v>0</v>
      </c>
      <c r="L128" s="26">
        <f>(K128/K$391)*100</f>
        <v>0</v>
      </c>
      <c r="M128" s="1036">
        <f>(Unitflowchart!$S$17*(AllocationEnergy!$H$20/100)*Harvesting!AC27)/Unitflowchart!$S$383</f>
        <v>0</v>
      </c>
      <c r="N128" s="1028">
        <f>E128+(GlobalWarmingPotentials!$B$11*H128)+(GlobalWarmingPotentials!$C$11*K128)</f>
        <v>0</v>
      </c>
      <c r="O128" s="26">
        <f>(N128/N$391)*100</f>
        <v>0</v>
      </c>
      <c r="P128" s="1031">
        <f>SQRT((G128^2)+((GlobalWarmingPotentials!$B$11*J128)^2)+((GlobalWarmingPotentials!$C$11*M128)^2))</f>
        <v>0</v>
      </c>
    </row>
    <row r="129" spans="1:16" x14ac:dyDescent="0.25">
      <c r="A129" s="979" t="str">
        <f>Harvesting!A28</f>
        <v>Tractor</v>
      </c>
      <c r="B129" s="1027">
        <f>(Unitflowchart!$S$17*(AllocationEnergy!$H$20/100)*Harvesting!J28)/Unitflowchart!$S$383</f>
        <v>0</v>
      </c>
      <c r="C129" s="26">
        <f>(B129/B$391)*100</f>
        <v>0</v>
      </c>
      <c r="D129" s="1036">
        <f>(Unitflowchart!$S$17*(AllocationEnergy!$H$20/100)*Harvesting!K28)/Unitflowchart!$S$383</f>
        <v>0</v>
      </c>
      <c r="E129" s="1027">
        <f>(Unitflowchart!$S$17*(AllocationEnergy!$H$20/100)*Harvesting!P28)/Unitflowchart!$S$383</f>
        <v>0</v>
      </c>
      <c r="F129" s="26">
        <f>(E129/E$391)*100</f>
        <v>0</v>
      </c>
      <c r="G129" s="1036">
        <f>(Unitflowchart!$S$17*(AllocationEnergy!$H$20/100)*Harvesting!Q28)/Unitflowchart!$S$383</f>
        <v>0</v>
      </c>
      <c r="H129" s="1027">
        <f>(Unitflowchart!$S$17*(AllocationEnergy!$H$20/100)*Harvesting!V28)/Unitflowchart!$S$383</f>
        <v>0</v>
      </c>
      <c r="I129" s="26">
        <f>(H129/H$391)*100</f>
        <v>0</v>
      </c>
      <c r="J129" s="1036">
        <f>(Unitflowchart!$S$17*(AllocationEnergy!$H$20/100)*Harvesting!W28)/Unitflowchart!$S$383</f>
        <v>0</v>
      </c>
      <c r="K129" s="1027">
        <f>(Unitflowchart!$S$17*(AllocationEnergy!$H$20/100)*Harvesting!AB28)/Unitflowchart!$S$383</f>
        <v>0</v>
      </c>
      <c r="L129" s="26">
        <f>(K129/K$391)*100</f>
        <v>0</v>
      </c>
      <c r="M129" s="1036">
        <f>(Unitflowchart!$S$17*(AllocationEnergy!$H$20/100)*Harvesting!AC28)/Unitflowchart!$S$383</f>
        <v>0</v>
      </c>
      <c r="N129" s="1028">
        <f>E129+(GlobalWarmingPotentials!$B$11*H129)+(GlobalWarmingPotentials!$C$11*K129)</f>
        <v>0</v>
      </c>
      <c r="O129" s="26">
        <f>(N129/N$391)*100</f>
        <v>0</v>
      </c>
      <c r="P129" s="1031">
        <f>SQRT((G129^2)+((GlobalWarmingPotentials!$B$11*J129)^2)+((GlobalWarmingPotentials!$C$11*M129)^2))</f>
        <v>0</v>
      </c>
    </row>
    <row r="130" spans="1:16" x14ac:dyDescent="0.25">
      <c r="A130" s="979" t="str">
        <f>Harvesting!A29</f>
        <v>Trailer</v>
      </c>
      <c r="B130" s="1027">
        <f>(Unitflowchart!$S$17*(AllocationEnergy!$H$20/100)*Harvesting!J29)/Unitflowchart!$S$383</f>
        <v>0</v>
      </c>
      <c r="C130" s="26">
        <f>(B130/B$391)*100</f>
        <v>0</v>
      </c>
      <c r="D130" s="1036">
        <f>(Unitflowchart!$S$17*(AllocationEnergy!$H$20/100)*Harvesting!K29)/Unitflowchart!$S$383</f>
        <v>0</v>
      </c>
      <c r="E130" s="1027">
        <f>(Unitflowchart!$S$17*(AllocationEnergy!$H$20/100)*Harvesting!P29)/Unitflowchart!$S$383</f>
        <v>0</v>
      </c>
      <c r="F130" s="26">
        <f>(E130/E$391)*100</f>
        <v>0</v>
      </c>
      <c r="G130" s="1036">
        <f>(Unitflowchart!$S$17*(AllocationEnergy!$H$20/100)*Harvesting!Q29)/Unitflowchart!$S$383</f>
        <v>0</v>
      </c>
      <c r="H130" s="1027">
        <f>(Unitflowchart!$S$17*(AllocationEnergy!$H$20/100)*Harvesting!V29)/Unitflowchart!$S$383</f>
        <v>0</v>
      </c>
      <c r="I130" s="26">
        <f>(H130/H$391)*100</f>
        <v>0</v>
      </c>
      <c r="J130" s="1036">
        <f>(Unitflowchart!$S$17*(AllocationEnergy!$H$20/100)*Harvesting!W29)/Unitflowchart!$S$383</f>
        <v>0</v>
      </c>
      <c r="K130" s="1027">
        <f>(Unitflowchart!$S$17*(AllocationEnergy!$H$20/100)*Harvesting!AB29)/Unitflowchart!$S$383</f>
        <v>0</v>
      </c>
      <c r="L130" s="26">
        <f>(K130/K$391)*100</f>
        <v>0</v>
      </c>
      <c r="M130" s="1036">
        <f>(Unitflowchart!$S$17*(AllocationEnergy!$H$20/100)*Harvesting!AC29)/Unitflowchart!$S$383</f>
        <v>0</v>
      </c>
      <c r="N130" s="1028">
        <f>E130+(GlobalWarmingPotentials!$B$11*H130)+(GlobalWarmingPotentials!$C$11*K130)</f>
        <v>0</v>
      </c>
      <c r="O130" s="26">
        <f>(N130/N$391)*100</f>
        <v>0</v>
      </c>
      <c r="P130" s="1031">
        <f>SQRT((G130^2)+((GlobalWarmingPotentials!$B$11*J130)^2)+((GlobalWarmingPotentials!$C$11*M130)^2))</f>
        <v>0</v>
      </c>
    </row>
    <row r="131" spans="1:16" s="43" customFormat="1" x14ac:dyDescent="0.25">
      <c r="A131" s="154"/>
      <c r="B131" s="1029"/>
      <c r="C131" s="992"/>
      <c r="D131" s="1040"/>
      <c r="E131" s="1029"/>
      <c r="F131" s="992"/>
      <c r="G131" s="1040"/>
      <c r="H131" s="1029"/>
      <c r="I131" s="992"/>
      <c r="J131" s="1040"/>
      <c r="K131" s="1029"/>
      <c r="L131" s="992"/>
      <c r="M131" s="1040"/>
      <c r="N131" s="1029"/>
      <c r="O131" s="992"/>
      <c r="P131" s="1030"/>
    </row>
    <row r="132" spans="1:16" x14ac:dyDescent="0.25">
      <c r="A132" s="996" t="str">
        <f>Harvesting!A31</f>
        <v>Sub-totals for machinery</v>
      </c>
      <c r="B132" s="1027">
        <f>(Unitflowchart!$S$17*(AllocationEnergy!$H$20/100)*Harvesting!J31)/Unitflowchart!$S$383</f>
        <v>0</v>
      </c>
      <c r="C132" s="26">
        <f>(B132/B$391)*100</f>
        <v>0</v>
      </c>
      <c r="D132" s="1036">
        <f>(Unitflowchart!$S$17*(AllocationEnergy!$H$20/100)*Harvesting!K31)/Unitflowchart!$S$383</f>
        <v>0</v>
      </c>
      <c r="E132" s="1027">
        <f>(Unitflowchart!$S$17*(AllocationEnergy!$H$20/100)*Harvesting!P31)/Unitflowchart!$S$383</f>
        <v>0</v>
      </c>
      <c r="F132" s="26">
        <f>(E132/E$391)*100</f>
        <v>0</v>
      </c>
      <c r="G132" s="1036">
        <f>(Unitflowchart!$S$17*(AllocationEnergy!$H$20/100)*Harvesting!Q31)/Unitflowchart!$S$383</f>
        <v>0</v>
      </c>
      <c r="H132" s="1027">
        <f>(Unitflowchart!$S$17*(AllocationEnergy!$H$20/100)*Harvesting!V31)/Unitflowchart!$S$383</f>
        <v>0</v>
      </c>
      <c r="I132" s="26">
        <f>(H132/H$391)*100</f>
        <v>0</v>
      </c>
      <c r="J132" s="1036">
        <f>(Unitflowchart!$S$17*(AllocationEnergy!$H$20/100)*Harvesting!W31)/Unitflowchart!$S$383</f>
        <v>0</v>
      </c>
      <c r="K132" s="1027">
        <f>(Unitflowchart!$S$17*(AllocationEnergy!$H$20/100)*Harvesting!AB31)/Unitflowchart!$S$383</f>
        <v>0</v>
      </c>
      <c r="L132" s="26">
        <f>(K132/K$391)*100</f>
        <v>0</v>
      </c>
      <c r="M132" s="1036">
        <f>(Unitflowchart!$S$17*(AllocationEnergy!$H$20/100)*Harvesting!AC31)/Unitflowchart!$S$383</f>
        <v>0</v>
      </c>
      <c r="N132" s="1028">
        <f>E132+(GlobalWarmingPotentials!$B$11*H132)+(GlobalWarmingPotentials!$C$11*K132)</f>
        <v>0</v>
      </c>
      <c r="O132" s="26">
        <f>(N132/N$391)*100</f>
        <v>0</v>
      </c>
      <c r="P132" s="1031">
        <f>SQRT((G132^2)+((GlobalWarmingPotentials!$B$11*J132)^2)+((GlobalWarmingPotentials!$C$11*M132)^2))</f>
        <v>0</v>
      </c>
    </row>
    <row r="133" spans="1:16" s="43" customFormat="1" x14ac:dyDescent="0.25">
      <c r="A133" s="154"/>
      <c r="B133" s="1029"/>
      <c r="C133" s="992"/>
      <c r="D133" s="1040"/>
      <c r="E133" s="1029"/>
      <c r="F133" s="992"/>
      <c r="G133" s="1040"/>
      <c r="H133" s="1029"/>
      <c r="I133" s="992"/>
      <c r="J133" s="1040"/>
      <c r="K133" s="1029"/>
      <c r="L133" s="992"/>
      <c r="M133" s="1040"/>
      <c r="N133" s="1029"/>
      <c r="O133" s="992"/>
      <c r="P133" s="1030"/>
    </row>
    <row r="134" spans="1:16" x14ac:dyDescent="0.25">
      <c r="A134" s="154" t="str">
        <f>Harvesting!A33</f>
        <v xml:space="preserve"> Maintenance</v>
      </c>
      <c r="B134" s="1027">
        <f>(Unitflowchart!$S$17*(AllocationEnergy!$H$20/100)*Harvesting!J33)/Unitflowchart!$S$383</f>
        <v>0</v>
      </c>
      <c r="C134" s="26">
        <f>(B134/B$391)*100</f>
        <v>0</v>
      </c>
      <c r="D134" s="1036">
        <f>(Unitflowchart!$S$17*(AllocationEnergy!$H$20/100)*Harvesting!K33)/Unitflowchart!$S$383</f>
        <v>0</v>
      </c>
      <c r="E134" s="1027">
        <f>(Unitflowchart!$S$17*(AllocationEnergy!$H$20/100)*Harvesting!P33)/Unitflowchart!$S$383</f>
        <v>0</v>
      </c>
      <c r="F134" s="26">
        <f>(E134/E$391)*100</f>
        <v>0</v>
      </c>
      <c r="G134" s="1036">
        <f>(Unitflowchart!$S$17*(AllocationEnergy!$H$20/100)*Harvesting!Q33)/Unitflowchart!$S$383</f>
        <v>0</v>
      </c>
      <c r="H134" s="1027">
        <f>(Unitflowchart!$S$17*(AllocationEnergy!$H$20/100)*Harvesting!V33)/Unitflowchart!$S$383</f>
        <v>0</v>
      </c>
      <c r="I134" s="26">
        <f>(H134/H$391)*100</f>
        <v>0</v>
      </c>
      <c r="J134" s="1036">
        <f>(Unitflowchart!$S$17*(AllocationEnergy!$H$20/100)*Harvesting!W33)/Unitflowchart!$S$383</f>
        <v>0</v>
      </c>
      <c r="K134" s="1027">
        <f>(Unitflowchart!$S$17*(AllocationEnergy!$H$20/100)*Harvesting!AB33)/Unitflowchart!$S$383</f>
        <v>0</v>
      </c>
      <c r="L134" s="26">
        <f>(K134/K$391)*100</f>
        <v>0</v>
      </c>
      <c r="M134" s="1036">
        <f>(Unitflowchart!$S$17*(AllocationEnergy!$H$20/100)*Harvesting!AC33)/Unitflowchart!$S$383</f>
        <v>0</v>
      </c>
      <c r="N134" s="1028">
        <f>E134+(GlobalWarmingPotentials!$B$11*H134)+(GlobalWarmingPotentials!$C$11*K134)</f>
        <v>0</v>
      </c>
      <c r="O134" s="26">
        <f>(N134/N$391)*100</f>
        <v>0</v>
      </c>
      <c r="P134" s="1031">
        <f>SQRT((G134^2)+((GlobalWarmingPotentials!$B$11*J134)^2)+((GlobalWarmingPotentials!$C$11*M134)^2))</f>
        <v>0</v>
      </c>
    </row>
    <row r="135" spans="1:16" x14ac:dyDescent="0.25">
      <c r="A135" s="979" t="str">
        <f>Harvesting!A34</f>
        <v>Mower conditioner</v>
      </c>
      <c r="B135" s="1027">
        <f>(Unitflowchart!$S$17*(AllocationEnergy!$H$20/100)*Harvesting!J34)/Unitflowchart!$S$383</f>
        <v>0</v>
      </c>
      <c r="C135" s="26">
        <f>(B135/B$391)*100</f>
        <v>0</v>
      </c>
      <c r="D135" s="1036">
        <f>(Unitflowchart!$S$17*(AllocationEnergy!$H$20/100)*Harvesting!K34)/Unitflowchart!$S$383</f>
        <v>0</v>
      </c>
      <c r="E135" s="1027">
        <f>(Unitflowchart!$S$17*(AllocationEnergy!$H$20/100)*Harvesting!P34)/Unitflowchart!$S$383</f>
        <v>0</v>
      </c>
      <c r="F135" s="26">
        <f>(E135/E$391)*100</f>
        <v>0</v>
      </c>
      <c r="G135" s="1036">
        <f>(Unitflowchart!$S$17*(AllocationEnergy!$H$20/100)*Harvesting!Q34)/Unitflowchart!$S$383</f>
        <v>0</v>
      </c>
      <c r="H135" s="1027">
        <f>(Unitflowchart!$S$17*(AllocationEnergy!$H$20/100)*Harvesting!V34)/Unitflowchart!$S$383</f>
        <v>0</v>
      </c>
      <c r="I135" s="26">
        <f>(H135/H$391)*100</f>
        <v>0</v>
      </c>
      <c r="J135" s="1036">
        <f>(Unitflowchart!$S$17*(AllocationEnergy!$H$20/100)*Harvesting!W34)/Unitflowchart!$S$383</f>
        <v>0</v>
      </c>
      <c r="K135" s="1027">
        <f>(Unitflowchart!$S$17*(AllocationEnergy!$H$20/100)*Harvesting!AB34)/Unitflowchart!$S$383</f>
        <v>0</v>
      </c>
      <c r="L135" s="26">
        <f>(K135/K$391)*100</f>
        <v>0</v>
      </c>
      <c r="M135" s="1036">
        <f>(Unitflowchart!$S$17*(AllocationEnergy!$H$20/100)*Harvesting!AC34)/Unitflowchart!$S$383</f>
        <v>0</v>
      </c>
      <c r="N135" s="1028">
        <f>E135+(GlobalWarmingPotentials!$B$11*H135)+(GlobalWarmingPotentials!$C$11*K135)</f>
        <v>0</v>
      </c>
      <c r="O135" s="26">
        <f>(N135/N$391)*100</f>
        <v>0</v>
      </c>
      <c r="P135" s="1031">
        <f>SQRT((G135^2)+((GlobalWarmingPotentials!$B$11*J135)^2)+((GlobalWarmingPotentials!$C$11*M135)^2))</f>
        <v>0</v>
      </c>
    </row>
    <row r="136" spans="1:16" x14ac:dyDescent="0.25">
      <c r="A136" s="979" t="str">
        <f>Harvesting!A35</f>
        <v>Baler</v>
      </c>
      <c r="B136" s="1027">
        <f>(Unitflowchart!$S$17*(AllocationEnergy!$H$20/100)*Harvesting!J35)/Unitflowchart!$S$383</f>
        <v>0</v>
      </c>
      <c r="C136" s="26">
        <f>(B136/B$391)*100</f>
        <v>0</v>
      </c>
      <c r="D136" s="1036">
        <f>(Unitflowchart!$S$17*(AllocationEnergy!$H$20/100)*Harvesting!K35)/Unitflowchart!$S$383</f>
        <v>0</v>
      </c>
      <c r="E136" s="1027">
        <f>(Unitflowchart!$S$17*(AllocationEnergy!$H$20/100)*Harvesting!P35)/Unitflowchart!$S$383</f>
        <v>0</v>
      </c>
      <c r="F136" s="26">
        <f>(E136/E$391)*100</f>
        <v>0</v>
      </c>
      <c r="G136" s="1036">
        <f>(Unitflowchart!$S$17*(AllocationEnergy!$H$20/100)*Harvesting!Q35)/Unitflowchart!$S$383</f>
        <v>0</v>
      </c>
      <c r="H136" s="1027">
        <f>(Unitflowchart!$S$17*(AllocationEnergy!$H$20/100)*Harvesting!V35)/Unitflowchart!$S$383</f>
        <v>0</v>
      </c>
      <c r="I136" s="26">
        <f>(H136/H$391)*100</f>
        <v>0</v>
      </c>
      <c r="J136" s="1036">
        <f>(Unitflowchart!$S$17*(AllocationEnergy!$H$20/100)*Harvesting!W35)/Unitflowchart!$S$383</f>
        <v>0</v>
      </c>
      <c r="K136" s="1027">
        <f>(Unitflowchart!$S$17*(AllocationEnergy!$H$20/100)*Harvesting!AB35)/Unitflowchart!$S$383</f>
        <v>0</v>
      </c>
      <c r="L136" s="26">
        <f>(K136/K$391)*100</f>
        <v>0</v>
      </c>
      <c r="M136" s="1036">
        <f>(Unitflowchart!$S$17*(AllocationEnergy!$H$20/100)*Harvesting!AC35)/Unitflowchart!$S$383</f>
        <v>0</v>
      </c>
      <c r="N136" s="1028">
        <f>E136+(GlobalWarmingPotentials!$B$11*H136)+(GlobalWarmingPotentials!$C$11*K136)</f>
        <v>0</v>
      </c>
      <c r="O136" s="26">
        <f>(N136/N$391)*100</f>
        <v>0</v>
      </c>
      <c r="P136" s="1031">
        <f>SQRT((G136^2)+((GlobalWarmingPotentials!$B$11*J136)^2)+((GlobalWarmingPotentials!$C$11*M136)^2))</f>
        <v>0</v>
      </c>
    </row>
    <row r="137" spans="1:16" x14ac:dyDescent="0.25">
      <c r="A137" s="979" t="str">
        <f>Harvesting!A36</f>
        <v>Tractor</v>
      </c>
      <c r="B137" s="1027">
        <f>(Unitflowchart!$S$17*(AllocationEnergy!$H$20/100)*Harvesting!J36)/Unitflowchart!$S$383</f>
        <v>0</v>
      </c>
      <c r="C137" s="26">
        <f>(B137/B$391)*100</f>
        <v>0</v>
      </c>
      <c r="D137" s="1036">
        <f>(Unitflowchart!$S$17*(AllocationEnergy!$H$20/100)*Harvesting!K36)/Unitflowchart!$S$383</f>
        <v>0</v>
      </c>
      <c r="E137" s="1027">
        <f>(Unitflowchart!$S$17*(AllocationEnergy!$H$20/100)*Harvesting!P36)/Unitflowchart!$S$383</f>
        <v>0</v>
      </c>
      <c r="F137" s="26">
        <f>(E137/E$391)*100</f>
        <v>0</v>
      </c>
      <c r="G137" s="1036">
        <f>(Unitflowchart!$S$17*(AllocationEnergy!$H$20/100)*Harvesting!Q36)/Unitflowchart!$S$383</f>
        <v>0</v>
      </c>
      <c r="H137" s="1027">
        <f>(Unitflowchart!$S$17*(AllocationEnergy!$H$20/100)*Harvesting!V36)/Unitflowchart!$S$383</f>
        <v>0</v>
      </c>
      <c r="I137" s="26">
        <f>(H137/H$391)*100</f>
        <v>0</v>
      </c>
      <c r="J137" s="1036">
        <f>(Unitflowchart!$S$17*(AllocationEnergy!$H$20/100)*Harvesting!W36)/Unitflowchart!$S$383</f>
        <v>0</v>
      </c>
      <c r="K137" s="1027">
        <f>(Unitflowchart!$S$17*(AllocationEnergy!$H$20/100)*Harvesting!AB36)/Unitflowchart!$S$383</f>
        <v>0</v>
      </c>
      <c r="L137" s="26">
        <f>(K137/K$391)*100</f>
        <v>0</v>
      </c>
      <c r="M137" s="1036">
        <f>(Unitflowchart!$S$17*(AllocationEnergy!$H$20/100)*Harvesting!AC36)/Unitflowchart!$S$383</f>
        <v>0</v>
      </c>
      <c r="N137" s="1028">
        <f>E137+(GlobalWarmingPotentials!$B$11*H137)+(GlobalWarmingPotentials!$C$11*K137)</f>
        <v>0</v>
      </c>
      <c r="O137" s="26">
        <f>(N137/N$391)*100</f>
        <v>0</v>
      </c>
      <c r="P137" s="1031">
        <f>SQRT((G137^2)+((GlobalWarmingPotentials!$B$11*J137)^2)+((GlobalWarmingPotentials!$C$11*M137)^2))</f>
        <v>0</v>
      </c>
    </row>
    <row r="138" spans="1:16" x14ac:dyDescent="0.25">
      <c r="A138" s="979" t="str">
        <f>Harvesting!A37</f>
        <v>Trailer</v>
      </c>
      <c r="B138" s="1027">
        <f>(Unitflowchart!$S$17*(AllocationEnergy!$H$20/100)*Harvesting!J37)/Unitflowchart!$S$383</f>
        <v>0</v>
      </c>
      <c r="C138" s="26">
        <f>(B138/B$391)*100</f>
        <v>0</v>
      </c>
      <c r="D138" s="1036">
        <f>(Unitflowchart!$S$17*(AllocationEnergy!$H$20/100)*Harvesting!K37)/Unitflowchart!$S$383</f>
        <v>0</v>
      </c>
      <c r="E138" s="1027">
        <f>(Unitflowchart!$S$17*(AllocationEnergy!$H$20/100)*Harvesting!P37)/Unitflowchart!$S$383</f>
        <v>0</v>
      </c>
      <c r="F138" s="26">
        <f>(E138/E$391)*100</f>
        <v>0</v>
      </c>
      <c r="G138" s="1036">
        <f>(Unitflowchart!$S$17*(AllocationEnergy!$H$20/100)*Harvesting!Q37)/Unitflowchart!$S$383</f>
        <v>0</v>
      </c>
      <c r="H138" s="1027">
        <f>(Unitflowchart!$S$17*(AllocationEnergy!$H$20/100)*Harvesting!V37)/Unitflowchart!$S$383</f>
        <v>0</v>
      </c>
      <c r="I138" s="26">
        <f>(H138/H$391)*100</f>
        <v>0</v>
      </c>
      <c r="J138" s="1036">
        <f>(Unitflowchart!$S$17*(AllocationEnergy!$H$20/100)*Harvesting!W37)/Unitflowchart!$S$383</f>
        <v>0</v>
      </c>
      <c r="K138" s="1027">
        <f>(Unitflowchart!$S$17*(AllocationEnergy!$H$20/100)*Harvesting!AB37)/Unitflowchart!$S$383</f>
        <v>0</v>
      </c>
      <c r="L138" s="26">
        <f>(K138/K$391)*100</f>
        <v>0</v>
      </c>
      <c r="M138" s="1036">
        <f>(Unitflowchart!$S$17*(AllocationEnergy!$H$20/100)*Harvesting!AC37)/Unitflowchart!$S$383</f>
        <v>0</v>
      </c>
      <c r="N138" s="1028">
        <f>E138+(GlobalWarmingPotentials!$B$11*H138)+(GlobalWarmingPotentials!$C$11*K138)</f>
        <v>0</v>
      </c>
      <c r="O138" s="26">
        <f>(N138/N$391)*100</f>
        <v>0</v>
      </c>
      <c r="P138" s="1031">
        <f>SQRT((G138^2)+((GlobalWarmingPotentials!$B$11*J138)^2)+((GlobalWarmingPotentials!$C$11*M138)^2))</f>
        <v>0</v>
      </c>
    </row>
    <row r="139" spans="1:16" s="43" customFormat="1" x14ac:dyDescent="0.25">
      <c r="A139" s="979"/>
      <c r="B139" s="1029"/>
      <c r="C139" s="992"/>
      <c r="D139" s="1040"/>
      <c r="E139" s="1029"/>
      <c r="F139" s="992"/>
      <c r="G139" s="1040"/>
      <c r="H139" s="1029"/>
      <c r="I139" s="992"/>
      <c r="J139" s="1040"/>
      <c r="K139" s="1029"/>
      <c r="L139" s="992"/>
      <c r="M139" s="1040"/>
      <c r="N139" s="1029"/>
      <c r="O139" s="992"/>
      <c r="P139" s="1030"/>
    </row>
    <row r="140" spans="1:16" x14ac:dyDescent="0.25">
      <c r="A140" s="979" t="str">
        <f>Harvesting!A39</f>
        <v>Sub-totals for maintenance</v>
      </c>
      <c r="B140" s="1027">
        <f>(Unitflowchart!$S$17*(AllocationEnergy!$H$20/100)*Harvesting!J39)/Unitflowchart!$S$383</f>
        <v>0</v>
      </c>
      <c r="C140" s="26">
        <f>(B140/B$391)*100</f>
        <v>0</v>
      </c>
      <c r="D140" s="1036">
        <f>(Unitflowchart!$S$17*(AllocationEnergy!$H$20/100)*Harvesting!K39)/Unitflowchart!$S$383</f>
        <v>0</v>
      </c>
      <c r="E140" s="1027">
        <f>(Unitflowchart!$S$17*(AllocationEnergy!$H$20/100)*Harvesting!P39)/Unitflowchart!$S$383</f>
        <v>0</v>
      </c>
      <c r="F140" s="26">
        <f>(E140/E$391)*100</f>
        <v>0</v>
      </c>
      <c r="G140" s="1036">
        <f>(Unitflowchart!$S$17*(AllocationEnergy!$H$20/100)*Harvesting!Q39)/Unitflowchart!$S$383</f>
        <v>0</v>
      </c>
      <c r="H140" s="1027">
        <f>(Unitflowchart!$S$17*(AllocationEnergy!$H$20/100)*Harvesting!V39)/Unitflowchart!$S$383</f>
        <v>0</v>
      </c>
      <c r="I140" s="26">
        <f>(H140/H$391)*100</f>
        <v>0</v>
      </c>
      <c r="J140" s="1036">
        <f>(Unitflowchart!$S$17*(AllocationEnergy!$H$20/100)*Harvesting!W39)/Unitflowchart!$S$383</f>
        <v>0</v>
      </c>
      <c r="K140" s="1027">
        <f>(Unitflowchart!$S$17*(AllocationEnergy!$H$20/100)*Harvesting!AB39)/Unitflowchart!$S$383</f>
        <v>0</v>
      </c>
      <c r="L140" s="26">
        <f>(K140/K$391)*100</f>
        <v>0</v>
      </c>
      <c r="M140" s="1036">
        <f>(Unitflowchart!$S$17*(AllocationEnergy!$H$20/100)*Harvesting!AC39)/Unitflowchart!$S$383</f>
        <v>0</v>
      </c>
      <c r="N140" s="1028">
        <f>E140+(GlobalWarmingPotentials!$B$11*H140)+(GlobalWarmingPotentials!$C$11*K140)</f>
        <v>0</v>
      </c>
      <c r="O140" s="26">
        <f>(N140/N$391)*100</f>
        <v>0</v>
      </c>
      <c r="P140" s="1031">
        <f>SQRT((G140^2)+((GlobalWarmingPotentials!$B$11*J140)^2)+((GlobalWarmingPotentials!$C$11*M140)^2))</f>
        <v>0</v>
      </c>
    </row>
    <row r="141" spans="1:16" s="43" customFormat="1" x14ac:dyDescent="0.25">
      <c r="A141" s="154"/>
      <c r="B141" s="1029"/>
      <c r="C141" s="992"/>
      <c r="D141" s="1040"/>
      <c r="E141" s="1029"/>
      <c r="F141" s="992"/>
      <c r="G141" s="1040"/>
      <c r="H141" s="1029"/>
      <c r="I141" s="992"/>
      <c r="J141" s="1040"/>
      <c r="K141" s="1029"/>
      <c r="L141" s="992"/>
      <c r="M141" s="1040"/>
      <c r="N141" s="1029"/>
      <c r="O141" s="992"/>
      <c r="P141" s="1030"/>
    </row>
    <row r="142" spans="1:16" s="7" customFormat="1" x14ac:dyDescent="0.25">
      <c r="A142" s="218" t="s">
        <v>1351</v>
      </c>
      <c r="B142" s="1037">
        <f>(Unitflowchart!$S$17*(AllocationEnergy!$H$20/100)*Harvesting!J41)/Unitflowchart!$S$383</f>
        <v>369.22612973150552</v>
      </c>
      <c r="C142" s="15">
        <f>(B142/B$391)*100</f>
        <v>2.8524044829633826</v>
      </c>
      <c r="D142" s="1038">
        <f>(Unitflowchart!$S$17*(AllocationEnergy!$H$20/100)*Harvesting!K41)/Unitflowchart!$S$383</f>
        <v>0</v>
      </c>
      <c r="E142" s="1037">
        <f>(Unitflowchart!$S$17*(AllocationEnergy!$H$20/100)*Harvesting!P41)/Unitflowchart!$S$383</f>
        <v>26.49619011120776</v>
      </c>
      <c r="F142" s="15">
        <f>(E142/E$391)*100</f>
        <v>3.2939824156244253</v>
      </c>
      <c r="G142" s="1038">
        <f>(Unitflowchart!$S$17*(AllocationEnergy!$H$20/100)*Harvesting!Q41)/Unitflowchart!$S$383</f>
        <v>0</v>
      </c>
      <c r="H142" s="1037">
        <f>(Unitflowchart!$S$17*(AllocationEnergy!$H$20/100)*Harvesting!V41)/Unitflowchart!$S$383</f>
        <v>5.505701841289924E-3</v>
      </c>
      <c r="I142" s="15">
        <f>(H142/H$391)*100</f>
        <v>0.54966701318331768</v>
      </c>
      <c r="J142" s="1038">
        <f>(Unitflowchart!$S$17*(AllocationEnergy!$H$20/100)*Harvesting!W41)/Unitflowchart!$S$383</f>
        <v>0</v>
      </c>
      <c r="K142" s="1037">
        <f>(Unitflowchart!$S$17*(AllocationEnergy!$H$20/100)*Harvesting!AB41)/Unitflowchart!$S$383</f>
        <v>7.157412393676902E-3</v>
      </c>
      <c r="L142" s="15">
        <f>(K142/K$391)*100</f>
        <v>3.304602272833026</v>
      </c>
      <c r="M142" s="1038">
        <f>(Unitflowchart!$S$17*(AllocationEnergy!$H$20/100)*Harvesting!AC41)/Unitflowchart!$S$383</f>
        <v>0</v>
      </c>
      <c r="N142" s="1034">
        <f>E142+(GlobalWarmingPotentials!$B$11*H142)+(GlobalWarmingPotentials!$C$11*K142)</f>
        <v>28.741415322085793</v>
      </c>
      <c r="O142" s="15">
        <f>(N142/N$391)*100</f>
        <v>3.2238309524326243</v>
      </c>
      <c r="P142" s="1035">
        <f>SQRT((G142^2)+((GlobalWarmingPotentials!$B$11*J142)^2)+((GlobalWarmingPotentials!$C$11*M142)^2))</f>
        <v>0</v>
      </c>
    </row>
    <row r="143" spans="1:16" s="3" customFormat="1" x14ac:dyDescent="0.25">
      <c r="A143" s="361"/>
      <c r="B143" s="731"/>
      <c r="C143" s="27"/>
      <c r="D143" s="738"/>
      <c r="E143" s="731"/>
      <c r="F143" s="27"/>
      <c r="G143" s="746"/>
      <c r="H143" s="748"/>
      <c r="I143" s="27"/>
      <c r="J143" s="45"/>
      <c r="K143" s="753"/>
      <c r="L143" s="27"/>
      <c r="M143" s="45"/>
      <c r="N143" s="738"/>
      <c r="O143" s="27"/>
      <c r="P143" s="746"/>
    </row>
    <row r="144" spans="1:16" x14ac:dyDescent="0.25">
      <c r="A144" s="387" t="s">
        <v>34</v>
      </c>
      <c r="B144" s="728"/>
      <c r="C144" s="26"/>
      <c r="D144" s="735"/>
      <c r="E144" s="728"/>
      <c r="F144" s="26"/>
      <c r="G144" s="739"/>
      <c r="H144" s="194"/>
      <c r="I144" s="26"/>
      <c r="J144" s="32"/>
      <c r="K144" s="194"/>
      <c r="L144" s="26"/>
      <c r="M144" s="32"/>
      <c r="N144" s="755"/>
      <c r="O144" s="26"/>
      <c r="P144" s="757"/>
    </row>
    <row r="145" spans="1:16" x14ac:dyDescent="0.25">
      <c r="B145" s="728"/>
      <c r="D145" s="739"/>
      <c r="E145" s="735"/>
      <c r="G145" s="739"/>
      <c r="H145" s="724"/>
      <c r="J145" s="32"/>
      <c r="K145" s="724"/>
      <c r="M145" s="724"/>
      <c r="N145" s="728"/>
      <c r="P145" s="739"/>
    </row>
    <row r="146" spans="1:16" x14ac:dyDescent="0.25">
      <c r="A146" s="14" t="str">
        <f>RoadTransportStage1!A28</f>
        <v xml:space="preserve"> - Diesel Fuel</v>
      </c>
      <c r="B146" s="1027">
        <f>Unitflowchart!$S$41*(AllocationEnergy!$H$20/100)/Unitflowchart!$S$383*(RoadTransportStage1!J28)*Unitflowchart!$S$52</f>
        <v>275.59665533211654</v>
      </c>
      <c r="C146" s="26">
        <f>(B146/B$391)*100</f>
        <v>2.1290831603134115</v>
      </c>
      <c r="D146" s="1036">
        <f>Unitflowchart!$S$41*(AllocationEnergy!$H$20/100)/Unitflowchart!$S$383*(RoadTransportStage1!K28)*Unitflowchart!$S$52</f>
        <v>12.953042800609477</v>
      </c>
      <c r="E146" s="1027">
        <f>Unitflowchart!$S$41*(AllocationEnergy!$H$20/100)/Unitflowchart!$S$383*(RoadTransportStage1!P28)*Unitflowchart!$S$52</f>
        <v>19.777206393823835</v>
      </c>
      <c r="F146" s="26">
        <f>(E146/E$391)*100</f>
        <v>2.4586844304032347</v>
      </c>
      <c r="G146" s="1036">
        <f>Unitflowchart!$S$41*(AllocationEnergy!$H$20/100)/Unitflowchart!$S$383*(RoadTransportStage1!Q28)*Unitflowchart!$S$52</f>
        <v>0.92952870050972014</v>
      </c>
      <c r="H146" s="1027">
        <f>Unitflowchart!$S$41*(AllocationEnergy!$H$20/100)/Unitflowchart!$S$383*(RoadTransportStage1!V28)*Unitflowchart!$S$52</f>
        <v>4.1095493805348229E-3</v>
      </c>
      <c r="I146" s="26">
        <f>(H146/H$391)*100</f>
        <v>0.41028079591732824</v>
      </c>
      <c r="J146" s="1036">
        <f>Unitflowchart!$S$41*(AllocationEnergy!$H$20/100)/Unitflowchart!$S$383*(RoadTransportStage1!W28)*Unitflowchart!$S$52</f>
        <v>1.9314882088513667E-4</v>
      </c>
      <c r="K146" s="1027">
        <f>Unitflowchart!$S$41*(AllocationEnergy!$H$20/100)/Unitflowchart!$S$383*(RoadTransportStage1!AB28)*Unitflowchart!$S$52</f>
        <v>5.3424141946952705E-3</v>
      </c>
      <c r="L146" s="26">
        <f>(K146/K$391)*100</f>
        <v>2.466611272224867</v>
      </c>
      <c r="M146" s="1036">
        <f>Unitflowchart!$S$41*(AllocationEnergy!$H$20/100)/Unitflowchart!$S$383*(RoadTransportStage1!AC28)*Unitflowchart!$S$52</f>
        <v>2.5109346715067771E-4</v>
      </c>
      <c r="N146" s="1028">
        <f>E146+(GlobalWarmingPotentials!$B$11*H146)+(GlobalWarmingPotentials!$C$11*K146)</f>
        <v>21.453080631205939</v>
      </c>
      <c r="O146" s="26">
        <f>(N146/N$391)*100</f>
        <v>2.4063221866032807</v>
      </c>
      <c r="P146" s="1031">
        <f>SQRT((G146^2)+((GlobalWarmingPotentials!$B$11*J146)^2)+((GlobalWarmingPotentials!$C$11*M146)^2))</f>
        <v>0.93250595041593831</v>
      </c>
    </row>
    <row r="147" spans="1:16" x14ac:dyDescent="0.25">
      <c r="A147" s="14" t="str">
        <f>RoadTransportStage1!A29</f>
        <v xml:space="preserve"> - Vehicle </v>
      </c>
      <c r="B147" s="1027">
        <f>Unitflowchart!$S$41*(AllocationEnergy!$H$20/100)/Unitflowchart!$S$383*(RoadTransportStage1!J29)*Unitflowchart!$S$52</f>
        <v>0</v>
      </c>
      <c r="C147" s="26">
        <f>(B147/B$391)*100</f>
        <v>0</v>
      </c>
      <c r="D147" s="1036">
        <f>Unitflowchart!$S$41*(AllocationEnergy!$H$20/100)/Unitflowchart!$S$383*(RoadTransportStage1!K29)*Unitflowchart!$S$52</f>
        <v>0</v>
      </c>
      <c r="E147" s="1027">
        <f>Unitflowchart!$S$41*(AllocationEnergy!$H$20/100)/Unitflowchart!$S$383*(RoadTransportStage1!P29)*Unitflowchart!$S$52</f>
        <v>0</v>
      </c>
      <c r="F147" s="26">
        <f>(E147/E$391)*100</f>
        <v>0</v>
      </c>
      <c r="G147" s="1036">
        <f>Unitflowchart!$S$41*(AllocationEnergy!$H$20/100)/Unitflowchart!$S$383*(RoadTransportStage1!Q29)*Unitflowchart!$S$52</f>
        <v>0</v>
      </c>
      <c r="H147" s="1027">
        <f>Unitflowchart!$S$41*(AllocationEnergy!$H$20/100)/Unitflowchart!$S$383*(RoadTransportStage1!V29)*Unitflowchart!$S$52</f>
        <v>0</v>
      </c>
      <c r="I147" s="26">
        <f>(H147/H$391)*100</f>
        <v>0</v>
      </c>
      <c r="J147" s="1036">
        <f>Unitflowchart!$S$41*(AllocationEnergy!$H$20/100)/Unitflowchart!$S$383*(RoadTransportStage1!W29)*Unitflowchart!$S$52</f>
        <v>0</v>
      </c>
      <c r="K147" s="1027">
        <f>Unitflowchart!$S$41*(AllocationEnergy!$H$20/100)/Unitflowchart!$S$383*(RoadTransportStage1!AB29)*Unitflowchart!$S$52</f>
        <v>0</v>
      </c>
      <c r="L147" s="26">
        <f>(K147/K$391)*100</f>
        <v>0</v>
      </c>
      <c r="M147" s="1036">
        <f>Unitflowchart!$S$41*(AllocationEnergy!$H$20/100)/Unitflowchart!$S$383*(RoadTransportStage1!AC29)*Unitflowchart!$S$52</f>
        <v>0</v>
      </c>
      <c r="N147" s="1028">
        <f>E147+(GlobalWarmingPotentials!$B$11*H147)+(GlobalWarmingPotentials!$C$11*K147)</f>
        <v>0</v>
      </c>
      <c r="O147" s="26">
        <f>(N147/N$391)*100</f>
        <v>0</v>
      </c>
      <c r="P147" s="1031">
        <f>SQRT((G147^2)+((GlobalWarmingPotentials!$B$11*J147)^2)+((GlobalWarmingPotentials!$C$11*M147)^2))</f>
        <v>0</v>
      </c>
    </row>
    <row r="148" spans="1:16" x14ac:dyDescent="0.25">
      <c r="A148" s="14" t="str">
        <f>RoadTransportStage1!A30</f>
        <v xml:space="preserve"> - Maintenance</v>
      </c>
      <c r="B148" s="1027">
        <f>Unitflowchart!$S$41*(AllocationEnergy!$H$20/100)/Unitflowchart!$S$383*(RoadTransportStage1!J30)*Unitflowchart!$S$52</f>
        <v>0</v>
      </c>
      <c r="C148" s="26">
        <f>(B148/B$391)*100</f>
        <v>0</v>
      </c>
      <c r="D148" s="1036">
        <f>Unitflowchart!$S$41*(AllocationEnergy!$H$20/100)/Unitflowchart!$S$383*(RoadTransportStage1!K30)*Unitflowchart!$S$52</f>
        <v>0</v>
      </c>
      <c r="E148" s="1027">
        <f>Unitflowchart!$S$41*(AllocationEnergy!$H$20/100)/Unitflowchart!$S$383*(RoadTransportStage1!P30)*Unitflowchart!$S$52</f>
        <v>0</v>
      </c>
      <c r="F148" s="26">
        <f>(E148/E$391)*100</f>
        <v>0</v>
      </c>
      <c r="G148" s="1036">
        <f>Unitflowchart!$S$41*(AllocationEnergy!$H$20/100)/Unitflowchart!$S$383*(RoadTransportStage1!Q30)*Unitflowchart!$S$52</f>
        <v>0</v>
      </c>
      <c r="H148" s="1027">
        <f>Unitflowchart!$S$41*(AllocationEnergy!$H$20/100)/Unitflowchart!$S$383*(RoadTransportStage1!V30)*Unitflowchart!$S$52</f>
        <v>0</v>
      </c>
      <c r="I148" s="26">
        <f>(H148/H$391)*100</f>
        <v>0</v>
      </c>
      <c r="J148" s="1036">
        <f>Unitflowchart!$S$41*(AllocationEnergy!$H$20/100)/Unitflowchart!$S$383*(RoadTransportStage1!W30)*Unitflowchart!$S$52</f>
        <v>0</v>
      </c>
      <c r="K148" s="1027">
        <f>Unitflowchart!$S$41*(AllocationEnergy!$H$20/100)/Unitflowchart!$S$383*(RoadTransportStage1!AB30)*Unitflowchart!$S$52</f>
        <v>0</v>
      </c>
      <c r="L148" s="26">
        <f>(K148/K$391)*100</f>
        <v>0</v>
      </c>
      <c r="M148" s="1036">
        <f>Unitflowchart!$S$41*(AllocationEnergy!$H$20/100)/Unitflowchart!$S$383*(RoadTransportStage1!AC30)*Unitflowchart!$S$52</f>
        <v>0</v>
      </c>
      <c r="N148" s="1028">
        <f>E148+(GlobalWarmingPotentials!$B$11*H148)+(GlobalWarmingPotentials!$C$11*K148)</f>
        <v>0</v>
      </c>
      <c r="O148" s="26">
        <f>(N148/N$391)*100</f>
        <v>0</v>
      </c>
      <c r="P148" s="1031">
        <f>SQRT((G148^2)+((GlobalWarmingPotentials!$B$11*J148)^2)+((GlobalWarmingPotentials!$C$11*M148)^2))</f>
        <v>0</v>
      </c>
    </row>
    <row r="149" spans="1:16" s="43" customFormat="1" x14ac:dyDescent="0.25">
      <c r="A149" s="155"/>
      <c r="B149" s="1029"/>
      <c r="C149" s="992"/>
      <c r="D149" s="1040"/>
      <c r="E149" s="1029"/>
      <c r="F149" s="992"/>
      <c r="G149" s="1040"/>
      <c r="H149" s="1029"/>
      <c r="I149" s="992"/>
      <c r="J149" s="1040"/>
      <c r="K149" s="1029"/>
      <c r="L149" s="992"/>
      <c r="M149" s="1040"/>
      <c r="N149" s="1029"/>
      <c r="O149" s="992"/>
      <c r="P149" s="1030"/>
    </row>
    <row r="150" spans="1:16" s="7" customFormat="1" x14ac:dyDescent="0.25">
      <c r="A150" s="218" t="s">
        <v>866</v>
      </c>
      <c r="B150" s="1037">
        <f>Unitflowchart!$S$41*(AllocationEnergy!$H$20/100)/Unitflowchart!$S$383*(RoadTransportStage1!J32)*Unitflowchart!$S$52</f>
        <v>275.59665533211654</v>
      </c>
      <c r="C150" s="15">
        <f>(B150/B$391)*100</f>
        <v>2.1290831603134115</v>
      </c>
      <c r="D150" s="1038">
        <f>Unitflowchart!$S$41*(AllocationEnergy!$H$20/100)/Unitflowchart!$S$383*(RoadTransportStage1!K32)*Unitflowchart!$S$52</f>
        <v>12.953042800609477</v>
      </c>
      <c r="E150" s="1037">
        <f>Unitflowchart!$S$41*(AllocationEnergy!$H$20/100)/Unitflowchart!$S$383*(RoadTransportStage1!P32)*Unitflowchart!$S$52</f>
        <v>19.777206393823835</v>
      </c>
      <c r="F150" s="15">
        <f>(E150/E$391)*100</f>
        <v>2.4586844304032347</v>
      </c>
      <c r="G150" s="1038">
        <f>Unitflowchart!$S$41*(AllocationEnergy!$H$20/100)/Unitflowchart!$S$383*(RoadTransportStage1!Q32)*Unitflowchart!$S$52</f>
        <v>0.92952870050972014</v>
      </c>
      <c r="H150" s="1037">
        <f>Unitflowchart!$S$41*(AllocationEnergy!$H$20/100)/Unitflowchart!$S$383*(RoadTransportStage1!V32)*Unitflowchart!$S$52</f>
        <v>4.1095493805348229E-3</v>
      </c>
      <c r="I150" s="15">
        <f>(H150/H$391)*100</f>
        <v>0.41028079591732824</v>
      </c>
      <c r="J150" s="1038">
        <f>Unitflowchart!$S$41*(AllocationEnergy!$H$20/100)/Unitflowchart!$S$383*(RoadTransportStage1!W32)*Unitflowchart!$S$52</f>
        <v>1.9314882088513667E-4</v>
      </c>
      <c r="K150" s="1037">
        <f>Unitflowchart!$S$41*(AllocationEnergy!$H$20/100)/Unitflowchart!$S$383*(RoadTransportStage1!AB32)*Unitflowchart!$S$52</f>
        <v>5.3424141946952705E-3</v>
      </c>
      <c r="L150" s="15">
        <f>(K150/K$391)*100</f>
        <v>2.466611272224867</v>
      </c>
      <c r="M150" s="1038">
        <f>Unitflowchart!$S$41*(AllocationEnergy!$H$20/100)/Unitflowchart!$S$383*(RoadTransportStage1!AC32)*Unitflowchart!$S$52</f>
        <v>2.5109346715067771E-4</v>
      </c>
      <c r="N150" s="1034">
        <f>E150+(GlobalWarmingPotentials!$B$11*H150)+(GlobalWarmingPotentials!$C$11*K150)</f>
        <v>21.453080631205939</v>
      </c>
      <c r="O150" s="15">
        <f>(N150/N$391)*100</f>
        <v>2.4063221866032807</v>
      </c>
      <c r="P150" s="1035">
        <f>SQRT((G150^2)+((GlobalWarmingPotentials!$B$11*J150)^2)+((GlobalWarmingPotentials!$C$11*M150)^2))</f>
        <v>0.93250595041593831</v>
      </c>
    </row>
    <row r="151" spans="1:16" x14ac:dyDescent="0.25">
      <c r="B151" s="728"/>
      <c r="D151" s="739"/>
      <c r="E151" s="735"/>
      <c r="G151" s="735"/>
      <c r="H151" s="31"/>
      <c r="J151" s="32"/>
      <c r="K151" s="31"/>
      <c r="M151" s="724"/>
      <c r="N151" s="728"/>
      <c r="P151" s="739"/>
    </row>
    <row r="152" spans="1:16" x14ac:dyDescent="0.25">
      <c r="A152" s="387" t="s">
        <v>862</v>
      </c>
      <c r="B152" s="728"/>
      <c r="D152" s="739"/>
      <c r="E152" s="735"/>
      <c r="G152" s="735"/>
      <c r="H152" s="31"/>
      <c r="J152" s="32"/>
      <c r="K152" s="31"/>
      <c r="M152" s="724"/>
      <c r="N152" s="728"/>
      <c r="P152" s="739"/>
    </row>
    <row r="153" spans="1:16" x14ac:dyDescent="0.25">
      <c r="B153" s="728"/>
      <c r="D153" s="739"/>
      <c r="E153" s="735"/>
      <c r="G153" s="735"/>
      <c r="H153" s="31"/>
      <c r="J153" s="32"/>
      <c r="K153" s="31"/>
      <c r="M153" s="724"/>
      <c r="N153" s="728"/>
      <c r="P153" s="739"/>
    </row>
    <row r="154" spans="1:16" x14ac:dyDescent="0.25">
      <c r="A154" s="14" t="str">
        <f>RailTransport!A11</f>
        <v xml:space="preserve"> - Gas Oil</v>
      </c>
      <c r="B154" s="1027">
        <f>Unitflowchart!$S$41*(AllocationEnergy!$H$20/100)/Unitflowchart!$S$383*(RailTransport!J11)*Unitflowchart!$S$54</f>
        <v>0</v>
      </c>
      <c r="C154" s="26">
        <f>(B154/B$391)*100</f>
        <v>0</v>
      </c>
      <c r="D154" s="1036">
        <f>Unitflowchart!$S$41*(AllocationEnergy!$H$20/100)/Unitflowchart!$S$383*(RailTransport!K11)*Unitflowchart!$S$54</f>
        <v>0</v>
      </c>
      <c r="E154" s="1027">
        <f>Unitflowchart!$S$41*(AllocationEnergy!$H$20/100)/Unitflowchart!$S$383*(RailTransport!P11)*Unitflowchart!$S$54</f>
        <v>0</v>
      </c>
      <c r="F154" s="26">
        <f>(E154/E$391)*100</f>
        <v>0</v>
      </c>
      <c r="G154" s="1036">
        <f>Unitflowchart!$S$41*(AllocationEnergy!$H$20/100)/Unitflowchart!$S$383*(RailTransport!Q11)*Unitflowchart!$S$54</f>
        <v>0</v>
      </c>
      <c r="H154" s="1027">
        <f>Unitflowchart!$S$41*(AllocationEnergy!$H$20/100)/Unitflowchart!$S$383*(RailTransport!V11)*Unitflowchart!$S$54</f>
        <v>0</v>
      </c>
      <c r="I154" s="26">
        <f>(H154/H$391)*100</f>
        <v>0</v>
      </c>
      <c r="J154" s="1036">
        <f>Unitflowchart!$S$41*(AllocationEnergy!$H$20/100)/Unitflowchart!$S$383*(RailTransport!W11)*Unitflowchart!$S$54</f>
        <v>0</v>
      </c>
      <c r="K154" s="1027">
        <f>Unitflowchart!$S$41*(AllocationEnergy!$H$20/100)/Unitflowchart!$S$383*(RailTransport!AB11)*Unitflowchart!$S$54</f>
        <v>0</v>
      </c>
      <c r="L154" s="26">
        <f>(K154/K$391)*100</f>
        <v>0</v>
      </c>
      <c r="M154" s="1036">
        <f>Unitflowchart!$S$41*(AllocationEnergy!$H$20/100)/Unitflowchart!$S$383*(RailTransport!AC11)*Unitflowchart!$S$54</f>
        <v>0</v>
      </c>
      <c r="N154" s="1028">
        <f>E154+(GlobalWarmingPotentials!$B$11*H154)+(GlobalWarmingPotentials!$C$11*K154)</f>
        <v>0</v>
      </c>
      <c r="O154" s="26">
        <f>(N154/N$391)*100</f>
        <v>0</v>
      </c>
      <c r="P154" s="1031">
        <f>SQRT((G154^2)+((GlobalWarmingPotentials!$B$11*J154)^2)+((GlobalWarmingPotentials!$C$11*M154)^2))</f>
        <v>0</v>
      </c>
    </row>
    <row r="155" spans="1:16" x14ac:dyDescent="0.25">
      <c r="A155" s="14" t="str">
        <f>RailTransport!A12</f>
        <v xml:space="preserve"> - Capital Equipment</v>
      </c>
      <c r="B155" s="1027">
        <f>Unitflowchart!$S$41*(AllocationEnergy!$H$20/100)/Unitflowchart!$S$383*(RailTransport!J12)*Unitflowchart!$S$54</f>
        <v>0</v>
      </c>
      <c r="C155" s="26">
        <f>(B155/B$391)*100</f>
        <v>0</v>
      </c>
      <c r="D155" s="1036">
        <f>Unitflowchart!$S$41*(AllocationEnergy!$H$20/100)/Unitflowchart!$S$383*(RailTransport!K12)*Unitflowchart!$S$54</f>
        <v>0</v>
      </c>
      <c r="E155" s="1027">
        <f>Unitflowchart!$S$41*(AllocationEnergy!$H$20/100)/Unitflowchart!$S$383*(RailTransport!P12)*Unitflowchart!$S$54</f>
        <v>0</v>
      </c>
      <c r="F155" s="26">
        <f>(E155/E$391)*100</f>
        <v>0</v>
      </c>
      <c r="G155" s="1036">
        <f>Unitflowchart!$S$41*(AllocationEnergy!$H$20/100)/Unitflowchart!$S$383*(RailTransport!Q12)*Unitflowchart!$S$54</f>
        <v>0</v>
      </c>
      <c r="H155" s="1027">
        <f>Unitflowchart!$S$41*(AllocationEnergy!$H$20/100)/Unitflowchart!$S$383*(RailTransport!V12)*Unitflowchart!$S$54</f>
        <v>0</v>
      </c>
      <c r="I155" s="26">
        <f>(H155/H$391)*100</f>
        <v>0</v>
      </c>
      <c r="J155" s="1036">
        <f>Unitflowchart!$S$41*(AllocationEnergy!$H$20/100)/Unitflowchart!$S$383*(RailTransport!W12)*Unitflowchart!$S$54</f>
        <v>0</v>
      </c>
      <c r="K155" s="1027">
        <f>Unitflowchart!$S$41*(AllocationEnergy!$H$20/100)/Unitflowchart!$S$383*(RailTransport!AB12)*Unitflowchart!$S$54</f>
        <v>0</v>
      </c>
      <c r="L155" s="26">
        <f>(K155/K$391)*100</f>
        <v>0</v>
      </c>
      <c r="M155" s="1036">
        <f>Unitflowchart!$S$41*(AllocationEnergy!$H$20/100)/Unitflowchart!$S$383*(RailTransport!AC12)*Unitflowchart!$S$54</f>
        <v>0</v>
      </c>
      <c r="N155" s="1028">
        <f>E155+(GlobalWarmingPotentials!$B$11*H155)+(GlobalWarmingPotentials!$C$11*K155)</f>
        <v>0</v>
      </c>
      <c r="O155" s="26">
        <f>(N155/N$391)*100</f>
        <v>0</v>
      </c>
      <c r="P155" s="1031">
        <f>SQRT((G155^2)+((GlobalWarmingPotentials!$B$11*J155)^2)+((GlobalWarmingPotentials!$C$11*M155)^2))</f>
        <v>0</v>
      </c>
    </row>
    <row r="156" spans="1:16" x14ac:dyDescent="0.25">
      <c r="A156" s="14" t="str">
        <f>RailTransport!A13</f>
        <v xml:space="preserve"> - Maintenance</v>
      </c>
      <c r="B156" s="1027">
        <f>Unitflowchart!$S$41*(AllocationEnergy!$H$20/100)/Unitflowchart!$S$383*(RailTransport!J13)*Unitflowchart!$S$54</f>
        <v>0</v>
      </c>
      <c r="C156" s="26">
        <f>(B156/B$391)*100</f>
        <v>0</v>
      </c>
      <c r="D156" s="1036">
        <f>Unitflowchart!$S$41*(AllocationEnergy!$H$20/100)/Unitflowchart!$S$383*(RailTransport!K13)*Unitflowchart!$S$54</f>
        <v>0</v>
      </c>
      <c r="E156" s="1027">
        <f>Unitflowchart!$S$41*(AllocationEnergy!$H$20/100)/Unitflowchart!$S$383*(RailTransport!P13)*Unitflowchart!$S$54</f>
        <v>0</v>
      </c>
      <c r="F156" s="26">
        <f>(E156/E$391)*100</f>
        <v>0</v>
      </c>
      <c r="G156" s="1036">
        <f>Unitflowchart!$S$41*(AllocationEnergy!$H$20/100)/Unitflowchart!$S$383*(RailTransport!Q13)*Unitflowchart!$S$54</f>
        <v>0</v>
      </c>
      <c r="H156" s="1027">
        <f>Unitflowchart!$S$41*(AllocationEnergy!$H$20/100)/Unitflowchart!$S$383*(RailTransport!V13)*Unitflowchart!$S$54</f>
        <v>0</v>
      </c>
      <c r="I156" s="26">
        <f>(H156/H$391)*100</f>
        <v>0</v>
      </c>
      <c r="J156" s="1036">
        <f>Unitflowchart!$S$41*(AllocationEnergy!$H$20/100)/Unitflowchart!$S$383*(RailTransport!W13)*Unitflowchart!$S$54</f>
        <v>0</v>
      </c>
      <c r="K156" s="1027">
        <f>Unitflowchart!$S$41*(AllocationEnergy!$H$20/100)/Unitflowchart!$S$383*(RailTransport!AB13)*Unitflowchart!$S$54</f>
        <v>0</v>
      </c>
      <c r="L156" s="26">
        <f>(K156/K$391)*100</f>
        <v>0</v>
      </c>
      <c r="M156" s="1036">
        <f>Unitflowchart!$S$41*(AllocationEnergy!$H$20/100)/Unitflowchart!$S$383*(RailTransport!AC13)*Unitflowchart!$S$54</f>
        <v>0</v>
      </c>
      <c r="N156" s="1028">
        <f>E156+(GlobalWarmingPotentials!$B$11*H156)+(GlobalWarmingPotentials!$C$11*K156)</f>
        <v>0</v>
      </c>
      <c r="O156" s="26">
        <f>(N156/N$391)*100</f>
        <v>0</v>
      </c>
      <c r="P156" s="1031">
        <f>SQRT((G156^2)+((GlobalWarmingPotentials!$B$11*J156)^2)+((GlobalWarmingPotentials!$C$11*M156)^2))</f>
        <v>0</v>
      </c>
    </row>
    <row r="157" spans="1:16" s="43" customFormat="1" x14ac:dyDescent="0.25">
      <c r="A157" s="155"/>
      <c r="B157" s="1029"/>
      <c r="C157" s="992"/>
      <c r="D157" s="1040"/>
      <c r="E157" s="1029"/>
      <c r="F157" s="992"/>
      <c r="G157" s="1040"/>
      <c r="H157" s="1029"/>
      <c r="I157" s="992"/>
      <c r="J157" s="1040"/>
      <c r="K157" s="1029"/>
      <c r="L157" s="992"/>
      <c r="M157" s="1040"/>
      <c r="N157" s="1029"/>
      <c r="O157" s="992"/>
      <c r="P157" s="1030"/>
    </row>
    <row r="158" spans="1:16" x14ac:dyDescent="0.25">
      <c r="A158" s="218" t="s">
        <v>867</v>
      </c>
      <c r="B158" s="1037">
        <f>Unitflowchart!$S$41*(AllocationEnergy!$H$20/100)/Unitflowchart!$S$383*(RailTransport!J15)*Unitflowchart!$S$54</f>
        <v>0</v>
      </c>
      <c r="C158" s="15">
        <f>(B158/B$391)*100</f>
        <v>0</v>
      </c>
      <c r="D158" s="1038">
        <f>Unitflowchart!$S$41*(AllocationEnergy!$H$20/100)/Unitflowchart!$S$383*(RailTransport!K15)*Unitflowchart!$S$54</f>
        <v>0</v>
      </c>
      <c r="E158" s="1037">
        <f>Unitflowchart!$S$41*(AllocationEnergy!$H$20/100)/Unitflowchart!$S$383*(RailTransport!P15)*Unitflowchart!$S$54</f>
        <v>0</v>
      </c>
      <c r="F158" s="15">
        <f>(E158/E$391)*100</f>
        <v>0</v>
      </c>
      <c r="G158" s="1038">
        <f>Unitflowchart!$S$41*(AllocationEnergy!$H$20/100)/Unitflowchart!$S$383*(RailTransport!Q15)*Unitflowchart!$S$54</f>
        <v>0</v>
      </c>
      <c r="H158" s="1037">
        <f>Unitflowchart!$S$41*(AllocationEnergy!$H$20/100)/Unitflowchart!$S$383*(RailTransport!V15)*Unitflowchart!$S$54</f>
        <v>0</v>
      </c>
      <c r="I158" s="15">
        <f>(H158/H$391)*100</f>
        <v>0</v>
      </c>
      <c r="J158" s="1038">
        <f>Unitflowchart!$S$41*(AllocationEnergy!$H$20/100)/Unitflowchart!$S$383*(RailTransport!W15)*Unitflowchart!$S$54</f>
        <v>0</v>
      </c>
      <c r="K158" s="1037">
        <f>Unitflowchart!$S$41*(AllocationEnergy!$H$20/100)/Unitflowchart!$S$383*(RailTransport!AB15)*Unitflowchart!$S$54</f>
        <v>0</v>
      </c>
      <c r="L158" s="15">
        <f>(K158/K$391)*100</f>
        <v>0</v>
      </c>
      <c r="M158" s="1038">
        <f>Unitflowchart!$S$41*(AllocationEnergy!$H$20/100)/Unitflowchart!$S$383*(RailTransport!AC15)*Unitflowchart!$S$54</f>
        <v>0</v>
      </c>
      <c r="N158" s="1034">
        <f>E158+(GlobalWarmingPotentials!$B$11*H158)+(GlobalWarmingPotentials!$C$11*K158)</f>
        <v>0</v>
      </c>
      <c r="O158" s="15">
        <f>(N158/N$391)*100</f>
        <v>0</v>
      </c>
      <c r="P158" s="1035">
        <f>SQRT((G158^2)+((GlobalWarmingPotentials!$B$11*J158)^2)+((GlobalWarmingPotentials!$C$11*M158)^2))</f>
        <v>0</v>
      </c>
    </row>
    <row r="159" spans="1:16" x14ac:dyDescent="0.25">
      <c r="B159" s="728"/>
      <c r="C159" s="25"/>
      <c r="D159" s="739"/>
      <c r="E159" s="735"/>
      <c r="F159" s="25"/>
      <c r="G159" s="735"/>
      <c r="H159" s="31"/>
      <c r="I159" s="25"/>
      <c r="J159" s="32"/>
      <c r="K159" s="31"/>
      <c r="L159" s="25"/>
      <c r="M159" s="724"/>
      <c r="N159" s="728"/>
      <c r="O159" s="25"/>
      <c r="P159" s="739"/>
    </row>
    <row r="160" spans="1:16" x14ac:dyDescent="0.25">
      <c r="A160" s="387" t="s">
        <v>870</v>
      </c>
      <c r="B160" s="728"/>
      <c r="C160" s="25"/>
      <c r="D160" s="739"/>
      <c r="E160" s="735"/>
      <c r="F160" s="25"/>
      <c r="G160" s="735"/>
      <c r="H160" s="31"/>
      <c r="I160" s="25"/>
      <c r="J160" s="32"/>
      <c r="K160" s="31"/>
      <c r="L160" s="25"/>
      <c r="M160" s="724"/>
      <c r="N160" s="728"/>
      <c r="O160" s="25"/>
      <c r="P160" s="739"/>
    </row>
    <row r="161" spans="1:16" x14ac:dyDescent="0.25">
      <c r="B161" s="728"/>
      <c r="C161" s="25"/>
      <c r="D161" s="739"/>
      <c r="E161" s="735"/>
      <c r="F161" s="25"/>
      <c r="G161" s="735"/>
      <c r="H161" s="31"/>
      <c r="I161" s="25"/>
      <c r="J161" s="32"/>
      <c r="K161" s="31"/>
      <c r="L161" s="25"/>
      <c r="M161" s="724"/>
      <c r="N161" s="728"/>
      <c r="O161" s="25"/>
      <c r="P161" s="739"/>
    </row>
    <row r="162" spans="1:16" x14ac:dyDescent="0.25">
      <c r="A162" s="14" t="str">
        <f>BargeTransport!A11</f>
        <v xml:space="preserve"> - Marine Diesel</v>
      </c>
      <c r="B162" s="1027">
        <f>Unitflowchart!$S$41*(AllocationEnergy!$H$20/100)/Unitflowchart!$S$383*(BargeTransport!J11)*Unitflowchart!$S$56</f>
        <v>0</v>
      </c>
      <c r="C162" s="26">
        <f>(B162/B$391)*100</f>
        <v>0</v>
      </c>
      <c r="D162" s="1036">
        <f>Unitflowchart!$S$41*(AllocationEnergy!$H$20/100)/Unitflowchart!$S$383*(BargeTransport!K11)*Unitflowchart!$S$56</f>
        <v>0</v>
      </c>
      <c r="E162" s="1027">
        <f>Unitflowchart!$S$41*(AllocationEnergy!$H$20/100)/Unitflowchart!$S$383*(BargeTransport!P11)*Unitflowchart!$S$56</f>
        <v>0</v>
      </c>
      <c r="F162" s="26">
        <f>(E162/E$391)*100</f>
        <v>0</v>
      </c>
      <c r="G162" s="1036">
        <f>Unitflowchart!$S$41*(AllocationEnergy!$H$20/100)/Unitflowchart!$S$383*(BargeTransport!Q11)*Unitflowchart!$S$56</f>
        <v>0</v>
      </c>
      <c r="H162" s="1027">
        <f>Unitflowchart!$S$41*(AllocationEnergy!$H$20/100)/Unitflowchart!$S$383*(BargeTransport!V11)*Unitflowchart!$S$56</f>
        <v>0</v>
      </c>
      <c r="I162" s="26">
        <f>(H162/H$391)*100</f>
        <v>0</v>
      </c>
      <c r="J162" s="1036">
        <f>Unitflowchart!$S$41*(AllocationEnergy!$H$20/100)/Unitflowchart!$S$383*(BargeTransport!W11)*Unitflowchart!$S$56</f>
        <v>0</v>
      </c>
      <c r="K162" s="1027">
        <f>Unitflowchart!$S$41*(AllocationEnergy!$H$20/100)/Unitflowchart!$S$383*(BargeTransport!AB11)*Unitflowchart!$S$56</f>
        <v>0</v>
      </c>
      <c r="L162" s="26">
        <f>(K162/K$391)*100</f>
        <v>0</v>
      </c>
      <c r="M162" s="1036">
        <f>Unitflowchart!$S$41*(AllocationEnergy!$H$20/100)/Unitflowchart!$S$383*(BargeTransport!AC11)*Unitflowchart!$S$56</f>
        <v>0</v>
      </c>
      <c r="N162" s="1028">
        <f>E162+(GlobalWarmingPotentials!$B$11*H162)+(GlobalWarmingPotentials!$C$11*K162)</f>
        <v>0</v>
      </c>
      <c r="O162" s="26">
        <f>(N162/N$391)*100</f>
        <v>0</v>
      </c>
      <c r="P162" s="1031">
        <f>SQRT((G162^2)+((GlobalWarmingPotentials!$B$11*J162)^2)+((GlobalWarmingPotentials!$C$11*M162)^2))</f>
        <v>0</v>
      </c>
    </row>
    <row r="163" spans="1:16" x14ac:dyDescent="0.25">
      <c r="A163" s="14" t="str">
        <f>BargeTransport!A12</f>
        <v xml:space="preserve"> - Barge Construction</v>
      </c>
      <c r="B163" s="1027">
        <f>Unitflowchart!$S$41*(AllocationEnergy!$H$20/100)/Unitflowchart!$S$383*(BargeTransport!J12)*Unitflowchart!$S$56</f>
        <v>0</v>
      </c>
      <c r="C163" s="26">
        <f>(B163/B$391)*100</f>
        <v>0</v>
      </c>
      <c r="D163" s="1036">
        <f>Unitflowchart!$S$41*(AllocationEnergy!$H$20/100)/Unitflowchart!$S$383*(BargeTransport!K12)*Unitflowchart!$S$56</f>
        <v>0</v>
      </c>
      <c r="E163" s="1027">
        <f>Unitflowchart!$S$41*(AllocationEnergy!$H$20/100)/Unitflowchart!$S$383*(BargeTransport!P12)*Unitflowchart!$S$56</f>
        <v>0</v>
      </c>
      <c r="F163" s="26">
        <f>(E163/E$391)*100</f>
        <v>0</v>
      </c>
      <c r="G163" s="1036">
        <f>Unitflowchart!$S$41*(AllocationEnergy!$H$20/100)/Unitflowchart!$S$383*(BargeTransport!Q12)*Unitflowchart!$S$56</f>
        <v>0</v>
      </c>
      <c r="H163" s="1027">
        <f>Unitflowchart!$S$41*(AllocationEnergy!$H$20/100)/Unitflowchart!$S$383*(BargeTransport!V12)*Unitflowchart!$S$56</f>
        <v>0</v>
      </c>
      <c r="I163" s="26">
        <f>(H163/H$391)*100</f>
        <v>0</v>
      </c>
      <c r="J163" s="1036">
        <f>Unitflowchart!$S$41*(AllocationEnergy!$H$20/100)/Unitflowchart!$S$383*(BargeTransport!W12)*Unitflowchart!$S$56</f>
        <v>0</v>
      </c>
      <c r="K163" s="1027">
        <f>Unitflowchart!$S$41*(AllocationEnergy!$H$20/100)/Unitflowchart!$S$383*(BargeTransport!AB12)*Unitflowchart!$S$56</f>
        <v>0</v>
      </c>
      <c r="L163" s="26">
        <f>(K163/K$391)*100</f>
        <v>0</v>
      </c>
      <c r="M163" s="1036">
        <f>Unitflowchart!$S$41*(AllocationEnergy!$H$20/100)/Unitflowchart!$S$383*(BargeTransport!AC12)*Unitflowchart!$S$56</f>
        <v>0</v>
      </c>
      <c r="N163" s="1028">
        <f>E163+(GlobalWarmingPotentials!$B$11*H163)+(GlobalWarmingPotentials!$C$11*K163)</f>
        <v>0</v>
      </c>
      <c r="O163" s="26">
        <f>(N163/N$391)*100</f>
        <v>0</v>
      </c>
      <c r="P163" s="1031">
        <f>SQRT((G163^2)+((GlobalWarmingPotentials!$B$11*J163)^2)+((GlobalWarmingPotentials!$C$11*M163)^2))</f>
        <v>0</v>
      </c>
    </row>
    <row r="164" spans="1:16" x14ac:dyDescent="0.25">
      <c r="A164" s="14" t="str">
        <f>BargeTransport!A13</f>
        <v xml:space="preserve"> - Barge Maintenance</v>
      </c>
      <c r="B164" s="1027">
        <f>Unitflowchart!$S$41*(AllocationEnergy!$H$20/100)/Unitflowchart!$S$383*(BargeTransport!J13)*Unitflowchart!$S$56</f>
        <v>0</v>
      </c>
      <c r="C164" s="26">
        <f>(B164/B$391)*100</f>
        <v>0</v>
      </c>
      <c r="D164" s="1036">
        <f>Unitflowchart!$S$41*(AllocationEnergy!$H$20/100)/Unitflowchart!$S$383*(BargeTransport!K13)*Unitflowchart!$S$56</f>
        <v>0</v>
      </c>
      <c r="E164" s="1027">
        <f>Unitflowchart!$S$41*(AllocationEnergy!$H$20/100)/Unitflowchart!$S$383*(BargeTransport!P13)*Unitflowchart!$S$56</f>
        <v>0</v>
      </c>
      <c r="F164" s="26">
        <f>(E164/E$391)*100</f>
        <v>0</v>
      </c>
      <c r="G164" s="1036">
        <f>Unitflowchart!$S$41*(AllocationEnergy!$H$20/100)/Unitflowchart!$S$383*(BargeTransport!Q13)*Unitflowchart!$S$56</f>
        <v>0</v>
      </c>
      <c r="H164" s="1027">
        <f>Unitflowchart!$S$41*(AllocationEnergy!$H$20/100)/Unitflowchart!$S$383*(BargeTransport!V13)*Unitflowchart!$S$56</f>
        <v>0</v>
      </c>
      <c r="I164" s="26">
        <f>(H164/H$391)*100</f>
        <v>0</v>
      </c>
      <c r="J164" s="1036">
        <f>Unitflowchart!$S$41*(AllocationEnergy!$H$20/100)/Unitflowchart!$S$383*(BargeTransport!W13)*Unitflowchart!$S$56</f>
        <v>0</v>
      </c>
      <c r="K164" s="1027">
        <f>Unitflowchart!$S$41*(AllocationEnergy!$H$20/100)/Unitflowchart!$S$383*(BargeTransport!AB13)*Unitflowchart!$S$56</f>
        <v>0</v>
      </c>
      <c r="L164" s="26">
        <f>(K164/K$391)*100</f>
        <v>0</v>
      </c>
      <c r="M164" s="1036">
        <f>Unitflowchart!$S$41*(AllocationEnergy!$H$20/100)/Unitflowchart!$S$383*(BargeTransport!AC13)*Unitflowchart!$S$56</f>
        <v>0</v>
      </c>
      <c r="N164" s="1028">
        <f>E164+(GlobalWarmingPotentials!$B$11*H164)+(GlobalWarmingPotentials!$C$11*K164)</f>
        <v>0</v>
      </c>
      <c r="O164" s="26">
        <f>(N164/N$391)*100</f>
        <v>0</v>
      </c>
      <c r="P164" s="1031">
        <f>SQRT((G164^2)+((GlobalWarmingPotentials!$B$11*J164)^2)+((GlobalWarmingPotentials!$C$11*M164)^2))</f>
        <v>0</v>
      </c>
    </row>
    <row r="165" spans="1:16" s="43" customFormat="1" x14ac:dyDescent="0.25">
      <c r="A165" s="155"/>
      <c r="B165" s="1029"/>
      <c r="C165" s="992"/>
      <c r="D165" s="1040"/>
      <c r="E165" s="1029"/>
      <c r="F165" s="992"/>
      <c r="G165" s="1040"/>
      <c r="H165" s="1029"/>
      <c r="I165" s="992"/>
      <c r="J165" s="1040"/>
      <c r="K165" s="1029"/>
      <c r="L165" s="992"/>
      <c r="M165" s="1040"/>
      <c r="N165" s="1029"/>
      <c r="O165" s="992"/>
      <c r="P165" s="1030"/>
    </row>
    <row r="166" spans="1:16" x14ac:dyDescent="0.25">
      <c r="A166" s="218" t="s">
        <v>871</v>
      </c>
      <c r="B166" s="1047">
        <f>Unitflowchart!$S$41*(AllocationEnergy!$H$20/100)/Unitflowchart!$S$383*(BargeTransport!J15)*Unitflowchart!$S$56</f>
        <v>0</v>
      </c>
      <c r="C166" s="993">
        <f>(B166/B$391)*100</f>
        <v>0</v>
      </c>
      <c r="D166" s="1048">
        <f>Unitflowchart!$S$41*(AllocationEnergy!$H$20/100)/Unitflowchart!$S$383*(BargeTransport!K15)*Unitflowchart!$S$56</f>
        <v>0</v>
      </c>
      <c r="E166" s="1047">
        <f>Unitflowchart!$S$41*(AllocationEnergy!$H$20/100)/Unitflowchart!$S$383*(BargeTransport!P15)*Unitflowchart!$S$56</f>
        <v>0</v>
      </c>
      <c r="F166" s="993">
        <f>(E166/E$391)*100</f>
        <v>0</v>
      </c>
      <c r="G166" s="1048">
        <f>Unitflowchart!$S$41*(AllocationEnergy!$H$20/100)/Unitflowchart!$S$383*(BargeTransport!Q15)*Unitflowchart!$S$56</f>
        <v>0</v>
      </c>
      <c r="H166" s="1047">
        <f>Unitflowchart!$S$41*(AllocationEnergy!$H$20/100)/Unitflowchart!$S$383*(BargeTransport!V15)*Unitflowchart!$S$56</f>
        <v>0</v>
      </c>
      <c r="I166" s="993">
        <f>(H166/H$391)*100</f>
        <v>0</v>
      </c>
      <c r="J166" s="1048">
        <f>Unitflowchart!$S$41*(AllocationEnergy!$H$20/100)/Unitflowchart!$S$383*(BargeTransport!W15)*Unitflowchart!$S$56</f>
        <v>0</v>
      </c>
      <c r="K166" s="1047">
        <f>Unitflowchart!$S$41*(AllocationEnergy!$H$20/100)/Unitflowchart!$S$383*(BargeTransport!AB15)*Unitflowchart!$S$56</f>
        <v>0</v>
      </c>
      <c r="L166" s="993">
        <f>(K166/K$391)*100</f>
        <v>0</v>
      </c>
      <c r="M166" s="1048">
        <f>Unitflowchart!$S$41*(AllocationEnergy!$H$20/100)/Unitflowchart!$S$383*(BargeTransport!AC15)*Unitflowchart!$S$56</f>
        <v>0</v>
      </c>
      <c r="N166" s="1049">
        <f>E166+(GlobalWarmingPotentials!$B$11*H166)+(GlobalWarmingPotentials!$C$11*K166)</f>
        <v>0</v>
      </c>
      <c r="O166" s="993">
        <f>(N166/N$391)*100</f>
        <v>0</v>
      </c>
      <c r="P166" s="1050">
        <f>SQRT((G166^2)+((GlobalWarmingPotentials!$B$11*J166)^2)+((GlobalWarmingPotentials!$C$11*M166)^2))</f>
        <v>0</v>
      </c>
    </row>
    <row r="167" spans="1:16" x14ac:dyDescent="0.25">
      <c r="B167" s="728"/>
      <c r="C167" s="25"/>
      <c r="D167" s="739"/>
      <c r="E167" s="735"/>
      <c r="F167" s="25"/>
      <c r="G167" s="735"/>
      <c r="H167" s="31"/>
      <c r="I167" s="25"/>
      <c r="J167" s="32"/>
      <c r="K167" s="31"/>
      <c r="L167" s="25"/>
      <c r="M167" s="724"/>
      <c r="N167" s="728"/>
      <c r="O167" s="25"/>
      <c r="P167" s="739"/>
    </row>
    <row r="168" spans="1:16" x14ac:dyDescent="0.25">
      <c r="A168" s="387" t="s">
        <v>872</v>
      </c>
      <c r="B168" s="728"/>
      <c r="C168" s="25"/>
      <c r="D168" s="739"/>
      <c r="E168" s="735"/>
      <c r="F168" s="25"/>
      <c r="G168" s="735"/>
      <c r="H168" s="31"/>
      <c r="I168" s="25"/>
      <c r="J168" s="32"/>
      <c r="K168" s="31"/>
      <c r="L168" s="25"/>
      <c r="M168" s="724"/>
      <c r="N168" s="728"/>
      <c r="O168" s="25"/>
      <c r="P168" s="739"/>
    </row>
    <row r="169" spans="1:16" x14ac:dyDescent="0.25">
      <c r="B169" s="728"/>
      <c r="C169" s="25"/>
      <c r="D169" s="739"/>
      <c r="E169" s="735"/>
      <c r="F169" s="25"/>
      <c r="G169" s="735"/>
      <c r="H169" s="31"/>
      <c r="I169" s="25"/>
      <c r="J169" s="32"/>
      <c r="K169" s="31"/>
      <c r="L169" s="25"/>
      <c r="M169" s="724"/>
      <c r="N169" s="728"/>
      <c r="O169" s="25"/>
      <c r="P169" s="739"/>
    </row>
    <row r="170" spans="1:16" x14ac:dyDescent="0.25">
      <c r="A170" s="14" t="str">
        <f>ShipTransport!A11</f>
        <v xml:space="preserve"> - Marine Diesel</v>
      </c>
      <c r="B170" s="1027">
        <f>Unitflowchart!$S$41*(AllocationEnergy!$H$20/100)/Unitflowchart!$S$383*(ShipTransport!J11)*Unitflowchart!$S$58</f>
        <v>0</v>
      </c>
      <c r="C170" s="26">
        <f>(B170/B$391)*100</f>
        <v>0</v>
      </c>
      <c r="D170" s="1036">
        <f>Unitflowchart!$S$41*(AllocationEnergy!$H$20/100)/Unitflowchart!$S$383*(ShipTransport!K11)*Unitflowchart!$S$58</f>
        <v>0</v>
      </c>
      <c r="E170" s="1027">
        <f>Unitflowchart!$S$41*(AllocationEnergy!$H$20/100)/Unitflowchart!$S$383*(ShipTransport!P11)*Unitflowchart!$S$58</f>
        <v>0</v>
      </c>
      <c r="F170" s="26">
        <f>(E170/E$391)*100</f>
        <v>0</v>
      </c>
      <c r="G170" s="1036">
        <f>Unitflowchart!$S$41*(AllocationEnergy!$H$20/100)/Unitflowchart!$S$383*(ShipTransport!Q11)*Unitflowchart!$S$58</f>
        <v>0</v>
      </c>
      <c r="H170" s="1027">
        <f>Unitflowchart!$S$41*(AllocationEnergy!$H$20/100)/Unitflowchart!$S$383*(ShipTransport!V11)*Unitflowchart!$S$58</f>
        <v>0</v>
      </c>
      <c r="I170" s="26">
        <f>(H170/H$391)*100</f>
        <v>0</v>
      </c>
      <c r="J170" s="1036">
        <f>Unitflowchart!$S$41*(AllocationEnergy!$H$20/100)/Unitflowchart!$S$383*(ShipTransport!W11)*Unitflowchart!$S$58</f>
        <v>0</v>
      </c>
      <c r="K170" s="1027">
        <f>Unitflowchart!$S$41*(AllocationEnergy!$H$20/100)/Unitflowchart!$S$383*(ShipTransport!AB11)*Unitflowchart!$S$58</f>
        <v>0</v>
      </c>
      <c r="L170" s="26">
        <f>(K170/K$391)*100</f>
        <v>0</v>
      </c>
      <c r="M170" s="1036">
        <f>Unitflowchart!$S$41*(AllocationEnergy!$H$20/100)/Unitflowchart!$S$383*(ShipTransport!AC11)*Unitflowchart!$S$58</f>
        <v>0</v>
      </c>
      <c r="N170" s="1028">
        <f>E170+(GlobalWarmingPotentials!$B$11*H170)+(GlobalWarmingPotentials!$C$11*K170)</f>
        <v>0</v>
      </c>
      <c r="O170" s="26">
        <f>(N170/N$391)*100</f>
        <v>0</v>
      </c>
      <c r="P170" s="1031">
        <f>SQRT((G170^2)+((GlobalWarmingPotentials!$B$11*J170)^2)+((GlobalWarmingPotentials!$C$11*M170)^2))</f>
        <v>0</v>
      </c>
    </row>
    <row r="171" spans="1:16" x14ac:dyDescent="0.25">
      <c r="A171" s="14" t="str">
        <f>ShipTransport!A12</f>
        <v xml:space="preserve"> - Ship Construction</v>
      </c>
      <c r="B171" s="1027">
        <f>Unitflowchart!$S$41*(AllocationEnergy!$H$20/100)/Unitflowchart!$S$383*(ShipTransport!J12)*Unitflowchart!$S$58</f>
        <v>0</v>
      </c>
      <c r="C171" s="26">
        <f>(B171/B$391)*100</f>
        <v>0</v>
      </c>
      <c r="D171" s="1036">
        <f>Unitflowchart!$S$41*(AllocationEnergy!$H$20/100)/Unitflowchart!$S$383*(ShipTransport!K12)*Unitflowchart!$S$58</f>
        <v>0</v>
      </c>
      <c r="E171" s="1027">
        <f>Unitflowchart!$S$41*(AllocationEnergy!$H$20/100)/Unitflowchart!$S$383*(ShipTransport!P12)*Unitflowchart!$S$58</f>
        <v>0</v>
      </c>
      <c r="F171" s="26">
        <f>(E171/E$391)*100</f>
        <v>0</v>
      </c>
      <c r="G171" s="1036">
        <f>Unitflowchart!$S$41*(AllocationEnergy!$H$20/100)/Unitflowchart!$S$383*(ShipTransport!Q12)*Unitflowchart!$S$58</f>
        <v>0</v>
      </c>
      <c r="H171" s="1027">
        <f>Unitflowchart!$S$41*(AllocationEnergy!$H$20/100)/Unitflowchart!$S$383*(ShipTransport!V12)*Unitflowchart!$S$58</f>
        <v>0</v>
      </c>
      <c r="I171" s="26">
        <f>(H171/H$391)*100</f>
        <v>0</v>
      </c>
      <c r="J171" s="1036">
        <f>Unitflowchart!$S$41*(AllocationEnergy!$H$20/100)/Unitflowchart!$S$383*(ShipTransport!W12)*Unitflowchart!$S$58</f>
        <v>0</v>
      </c>
      <c r="K171" s="1027">
        <f>Unitflowchart!$S$41*(AllocationEnergy!$H$20/100)/Unitflowchart!$S$383*(ShipTransport!AB12)*Unitflowchart!$S$58</f>
        <v>0</v>
      </c>
      <c r="L171" s="26">
        <f>(K171/K$391)*100</f>
        <v>0</v>
      </c>
      <c r="M171" s="1036">
        <f>Unitflowchart!$S$41*(AllocationEnergy!$H$20/100)/Unitflowchart!$S$383*(ShipTransport!AC12)*Unitflowchart!$S$58</f>
        <v>0</v>
      </c>
      <c r="N171" s="1028">
        <f>E171+(GlobalWarmingPotentials!$B$11*H171)+(GlobalWarmingPotentials!$C$11*K171)</f>
        <v>0</v>
      </c>
      <c r="O171" s="26">
        <f>(N171/N$391)*100</f>
        <v>0</v>
      </c>
      <c r="P171" s="1031">
        <f>SQRT((G171^2)+((GlobalWarmingPotentials!$B$11*J171)^2)+((GlobalWarmingPotentials!$C$11*M171)^2))</f>
        <v>0</v>
      </c>
    </row>
    <row r="172" spans="1:16" x14ac:dyDescent="0.25">
      <c r="A172" s="14" t="str">
        <f>ShipTransport!A13</f>
        <v xml:space="preserve"> - Ship Maintenance</v>
      </c>
      <c r="B172" s="1027">
        <f>Unitflowchart!$S$41*(AllocationEnergy!$H$20/100)/Unitflowchart!$S$383*(ShipTransport!J13)*Unitflowchart!$S$58</f>
        <v>0</v>
      </c>
      <c r="C172" s="26">
        <f>(B172/B$391)*100</f>
        <v>0</v>
      </c>
      <c r="D172" s="1036">
        <f>Unitflowchart!$S$41*(AllocationEnergy!$H$20/100)/Unitflowchart!$S$383*(ShipTransport!K13)*Unitflowchart!$S$58</f>
        <v>0</v>
      </c>
      <c r="E172" s="1027">
        <f>Unitflowchart!$S$41*(AllocationEnergy!$H$20/100)/Unitflowchart!$S$383*(ShipTransport!P13)*Unitflowchart!$S$58</f>
        <v>0</v>
      </c>
      <c r="F172" s="26">
        <f>(E172/E$391)*100</f>
        <v>0</v>
      </c>
      <c r="G172" s="1036">
        <f>Unitflowchart!$S$41*(AllocationEnergy!$H$20/100)/Unitflowchart!$S$383*(ShipTransport!Q13)*Unitflowchart!$S$58</f>
        <v>0</v>
      </c>
      <c r="H172" s="1027">
        <f>Unitflowchart!$S$41*(AllocationEnergy!$H$20/100)/Unitflowchart!$S$383*(ShipTransport!V13)*Unitflowchart!$S$58</f>
        <v>0</v>
      </c>
      <c r="I172" s="26">
        <f>(H172/H$391)*100</f>
        <v>0</v>
      </c>
      <c r="J172" s="1036">
        <f>Unitflowchart!$S$41*(AllocationEnergy!$H$20/100)/Unitflowchart!$S$383*(ShipTransport!W13)*Unitflowchart!$S$58</f>
        <v>0</v>
      </c>
      <c r="K172" s="1027">
        <f>Unitflowchart!$S$41*(AllocationEnergy!$H$20/100)/Unitflowchart!$S$383*(ShipTransport!AB13)*Unitflowchart!$S$58</f>
        <v>0</v>
      </c>
      <c r="L172" s="26">
        <f>(K172/K$391)*100</f>
        <v>0</v>
      </c>
      <c r="M172" s="1036">
        <f>Unitflowchart!$S$41*(AllocationEnergy!$H$20/100)/Unitflowchart!$S$383*(ShipTransport!AC13)*Unitflowchart!$S$58</f>
        <v>0</v>
      </c>
      <c r="N172" s="1028">
        <f>E172+(GlobalWarmingPotentials!$B$11*H172)+(GlobalWarmingPotentials!$C$11*K172)</f>
        <v>0</v>
      </c>
      <c r="O172" s="26">
        <f>(N172/N$391)*100</f>
        <v>0</v>
      </c>
      <c r="P172" s="1031">
        <f>SQRT((G172^2)+((GlobalWarmingPotentials!$B$11*J172)^2)+((GlobalWarmingPotentials!$C$11*M172)^2))</f>
        <v>0</v>
      </c>
    </row>
    <row r="173" spans="1:16" s="43" customFormat="1" x14ac:dyDescent="0.25">
      <c r="A173" s="155"/>
      <c r="B173" s="1029"/>
      <c r="C173" s="992"/>
      <c r="D173" s="1040"/>
      <c r="E173" s="1029"/>
      <c r="F173" s="992"/>
      <c r="G173" s="1040"/>
      <c r="H173" s="1029"/>
      <c r="I173" s="992"/>
      <c r="J173" s="1040"/>
      <c r="K173" s="1029"/>
      <c r="L173" s="992"/>
      <c r="M173" s="1040"/>
      <c r="N173" s="1029"/>
      <c r="O173" s="992"/>
      <c r="P173" s="1030"/>
    </row>
    <row r="174" spans="1:16" x14ac:dyDescent="0.25">
      <c r="A174" s="218" t="s">
        <v>873</v>
      </c>
      <c r="B174" s="1037">
        <f>Unitflowchart!$S$41*(AllocationEnergy!$H$20/100)/Unitflowchart!$S$383*(ShipTransport!J15)*Unitflowchart!$S$58</f>
        <v>0</v>
      </c>
      <c r="C174" s="15">
        <f>(B174/B$391)*100</f>
        <v>0</v>
      </c>
      <c r="D174" s="1038">
        <f>Unitflowchart!$S$41*(AllocationEnergy!$H$20/100)/Unitflowchart!$S$383*(ShipTransport!K15)*Unitflowchart!$S$58</f>
        <v>0</v>
      </c>
      <c r="E174" s="1037">
        <f>Unitflowchart!$S$41*(AllocationEnergy!$H$20/100)/Unitflowchart!$S$383*(ShipTransport!P15)*Unitflowchart!$S$58</f>
        <v>0</v>
      </c>
      <c r="F174" s="15">
        <f>(E174/E$391)*100</f>
        <v>0</v>
      </c>
      <c r="G174" s="1038">
        <f>Unitflowchart!$S$41*(AllocationEnergy!$H$20/100)/Unitflowchart!$S$383*(ShipTransport!Q15)*Unitflowchart!$S$58</f>
        <v>0</v>
      </c>
      <c r="H174" s="1037">
        <f>Unitflowchart!$S$41*(AllocationEnergy!$H$20/100)/Unitflowchart!$S$383*(ShipTransport!V15)*Unitflowchart!$S$58</f>
        <v>0</v>
      </c>
      <c r="I174" s="15">
        <f>(H174/H$391)*100</f>
        <v>0</v>
      </c>
      <c r="J174" s="1038">
        <f>Unitflowchart!$S$41*(AllocationEnergy!$H$20/100)/Unitflowchart!$S$383*(ShipTransport!W15)*Unitflowchart!$S$58</f>
        <v>0</v>
      </c>
      <c r="K174" s="1037">
        <f>Unitflowchart!$S$41*(AllocationEnergy!$H$20/100)/Unitflowchart!$S$383*(ShipTransport!AB15)*Unitflowchart!$S$58</f>
        <v>0</v>
      </c>
      <c r="L174" s="15">
        <f>(K174/K$391)*100</f>
        <v>0</v>
      </c>
      <c r="M174" s="1038">
        <f>Unitflowchart!$S$41*(AllocationEnergy!$H$20/100)/Unitflowchart!$S$383*(ShipTransport!AC15)*Unitflowchart!$S$58</f>
        <v>0</v>
      </c>
      <c r="N174" s="1034">
        <f>E174+(GlobalWarmingPotentials!$B$11*H174)+(GlobalWarmingPotentials!$C$11*K174)</f>
        <v>0</v>
      </c>
      <c r="O174" s="15">
        <f>(N174/N$391)*100</f>
        <v>0</v>
      </c>
      <c r="P174" s="1035">
        <f>SQRT((G174^2)+((GlobalWarmingPotentials!$B$11*J174)^2)+((GlobalWarmingPotentials!$C$11*M174)^2))</f>
        <v>0</v>
      </c>
    </row>
    <row r="175" spans="1:16" x14ac:dyDescent="0.25">
      <c r="B175" s="728"/>
      <c r="D175" s="739"/>
      <c r="E175" s="735"/>
      <c r="G175" s="735"/>
      <c r="H175" s="31"/>
      <c r="J175" s="32"/>
      <c r="K175" s="31"/>
      <c r="M175" s="724"/>
      <c r="N175" s="728"/>
      <c r="P175" s="739"/>
    </row>
    <row r="176" spans="1:16" x14ac:dyDescent="0.25">
      <c r="A176" s="218" t="s">
        <v>875</v>
      </c>
      <c r="B176" s="734">
        <f>B150+B158+B166+B174</f>
        <v>275.59665533211654</v>
      </c>
      <c r="C176" s="721">
        <f>(B176/B$391)*100</f>
        <v>2.1290831603134115</v>
      </c>
      <c r="D176" s="743">
        <f>SQRT((D150^2)+(D158^2)+(D166^2)+(D174^2))</f>
        <v>12.953042800609477</v>
      </c>
      <c r="E176" s="745">
        <f t="shared" ref="E176" si="35">E150+E158+E166+E174</f>
        <v>19.777206393823835</v>
      </c>
      <c r="F176" s="721">
        <f>(E176/E$391)*100</f>
        <v>2.4586844304032347</v>
      </c>
      <c r="G176" s="745">
        <f t="shared" ref="G176" si="36">SQRT((G150^2)+(G158^2)+(G166^2)+(G174^2))</f>
        <v>0.92952870050972014</v>
      </c>
      <c r="H176" s="722">
        <f t="shared" ref="H176" si="37">H150+H158+H166+H174</f>
        <v>4.1095493805348229E-3</v>
      </c>
      <c r="I176" s="721">
        <f>(H176/H$391)*100</f>
        <v>0.41028079591732824</v>
      </c>
      <c r="J176" s="719">
        <f t="shared" ref="J176" si="38">SQRT((J150^2)+(J158^2)+(J166^2)+(J174^2))</f>
        <v>1.9314882088513667E-4</v>
      </c>
      <c r="K176" s="722">
        <f t="shared" ref="K176" si="39">K150+K158+K166+K174</f>
        <v>5.3424141946952705E-3</v>
      </c>
      <c r="L176" s="721">
        <f>(K176/K$391)*100</f>
        <v>2.466611272224867</v>
      </c>
      <c r="M176" s="720">
        <f t="shared" ref="M176" si="40">SQRT((M150^2)+(M158^2)+(M166^2)+(M174^2))</f>
        <v>2.5109346715067771E-4</v>
      </c>
      <c r="N176" s="734">
        <f t="shared" ref="N176" si="41">N150+N158+N166+N174</f>
        <v>21.453080631205939</v>
      </c>
      <c r="O176" s="721">
        <f>(N176/N$391)*100</f>
        <v>2.4063221866032807</v>
      </c>
      <c r="P176" s="743">
        <f t="shared" ref="P176" si="42">SQRT((P150^2)+(P158^2)+(P166^2)+(P174^2))</f>
        <v>0.93250595041593831</v>
      </c>
    </row>
    <row r="177" spans="1:16" x14ac:dyDescent="0.25">
      <c r="B177" s="728"/>
      <c r="D177" s="739"/>
      <c r="E177" s="735"/>
      <c r="G177" s="735"/>
      <c r="H177" s="31"/>
      <c r="J177" s="32"/>
      <c r="K177" s="31"/>
      <c r="M177" s="724"/>
      <c r="N177" s="728"/>
      <c r="P177" s="739"/>
    </row>
    <row r="178" spans="1:16" x14ac:dyDescent="0.25">
      <c r="A178" s="387" t="s">
        <v>43</v>
      </c>
      <c r="B178" s="728"/>
      <c r="D178" s="739"/>
      <c r="E178" s="735"/>
      <c r="G178" s="735"/>
      <c r="H178" s="31"/>
      <c r="J178" s="32"/>
      <c r="K178" s="31"/>
      <c r="M178" s="724"/>
      <c r="N178" s="728"/>
      <c r="P178" s="739"/>
    </row>
    <row r="179" spans="1:16" x14ac:dyDescent="0.25">
      <c r="B179" s="728"/>
      <c r="D179" s="739"/>
      <c r="E179" s="735"/>
      <c r="G179" s="735"/>
      <c r="H179" s="31"/>
      <c r="J179" s="32"/>
      <c r="K179" s="31"/>
      <c r="M179" s="724"/>
      <c r="N179" s="728"/>
      <c r="P179" s="739"/>
    </row>
    <row r="180" spans="1:16" x14ac:dyDescent="0.25">
      <c r="A180" t="str">
        <f>RoadTransportEthanolStage2!A42</f>
        <v xml:space="preserve"> - Diesel Fuel</v>
      </c>
      <c r="B180" s="1027">
        <f>Unitflowchart!$S$64*(AllocationEnergy!$H$20/100)/Unitflowchart!$S$383*(RoadTransportStage2!J42)*Unitflowchart!$S$73</f>
        <v>0</v>
      </c>
      <c r="C180" s="26">
        <f>(B180/B$391)*100</f>
        <v>0</v>
      </c>
      <c r="D180" s="1036">
        <f>Unitflowchart!$S$64*(AllocationEnergy!$H$20/100)/Unitflowchart!$S$383*(RoadTransportStage2!K42)*Unitflowchart!$S$73</f>
        <v>0</v>
      </c>
      <c r="E180" s="1027">
        <f>Unitflowchart!$S$64*(AllocationEnergy!$H$20/100)/Unitflowchart!$S$383*(RoadTransportStage2!P42)*Unitflowchart!$S$73</f>
        <v>0</v>
      </c>
      <c r="F180" s="26">
        <f>(E180/E$391)*100</f>
        <v>0</v>
      </c>
      <c r="G180" s="1036">
        <f>Unitflowchart!$S$64*(AllocationEnergy!$H$20/100)/Unitflowchart!$S$383*(RoadTransportStage2!Q42)*Unitflowchart!$S$73</f>
        <v>0</v>
      </c>
      <c r="H180" s="1027">
        <f>Unitflowchart!$S$64*(AllocationEnergy!$H$20/100)/Unitflowchart!$S$383*(RoadTransportStage2!V42)*Unitflowchart!$S$73</f>
        <v>0</v>
      </c>
      <c r="I180" s="26">
        <f>(H180/H$391)*100</f>
        <v>0</v>
      </c>
      <c r="J180" s="1036">
        <f>Unitflowchart!$S$64*(AllocationEnergy!$H$20/100)/Unitflowchart!$S$383*(RoadTransportStage2!W42)*Unitflowchart!$S$73</f>
        <v>0</v>
      </c>
      <c r="K180" s="1027">
        <f>Unitflowchart!$S$64*(AllocationEnergy!$H$20/100)/Unitflowchart!$S$383*(RoadTransportStage2!AB42)*Unitflowchart!$S$73</f>
        <v>0</v>
      </c>
      <c r="L180" s="26">
        <f>(K180/K$391)*100</f>
        <v>0</v>
      </c>
      <c r="M180" s="1036">
        <f>Unitflowchart!$S$64*(AllocationEnergy!$H$20/100)/Unitflowchart!$S$383*(RoadTransportStage2!AC42)*Unitflowchart!$S$73</f>
        <v>0</v>
      </c>
      <c r="N180" s="1028">
        <f>E180+(GlobalWarmingPotentials!$B$11*H180)+(GlobalWarmingPotentials!$C$11*K180)</f>
        <v>0</v>
      </c>
      <c r="O180" s="26">
        <f>(N180/N$391)*100</f>
        <v>0</v>
      </c>
      <c r="P180" s="1031">
        <f>SQRT((G180^2)+((GlobalWarmingPotentials!$B$11*J180)^2)+((GlobalWarmingPotentials!$C$11*M180)^2))</f>
        <v>0</v>
      </c>
    </row>
    <row r="181" spans="1:16" x14ac:dyDescent="0.25">
      <c r="A181" t="str">
        <f>RoadTransportEthanolStage2!A43</f>
        <v xml:space="preserve"> - Vehicle </v>
      </c>
      <c r="B181" s="1027">
        <f>Unitflowchart!$S$64*(AllocationEnergy!$H$20/100)/Unitflowchart!$S$383*(RoadTransportStage2!J43)*Unitflowchart!$S$73</f>
        <v>0</v>
      </c>
      <c r="C181" s="26">
        <f>(B181/B$391)*100</f>
        <v>0</v>
      </c>
      <c r="D181" s="1036">
        <f>Unitflowchart!$S$64*(AllocationEnergy!$H$20/100)/Unitflowchart!$S$383*(RoadTransportStage2!K43)*Unitflowchart!$S$73</f>
        <v>0</v>
      </c>
      <c r="E181" s="1027">
        <f>Unitflowchart!$S$64*(AllocationEnergy!$H$20/100)/Unitflowchart!$S$383*(RoadTransportStage2!P43)*Unitflowchart!$S$73</f>
        <v>0</v>
      </c>
      <c r="F181" s="26">
        <f>(E181/E$391)*100</f>
        <v>0</v>
      </c>
      <c r="G181" s="1036">
        <f>Unitflowchart!$S$64*(AllocationEnergy!$H$20/100)/Unitflowchart!$S$383*(RoadTransportStage2!Q43)*Unitflowchart!$S$73</f>
        <v>0</v>
      </c>
      <c r="H181" s="1027">
        <f>Unitflowchart!$S$64*(AllocationEnergy!$H$20/100)/Unitflowchart!$S$383*(RoadTransportStage2!V43)*Unitflowchart!$S$73</f>
        <v>0</v>
      </c>
      <c r="I181" s="26">
        <f>(H181/H$391)*100</f>
        <v>0</v>
      </c>
      <c r="J181" s="1036">
        <f>Unitflowchart!$S$64*(AllocationEnergy!$H$20/100)/Unitflowchart!$S$383*(RoadTransportStage2!W43)*Unitflowchart!$S$73</f>
        <v>0</v>
      </c>
      <c r="K181" s="1027">
        <f>Unitflowchart!$S$64*(AllocationEnergy!$H$20/100)/Unitflowchart!$S$383*(RoadTransportStage2!AB43)*Unitflowchart!$S$73</f>
        <v>0</v>
      </c>
      <c r="L181" s="26">
        <f>(K181/K$391)*100</f>
        <v>0</v>
      </c>
      <c r="M181" s="1036">
        <f>Unitflowchart!$S$64*(AllocationEnergy!$H$20/100)/Unitflowchart!$S$383*(RoadTransportStage2!AC43)*Unitflowchart!$S$73</f>
        <v>0</v>
      </c>
      <c r="N181" s="1028">
        <f>E181+(GlobalWarmingPotentials!$B$11*H181)+(GlobalWarmingPotentials!$C$11*K181)</f>
        <v>0</v>
      </c>
      <c r="O181" s="26">
        <f>(N181/N$391)*100</f>
        <v>0</v>
      </c>
      <c r="P181" s="1031">
        <f>SQRT((G181^2)+((GlobalWarmingPotentials!$B$11*J181)^2)+((GlobalWarmingPotentials!$C$11*M181)^2))</f>
        <v>0</v>
      </c>
    </row>
    <row r="182" spans="1:16" x14ac:dyDescent="0.25">
      <c r="A182" t="str">
        <f>RoadTransportEthanolStage2!A44</f>
        <v xml:space="preserve"> - Maintenance</v>
      </c>
      <c r="B182" s="1027">
        <f>Unitflowchart!$S$64*(AllocationEnergy!$H$20/100)/Unitflowchart!$S$383*(RoadTransportStage2!J44)*Unitflowchart!$S$73</f>
        <v>0</v>
      </c>
      <c r="C182" s="26">
        <f>(B182/B$391)*100</f>
        <v>0</v>
      </c>
      <c r="D182" s="1036">
        <f>Unitflowchart!$S$64*(AllocationEnergy!$H$20/100)/Unitflowchart!$S$383*(RoadTransportStage2!K44)*Unitflowchart!$S$73</f>
        <v>0</v>
      </c>
      <c r="E182" s="1027">
        <f>Unitflowchart!$S$64*(AllocationEnergy!$H$20/100)/Unitflowchart!$S$383*(RoadTransportStage2!P44)*Unitflowchart!$S$73</f>
        <v>0</v>
      </c>
      <c r="F182" s="26">
        <f>(E182/E$391)*100</f>
        <v>0</v>
      </c>
      <c r="G182" s="1036">
        <f>Unitflowchart!$S$64*(AllocationEnergy!$H$20/100)/Unitflowchart!$S$383*(RoadTransportStage2!Q44)*Unitflowchart!$S$73</f>
        <v>0</v>
      </c>
      <c r="H182" s="1027">
        <f>Unitflowchart!$S$64*(AllocationEnergy!$H$20/100)/Unitflowchart!$S$383*(RoadTransportStage2!V44)*Unitflowchart!$S$73</f>
        <v>0</v>
      </c>
      <c r="I182" s="26">
        <f>(H182/H$391)*100</f>
        <v>0</v>
      </c>
      <c r="J182" s="1036">
        <f>Unitflowchart!$S$64*(AllocationEnergy!$H$20/100)/Unitflowchart!$S$383*(RoadTransportStage2!W44)*Unitflowchart!$S$73</f>
        <v>0</v>
      </c>
      <c r="K182" s="1027">
        <f>Unitflowchart!$S$64*(AllocationEnergy!$H$20/100)/Unitflowchart!$S$383*(RoadTransportStage2!AB44)*Unitflowchart!$S$73</f>
        <v>0</v>
      </c>
      <c r="L182" s="26">
        <f>(K182/K$391)*100</f>
        <v>0</v>
      </c>
      <c r="M182" s="1036">
        <f>Unitflowchart!$S$64*(AllocationEnergy!$H$20/100)/Unitflowchart!$S$383*(RoadTransportStage2!AC44)*Unitflowchart!$S$73</f>
        <v>0</v>
      </c>
      <c r="N182" s="1028">
        <f>E182+(GlobalWarmingPotentials!$B$11*H182)+(GlobalWarmingPotentials!$C$11*K182)</f>
        <v>0</v>
      </c>
      <c r="O182" s="26">
        <f>(N182/N$391)*100</f>
        <v>0</v>
      </c>
      <c r="P182" s="1031">
        <f>SQRT((G182^2)+((GlobalWarmingPotentials!$B$11*J182)^2)+((GlobalWarmingPotentials!$C$11*M182)^2))</f>
        <v>0</v>
      </c>
    </row>
    <row r="183" spans="1:16" s="43" customFormat="1" x14ac:dyDescent="0.25">
      <c r="B183" s="1029"/>
      <c r="C183" s="992"/>
      <c r="D183" s="1040"/>
      <c r="E183" s="1029"/>
      <c r="F183" s="992"/>
      <c r="G183" s="1040"/>
      <c r="H183" s="1029"/>
      <c r="I183" s="992"/>
      <c r="J183" s="1040"/>
      <c r="K183" s="1029"/>
      <c r="L183" s="992"/>
      <c r="M183" s="1040"/>
      <c r="N183" s="1029"/>
      <c r="O183" s="992"/>
      <c r="P183" s="1030"/>
    </row>
    <row r="184" spans="1:16" x14ac:dyDescent="0.25">
      <c r="A184" s="218" t="s">
        <v>868</v>
      </c>
      <c r="B184" s="1047">
        <f>Unitflowchart!$S$64*(AllocationEnergy!$H$20/100)/Unitflowchart!$S$383*(RoadTransportStage2!J46)*Unitflowchart!$S$73</f>
        <v>0</v>
      </c>
      <c r="C184" s="993">
        <f>(B184/B$391)*100</f>
        <v>0</v>
      </c>
      <c r="D184" s="1048">
        <f>Unitflowchart!$S$64*(AllocationEnergy!$H$20/100)/Unitflowchart!$S$383*(RoadTransportStage2!K46)*Unitflowchart!$S$73</f>
        <v>0</v>
      </c>
      <c r="E184" s="1047">
        <f>Unitflowchart!$S$64*(AllocationEnergy!$H$20/100)/Unitflowchart!$S$383*(RoadTransportStage2!P46)*Unitflowchart!$S$73</f>
        <v>0</v>
      </c>
      <c r="F184" s="993">
        <f>(E184/E$391)*100</f>
        <v>0</v>
      </c>
      <c r="G184" s="1048">
        <f>Unitflowchart!$S$64*(AllocationEnergy!$H$20/100)/Unitflowchart!$S$383*(RoadTransportStage2!Q46)*Unitflowchart!$S$73</f>
        <v>0</v>
      </c>
      <c r="H184" s="1047">
        <f>Unitflowchart!$S$64*(AllocationEnergy!$H$20/100)/Unitflowchart!$S$383*(RoadTransportStage2!V46)*Unitflowchart!$S$73</f>
        <v>0</v>
      </c>
      <c r="I184" s="993">
        <f>(H184/H$391)*100</f>
        <v>0</v>
      </c>
      <c r="J184" s="1048">
        <f>Unitflowchart!$S$64*(AllocationEnergy!$H$20/100)/Unitflowchart!$S$383*(RoadTransportStage2!W46)*Unitflowchart!$S$73</f>
        <v>0</v>
      </c>
      <c r="K184" s="1047">
        <f>Unitflowchart!$S$64*(AllocationEnergy!$H$20/100)/Unitflowchart!$S$383*(RoadTransportStage2!AB46)*Unitflowchart!$S$73</f>
        <v>0</v>
      </c>
      <c r="L184" s="993">
        <f>(K184/K$391)*100</f>
        <v>0</v>
      </c>
      <c r="M184" s="1048">
        <f>Unitflowchart!$S$64*(AllocationEnergy!$H$20/100)/Unitflowchart!$S$383*(RoadTransportStage2!AC46)*Unitflowchart!$S$73</f>
        <v>0</v>
      </c>
      <c r="N184" s="1034">
        <f>E184+(GlobalWarmingPotentials!$B$11*H184)+(GlobalWarmingPotentials!$C$11*K184)</f>
        <v>0</v>
      </c>
      <c r="O184" s="15">
        <f>(N184/N$391)*100</f>
        <v>0</v>
      </c>
      <c r="P184" s="1035">
        <f>SQRT((G184^2)+((GlobalWarmingPotentials!$B$11*J184)^2)+((GlobalWarmingPotentials!$C$11*M184)^2))</f>
        <v>0</v>
      </c>
    </row>
    <row r="185" spans="1:16" s="212" customFormat="1" x14ac:dyDescent="0.25">
      <c r="A185" s="775"/>
      <c r="B185" s="763"/>
      <c r="C185" s="773"/>
      <c r="D185" s="778"/>
      <c r="E185" s="763"/>
      <c r="F185" s="773"/>
      <c r="G185" s="778"/>
      <c r="H185" s="765"/>
      <c r="I185" s="773"/>
      <c r="J185" s="782"/>
      <c r="K185" s="765"/>
      <c r="L185" s="773"/>
      <c r="M185" s="782"/>
      <c r="N185" s="763"/>
      <c r="O185" s="773"/>
      <c r="P185" s="787"/>
    </row>
    <row r="186" spans="1:16" s="212" customFormat="1" x14ac:dyDescent="0.25">
      <c r="A186" s="387" t="s">
        <v>890</v>
      </c>
      <c r="B186" s="766"/>
      <c r="C186" s="764"/>
      <c r="D186" s="779"/>
      <c r="E186" s="766"/>
      <c r="F186" s="764"/>
      <c r="G186" s="779"/>
      <c r="H186" s="783"/>
      <c r="I186" s="764"/>
      <c r="J186" s="784"/>
      <c r="K186" s="783"/>
      <c r="L186" s="764"/>
      <c r="M186" s="784"/>
      <c r="N186" s="766"/>
      <c r="O186" s="764"/>
      <c r="P186" s="788"/>
    </row>
    <row r="187" spans="1:16" s="212" customFormat="1" x14ac:dyDescent="0.25">
      <c r="A187"/>
      <c r="B187" s="766"/>
      <c r="C187" s="764"/>
      <c r="D187" s="779"/>
      <c r="E187" s="766"/>
      <c r="F187" s="764"/>
      <c r="G187" s="779"/>
      <c r="H187" s="783"/>
      <c r="I187" s="764"/>
      <c r="J187" s="784"/>
      <c r="K187" s="783"/>
      <c r="L187" s="764"/>
      <c r="M187" s="784"/>
      <c r="N187" s="766"/>
      <c r="O187" s="764"/>
      <c r="P187" s="788"/>
    </row>
    <row r="188" spans="1:16" s="212" customFormat="1" x14ac:dyDescent="0.25">
      <c r="A188" t="str">
        <f>RailTransport!A11</f>
        <v xml:space="preserve"> - Gas Oil</v>
      </c>
      <c r="B188" s="1027">
        <f>Unitflowchart!$S$64*(AllocationEnergy!$H$20/100)/Unitflowchart!$S$383*(RoadTransportStage2!J43)*Unitflowchart!$S$73</f>
        <v>0</v>
      </c>
      <c r="C188" s="26">
        <f>(B188/B$391)*100</f>
        <v>0</v>
      </c>
      <c r="D188" s="1039">
        <f>Unitflowchart!$S$64*(AllocationEnergy!$H$20/100)/Unitflowchart!$S$383*(RoadTransportStage2!K43)*Unitflowchart!$S$73</f>
        <v>0</v>
      </c>
      <c r="E188" s="1039">
        <f>Unitflowchart!$S$64*(AllocationEnergy!$H$20/100)/Unitflowchart!$S$383*(RoadTransportStage2!P43)*Unitflowchart!$S$73</f>
        <v>0</v>
      </c>
      <c r="F188" s="26">
        <f>(E188/E$391)*100</f>
        <v>0</v>
      </c>
      <c r="G188" s="1036">
        <f>Unitflowchart!$S$64*(AllocationEnergy!$H$20/100)/Unitflowchart!$S$383*(RoadTransportStage2!Q43)*Unitflowchart!$S$73</f>
        <v>0</v>
      </c>
      <c r="H188" s="1027">
        <f>Unitflowchart!$S$64*(AllocationEnergy!$H$20/100)/Unitflowchart!$S$383*(RoadTransportStage2!V43)*Unitflowchart!$S$73</f>
        <v>0</v>
      </c>
      <c r="I188" s="26">
        <f>(H188/H$391)*100</f>
        <v>0</v>
      </c>
      <c r="J188" s="1036">
        <f>Unitflowchart!$S$64*(AllocationEnergy!$H$20/100)/Unitflowchart!$S$383*(RoadTransportStage2!W43)*Unitflowchart!$S$73</f>
        <v>0</v>
      </c>
      <c r="K188" s="1027">
        <f>Unitflowchart!$S$64*(AllocationEnergy!$H$20/100)/Unitflowchart!$S$383*(RoadTransportStage2!AB43)*Unitflowchart!$S$73</f>
        <v>0</v>
      </c>
      <c r="L188" s="26">
        <f>(K188/K$391)*100</f>
        <v>0</v>
      </c>
      <c r="M188" s="1036">
        <f>Unitflowchart!$S$64*(AllocationEnergy!$H$20/100)/Unitflowchart!$S$383*(RoadTransportStage2!AC43)*Unitflowchart!$S$73</f>
        <v>0</v>
      </c>
      <c r="N188" s="1028">
        <f>E188+(GlobalWarmingPotentials!$B$11*H188)+(GlobalWarmingPotentials!$C$11*K188)</f>
        <v>0</v>
      </c>
      <c r="O188" s="26">
        <f>(N188/N$391)*100</f>
        <v>0</v>
      </c>
      <c r="P188" s="1031">
        <f>SQRT((G188^2)+((GlobalWarmingPotentials!$B$11*J188)^2)+((GlobalWarmingPotentials!$C$11*M188)^2))</f>
        <v>0</v>
      </c>
    </row>
    <row r="189" spans="1:16" s="212" customFormat="1" x14ac:dyDescent="0.25">
      <c r="A189" t="str">
        <f>RailTransport!A12</f>
        <v xml:space="preserve"> - Capital Equipment</v>
      </c>
      <c r="B189" s="1027">
        <f>Unitflowchart!$S$64*(AllocationEnergy!$H$20/100)/Unitflowchart!$S$383*(RoadTransportStage2!J44)*Unitflowchart!$S$73</f>
        <v>0</v>
      </c>
      <c r="C189" s="26">
        <f>(B189/B$391)*100</f>
        <v>0</v>
      </c>
      <c r="D189" s="1039">
        <f>Unitflowchart!$S$64*(AllocationEnergy!$H$20/100)/Unitflowchart!$S$383*(RoadTransportStage2!K44)*Unitflowchart!$S$73</f>
        <v>0</v>
      </c>
      <c r="E189" s="1039">
        <f>Unitflowchart!$S$64*(AllocationEnergy!$H$20/100)/Unitflowchart!$S$383*(RoadTransportStage2!P44)*Unitflowchart!$S$73</f>
        <v>0</v>
      </c>
      <c r="F189" s="26">
        <f>(E189/E$391)*100</f>
        <v>0</v>
      </c>
      <c r="G189" s="1036">
        <f>Unitflowchart!$S$64*(AllocationEnergy!$H$20/100)/Unitflowchart!$S$383*(RoadTransportStage2!Q44)*Unitflowchart!$S$73</f>
        <v>0</v>
      </c>
      <c r="H189" s="1027">
        <f>Unitflowchart!$S$64*(AllocationEnergy!$H$20/100)/Unitflowchart!$S$383*(RoadTransportStage2!V44)*Unitflowchart!$S$73</f>
        <v>0</v>
      </c>
      <c r="I189" s="26">
        <f>(H189/H$391)*100</f>
        <v>0</v>
      </c>
      <c r="J189" s="1036">
        <f>Unitflowchart!$S$64*(AllocationEnergy!$H$20/100)/Unitflowchart!$S$383*(RoadTransportStage2!W44)*Unitflowchart!$S$73</f>
        <v>0</v>
      </c>
      <c r="K189" s="1027">
        <f>Unitflowchart!$S$64*(AllocationEnergy!$H$20/100)/Unitflowchart!$S$383*(RoadTransportStage2!AB44)*Unitflowchart!$S$73</f>
        <v>0</v>
      </c>
      <c r="L189" s="26">
        <f>(K189/K$391)*100</f>
        <v>0</v>
      </c>
      <c r="M189" s="1036">
        <f>Unitflowchart!$S$64*(AllocationEnergy!$H$20/100)/Unitflowchart!$S$383*(RoadTransportStage2!AC44)*Unitflowchart!$S$73</f>
        <v>0</v>
      </c>
      <c r="N189" s="1028">
        <f>E189+(GlobalWarmingPotentials!$B$11*H189)+(GlobalWarmingPotentials!$C$11*K189)</f>
        <v>0</v>
      </c>
      <c r="O189" s="26">
        <f>(N189/N$391)*100</f>
        <v>0</v>
      </c>
      <c r="P189" s="1031">
        <f>SQRT((G189^2)+((GlobalWarmingPotentials!$B$11*J189)^2)+((GlobalWarmingPotentials!$C$11*M189)^2))</f>
        <v>0</v>
      </c>
    </row>
    <row r="190" spans="1:16" s="212" customFormat="1" x14ac:dyDescent="0.25">
      <c r="A190" t="str">
        <f>RailTransport!A13</f>
        <v xml:space="preserve"> - Maintenance</v>
      </c>
      <c r="B190" s="1027">
        <f>Unitflowchart!$S$64*(AllocationEnergy!$H$20/100)/Unitflowchart!$S$383*(RoadTransportStage2!J45)*Unitflowchart!$S$73</f>
        <v>0</v>
      </c>
      <c r="C190" s="26">
        <f>(B190/B$391)*100</f>
        <v>0</v>
      </c>
      <c r="D190" s="1039">
        <f>Unitflowchart!$S$64*(AllocationEnergy!$H$20/100)/Unitflowchart!$S$383*(RoadTransportStage2!K45)*Unitflowchart!$S$73</f>
        <v>0</v>
      </c>
      <c r="E190" s="1039">
        <f>Unitflowchart!$S$64*(AllocationEnergy!$H$20/100)/Unitflowchart!$S$383*(RoadTransportStage2!P45)*Unitflowchart!$S$73</f>
        <v>0</v>
      </c>
      <c r="F190" s="26">
        <f>(E190/E$391)*100</f>
        <v>0</v>
      </c>
      <c r="G190" s="1036">
        <f>Unitflowchart!$S$64*(AllocationEnergy!$H$20/100)/Unitflowchart!$S$383*(RoadTransportStage2!Q45)*Unitflowchart!$S$73</f>
        <v>0</v>
      </c>
      <c r="H190" s="1027">
        <f>Unitflowchart!$S$64*(AllocationEnergy!$H$20/100)/Unitflowchart!$S$383*(RoadTransportStage2!V45)*Unitflowchart!$S$73</f>
        <v>0</v>
      </c>
      <c r="I190" s="26">
        <f>(H190/H$391)*100</f>
        <v>0</v>
      </c>
      <c r="J190" s="1036">
        <f>Unitflowchart!$S$64*(AllocationEnergy!$H$20/100)/Unitflowchart!$S$383*(RoadTransportStage2!W45)*Unitflowchart!$S$73</f>
        <v>0</v>
      </c>
      <c r="K190" s="1027">
        <f>Unitflowchart!$S$64*(AllocationEnergy!$H$20/100)/Unitflowchart!$S$383*(RoadTransportStage2!AB45)*Unitflowchart!$S$73</f>
        <v>0</v>
      </c>
      <c r="L190" s="26">
        <f>(K190/K$391)*100</f>
        <v>0</v>
      </c>
      <c r="M190" s="1036">
        <f>Unitflowchart!$S$64*(AllocationEnergy!$H$20/100)/Unitflowchart!$S$383*(RoadTransportStage2!AC45)*Unitflowchart!$S$73</f>
        <v>0</v>
      </c>
      <c r="N190" s="1028">
        <f>E190+(GlobalWarmingPotentials!$B$11*H190)+(GlobalWarmingPotentials!$C$11*K190)</f>
        <v>0</v>
      </c>
      <c r="O190" s="26">
        <f>(N190/N$391)*100</f>
        <v>0</v>
      </c>
      <c r="P190" s="1031">
        <f>SQRT((G190^2)+((GlobalWarmingPotentials!$B$11*J190)^2)+((GlobalWarmingPotentials!$C$11*M190)^2))</f>
        <v>0</v>
      </c>
    </row>
    <row r="191" spans="1:16" s="212" customFormat="1" x14ac:dyDescent="0.25">
      <c r="A191" s="43"/>
      <c r="B191" s="1029"/>
      <c r="C191" s="992"/>
      <c r="D191" s="1019"/>
      <c r="E191" s="1019"/>
      <c r="F191" s="992"/>
      <c r="G191" s="1040"/>
      <c r="H191" s="1029"/>
      <c r="I191" s="992"/>
      <c r="J191" s="1040"/>
      <c r="K191" s="1029"/>
      <c r="L191" s="992"/>
      <c r="M191" s="1040"/>
      <c r="N191" s="1029"/>
      <c r="O191" s="992"/>
      <c r="P191" s="1030"/>
    </row>
    <row r="192" spans="1:16" s="212" customFormat="1" x14ac:dyDescent="0.25">
      <c r="A192" s="715" t="s">
        <v>891</v>
      </c>
      <c r="B192" s="1037">
        <f>Unitflowchart!$S$64*(AllocationEnergy!$H$20/100)/Unitflowchart!$S$383*(RoadTransportStage2!J47)*Unitflowchart!$S$73</f>
        <v>0</v>
      </c>
      <c r="C192" s="15">
        <f>(B192/B$391)*100</f>
        <v>0</v>
      </c>
      <c r="D192" s="1057">
        <f>Unitflowchart!$S$64*(AllocationEnergy!$H$20/100)/Unitflowchart!$S$383*(RoadTransportStage2!K47)*Unitflowchart!$S$73</f>
        <v>0</v>
      </c>
      <c r="E192" s="1057">
        <f>Unitflowchart!$S$64*(AllocationEnergy!$H$20/100)/Unitflowchart!$S$383*(RoadTransportStage2!P47)*Unitflowchart!$S$73</f>
        <v>0</v>
      </c>
      <c r="F192" s="15">
        <f>(E192/E$391)*100</f>
        <v>0</v>
      </c>
      <c r="G192" s="1038">
        <f>Unitflowchart!$S$64*(AllocationEnergy!$H$20/100)/Unitflowchart!$S$383*(RoadTransportStage2!Q47)*Unitflowchart!$S$73</f>
        <v>0</v>
      </c>
      <c r="H192" s="1037">
        <f>Unitflowchart!$S$64*(AllocationEnergy!$H$20/100)/Unitflowchart!$S$383*(RoadTransportStage2!V47)*Unitflowchart!$S$73</f>
        <v>0</v>
      </c>
      <c r="I192" s="15">
        <f>(H192/H$391)*100</f>
        <v>0</v>
      </c>
      <c r="J192" s="1038">
        <f>Unitflowchart!$S$64*(AllocationEnergy!$H$20/100)/Unitflowchart!$S$383*(RoadTransportStage2!W47)*Unitflowchart!$S$73</f>
        <v>0</v>
      </c>
      <c r="K192" s="1037">
        <f>Unitflowchart!$S$64*(AllocationEnergy!$H$20/100)/Unitflowchart!$S$383*(RoadTransportStage2!AB47)*Unitflowchart!$S$73</f>
        <v>0</v>
      </c>
      <c r="L192" s="15">
        <f>(K192/K$391)*100</f>
        <v>0</v>
      </c>
      <c r="M192" s="1038">
        <f>Unitflowchart!$S$64*(AllocationEnergy!$H$20/100)/Unitflowchart!$S$383*(RoadTransportStage2!AC47)*Unitflowchart!$S$73</f>
        <v>0</v>
      </c>
      <c r="N192" s="1034">
        <f>E192+(GlobalWarmingPotentials!$B$11*H192)+(GlobalWarmingPotentials!$C$11*K192)</f>
        <v>0</v>
      </c>
      <c r="O192" s="15">
        <f>(N192/N$391)*100</f>
        <v>0</v>
      </c>
      <c r="P192" s="1035">
        <f>SQRT((G192^2)+((GlobalWarmingPotentials!$B$11*J192)^2)+((GlobalWarmingPotentials!$C$11*M192)^2))</f>
        <v>0</v>
      </c>
    </row>
    <row r="193" spans="1:16" s="212" customFormat="1" x14ac:dyDescent="0.25">
      <c r="A193" s="776"/>
      <c r="B193" s="766"/>
      <c r="C193" s="764"/>
      <c r="D193" s="779"/>
      <c r="E193" s="766"/>
      <c r="F193" s="764"/>
      <c r="G193" s="779"/>
      <c r="H193" s="783"/>
      <c r="I193" s="764"/>
      <c r="J193" s="784"/>
      <c r="K193" s="783"/>
      <c r="L193" s="764"/>
      <c r="M193" s="784"/>
      <c r="N193" s="766"/>
      <c r="O193" s="764"/>
      <c r="P193" s="788"/>
    </row>
    <row r="194" spans="1:16" s="212" customFormat="1" x14ac:dyDescent="0.25">
      <c r="A194" s="387" t="s">
        <v>892</v>
      </c>
      <c r="B194" s="766"/>
      <c r="C194" s="764"/>
      <c r="D194" s="779"/>
      <c r="E194" s="766"/>
      <c r="F194" s="764"/>
      <c r="G194" s="779"/>
      <c r="H194" s="783"/>
      <c r="I194" s="764"/>
      <c r="J194" s="784"/>
      <c r="K194" s="783"/>
      <c r="L194" s="764"/>
      <c r="M194" s="784"/>
      <c r="N194" s="766"/>
      <c r="O194" s="764"/>
      <c r="P194" s="788"/>
    </row>
    <row r="195" spans="1:16" s="212" customFormat="1" x14ac:dyDescent="0.25">
      <c r="A195"/>
      <c r="B195" s="766"/>
      <c r="C195" s="764"/>
      <c r="D195" s="779"/>
      <c r="E195" s="766"/>
      <c r="F195" s="764"/>
      <c r="G195" s="779"/>
      <c r="H195" s="783"/>
      <c r="I195" s="764"/>
      <c r="J195" s="784"/>
      <c r="K195" s="783"/>
      <c r="L195" s="764"/>
      <c r="M195" s="784"/>
      <c r="N195" s="766"/>
      <c r="O195" s="764"/>
      <c r="P195" s="788"/>
    </row>
    <row r="196" spans="1:16" s="212" customFormat="1" x14ac:dyDescent="0.25">
      <c r="A196" t="str">
        <f>BargeTransport!A11</f>
        <v xml:space="preserve"> - Marine Diesel</v>
      </c>
      <c r="B196" s="1027">
        <f>Unitflowchart!$S$64*(AllocationEnergy!$H$20/100)/Unitflowchart!$S$383*(BargeTransport!J11)*Unitflowchart!$S$77</f>
        <v>0</v>
      </c>
      <c r="C196" s="26">
        <f>(B196/B$391)*100</f>
        <v>0</v>
      </c>
      <c r="D196" s="1036">
        <f>Unitflowchart!$S$64*(AllocationEnergy!$H$20/100)/Unitflowchart!$S$383*(BargeTransport!K11)*Unitflowchart!$S$77</f>
        <v>0</v>
      </c>
      <c r="E196" s="1027">
        <f>Unitflowchart!$S$64*(AllocationEnergy!$H$20/100)/Unitflowchart!$S$383*(BargeTransport!P11)*Unitflowchart!$S$77</f>
        <v>0</v>
      </c>
      <c r="F196" s="26">
        <f>(E196/E$391)*100</f>
        <v>0</v>
      </c>
      <c r="G196" s="1036">
        <f>Unitflowchart!$S$64*(AllocationEnergy!$H$20/100)/Unitflowchart!$S$383*(BargeTransport!Q11)*Unitflowchart!$S$77</f>
        <v>0</v>
      </c>
      <c r="H196" s="1027">
        <f>Unitflowchart!$S72*(AllocationEnergy!$H$20/100)/Unitflowchart!$S$383*(BargeTransport!V11)*Unitflowchart!$S$77</f>
        <v>0</v>
      </c>
      <c r="I196" s="26">
        <f>(H196/H$391)*100</f>
        <v>0</v>
      </c>
      <c r="J196" s="1036">
        <f>Unitflowchart!$S$64*(AllocationEnergy!$H$20/100)/Unitflowchart!$S$383*(BargeTransport!W11)*Unitflowchart!$S$77</f>
        <v>0</v>
      </c>
      <c r="K196" s="1027">
        <f>Unitflowchart!$S$64*(AllocationEnergy!$H$20/100)/Unitflowchart!$S$383*(BargeTransport!AB11)*Unitflowchart!$S$77</f>
        <v>0</v>
      </c>
      <c r="L196" s="26">
        <f>(K196/K$391)*100</f>
        <v>0</v>
      </c>
      <c r="M196" s="1036">
        <f>Unitflowchart!$S$64*(AllocationEnergy!$H$20/100)/Unitflowchart!$S$383*(BargeTransport!AC11)*Unitflowchart!$S$77</f>
        <v>0</v>
      </c>
      <c r="N196" s="1028">
        <f>E196+(GlobalWarmingPotentials!$B$11*H196)+(GlobalWarmingPotentials!$C$11*K196)</f>
        <v>0</v>
      </c>
      <c r="O196" s="26">
        <f>(N196/N$391)*100</f>
        <v>0</v>
      </c>
      <c r="P196" s="1031">
        <f>SQRT((G196^2)+((GlobalWarmingPotentials!$B$11*J196)^2)+((GlobalWarmingPotentials!$C$11*M196)^2))</f>
        <v>0</v>
      </c>
    </row>
    <row r="197" spans="1:16" s="212" customFormat="1" x14ac:dyDescent="0.25">
      <c r="A197" t="str">
        <f>BargeTransport!A12</f>
        <v xml:space="preserve"> - Barge Construction</v>
      </c>
      <c r="B197" s="1027">
        <f>Unitflowchart!$S$64*(AllocationEnergy!$H$20/100)/Unitflowchart!$S$383*(BargeTransport!J12)*Unitflowchart!$S$77</f>
        <v>0</v>
      </c>
      <c r="C197" s="26">
        <f>(B197/B$391)*100</f>
        <v>0</v>
      </c>
      <c r="D197" s="1036">
        <f>Unitflowchart!$S$64*(AllocationEnergy!$H$20/100)/Unitflowchart!$S$383*(BargeTransport!K12)*Unitflowchart!$S$77</f>
        <v>0</v>
      </c>
      <c r="E197" s="1027">
        <f>Unitflowchart!$S$64*(AllocationEnergy!$H$20/100)/Unitflowchart!$S$383*(BargeTransport!P12)*Unitflowchart!$S$77</f>
        <v>0</v>
      </c>
      <c r="F197" s="26">
        <f>(E197/E$391)*100</f>
        <v>0</v>
      </c>
      <c r="G197" s="1036">
        <f>Unitflowchart!$S$64*(AllocationEnergy!$H$20/100)/Unitflowchart!$S$383*(BargeTransport!Q12)*Unitflowchart!$S$77</f>
        <v>0</v>
      </c>
      <c r="H197" s="1027">
        <f>Unitflowchart!$S73*(AllocationEnergy!$H$20/100)/Unitflowchart!$S$383*(BargeTransport!V12)*Unitflowchart!$S$77</f>
        <v>0</v>
      </c>
      <c r="I197" s="26">
        <f>(H197/H$391)*100</f>
        <v>0</v>
      </c>
      <c r="J197" s="1036">
        <f>Unitflowchart!$S$64*(AllocationEnergy!$H$20/100)/Unitflowchart!$S$383*(BargeTransport!W12)*Unitflowchart!$S$77</f>
        <v>0</v>
      </c>
      <c r="K197" s="1027">
        <f>Unitflowchart!$S$64*(AllocationEnergy!$H$20/100)/Unitflowchart!$S$383*(BargeTransport!AB12)*Unitflowchart!$S$77</f>
        <v>0</v>
      </c>
      <c r="L197" s="26">
        <f>(K197/K$391)*100</f>
        <v>0</v>
      </c>
      <c r="M197" s="1036">
        <f>Unitflowchart!$S$64*(AllocationEnergy!$H$20/100)/Unitflowchart!$S$383*(BargeTransport!AC12)*Unitflowchart!$S$77</f>
        <v>0</v>
      </c>
      <c r="N197" s="1028">
        <f>E197+(GlobalWarmingPotentials!$B$11*H197)+(GlobalWarmingPotentials!$C$11*K197)</f>
        <v>0</v>
      </c>
      <c r="O197" s="26">
        <f>(N197/N$391)*100</f>
        <v>0</v>
      </c>
      <c r="P197" s="1031">
        <f>SQRT((G197^2)+((GlobalWarmingPotentials!$B$11*J197)^2)+((GlobalWarmingPotentials!$C$11*M197)^2))</f>
        <v>0</v>
      </c>
    </row>
    <row r="198" spans="1:16" s="212" customFormat="1" x14ac:dyDescent="0.25">
      <c r="A198" t="str">
        <f>BargeTransport!A13</f>
        <v xml:space="preserve"> - Barge Maintenance</v>
      </c>
      <c r="B198" s="1027">
        <f>Unitflowchart!$S$64*(AllocationEnergy!$H$20/100)/Unitflowchart!$S$383*(BargeTransport!J13)*Unitflowchart!$S$77</f>
        <v>0</v>
      </c>
      <c r="C198" s="26">
        <f>(B198/B$391)*100</f>
        <v>0</v>
      </c>
      <c r="D198" s="1036">
        <f>Unitflowchart!$S$64*(AllocationEnergy!$H$20/100)/Unitflowchart!$S$383*(BargeTransport!K13)*Unitflowchart!$S$77</f>
        <v>0</v>
      </c>
      <c r="E198" s="1027">
        <f>Unitflowchart!$S$64*(AllocationEnergy!$H$20/100)/Unitflowchart!$S$383*(BargeTransport!P13)*Unitflowchart!$S$77</f>
        <v>0</v>
      </c>
      <c r="F198" s="26">
        <f>(E198/E$391)*100</f>
        <v>0</v>
      </c>
      <c r="G198" s="1036">
        <f>Unitflowchart!$S$64*(AllocationEnergy!$H$20/100)/Unitflowchart!$S$383*(BargeTransport!Q13)*Unitflowchart!$S$77</f>
        <v>0</v>
      </c>
      <c r="H198" s="1027">
        <f>Unitflowchart!$S74*(AllocationEnergy!$H$20/100)/Unitflowchart!$S$383*(BargeTransport!V13)*Unitflowchart!$S$77</f>
        <v>0</v>
      </c>
      <c r="I198" s="26">
        <f>(H198/H$391)*100</f>
        <v>0</v>
      </c>
      <c r="J198" s="1036">
        <f>Unitflowchart!$S$64*(AllocationEnergy!$H$20/100)/Unitflowchart!$S$383*(BargeTransport!W13)*Unitflowchart!$S$77</f>
        <v>0</v>
      </c>
      <c r="K198" s="1027">
        <f>Unitflowchart!$S$64*(AllocationEnergy!$H$20/100)/Unitflowchart!$S$383*(BargeTransport!AB13)*Unitflowchart!$S$77</f>
        <v>0</v>
      </c>
      <c r="L198" s="26">
        <f>(K198/K$391)*100</f>
        <v>0</v>
      </c>
      <c r="M198" s="1036">
        <f>Unitflowchart!$S$64*(AllocationEnergy!$H$20/100)/Unitflowchart!$S$383*(BargeTransport!AC13)*Unitflowchart!$S$77</f>
        <v>0</v>
      </c>
      <c r="N198" s="1028">
        <f>E198+(GlobalWarmingPotentials!$B$11*H198)+(GlobalWarmingPotentials!$C$11*K198)</f>
        <v>0</v>
      </c>
      <c r="O198" s="26">
        <f>(N198/N$391)*100</f>
        <v>0</v>
      </c>
      <c r="P198" s="1031">
        <f>SQRT((G198^2)+((GlobalWarmingPotentials!$B$11*J198)^2)+((GlobalWarmingPotentials!$C$11*M198)^2))</f>
        <v>0</v>
      </c>
    </row>
    <row r="199" spans="1:16" s="212" customFormat="1" x14ac:dyDescent="0.25">
      <c r="A199" s="43"/>
      <c r="B199" s="1029"/>
      <c r="C199" s="992"/>
      <c r="D199" s="1040"/>
      <c r="E199" s="1029"/>
      <c r="F199" s="992"/>
      <c r="G199" s="1040"/>
      <c r="H199" s="1029"/>
      <c r="I199" s="992"/>
      <c r="J199" s="1040"/>
      <c r="K199" s="1029"/>
      <c r="L199" s="992"/>
      <c r="M199" s="1040"/>
      <c r="N199" s="1029"/>
      <c r="O199" s="992"/>
      <c r="P199" s="1030"/>
    </row>
    <row r="200" spans="1:16" s="212" customFormat="1" x14ac:dyDescent="0.25">
      <c r="A200" s="715" t="s">
        <v>893</v>
      </c>
      <c r="B200" s="1047">
        <f>Unitflowchart!$S$64*(AllocationEnergy!$H$20/100)/Unitflowchart!$S$383*(BargeTransport!J15)*Unitflowchart!$S$77</f>
        <v>0</v>
      </c>
      <c r="C200" s="993">
        <f>(B200/B$391)*100</f>
        <v>0</v>
      </c>
      <c r="D200" s="1048">
        <f>Unitflowchart!$S$64*(AllocationEnergy!$H$20/100)/Unitflowchart!$S$383*(BargeTransport!K15)*Unitflowchart!$S$77</f>
        <v>0</v>
      </c>
      <c r="E200" s="1047">
        <f>Unitflowchart!$S$64*(AllocationEnergy!$H$20/100)/Unitflowchart!$S$383*(BargeTransport!P15)*Unitflowchart!$S$77</f>
        <v>0</v>
      </c>
      <c r="F200" s="993">
        <f>(E200/E$391)*100</f>
        <v>0</v>
      </c>
      <c r="G200" s="1048">
        <f>Unitflowchart!$S$64*(AllocationEnergy!$H$20/100)/Unitflowchart!$S$383*(BargeTransport!Q15)*Unitflowchart!$S$77</f>
        <v>0</v>
      </c>
      <c r="H200" s="1047">
        <f>Unitflowchart!$S76*(AllocationEnergy!$H$20/100)/Unitflowchart!$S$383*(BargeTransport!V15)*Unitflowchart!$S$77</f>
        <v>0</v>
      </c>
      <c r="I200" s="993">
        <f>(H200/H$391)*100</f>
        <v>0</v>
      </c>
      <c r="J200" s="1048">
        <f>Unitflowchart!$S$64*(AllocationEnergy!$H$20/100)/Unitflowchart!$S$383*(BargeTransport!W15)*Unitflowchart!$S$77</f>
        <v>0</v>
      </c>
      <c r="K200" s="1047">
        <f>Unitflowchart!$S$64*(AllocationEnergy!$H$20/100)/Unitflowchart!$S$383*(BargeTransport!AB15)*Unitflowchart!$S$77</f>
        <v>0</v>
      </c>
      <c r="L200" s="993">
        <f>(K200/K$391)*100</f>
        <v>0</v>
      </c>
      <c r="M200" s="1048">
        <f>Unitflowchart!$S$64*(AllocationEnergy!$H$20/100)/Unitflowchart!$S$383*(BargeTransport!AC15)*Unitflowchart!$S$77</f>
        <v>0</v>
      </c>
      <c r="N200" s="1049">
        <f>E200+(GlobalWarmingPotentials!$B$11*H200)+(GlobalWarmingPotentials!$C$11*K200)</f>
        <v>0</v>
      </c>
      <c r="O200" s="993">
        <f>(N200/N$391)*100</f>
        <v>0</v>
      </c>
      <c r="P200" s="1050">
        <f>SQRT((G200^2)+((GlobalWarmingPotentials!$B$11*J200)^2)+((GlobalWarmingPotentials!$C$11*M200)^2))</f>
        <v>0</v>
      </c>
    </row>
    <row r="201" spans="1:16" s="212" customFormat="1" x14ac:dyDescent="0.25">
      <c r="A201" s="776"/>
      <c r="B201" s="766"/>
      <c r="C201" s="764"/>
      <c r="D201" s="779"/>
      <c r="E201" s="766"/>
      <c r="F201" s="764"/>
      <c r="G201" s="779"/>
      <c r="H201" s="783"/>
      <c r="I201" s="764"/>
      <c r="J201" s="784"/>
      <c r="K201" s="783"/>
      <c r="L201" s="764"/>
      <c r="M201" s="784"/>
      <c r="N201" s="766"/>
      <c r="O201" s="764"/>
      <c r="P201" s="788"/>
    </row>
    <row r="202" spans="1:16" s="212" customFormat="1" x14ac:dyDescent="0.25">
      <c r="A202" s="387" t="s">
        <v>894</v>
      </c>
      <c r="B202" s="766"/>
      <c r="C202" s="764"/>
      <c r="D202" s="779"/>
      <c r="E202" s="766"/>
      <c r="F202" s="764"/>
      <c r="G202" s="779"/>
      <c r="H202" s="783"/>
      <c r="I202" s="764"/>
      <c r="J202" s="784"/>
      <c r="K202" s="783"/>
      <c r="L202" s="764"/>
      <c r="M202" s="784"/>
      <c r="N202" s="766"/>
      <c r="O202" s="764"/>
      <c r="P202" s="788"/>
    </row>
    <row r="203" spans="1:16" s="212" customFormat="1" x14ac:dyDescent="0.25">
      <c r="A203"/>
      <c r="B203" s="766"/>
      <c r="C203" s="764"/>
      <c r="D203" s="779"/>
      <c r="E203" s="766"/>
      <c r="F203" s="764"/>
      <c r="G203" s="779"/>
      <c r="H203" s="783"/>
      <c r="I203" s="764"/>
      <c r="J203" s="784"/>
      <c r="K203" s="783"/>
      <c r="L203" s="764"/>
      <c r="M203" s="784"/>
      <c r="N203" s="766"/>
      <c r="O203" s="764"/>
      <c r="P203" s="788"/>
    </row>
    <row r="204" spans="1:16" s="212" customFormat="1" x14ac:dyDescent="0.25">
      <c r="A204" t="str">
        <f>ShipTransport!A11</f>
        <v xml:space="preserve"> - Marine Diesel</v>
      </c>
      <c r="B204" s="1027">
        <f>Unitflowchart!$S$64*(AllocationEnergy!$H$20/100)/Unitflowchart!$S$383*(ShipTransport!J11)*Unitflowchart!$S$79</f>
        <v>0</v>
      </c>
      <c r="C204" s="26">
        <f>(B204/B$391)*100</f>
        <v>0</v>
      </c>
      <c r="D204" s="1036">
        <f>Unitflowchart!$S$64*(AllocationEnergy!$H$20/100)/Unitflowchart!$S$383*(ShipTransport!K11)*Unitflowchart!$S$79</f>
        <v>0</v>
      </c>
      <c r="E204" s="1027">
        <f>Unitflowchart!$S$64*(AllocationEnergy!$H$20/100)/Unitflowchart!$S$383*(ShipTransport!P11)*Unitflowchart!$S$79</f>
        <v>0</v>
      </c>
      <c r="F204" s="26">
        <f>(E204/E$391)*100</f>
        <v>0</v>
      </c>
      <c r="G204" s="1036">
        <f>Unitflowchart!$S$64*(AllocationEnergy!$H$20/100)/Unitflowchart!$S$383*(ShipTransport!Q11)*Unitflowchart!$S$79</f>
        <v>0</v>
      </c>
      <c r="H204" s="1027">
        <f>Unitflowchart!$S80*(AllocationEnergy!$H$20/100)/Unitflowchart!$S$383*(ShipTransport!V11)*Unitflowchart!$S$79</f>
        <v>0</v>
      </c>
      <c r="I204" s="26">
        <f>(H204/H$391)*100</f>
        <v>0</v>
      </c>
      <c r="J204" s="1036">
        <f>Unitflowchart!$S$64*(AllocationEnergy!$H$20/100)/Unitflowchart!$S$383*(ShipTransport!W11)*Unitflowchart!$S$79</f>
        <v>0</v>
      </c>
      <c r="K204" s="1027">
        <f>Unitflowchart!$S$64*(AllocationEnergy!$H$20/100)/Unitflowchart!$S$383*(ShipTransport!AB11)*Unitflowchart!$S$79</f>
        <v>0</v>
      </c>
      <c r="L204" s="26">
        <f>(K204/K$391)*100</f>
        <v>0</v>
      </c>
      <c r="M204" s="1036">
        <f>Unitflowchart!$S$64*(AllocationEnergy!$H$20/100)/Unitflowchart!$S$383*(ShipTransport!AC11)*Unitflowchart!$S$79</f>
        <v>0</v>
      </c>
      <c r="N204" s="1028">
        <f>E204+(GlobalWarmingPotentials!$B$11*H204)+(GlobalWarmingPotentials!$C$11*K204)</f>
        <v>0</v>
      </c>
      <c r="O204" s="26">
        <f>(N204/N$391)*100</f>
        <v>0</v>
      </c>
      <c r="P204" s="1031">
        <f>SQRT((G204^2)+((GlobalWarmingPotentials!$B$11*J204)^2)+((GlobalWarmingPotentials!$C$11*M204)^2))</f>
        <v>0</v>
      </c>
    </row>
    <row r="205" spans="1:16" s="212" customFormat="1" x14ac:dyDescent="0.25">
      <c r="A205" t="str">
        <f>ShipTransport!A12</f>
        <v xml:space="preserve"> - Ship Construction</v>
      </c>
      <c r="B205" s="1027">
        <f>Unitflowchart!$S$64*(AllocationEnergy!$H$20/100)/Unitflowchart!$S$383*(ShipTransport!J12)*Unitflowchart!$S$79</f>
        <v>0</v>
      </c>
      <c r="C205" s="26">
        <f>(B205/B$391)*100</f>
        <v>0</v>
      </c>
      <c r="D205" s="1036">
        <f>Unitflowchart!$S$64*(AllocationEnergy!$H$20/100)/Unitflowchart!$S$383*(ShipTransport!K12)*Unitflowchart!$S$79</f>
        <v>0</v>
      </c>
      <c r="E205" s="1027">
        <f>Unitflowchart!$S$64*(AllocationEnergy!$H$20/100)/Unitflowchart!$S$383*(ShipTransport!P12)*Unitflowchart!$S$79</f>
        <v>0</v>
      </c>
      <c r="F205" s="26">
        <f>(E205/E$391)*100</f>
        <v>0</v>
      </c>
      <c r="G205" s="1036">
        <f>Unitflowchart!$S$64*(AllocationEnergy!$H$20/100)/Unitflowchart!$S$383*(ShipTransport!Q12)*Unitflowchart!$S$79</f>
        <v>0</v>
      </c>
      <c r="H205" s="1027">
        <f>Unitflowchart!$S81*(AllocationEnergy!$H$20/100)/Unitflowchart!$S$383*(ShipTransport!V12)*Unitflowchart!$S$79</f>
        <v>0</v>
      </c>
      <c r="I205" s="26">
        <f>(H205/H$391)*100</f>
        <v>0</v>
      </c>
      <c r="J205" s="1036">
        <f>Unitflowchart!$S$64*(AllocationEnergy!$H$20/100)/Unitflowchart!$S$383*(ShipTransport!W12)*Unitflowchart!$S$79</f>
        <v>0</v>
      </c>
      <c r="K205" s="1027">
        <f>Unitflowchart!$S$64*(AllocationEnergy!$H$20/100)/Unitflowchart!$S$383*(ShipTransport!AB12)*Unitflowchart!$S$79</f>
        <v>0</v>
      </c>
      <c r="L205" s="26">
        <f>(K205/K$391)*100</f>
        <v>0</v>
      </c>
      <c r="M205" s="1036">
        <f>Unitflowchart!$S$64*(AllocationEnergy!$H$20/100)/Unitflowchart!$S$383*(ShipTransport!AC12)*Unitflowchart!$S$79</f>
        <v>0</v>
      </c>
      <c r="N205" s="1028">
        <f>E205+(GlobalWarmingPotentials!$B$11*H205)+(GlobalWarmingPotentials!$C$11*K205)</f>
        <v>0</v>
      </c>
      <c r="O205" s="26">
        <f>(N205/N$391)*100</f>
        <v>0</v>
      </c>
      <c r="P205" s="1031">
        <f>SQRT((G205^2)+((GlobalWarmingPotentials!$B$11*J205)^2)+((GlobalWarmingPotentials!$C$11*M205)^2))</f>
        <v>0</v>
      </c>
    </row>
    <row r="206" spans="1:16" s="212" customFormat="1" x14ac:dyDescent="0.25">
      <c r="A206" t="str">
        <f>ShipTransport!A13</f>
        <v xml:space="preserve"> - Ship Maintenance</v>
      </c>
      <c r="B206" s="1027">
        <f>Unitflowchart!$S$64*(AllocationEnergy!$H$20/100)/Unitflowchart!$S$383*(ShipTransport!J13)*Unitflowchart!$S$79</f>
        <v>0</v>
      </c>
      <c r="C206" s="26">
        <f>(B206/B$391)*100</f>
        <v>0</v>
      </c>
      <c r="D206" s="1036">
        <f>Unitflowchart!$S$64*(AllocationEnergy!$H$20/100)/Unitflowchart!$S$383*(ShipTransport!K13)*Unitflowchart!$S$79</f>
        <v>0</v>
      </c>
      <c r="E206" s="1027">
        <f>Unitflowchart!$S$64*(AllocationEnergy!$H$20/100)/Unitflowchart!$S$383*(ShipTransport!P13)*Unitflowchart!$S$79</f>
        <v>0</v>
      </c>
      <c r="F206" s="26">
        <f>(E206/E$391)*100</f>
        <v>0</v>
      </c>
      <c r="G206" s="1036">
        <f>Unitflowchart!$S$64*(AllocationEnergy!$H$20/100)/Unitflowchart!$S$383*(ShipTransport!Q13)*Unitflowchart!$S$79</f>
        <v>0</v>
      </c>
      <c r="H206" s="1027">
        <f>Unitflowchart!$S82*(AllocationEnergy!$H$20/100)/Unitflowchart!$S$383*(ShipTransport!V13)*Unitflowchart!$S$79</f>
        <v>0</v>
      </c>
      <c r="I206" s="26">
        <f>(H206/H$391)*100</f>
        <v>0</v>
      </c>
      <c r="J206" s="1036">
        <f>Unitflowchart!$S$64*(AllocationEnergy!$H$20/100)/Unitflowchart!$S$383*(ShipTransport!W13)*Unitflowchart!$S$79</f>
        <v>0</v>
      </c>
      <c r="K206" s="1027">
        <f>Unitflowchart!$S$64*(AllocationEnergy!$H$20/100)/Unitflowchart!$S$383*(ShipTransport!AB13)*Unitflowchart!$S$79</f>
        <v>0</v>
      </c>
      <c r="L206" s="26">
        <f>(K206/K$391)*100</f>
        <v>0</v>
      </c>
      <c r="M206" s="1036">
        <f>Unitflowchart!$S$64*(AllocationEnergy!$H$20/100)/Unitflowchart!$S$383*(ShipTransport!AC13)*Unitflowchart!$S$79</f>
        <v>0</v>
      </c>
      <c r="N206" s="1028">
        <f>E206+(GlobalWarmingPotentials!$B$11*H206)+(GlobalWarmingPotentials!$C$11*K206)</f>
        <v>0</v>
      </c>
      <c r="O206" s="26">
        <f>(N206/N$391)*100</f>
        <v>0</v>
      </c>
      <c r="P206" s="1031">
        <f>SQRT((G206^2)+((GlobalWarmingPotentials!$B$11*J206)^2)+((GlobalWarmingPotentials!$C$11*M206)^2))</f>
        <v>0</v>
      </c>
    </row>
    <row r="207" spans="1:16" s="212" customFormat="1" x14ac:dyDescent="0.25">
      <c r="A207" s="43"/>
      <c r="B207" s="1029"/>
      <c r="C207" s="992"/>
      <c r="D207" s="1040"/>
      <c r="E207" s="1029"/>
      <c r="F207" s="992"/>
      <c r="G207" s="1040"/>
      <c r="H207" s="1029"/>
      <c r="I207" s="992"/>
      <c r="J207" s="1040"/>
      <c r="K207" s="1029"/>
      <c r="L207" s="992"/>
      <c r="M207" s="1040"/>
      <c r="N207" s="1029"/>
      <c r="O207" s="992"/>
      <c r="P207" s="1030"/>
    </row>
    <row r="208" spans="1:16" s="212" customFormat="1" x14ac:dyDescent="0.25">
      <c r="A208" s="715" t="s">
        <v>895</v>
      </c>
      <c r="B208" s="1037">
        <f>Unitflowchart!$S$64*(AllocationEnergy!$H$20/100)/Unitflowchart!$S$383*(ShipTransport!J15)*Unitflowchart!$S$79</f>
        <v>0</v>
      </c>
      <c r="C208" s="15">
        <f>(B208/B$391)*100</f>
        <v>0</v>
      </c>
      <c r="D208" s="1038">
        <f>Unitflowchart!$S$64*(AllocationEnergy!$H$20/100)/Unitflowchart!$S$383*(ShipTransport!K15)*Unitflowchart!$S$79</f>
        <v>0</v>
      </c>
      <c r="E208" s="1037">
        <f>Unitflowchart!$S$64*(AllocationEnergy!$H$20/100)/Unitflowchart!$S$383*(ShipTransport!P15)*Unitflowchart!$S$79</f>
        <v>0</v>
      </c>
      <c r="F208" s="15">
        <f>(E208/E$391)*100</f>
        <v>0</v>
      </c>
      <c r="G208" s="1038">
        <f>Unitflowchart!$S$64*(AllocationEnergy!$H$20/100)/Unitflowchart!$S$383*(ShipTransport!Q15)*Unitflowchart!$S$79</f>
        <v>0</v>
      </c>
      <c r="H208" s="1037">
        <f>Unitflowchart!$S84*(AllocationEnergy!$H$20/100)/Unitflowchart!$S$383*(ShipTransport!V15)*Unitflowchart!$S$79</f>
        <v>0</v>
      </c>
      <c r="I208" s="15">
        <f>(H208/H$391)*100</f>
        <v>0</v>
      </c>
      <c r="J208" s="1038">
        <f>Unitflowchart!$S$64*(AllocationEnergy!$H$20/100)/Unitflowchart!$S$383*(ShipTransport!W15)*Unitflowchart!$S$79</f>
        <v>0</v>
      </c>
      <c r="K208" s="1037">
        <f>Unitflowchart!$S$64*(AllocationEnergy!$H$20/100)/Unitflowchart!$S$383*(ShipTransport!AB15)*Unitflowchart!$S$79</f>
        <v>0</v>
      </c>
      <c r="L208" s="15">
        <f>(K208/K$391)*100</f>
        <v>0</v>
      </c>
      <c r="M208" s="1038">
        <f>Unitflowchart!$S$64*(AllocationEnergy!$H$20/100)/Unitflowchart!$S$383*(ShipTransport!AC15)*Unitflowchart!$S$79</f>
        <v>0</v>
      </c>
      <c r="N208" s="1034">
        <f>E208+(GlobalWarmingPotentials!$B$11*H208)+(GlobalWarmingPotentials!$C$11*K208)</f>
        <v>0</v>
      </c>
      <c r="O208" s="15">
        <f>(N208/N$391)*100</f>
        <v>0</v>
      </c>
      <c r="P208" s="1035">
        <f>SQRT((G208^2)+((GlobalWarmingPotentials!$B$11*J208)^2)+((GlobalWarmingPotentials!$C$11*M208)^2))</f>
        <v>0</v>
      </c>
    </row>
    <row r="209" spans="1:23" s="361" customFormat="1" x14ac:dyDescent="0.25">
      <c r="A209" s="777"/>
      <c r="B209" s="780"/>
      <c r="C209" s="774"/>
      <c r="D209" s="781"/>
      <c r="E209" s="780"/>
      <c r="F209" s="774"/>
      <c r="G209" s="781"/>
      <c r="H209" s="785"/>
      <c r="I209" s="774"/>
      <c r="J209" s="786"/>
      <c r="K209" s="785"/>
      <c r="L209" s="774"/>
      <c r="M209" s="786"/>
      <c r="N209" s="780"/>
      <c r="O209" s="774"/>
      <c r="P209" s="781"/>
    </row>
    <row r="210" spans="1:23" x14ac:dyDescent="0.25">
      <c r="A210" s="21" t="s">
        <v>869</v>
      </c>
      <c r="B210" s="768">
        <f>B184+B192+B200+B208</f>
        <v>0</v>
      </c>
      <c r="C210" s="769">
        <f>(B210/B$391)*100</f>
        <v>0</v>
      </c>
      <c r="D210" s="770">
        <f>SQRT((D184^2)+(D192^2)+(D200^2)+(D208^2))</f>
        <v>0</v>
      </c>
      <c r="E210" s="768">
        <f t="shared" ref="E210" si="43">E184+E192+E200+E208</f>
        <v>0</v>
      </c>
      <c r="F210" s="769">
        <f>(E210/E$391)*100</f>
        <v>0</v>
      </c>
      <c r="G210" s="770">
        <f t="shared" ref="G210" si="44">SQRT((G184^2)+(G192^2)+(G200^2)+(G208^2))</f>
        <v>0</v>
      </c>
      <c r="H210" s="771">
        <f t="shared" ref="H210" si="45">H184+H192+H200+H208</f>
        <v>0</v>
      </c>
      <c r="I210" s="769">
        <f>(H210/H$391)*100</f>
        <v>0</v>
      </c>
      <c r="J210" s="772">
        <f t="shared" ref="J210" si="46">SQRT((J184^2)+(J192^2)+(J200^2)+(J208^2))</f>
        <v>0</v>
      </c>
      <c r="K210" s="771">
        <f t="shared" ref="K210" si="47">K184+K192+K200+K208</f>
        <v>0</v>
      </c>
      <c r="L210" s="769">
        <f>(K210/K$391)*100</f>
        <v>0</v>
      </c>
      <c r="M210" s="772">
        <f t="shared" ref="M210" si="48">SQRT((M184^2)+(M192^2)+(M200^2)+(M208^2))</f>
        <v>0</v>
      </c>
      <c r="N210" s="768">
        <f t="shared" ref="N210" si="49">N184+N192+N200+N208</f>
        <v>0</v>
      </c>
      <c r="O210" s="769">
        <f>(N210/N$391)*100</f>
        <v>0</v>
      </c>
      <c r="P210" s="770">
        <f t="shared" ref="P210" si="50">SQRT((P184^2)+(P192^2)+(P200^2)+(P208^2))</f>
        <v>0</v>
      </c>
      <c r="Q210" s="30"/>
    </row>
    <row r="211" spans="1:23" s="43" customFormat="1" x14ac:dyDescent="0.25">
      <c r="A211" s="157"/>
      <c r="B211" s="1006"/>
      <c r="C211" s="1010"/>
      <c r="D211" s="1097"/>
      <c r="E211" s="1006"/>
      <c r="F211" s="1010"/>
      <c r="G211" s="1097"/>
      <c r="H211" s="1012"/>
      <c r="I211" s="1010"/>
      <c r="J211" s="1013"/>
      <c r="K211" s="1012"/>
      <c r="L211" s="1010"/>
      <c r="M211" s="1098"/>
      <c r="N211" s="1006"/>
      <c r="O211" s="1010"/>
      <c r="P211" s="1097"/>
      <c r="Q211" s="852"/>
    </row>
    <row r="212" spans="1:23" x14ac:dyDescent="0.25">
      <c r="A212" s="1438" t="s">
        <v>1809</v>
      </c>
      <c r="B212" s="1006"/>
      <c r="C212" s="1010"/>
      <c r="D212" s="1097"/>
      <c r="E212" s="1006"/>
      <c r="F212" s="1010"/>
      <c r="G212" s="1097"/>
      <c r="H212" s="1012"/>
      <c r="I212" s="1010"/>
      <c r="J212" s="1013"/>
      <c r="K212" s="1012"/>
      <c r="L212" s="1010"/>
      <c r="M212" s="1098"/>
      <c r="N212" s="1006"/>
      <c r="O212" s="1010"/>
      <c r="P212" s="1097"/>
      <c r="Q212" s="852"/>
      <c r="R212" s="43"/>
      <c r="S212" s="43"/>
      <c r="T212" s="43"/>
      <c r="U212" s="43"/>
      <c r="V212" s="43"/>
      <c r="W212" s="43"/>
    </row>
    <row r="213" spans="1:23" x14ac:dyDescent="0.25">
      <c r="A213" s="29"/>
      <c r="B213" s="1006"/>
      <c r="C213" s="1010"/>
      <c r="D213" s="1097"/>
      <c r="E213" s="1006"/>
      <c r="F213" s="1010"/>
      <c r="G213" s="1097"/>
      <c r="H213" s="1012"/>
      <c r="I213" s="1010"/>
      <c r="J213" s="1013"/>
      <c r="K213" s="1012"/>
      <c r="L213" s="1010"/>
      <c r="M213" s="1098"/>
      <c r="N213" s="1006"/>
      <c r="O213" s="1010"/>
      <c r="P213" s="1097"/>
      <c r="Q213" s="852"/>
      <c r="R213" s="43"/>
      <c r="S213" s="43"/>
      <c r="T213" s="43"/>
      <c r="U213" s="43"/>
      <c r="V213" s="43"/>
      <c r="W213" s="43"/>
    </row>
    <row r="214" spans="1:23" x14ac:dyDescent="0.25">
      <c r="A214" s="1095" t="str">
        <f>Milling!A18</f>
        <v>Electricity Input</v>
      </c>
      <c r="B214" s="732">
        <f>(AllocationEnergy!$H$20/100)*Milling!J18*(Unitflowchart!$S$312/Unitflowchart!$S$383)</f>
        <v>0</v>
      </c>
      <c r="C214" s="26">
        <f>(B214/B$391)*100</f>
        <v>0</v>
      </c>
      <c r="D214" s="491">
        <f>(AllocationEnergy!$H$20/100)*Milling!K18*(Unitflowchart!$S$312/Unitflowchart!$S$383)</f>
        <v>0</v>
      </c>
      <c r="E214" s="732">
        <f>(AllocationEnergy!$H$20/100)*Milling!P18*(Unitflowchart!$S$312/Unitflowchart!$S$383)</f>
        <v>0</v>
      </c>
      <c r="F214" s="26">
        <f>(E214/E$391)*100</f>
        <v>0</v>
      </c>
      <c r="G214" s="491">
        <f>(AllocationEnergy!$H$20/100)*Milling!Q18*(Unitflowchart!$S$312/Unitflowchart!$S$383)</f>
        <v>0</v>
      </c>
      <c r="H214" s="732">
        <f>(AllocationEnergy!$H$20/100)*Milling!V18*(Unitflowchart!$S$312/Unitflowchart!$S$383)</f>
        <v>2.2858900532981945E-3</v>
      </c>
      <c r="I214" s="26">
        <f>(H214/H$391)*100</f>
        <v>0.22821402144208641</v>
      </c>
      <c r="J214" s="491">
        <f>(AllocationEnergy!$H$20/100)*Milling!W18*(Unitflowchart!$S$312/Unitflowchart!$S$383)</f>
        <v>0</v>
      </c>
      <c r="K214" s="732">
        <f>(AllocationEnergy!$H$20/100)*Milling!AB18*(Unitflowchart!$S$312/Unitflowchart!$S$383)</f>
        <v>6.8576701598945823E-4</v>
      </c>
      <c r="L214" s="26">
        <f>(K214/K$391)*100</f>
        <v>0.31662102377595452</v>
      </c>
      <c r="M214" s="491">
        <f>(AllocationEnergy!$H$20/100)*Milling!AC18*(Unitflowchart!$S$312/Unitflowchart!$S$383)</f>
        <v>0</v>
      </c>
      <c r="N214" s="727">
        <f>E214+(GlobalWarmingPotentials!$B$11*H214)+(GlobalWarmingPotentials!$C$11*K214)</f>
        <v>0.25556250795873808</v>
      </c>
      <c r="O214" s="26">
        <f>(N214/N$391)*100</f>
        <v>2.8665614208830764E-2</v>
      </c>
      <c r="P214" s="760">
        <f>SQRT((G214^2)+((GlobalWarmingPotentials!$B$11*J214)^2)+((GlobalWarmingPotentials!$C$11*M214)^2))</f>
        <v>0</v>
      </c>
      <c r="Q214" s="30"/>
    </row>
    <row r="215" spans="1:23" s="43" customFormat="1" x14ac:dyDescent="0.25">
      <c r="A215" s="1096"/>
      <c r="B215" s="1006"/>
      <c r="C215" s="1010"/>
      <c r="D215" s="1097"/>
      <c r="E215" s="1006"/>
      <c r="F215" s="1010"/>
      <c r="G215" s="1097"/>
      <c r="H215" s="1012"/>
      <c r="I215" s="1010"/>
      <c r="J215" s="1013"/>
      <c r="K215" s="1012"/>
      <c r="L215" s="1010"/>
      <c r="M215" s="1098"/>
      <c r="N215" s="1006"/>
      <c r="O215" s="1010"/>
      <c r="P215" s="1097"/>
      <c r="Q215" s="852"/>
    </row>
    <row r="216" spans="1:23" x14ac:dyDescent="0.25">
      <c r="A216" s="715" t="s">
        <v>1810</v>
      </c>
      <c r="B216" s="1002">
        <f>(AllocationEnergy!$H$20/100)*Milling!J20*(Unitflowchart!$S$312/Unitflowchart!$S$383)</f>
        <v>0</v>
      </c>
      <c r="C216" s="993">
        <f>(B216/B$391)*100</f>
        <v>0</v>
      </c>
      <c r="D216" s="1003">
        <f>(AllocationEnergy!$H$20/100)*Milling!K20*(Unitflowchart!$S$312/Unitflowchart!$S$383)</f>
        <v>0</v>
      </c>
      <c r="E216" s="1002">
        <f>(AllocationEnergy!$H$20/100)*Milling!P20*(Unitflowchart!$S$312/Unitflowchart!$S$383)</f>
        <v>0</v>
      </c>
      <c r="F216" s="993">
        <f>(E216/E$391)*100</f>
        <v>0</v>
      </c>
      <c r="G216" s="1003">
        <f>(AllocationEnergy!$H$20/100)*Milling!Q20*(Unitflowchart!$S$312/Unitflowchart!$S$383)</f>
        <v>0</v>
      </c>
      <c r="H216" s="1002">
        <f>(AllocationEnergy!$H$20/100)*Milling!V20*(Unitflowchart!$S$312/Unitflowchart!$S$383)</f>
        <v>2.2858900532981945E-3</v>
      </c>
      <c r="I216" s="993">
        <f>(H216/H$391)*100</f>
        <v>0.22821402144208641</v>
      </c>
      <c r="J216" s="1003">
        <f>(AllocationEnergy!$H$20/100)*Milling!W20*(Unitflowchart!$S$312/Unitflowchart!$S$383)</f>
        <v>0</v>
      </c>
      <c r="K216" s="1002">
        <f>(AllocationEnergy!$H$20/100)*Milling!AB20*(Unitflowchart!$S$312/Unitflowchart!$S$383)</f>
        <v>6.8576701598945823E-4</v>
      </c>
      <c r="L216" s="993">
        <f>(K216/K$391)*100</f>
        <v>0.31662102377595452</v>
      </c>
      <c r="M216" s="1003">
        <f>(AllocationEnergy!$H$20/100)*Milling!AC20*(Unitflowchart!$S$312/Unitflowchart!$S$383)</f>
        <v>0</v>
      </c>
      <c r="N216" s="1042">
        <f>E216+(GlobalWarmingPotentials!$B$11*H216)+(GlobalWarmingPotentials!$C$11*K216)</f>
        <v>0.25556250795873808</v>
      </c>
      <c r="O216" s="993">
        <f>(N216/N$391)*100</f>
        <v>2.8665614208830764E-2</v>
      </c>
      <c r="P216" s="1058">
        <f>SQRT((G216^2)+((GlobalWarmingPotentials!$B$11*J216)^2)+((GlobalWarmingPotentials!$C$11*M216)^2))</f>
        <v>0</v>
      </c>
      <c r="Q216" s="30"/>
    </row>
    <row r="217" spans="1:23" x14ac:dyDescent="0.25">
      <c r="B217" s="728"/>
      <c r="D217" s="735"/>
      <c r="E217" s="728"/>
      <c r="G217" s="735"/>
      <c r="H217" s="31"/>
      <c r="J217" s="32"/>
      <c r="K217" s="31"/>
      <c r="M217" s="724"/>
      <c r="N217" s="728"/>
      <c r="P217" s="735"/>
      <c r="Q217" s="30"/>
    </row>
    <row r="218" spans="1:23" x14ac:dyDescent="0.25">
      <c r="A218" s="2" t="s">
        <v>1811</v>
      </c>
      <c r="B218" s="728"/>
      <c r="D218" s="735"/>
      <c r="E218" s="728"/>
      <c r="G218" s="735"/>
      <c r="H218" s="31"/>
      <c r="J218" s="32"/>
      <c r="K218" s="31"/>
      <c r="M218" s="724"/>
      <c r="N218" s="728"/>
      <c r="P218" s="735"/>
      <c r="Q218" s="30"/>
    </row>
    <row r="219" spans="1:23" x14ac:dyDescent="0.25">
      <c r="B219" s="728"/>
      <c r="D219" s="735"/>
      <c r="E219" s="728"/>
      <c r="G219" s="735"/>
      <c r="H219" s="31"/>
      <c r="J219" s="32"/>
      <c r="K219" s="31"/>
      <c r="M219" s="724"/>
      <c r="N219" s="728"/>
      <c r="P219" s="735"/>
      <c r="Q219" s="30"/>
    </row>
    <row r="220" spans="1:23" x14ac:dyDescent="0.25">
      <c r="A220" t="str">
        <f>'Pre-TreatHydrolysis'!A29</f>
        <v>Heat Input</v>
      </c>
      <c r="B220" s="732">
        <f>(AllocationEnergy!$H$20/100)*'Pre-TreatHydrolysis'!J29*(Unitflowchart!$S$312/Unitflowchart!$S$383)</f>
        <v>0</v>
      </c>
      <c r="C220" s="26">
        <f t="shared" ref="C220:C231" si="51">(B220/B$391)*100</f>
        <v>0</v>
      </c>
      <c r="D220" s="358">
        <f>(AllocationEnergy!$H$20/100)*'Pre-TreatHydrolysis'!K29*(Unitflowchart!$S$312/Unitflowchart!$S$383)</f>
        <v>0</v>
      </c>
      <c r="E220" s="732">
        <f>(AllocationEnergy!$H$20/100)*'Pre-TreatHydrolysis'!P29*(Unitflowchart!$S$312/Unitflowchart!$S$383)</f>
        <v>0</v>
      </c>
      <c r="F220" s="26">
        <f t="shared" ref="F220:F231" si="52">(E220/E$391)*100</f>
        <v>0</v>
      </c>
      <c r="G220" s="358">
        <f>(AllocationEnergy!$H$20/100)*'Pre-TreatHydrolysis'!Q29*(Unitflowchart!$S$312/Unitflowchart!$S$383)</f>
        <v>0</v>
      </c>
      <c r="H220" s="749">
        <f>(AllocationEnergy!$H$20/100)*'Pre-TreatHydrolysis'!V29*(Unitflowchart!$S$312/Unitflowchart!$S$383)</f>
        <v>4.5421214065377727E-3</v>
      </c>
      <c r="I220" s="26">
        <f t="shared" ref="I220:I231" si="53">(H220/H$391)*100</f>
        <v>0.45346703817558875</v>
      </c>
      <c r="J220" s="751">
        <f>(AllocationEnergy!$H$20/100)*'Pre-TreatHydrolysis'!W29*(Unitflowchart!$S$312/Unitflowchart!$S$383)</f>
        <v>0</v>
      </c>
      <c r="K220" s="749">
        <f>(AllocationEnergy!$H$20/100)*'Pre-TreatHydrolysis'!AB29*(Unitflowchart!$S$312/Unitflowchart!$S$383)</f>
        <v>1.3626364219613315E-3</v>
      </c>
      <c r="L220" s="26">
        <f t="shared" ref="L220:L231" si="54">(K220/K$391)*100</f>
        <v>0.62913398996494241</v>
      </c>
      <c r="M220" s="752">
        <f>(AllocationEnergy!$H$20/100)*'Pre-TreatHydrolysis'!AC29*(Unitflowchart!$S$312/Unitflowchart!$S$383)</f>
        <v>0</v>
      </c>
      <c r="N220" s="727">
        <f>E220+(GlobalWarmingPotentials!$B$11*H220)+(GlobalWarmingPotentials!$C$11*K220)</f>
        <v>0.5078091732509229</v>
      </c>
      <c r="O220" s="26">
        <f t="shared" ref="O220:O231" si="55">(N220/N$391)*100</f>
        <v>5.6959301144698854E-2</v>
      </c>
      <c r="P220" s="760">
        <f>SQRT((G220^2)+((GlobalWarmingPotentials!$B$11*J220)^2)+((GlobalWarmingPotentials!$C$11*M220)^2))</f>
        <v>0</v>
      </c>
      <c r="Q220" s="30"/>
    </row>
    <row r="221" spans="1:23" x14ac:dyDescent="0.25">
      <c r="A221" t="str">
        <f>'Pre-TreatHydrolysis'!A30</f>
        <v>Electricity Input</v>
      </c>
      <c r="B221" s="732">
        <f>(AllocationEnergy!$H$20/100)*'Pre-TreatHydrolysis'!J30*(Unitflowchart!$S$312/Unitflowchart!$S$383)</f>
        <v>0</v>
      </c>
      <c r="C221" s="26">
        <f t="shared" si="51"/>
        <v>0</v>
      </c>
      <c r="D221" s="358">
        <f>(AllocationEnergy!$H$20/100)*'Pre-TreatHydrolysis'!K30*(Unitflowchart!$S$312/Unitflowchart!$S$383)</f>
        <v>0</v>
      </c>
      <c r="E221" s="732">
        <f>(AllocationEnergy!$H$20/100)*'Pre-TreatHydrolysis'!P30*(Unitflowchart!$S$312/Unitflowchart!$S$383)</f>
        <v>0</v>
      </c>
      <c r="F221" s="26">
        <f t="shared" si="52"/>
        <v>0</v>
      </c>
      <c r="G221" s="358">
        <f>(AllocationEnergy!$H$20/100)*'Pre-TreatHydrolysis'!Q30*(Unitflowchart!$S$312/Unitflowchart!$S$383)</f>
        <v>0</v>
      </c>
      <c r="H221" s="749">
        <f>(AllocationEnergy!$H$20/100)*'Pre-TreatHydrolysis'!V30*(Unitflowchart!$S$312/Unitflowchart!$S$383)</f>
        <v>3.4527067165798363E-2</v>
      </c>
      <c r="I221" s="26">
        <f t="shared" si="53"/>
        <v>3.4470427985540462</v>
      </c>
      <c r="J221" s="751">
        <f>(AllocationEnergy!$H$20/100)*'Pre-TreatHydrolysis'!W30*(Unitflowchart!$S$312/Unitflowchart!$S$383)</f>
        <v>0</v>
      </c>
      <c r="K221" s="749">
        <f>(AllocationEnergy!$H$20/100)*'Pre-TreatHydrolysis'!AB30*(Unitflowchart!$S$312/Unitflowchart!$S$383)</f>
        <v>1.0358120149739506E-2</v>
      </c>
      <c r="L221" s="26">
        <f t="shared" si="54"/>
        <v>4.7823802103880713</v>
      </c>
      <c r="M221" s="752">
        <f>(AllocationEnergy!$H$20/100)*'Pre-TreatHydrolysis'!AC30*(Unitflowchart!$S$312/Unitflowchart!$S$383)</f>
        <v>0</v>
      </c>
      <c r="N221" s="727">
        <f>E221+(GlobalWarmingPotentials!$B$11*H221)+(GlobalWarmingPotentials!$C$11*K221)</f>
        <v>3.8601261091362558</v>
      </c>
      <c r="O221" s="26">
        <f t="shared" si="55"/>
        <v>0.43297777410996591</v>
      </c>
      <c r="P221" s="760">
        <f>SQRT((G221^2)+((GlobalWarmingPotentials!$B$11*J221)^2)+((GlobalWarmingPotentials!$C$11*M221)^2))</f>
        <v>0</v>
      </c>
      <c r="Q221" s="30"/>
    </row>
    <row r="222" spans="1:23" x14ac:dyDescent="0.25">
      <c r="A222" t="str">
        <f>'Pre-TreatHydrolysis'!A31</f>
        <v>Sulphuric Acid (93%) Input</v>
      </c>
      <c r="B222" s="732">
        <f>(AllocationEnergy!$H$20/100)*'Pre-TreatHydrolysis'!J31*(Unitflowchart!$S$312/Unitflowchart!$S$383)</f>
        <v>439.02109916033982</v>
      </c>
      <c r="C222" s="26">
        <f t="shared" si="51"/>
        <v>3.3915956930542528</v>
      </c>
      <c r="D222" s="358">
        <f>(AllocationEnergy!$H$20/100)*'Pre-TreatHydrolysis'!K31*(Unitflowchart!$S$312/Unitflowchart!$S$383)</f>
        <v>493.89873655538236</v>
      </c>
      <c r="E222" s="732">
        <f>(AllocationEnergy!$H$20/100)*'Pre-TreatHydrolysis'!P31*(Unitflowchart!$S$312/Unitflowchart!$S$383)</f>
        <v>23.780309537851743</v>
      </c>
      <c r="F222" s="26">
        <f t="shared" si="52"/>
        <v>2.9563465965114522</v>
      </c>
      <c r="G222" s="358">
        <f>(AllocationEnergy!$H$20/100)*'Pre-TreatHydrolysis'!Q31*(Unitflowchart!$S$312/Unitflowchart!$S$383)</f>
        <v>29.268073277355988</v>
      </c>
      <c r="H222" s="749">
        <f>(AllocationEnergy!$H$20/100)*'Pre-TreatHydrolysis'!V31*(Unitflowchart!$S$312/Unitflowchart!$S$383)</f>
        <v>4.9389873655538229E-2</v>
      </c>
      <c r="I222" s="26">
        <f t="shared" si="53"/>
        <v>4.9308853105965982</v>
      </c>
      <c r="J222" s="751">
        <f>(AllocationEnergy!$H$20/100)*'Pre-TreatHydrolysis'!W31*(Unitflowchart!$S$312/Unitflowchart!$S$383)</f>
        <v>5.4877637395042471E-2</v>
      </c>
      <c r="K222" s="749">
        <f>(AllocationEnergy!$H$20/100)*'Pre-TreatHydrolysis'!AB31*(Unitflowchart!$S$312/Unitflowchart!$S$383)</f>
        <v>3.6585091596694981E-5</v>
      </c>
      <c r="L222" s="26">
        <f t="shared" si="54"/>
        <v>1.6891464427709803E-2</v>
      </c>
      <c r="M222" s="752">
        <f>(AllocationEnergy!$H$20/100)*'Pre-TreatHydrolysis'!AC31*(Unitflowchart!$S$312/Unitflowchart!$S$383)</f>
        <v>5.4877637395042478E-5</v>
      </c>
      <c r="N222" s="727">
        <f>E222+(GlobalWarmingPotentials!$B$11*H222)+(GlobalWarmingPotentials!$C$11*K222)</f>
        <v>24.927105819041746</v>
      </c>
      <c r="O222" s="26">
        <f t="shared" si="55"/>
        <v>2.7959922778137671</v>
      </c>
      <c r="P222" s="760">
        <f>SQRT((G222^2)+((GlobalWarmingPotentials!$B$11*J222)^2)+((GlobalWarmingPotentials!$C$11*M222)^2))</f>
        <v>29.295281017078786</v>
      </c>
      <c r="Q222" s="30"/>
    </row>
    <row r="223" spans="1:23" x14ac:dyDescent="0.25">
      <c r="A223" t="str">
        <f>'Pre-TreatHydrolysis'!A32</f>
        <v>Caustic Soda Input</v>
      </c>
      <c r="B223" s="732">
        <f>(AllocationEnergy!$H$20/100)*'Pre-TreatHydrolysis'!J32*(Unitflowchart!$S$312/Unitflowchart!$S$383)</f>
        <v>0</v>
      </c>
      <c r="C223" s="26">
        <f t="shared" si="51"/>
        <v>0</v>
      </c>
      <c r="D223" s="358">
        <f>(AllocationEnergy!$H$20/100)*'Pre-TreatHydrolysis'!K32*(Unitflowchart!$S$312/Unitflowchart!$S$383)</f>
        <v>0</v>
      </c>
      <c r="E223" s="732">
        <f>(AllocationEnergy!$H$20/100)*'Pre-TreatHydrolysis'!P32*(Unitflowchart!$S$312/Unitflowchart!$S$383)</f>
        <v>0</v>
      </c>
      <c r="F223" s="26">
        <f t="shared" si="52"/>
        <v>0</v>
      </c>
      <c r="G223" s="358">
        <f>(AllocationEnergy!$H$20/100)*'Pre-TreatHydrolysis'!Q32*(Unitflowchart!$S$312/Unitflowchart!$S$383)</f>
        <v>0</v>
      </c>
      <c r="H223" s="749">
        <f>(AllocationEnergy!$H$20/100)*'Pre-TreatHydrolysis'!V32*(Unitflowchart!$S$312/Unitflowchart!$S$383)</f>
        <v>0</v>
      </c>
      <c r="I223" s="26">
        <f t="shared" si="53"/>
        <v>0</v>
      </c>
      <c r="J223" s="751">
        <f>(AllocationEnergy!$H$20/100)*'Pre-TreatHydrolysis'!W32*(Unitflowchart!$S$312/Unitflowchart!$S$383)</f>
        <v>0</v>
      </c>
      <c r="K223" s="749">
        <f>(AllocationEnergy!$H$20/100)*'Pre-TreatHydrolysis'!AB32*(Unitflowchart!$S$312/Unitflowchart!$S$383)</f>
        <v>0</v>
      </c>
      <c r="L223" s="26">
        <f t="shared" si="54"/>
        <v>0</v>
      </c>
      <c r="M223" s="752">
        <f>(AllocationEnergy!$H$20/100)*'Pre-TreatHydrolysis'!AC32*(Unitflowchart!$S$312/Unitflowchart!$S$383)</f>
        <v>0</v>
      </c>
      <c r="N223" s="727">
        <f>E223+(GlobalWarmingPotentials!$B$11*H223)+(GlobalWarmingPotentials!$C$11*K223)</f>
        <v>0</v>
      </c>
      <c r="O223" s="26">
        <f t="shared" si="55"/>
        <v>0</v>
      </c>
      <c r="P223" s="760">
        <f>SQRT((G223^2)+((GlobalWarmingPotentials!$B$11*J223)^2)+((GlobalWarmingPotentials!$C$11*M223)^2))</f>
        <v>0</v>
      </c>
      <c r="Q223" s="30"/>
    </row>
    <row r="224" spans="1:23" x14ac:dyDescent="0.25">
      <c r="A224" t="str">
        <f>'Pre-TreatHydrolysis'!A33</f>
        <v>Water Input</v>
      </c>
      <c r="B224" s="732">
        <f>(AllocationEnergy!$H$20/100)*'Pre-TreatHydrolysis'!J33*(Unitflowchart!$S$312/Unitflowchart!$S$383)</f>
        <v>0</v>
      </c>
      <c r="C224" s="26">
        <f t="shared" si="51"/>
        <v>0</v>
      </c>
      <c r="D224" s="358">
        <f>(AllocationEnergy!$H$20/100)*'Pre-TreatHydrolysis'!K33*(Unitflowchart!$S$312/Unitflowchart!$S$383)</f>
        <v>0</v>
      </c>
      <c r="E224" s="732">
        <f>(AllocationEnergy!$H$20/100)*'Pre-TreatHydrolysis'!P33*(Unitflowchart!$S$312/Unitflowchart!$S$383)</f>
        <v>0</v>
      </c>
      <c r="F224" s="26">
        <f t="shared" si="52"/>
        <v>0</v>
      </c>
      <c r="G224" s="358">
        <f>(AllocationEnergy!$H$20/100)*'Pre-TreatHydrolysis'!Q33*(Unitflowchart!$S$312/Unitflowchart!$S$383)</f>
        <v>0</v>
      </c>
      <c r="H224" s="749">
        <f>(AllocationEnergy!$H$20/100)*'Pre-TreatHydrolysis'!V33*(Unitflowchart!$S$312/Unitflowchart!$S$383)</f>
        <v>0</v>
      </c>
      <c r="I224" s="26">
        <f t="shared" si="53"/>
        <v>0</v>
      </c>
      <c r="J224" s="751">
        <f>(AllocationEnergy!$H$20/100)*'Pre-TreatHydrolysis'!W33*(Unitflowchart!$S$312/Unitflowchart!$S$383)</f>
        <v>0</v>
      </c>
      <c r="K224" s="749">
        <f>(AllocationEnergy!$H$20/100)*'Pre-TreatHydrolysis'!AB33*(Unitflowchart!$S$312/Unitflowchart!$S$383)</f>
        <v>0</v>
      </c>
      <c r="L224" s="26">
        <f t="shared" si="54"/>
        <v>0</v>
      </c>
      <c r="M224" s="752">
        <f>(AllocationEnergy!$H$20/100)*'Pre-TreatHydrolysis'!AC33*(Unitflowchart!$S$312/Unitflowchart!$S$383)</f>
        <v>0</v>
      </c>
      <c r="N224" s="727">
        <f>E224+(GlobalWarmingPotentials!$B$11*H224)+(GlobalWarmingPotentials!$C$11*K224)</f>
        <v>0</v>
      </c>
      <c r="O224" s="26">
        <f t="shared" si="55"/>
        <v>0</v>
      </c>
      <c r="P224" s="760">
        <f>SQRT((G224^2)+((GlobalWarmingPotentials!$B$11*J224)^2)+((GlobalWarmingPotentials!$C$11*M224)^2))</f>
        <v>0</v>
      </c>
      <c r="Q224" s="30"/>
    </row>
    <row r="225" spans="1:17" x14ac:dyDescent="0.25">
      <c r="A225" t="str">
        <f>'Pre-TreatHydrolysis'!A34</f>
        <v>Ammonia Input</v>
      </c>
      <c r="B225" s="732">
        <f>(AllocationEnergy!$H$20/100)*'Pre-TreatHydrolysis'!J34*(Unitflowchart!$S$312/Unitflowchart!$S$383)</f>
        <v>3432.542417454617</v>
      </c>
      <c r="C225" s="26">
        <f t="shared" si="51"/>
        <v>26.517623188340846</v>
      </c>
      <c r="D225" s="358">
        <f>(AllocationEnergy!$H$20/100)*'Pre-TreatHydrolysis'!K34*(Unitflowchart!$S$312/Unitflowchart!$S$383)</f>
        <v>548.77637395042461</v>
      </c>
      <c r="E225" s="732">
        <f>(AllocationEnergy!$H$20/100)*'Pre-TreatHydrolysis'!P34*(Unitflowchart!$S$312/Unitflowchart!$S$383)</f>
        <v>154.94862323306108</v>
      </c>
      <c r="F225" s="26">
        <f t="shared" si="52"/>
        <v>19.263072846047464</v>
      </c>
      <c r="G225" s="358">
        <f>(AllocationEnergy!$H$20/100)*'Pre-TreatHydrolysis'!Q34*(Unitflowchart!$S$312/Unitflowchart!$S$383)</f>
        <v>22.596674221488076</v>
      </c>
      <c r="H225" s="749">
        <f>(AllocationEnergy!$H$20/100)*'Pre-TreatHydrolysis'!V34*(Unitflowchart!$S$312/Unitflowchart!$S$383)</f>
        <v>0.33464598489918057</v>
      </c>
      <c r="I225" s="26">
        <f t="shared" si="53"/>
        <v>33.409702213410498</v>
      </c>
      <c r="J225" s="751">
        <f>(AllocationEnergy!$H$20/100)*'Pre-TreatHydrolysis'!W34*(Unitflowchart!$S$312/Unitflowchart!$S$383)</f>
        <v>5.2725573183472173E-2</v>
      </c>
      <c r="K225" s="749">
        <f>(AllocationEnergy!$H$20/100)*'Pre-TreatHydrolysis'!AB34*(Unitflowchart!$S$312/Unitflowchart!$S$383)</f>
        <v>4.1319632862149623E-4</v>
      </c>
      <c r="L225" s="26">
        <f t="shared" si="54"/>
        <v>0.19077418647766367</v>
      </c>
      <c r="M225" s="752">
        <f>(AllocationEnergy!$H$20/100)*'Pre-TreatHydrolysis'!AC34*(Unitflowchart!$S$312/Unitflowchart!$S$383)</f>
        <v>1.6893704060826799E-4</v>
      </c>
      <c r="N225" s="727">
        <f>E225+(GlobalWarmingPotentials!$B$11*H225)+(GlobalWarmingPotentials!$C$11*K225)</f>
        <v>162.76778699901422</v>
      </c>
      <c r="O225" s="26">
        <f t="shared" si="55"/>
        <v>18.257132570056818</v>
      </c>
      <c r="P225" s="760">
        <f>SQRT((G225^2)+((GlobalWarmingPotentials!$B$11*J225)^2)+((GlobalWarmingPotentials!$C$11*M225)^2))</f>
        <v>22.629246541549183</v>
      </c>
      <c r="Q225" s="30"/>
    </row>
    <row r="226" spans="1:17" x14ac:dyDescent="0.25">
      <c r="A226" t="str">
        <f>'Pre-TreatHydrolysis'!A35</f>
        <v>Corn Steep Liquor Input</v>
      </c>
      <c r="B226" s="732">
        <f>(AllocationEnergy!$H$20/100)*'Pre-TreatHydrolysis'!J35*(Unitflowchart!$S$312/Unitflowchart!$S$383)</f>
        <v>2317.0353052743817</v>
      </c>
      <c r="C226" s="26">
        <f t="shared" si="51"/>
        <v>17.899930042207764</v>
      </c>
      <c r="D226" s="358">
        <f>(AllocationEnergy!$H$20/100)*'Pre-TreatHydrolysis'!K35*(Unitflowchart!$S$312/Unitflowchart!$S$383)</f>
        <v>21.569447857643901</v>
      </c>
      <c r="E226" s="732">
        <f>(AllocationEnergy!$H$20/100)*'Pre-TreatHydrolysis'!P35*(Unitflowchart!$S$312/Unitflowchart!$S$383)</f>
        <v>123.88684286507934</v>
      </c>
      <c r="F226" s="26">
        <f t="shared" si="52"/>
        <v>15.401500374658822</v>
      </c>
      <c r="G226" s="358">
        <f>(AllocationEnergy!$H$20/100)*'Pre-TreatHydrolysis'!Q35*(Unitflowchart!$S$312/Unitflowchart!$S$383)</f>
        <v>12.990551315963438</v>
      </c>
      <c r="H226" s="749">
        <f>(AllocationEnergy!$H$20/100)*'Pre-TreatHydrolysis'!V35*(Unitflowchart!$S$312/Unitflowchart!$S$383)</f>
        <v>0.3083270081860372</v>
      </c>
      <c r="I226" s="26">
        <f t="shared" si="53"/>
        <v>30.782121981683773</v>
      </c>
      <c r="J226" s="751">
        <f>(AllocationEnergy!$H$20/100)*'Pre-TreatHydrolysis'!W35*(Unitflowchart!$S$312/Unitflowchart!$S$383)</f>
        <v>2.3219235654120913E-3</v>
      </c>
      <c r="K226" s="749">
        <f>(AllocationEnergy!$H$20/100)*'Pre-TreatHydrolysis'!AB35*(Unitflowchart!$S$312/Unitflowchart!$S$383)</f>
        <v>0.12171767742897067</v>
      </c>
      <c r="L226" s="26">
        <f t="shared" si="54"/>
        <v>56.197476315752851</v>
      </c>
      <c r="M226" s="752">
        <f>(AllocationEnergy!$H$20/100)*'Pre-TreatHydrolysis'!AC35*(Unitflowchart!$S$312/Unitflowchart!$S$383)</f>
        <v>2.4441300688548331E-4</v>
      </c>
      <c r="N226" s="727">
        <f>E226+(GlobalWarmingPotentials!$B$11*H226)+(GlobalWarmingPotentials!$C$11*K226)</f>
        <v>167.00679657233354</v>
      </c>
      <c r="O226" s="26">
        <f t="shared" si="55"/>
        <v>18.732608468407019</v>
      </c>
      <c r="P226" s="760">
        <f>SQRT((G226^2)+((GlobalWarmingPotentials!$B$11*J226)^2)+((GlobalWarmingPotentials!$C$11*M226)^2))</f>
        <v>12.990862538170362</v>
      </c>
      <c r="Q226" s="30"/>
    </row>
    <row r="227" spans="1:17" x14ac:dyDescent="0.25">
      <c r="A227" t="str">
        <f>'Pre-TreatHydrolysis'!A36</f>
        <v>Diammonium Phosphate Input</v>
      </c>
      <c r="B227" s="732">
        <f>(AllocationEnergy!$H$20/100)*'Pre-TreatHydrolysis'!J36*(Unitflowchart!$S$312/Unitflowchart!$S$383)</f>
        <v>157.10683619952158</v>
      </c>
      <c r="C227" s="26">
        <f t="shared" si="51"/>
        <v>1.2137067444429861</v>
      </c>
      <c r="D227" s="358">
        <f>(AllocationEnergy!$H$20/100)*'Pre-TreatHydrolysis'!K36*(Unitflowchart!$S$312/Unitflowchart!$S$383)</f>
        <v>23.518987455018202</v>
      </c>
      <c r="E227" s="732">
        <f>(AllocationEnergy!$H$20/100)*'Pre-TreatHydrolysis'!P36*(Unitflowchart!$S$312/Unitflowchart!$S$383)</f>
        <v>8.7537671307577742</v>
      </c>
      <c r="F227" s="26">
        <f t="shared" si="52"/>
        <v>1.088260420768578</v>
      </c>
      <c r="G227" s="358">
        <f>(AllocationEnergy!$H$20/100)*'Pre-TreatHydrolysis'!Q36*(Unitflowchart!$S$312/Unitflowchart!$S$383)</f>
        <v>1.3130650696136661</v>
      </c>
      <c r="H227" s="749">
        <f>(AllocationEnergy!$H$20/100)*'Pre-TreatHydrolysis'!V36*(Unitflowchart!$S$312/Unitflowchart!$S$383)</f>
        <v>1.6933670967613106E-2</v>
      </c>
      <c r="I227" s="26">
        <f t="shared" si="53"/>
        <v>1.6905892493474048</v>
      </c>
      <c r="J227" s="751">
        <f>(AllocationEnergy!$H$20/100)*'Pre-TreatHydrolysis'!W36*(Unitflowchart!$S$312/Unitflowchart!$S$383)</f>
        <v>2.5400506451419658E-3</v>
      </c>
      <c r="K227" s="749">
        <f>(AllocationEnergy!$H$20/100)*'Pre-TreatHydrolysis'!AB36*(Unitflowchart!$S$312/Unitflowchart!$S$383)</f>
        <v>0</v>
      </c>
      <c r="L227" s="26">
        <f t="shared" si="54"/>
        <v>0</v>
      </c>
      <c r="M227" s="752">
        <f>(AllocationEnergy!$H$20/100)*'Pre-TreatHydrolysis'!AC36*(Unitflowchart!$S$312/Unitflowchart!$S$383)</f>
        <v>0</v>
      </c>
      <c r="N227" s="727">
        <f>E227+(GlobalWarmingPotentials!$B$11*H227)+(GlobalWarmingPotentials!$C$11*K227)</f>
        <v>9.1432415630128752</v>
      </c>
      <c r="O227" s="26">
        <f t="shared" si="55"/>
        <v>1.0255676286671547</v>
      </c>
      <c r="P227" s="760">
        <f>SQRT((G227^2)+((GlobalWarmingPotentials!$B$11*J227)^2)+((GlobalWarmingPotentials!$C$11*M227)^2))</f>
        <v>1.3143640703932078</v>
      </c>
      <c r="Q227" s="30"/>
    </row>
    <row r="228" spans="1:17" x14ac:dyDescent="0.25">
      <c r="A228" t="str">
        <f>'Pre-TreatHydrolysis'!A37</f>
        <v>Sorbitol Input</v>
      </c>
      <c r="B228" s="732">
        <f>(AllocationEnergy!$H$20/100)*'Pre-TreatHydrolysis'!J37*(Unitflowchart!$S$312/Unitflowchart!$S$383)</f>
        <v>41.119798328218096</v>
      </c>
      <c r="C228" s="26">
        <f t="shared" si="51"/>
        <v>0.31766521284734334</v>
      </c>
      <c r="D228" s="358">
        <f>(AllocationEnergy!$H$20/100)*'Pre-TreatHydrolysis'!K37*(Unitflowchart!$S$312/Unitflowchart!$S$383)</f>
        <v>6.1871846082645927</v>
      </c>
      <c r="E228" s="732">
        <f>(AllocationEnergy!$H$20/100)*'Pre-TreatHydrolysis'!P37*(Unitflowchart!$S$312/Unitflowchart!$S$383)</f>
        <v>2.7630967287840011</v>
      </c>
      <c r="F228" s="26">
        <f t="shared" si="52"/>
        <v>0.34350568889653094</v>
      </c>
      <c r="G228" s="358">
        <f>(AllocationEnergy!$H$20/100)*'Pre-TreatHydrolysis'!Q37*(Unitflowchart!$S$312/Unitflowchart!$S$383)</f>
        <v>0.41504095508855648</v>
      </c>
      <c r="H228" s="749">
        <f>(AllocationEnergy!$H$20/100)*'Pre-TreatHydrolysis'!V37*(Unitflowchart!$S$312/Unitflowchart!$S$383)</f>
        <v>3.9582609605667892E-3</v>
      </c>
      <c r="I228" s="26">
        <f t="shared" si="53"/>
        <v>0.39517677170203042</v>
      </c>
      <c r="J228" s="751">
        <f>(AllocationEnergy!$H$20/100)*'Pre-TreatHydrolysis'!W37*(Unitflowchart!$S$312/Unitflowchart!$S$383)</f>
        <v>5.7644577095632837E-4</v>
      </c>
      <c r="K228" s="749">
        <f>(AllocationEnergy!$H$20/100)*'Pre-TreatHydrolysis'!AB37*(Unitflowchart!$S$312/Unitflowchart!$S$383)</f>
        <v>3.9966906786305439E-3</v>
      </c>
      <c r="L228" s="26">
        <f t="shared" si="54"/>
        <v>1.8452860299178777</v>
      </c>
      <c r="M228" s="752">
        <f>(AllocationEnergy!$H$20/100)*'Pre-TreatHydrolysis'!AC37*(Unitflowchart!$S$312/Unitflowchart!$S$383)</f>
        <v>6.1487548902008373E-4</v>
      </c>
      <c r="N228" s="727">
        <f>E228+(GlobalWarmingPotentials!$B$11*H228)+(GlobalWarmingPotentials!$C$11*K228)</f>
        <v>4.0371571717516783</v>
      </c>
      <c r="O228" s="26">
        <f t="shared" si="55"/>
        <v>0.4528347718536741</v>
      </c>
      <c r="P228" s="760">
        <f>SQRT((G228^2)+((GlobalWarmingPotentials!$B$11*J228)^2)+((GlobalWarmingPotentials!$C$11*M228)^2))</f>
        <v>0.45338716387343386</v>
      </c>
      <c r="Q228" s="30"/>
    </row>
    <row r="229" spans="1:17" x14ac:dyDescent="0.25">
      <c r="A229" t="str">
        <f>'Pre-TreatHydrolysis'!A38</f>
        <v>Glucose Input</v>
      </c>
      <c r="B229" s="732">
        <f>(AllocationEnergy!$H$20/100)*'Pre-TreatHydrolysis'!J38*(Unitflowchart!$S$312/Unitflowchart!$S$383)</f>
        <v>1794.283536396732</v>
      </c>
      <c r="C229" s="26">
        <f t="shared" si="51"/>
        <v>13.8614848484509</v>
      </c>
      <c r="D229" s="358">
        <f>(AllocationEnergy!$H$20/100)*'Pre-TreatHydrolysis'!K38*(Unitflowchart!$S$312/Unitflowchart!$S$383)</f>
        <v>269.69976137143425</v>
      </c>
      <c r="E229" s="732">
        <f>(AllocationEnergy!$H$20/100)*'Pre-TreatHydrolysis'!P38*(Unitflowchart!$S$312/Unitflowchart!$S$383)</f>
        <v>200.60312829280232</v>
      </c>
      <c r="F229" s="26">
        <f t="shared" si="52"/>
        <v>24.93879966675788</v>
      </c>
      <c r="G229" s="358">
        <f>(AllocationEnergy!$H$20/100)*'Pre-TreatHydrolysis'!Q38*(Unitflowchart!$S$312/Unitflowchart!$S$383)</f>
        <v>30.090469243920349</v>
      </c>
      <c r="H229" s="749">
        <f>(AllocationEnergy!$H$20/100)*'Pre-TreatHydrolysis'!V38*(Unitflowchart!$S$312/Unitflowchart!$S$383)</f>
        <v>0</v>
      </c>
      <c r="I229" s="26">
        <f t="shared" si="53"/>
        <v>0</v>
      </c>
      <c r="J229" s="751">
        <f>(AllocationEnergy!$H$20/100)*'Pre-TreatHydrolysis'!W38*(Unitflowchart!$S$312/Unitflowchart!$S$383)</f>
        <v>0</v>
      </c>
      <c r="K229" s="749">
        <f>(AllocationEnergy!$H$20/100)*'Pre-TreatHydrolysis'!AB38*(Unitflowchart!$S$312/Unitflowchart!$S$383)</f>
        <v>0</v>
      </c>
      <c r="L229" s="26">
        <f t="shared" si="54"/>
        <v>0</v>
      </c>
      <c r="M229" s="752">
        <f>(AllocationEnergy!$H$20/100)*'Pre-TreatHydrolysis'!AC38*(Unitflowchart!$S$312/Unitflowchart!$S$383)</f>
        <v>0</v>
      </c>
      <c r="N229" s="727">
        <f>E229+(GlobalWarmingPotentials!$B$11*H229)+(GlobalWarmingPotentials!$C$11*K229)</f>
        <v>200.60312829280232</v>
      </c>
      <c r="O229" s="26">
        <f t="shared" si="55"/>
        <v>22.500999581888941</v>
      </c>
      <c r="P229" s="760">
        <f>SQRT((G229^2)+((GlobalWarmingPotentials!$B$11*J229)^2)+((GlobalWarmingPotentials!$C$11*M229)^2))</f>
        <v>30.090469243920349</v>
      </c>
      <c r="Q229" s="30"/>
    </row>
    <row r="230" spans="1:17" x14ac:dyDescent="0.25">
      <c r="A230" t="str">
        <f>'Pre-TreatHydrolysis'!A39</f>
        <v>Hot Nutrient Input</v>
      </c>
      <c r="B230" s="732">
        <f>(AllocationEnergy!$H$20/100)*'Pre-TreatHydrolysis'!J39*(Unitflowchart!$S$312/Unitflowchart!$S$383)</f>
        <v>49.497476866116742</v>
      </c>
      <c r="C230" s="26">
        <f t="shared" si="51"/>
        <v>0.38238578892278341</v>
      </c>
      <c r="D230" s="358">
        <f>(AllocationEnergy!$H$20/100)*'Pre-TreatHydrolysis'!K39*(Unitflowchart!$S$312/Unitflowchart!$S$383)</f>
        <v>7.439993417143012</v>
      </c>
      <c r="E230" s="732">
        <f>(AllocationEnergy!$H$20/100)*'Pre-TreatHydrolysis'!P39*(Unitflowchart!$S$312/Unitflowchart!$S$383)</f>
        <v>5.5338794011807533</v>
      </c>
      <c r="F230" s="26">
        <f t="shared" si="52"/>
        <v>0.68796688735883793</v>
      </c>
      <c r="G230" s="358">
        <f>(AllocationEnergy!$H$20/100)*'Pre-TreatHydrolysis'!Q39*(Unitflowchart!$S$312/Unitflowchart!$S$383)</f>
        <v>0.83008191017711308</v>
      </c>
      <c r="H230" s="749">
        <f>(AllocationEnergy!$H$20/100)*'Pre-TreatHydrolysis'!V39*(Unitflowchart!$S$312/Unitflowchart!$S$383)</f>
        <v>0</v>
      </c>
      <c r="I230" s="26">
        <f t="shared" si="53"/>
        <v>0</v>
      </c>
      <c r="J230" s="751">
        <f>(AllocationEnergy!$H$20/100)*'Pre-TreatHydrolysis'!W39*(Unitflowchart!$S$312/Unitflowchart!$S$383)</f>
        <v>0</v>
      </c>
      <c r="K230" s="749">
        <f>(AllocationEnergy!$H$20/100)*'Pre-TreatHydrolysis'!AB39*(Unitflowchart!$S$312/Unitflowchart!$S$383)</f>
        <v>0</v>
      </c>
      <c r="L230" s="26">
        <f t="shared" si="54"/>
        <v>0</v>
      </c>
      <c r="M230" s="752">
        <f>(AllocationEnergy!$H$20/100)*'Pre-TreatHydrolysis'!AC39*(Unitflowchart!$S$312/Unitflowchart!$S$383)</f>
        <v>0</v>
      </c>
      <c r="N230" s="727">
        <f>E230+(GlobalWarmingPotentials!$B$11*H230)+(GlobalWarmingPotentials!$C$11*K230)</f>
        <v>5.5338794011807533</v>
      </c>
      <c r="O230" s="26">
        <f t="shared" si="55"/>
        <v>0.62071722984521216</v>
      </c>
      <c r="P230" s="760">
        <f>SQRT((G230^2)+((GlobalWarmingPotentials!$B$11*J230)^2)+((GlobalWarmingPotentials!$C$11*M230)^2))</f>
        <v>0.83008191017711308</v>
      </c>
      <c r="Q230" s="30"/>
    </row>
    <row r="231" spans="1:17" x14ac:dyDescent="0.25">
      <c r="A231" t="str">
        <f>'Pre-TreatHydrolysis'!A40</f>
        <v>Sulphur Dioxide Input</v>
      </c>
      <c r="B231" s="732">
        <f>(AllocationEnergy!$H$20/100)*'Pre-TreatHydrolysis'!J40*(Unitflowchart!$S$312/Unitflowchart!$S$383)</f>
        <v>8.4545379740261506</v>
      </c>
      <c r="C231" s="26">
        <f t="shared" si="51"/>
        <v>6.5314342828425728E-2</v>
      </c>
      <c r="D231" s="358">
        <f>(AllocationEnergy!$H$20/100)*'Pre-TreatHydrolysis'!K40*(Unitflowchart!$S$312/Unitflowchart!$S$383)</f>
        <v>2.3057830838253137</v>
      </c>
      <c r="E231" s="732">
        <f>(AllocationEnergy!$H$20/100)*'Pre-TreatHydrolysis'!P40*(Unitflowchart!$S$312/Unitflowchart!$S$383)</f>
        <v>0.68404898153484306</v>
      </c>
      <c r="F231" s="26">
        <f t="shared" si="52"/>
        <v>8.5040351354078586E-2</v>
      </c>
      <c r="G231" s="358">
        <f>(AllocationEnergy!$H$20/100)*'Pre-TreatHydrolysis'!Q40*(Unitflowchart!$S$312/Unitflowchart!$S$383)</f>
        <v>0.18446264670602511</v>
      </c>
      <c r="H231" s="749">
        <f>(AllocationEnergy!$H$20/100)*'Pre-TreatHydrolysis'!V40*(Unitflowchart!$S$312/Unitflowchart!$S$383)</f>
        <v>1.9214859031877617E-5</v>
      </c>
      <c r="I231" s="26">
        <f t="shared" si="53"/>
        <v>1.9183338432137399E-3</v>
      </c>
      <c r="J231" s="751">
        <f>(AllocationEnergy!$H$20/100)*'Pre-TreatHydrolysis'!W40*(Unitflowchart!$S$312/Unitflowchart!$S$383)</f>
        <v>5.3801605289257322E-6</v>
      </c>
      <c r="K231" s="749">
        <f>(AllocationEnergy!$H$20/100)*'Pre-TreatHydrolysis'!AB40*(Unitflowchart!$S$312/Unitflowchart!$S$383)</f>
        <v>5.072722784415691E-6</v>
      </c>
      <c r="L231" s="26">
        <f t="shared" si="54"/>
        <v>2.3420938072034603E-3</v>
      </c>
      <c r="M231" s="752">
        <f>(AllocationEnergy!$H$20/100)*'Pre-TreatHydrolysis'!AC40*(Unitflowchart!$S$312/Unitflowchart!$S$383)</f>
        <v>1.3834698502951883E-6</v>
      </c>
      <c r="N231" s="727">
        <f>E231+(GlobalWarmingPotentials!$B$11*H231)+(GlobalWarmingPotentials!$C$11*K231)</f>
        <v>0.68599244923676328</v>
      </c>
      <c r="O231" s="26">
        <f t="shared" si="55"/>
        <v>7.694553890967018E-2</v>
      </c>
      <c r="P231" s="760">
        <f>SQRT((G231^2)+((GlobalWarmingPotentials!$B$11*J231)^2)+((GlobalWarmingPotentials!$C$11*M231)^2))</f>
        <v>0.18446314276390885</v>
      </c>
      <c r="Q231" s="30"/>
    </row>
    <row r="232" spans="1:17" s="43" customFormat="1" x14ac:dyDescent="0.25">
      <c r="B232" s="766"/>
      <c r="C232" s="992"/>
      <c r="D232" s="827"/>
      <c r="E232" s="766"/>
      <c r="F232" s="992"/>
      <c r="G232" s="827"/>
      <c r="H232" s="783"/>
      <c r="I232" s="992"/>
      <c r="J232" s="784"/>
      <c r="K232" s="783"/>
      <c r="L232" s="992"/>
      <c r="M232" s="828"/>
      <c r="N232" s="729"/>
      <c r="O232" s="992"/>
      <c r="P232" s="1059"/>
      <c r="Q232" s="852"/>
    </row>
    <row r="233" spans="1:17" x14ac:dyDescent="0.25">
      <c r="A233" s="805" t="s">
        <v>1812</v>
      </c>
      <c r="B233" s="1002">
        <f>(AllocationEnergy!$H$20/100)*'Pre-TreatHydrolysis'!J42*(Unitflowchart!$S$312/Unitflowchart!$S$383)</f>
        <v>8239.0610076539524</v>
      </c>
      <c r="C233" s="993">
        <f>(B233/B$391)*100</f>
        <v>63.649705861095299</v>
      </c>
      <c r="D233" s="1007">
        <f>(AllocationEnergy!$H$20/100)*'Pre-TreatHydrolysis'!K42*(Unitflowchart!$S$312/Unitflowchart!$S$383)</f>
        <v>786.7316995671614</v>
      </c>
      <c r="E233" s="1002">
        <f>(AllocationEnergy!$H$20/100)*'Pre-TreatHydrolysis'!P42*(Unitflowchart!$S$312/Unitflowchart!$S$383)</f>
        <v>520.95369617105189</v>
      </c>
      <c r="F233" s="993">
        <f>(E233/E$391)*100</f>
        <v>64.764492832353653</v>
      </c>
      <c r="G233" s="1007">
        <f>(AllocationEnergy!$H$20/100)*'Pre-TreatHydrolysis'!Q42*(Unitflowchart!$S$312/Unitflowchart!$S$383)</f>
        <v>49.43723316863327</v>
      </c>
      <c r="H233" s="1004">
        <f>(AllocationEnergy!$H$20/100)*'Pre-TreatHydrolysis'!V42*(Unitflowchart!$S$312/Unitflowchart!$S$383)</f>
        <v>0.75234320210030403</v>
      </c>
      <c r="I233" s="993">
        <f>(H233/H$391)*100</f>
        <v>75.110903697313177</v>
      </c>
      <c r="J233" s="1005">
        <f>(AllocationEnergy!$H$20/100)*'Pre-TreatHydrolysis'!W42*(Unitflowchart!$S$312/Unitflowchart!$S$383)</f>
        <v>7.618212820986249E-2</v>
      </c>
      <c r="K233" s="1004">
        <f>(AllocationEnergy!$H$20/100)*'Pre-TreatHydrolysis'!AB42*(Unitflowchart!$S$312/Unitflowchart!$S$383)</f>
        <v>0.13788997882230464</v>
      </c>
      <c r="L233" s="993">
        <f>(K233/K$391)*100</f>
        <v>63.664284290736305</v>
      </c>
      <c r="M233" s="1008">
        <f>(AllocationEnergy!$H$20/100)*'Pre-TreatHydrolysis'!AC42*(Unitflowchart!$S$312/Unitflowchart!$S$383)</f>
        <v>6.8510056028064849E-4</v>
      </c>
      <c r="N233" s="1042">
        <f>E233+(GlobalWarmingPotentials!$B$11*H233)+(GlobalWarmingPotentials!$C$11*K233)</f>
        <v>579.07302355076104</v>
      </c>
      <c r="O233" s="993">
        <f>(N233/N$391)*100</f>
        <v>64.952735142696909</v>
      </c>
      <c r="P233" s="1058">
        <f>SQRT((G233^2)+((GlobalWarmingPotentials!$B$11*J233)^2)+((GlobalWarmingPotentials!$C$11*M233)^2))</f>
        <v>49.468690231007074</v>
      </c>
      <c r="Q233" s="30"/>
    </row>
    <row r="234" spans="1:17" x14ac:dyDescent="0.25">
      <c r="B234" s="733"/>
      <c r="D234" s="735"/>
      <c r="E234" s="733"/>
      <c r="G234" s="735"/>
      <c r="H234" s="750"/>
      <c r="J234" s="32"/>
      <c r="K234" s="750"/>
      <c r="M234" s="724"/>
      <c r="N234" s="733"/>
      <c r="P234" s="735"/>
      <c r="Q234" s="30"/>
    </row>
    <row r="235" spans="1:17" x14ac:dyDescent="0.25">
      <c r="A235" s="2" t="s">
        <v>282</v>
      </c>
      <c r="B235" s="728"/>
      <c r="D235" s="735"/>
      <c r="E235" s="728"/>
      <c r="G235" s="735"/>
      <c r="H235" s="31"/>
      <c r="J235" s="32"/>
      <c r="K235" s="31"/>
      <c r="M235" s="724"/>
      <c r="N235" s="728"/>
      <c r="P235" s="735"/>
      <c r="Q235" s="30"/>
    </row>
    <row r="236" spans="1:17" x14ac:dyDescent="0.25">
      <c r="B236" s="728"/>
      <c r="D236" s="735"/>
      <c r="E236" s="728"/>
      <c r="G236" s="735"/>
      <c r="H236" s="31"/>
      <c r="J236" s="32"/>
      <c r="K236" s="31"/>
      <c r="M236" s="724"/>
      <c r="N236" s="728"/>
      <c r="P236" s="735"/>
      <c r="Q236" s="30"/>
    </row>
    <row r="237" spans="1:17" x14ac:dyDescent="0.25">
      <c r="A237" t="str">
        <f>Ferment!A19</f>
        <v>Heat Input</v>
      </c>
      <c r="B237" s="1027">
        <f>(AllocationEnergy!$H$27/100)*Ferment!J19*Unitflowchart!$S$312/Unitflowchart!$S$383</f>
        <v>0</v>
      </c>
      <c r="C237" s="26">
        <f>(B237/B$391)*100</f>
        <v>0</v>
      </c>
      <c r="D237" s="1036">
        <f>(AllocationEnergy!$H$27/100)*Ferment!K19*Unitflowchart!$S$312/Unitflowchart!$S$383</f>
        <v>0</v>
      </c>
      <c r="E237" s="1027">
        <f>(AllocationEnergy!$H$27/100)*Ferment!P19*Unitflowchart!$S$312/Unitflowchart!$S$383</f>
        <v>0</v>
      </c>
      <c r="F237" s="26">
        <f>(E237/E$391)*100</f>
        <v>0</v>
      </c>
      <c r="G237" s="1036">
        <f>(AllocationEnergy!$H$27/100)*Ferment!Q19*Unitflowchart!$S$312/Unitflowchart!$S$383</f>
        <v>0</v>
      </c>
      <c r="H237" s="1027">
        <f>(AllocationEnergy!$H$27/100)*Ferment!V19*Unitflowchart!$S$312/Unitflowchart!$S$383</f>
        <v>0</v>
      </c>
      <c r="I237" s="26">
        <f>(H237/H$391)*100</f>
        <v>0</v>
      </c>
      <c r="J237" s="1036">
        <f>(AllocationEnergy!$H$27/100)*Ferment!W19*Unitflowchart!$S$312/Unitflowchart!$S$383</f>
        <v>0</v>
      </c>
      <c r="K237" s="1027">
        <f>(AllocationEnergy!$H$27/100)*Ferment!AB19*Unitflowchart!$S$312/Unitflowchart!$S$383</f>
        <v>0</v>
      </c>
      <c r="L237" s="26">
        <f>(K237/K$391)*100</f>
        <v>0</v>
      </c>
      <c r="M237" s="1027">
        <f>(AllocationEnergy!$H$27/100)*Ferment!AC19*Unitflowchart!$S$312/Unitflowchart!$S$383</f>
        <v>0</v>
      </c>
      <c r="N237" s="1028">
        <f>E237+(GlobalWarmingPotentials!$B$11*H237)+(GlobalWarmingPotentials!$C$11*K237)</f>
        <v>0</v>
      </c>
      <c r="O237" s="26">
        <f>(N237/N$391)*100</f>
        <v>0</v>
      </c>
      <c r="P237" s="1031">
        <f>SQRT((G237^2)+((GlobalWarmingPotentials!$B$11*J237)^2)+((GlobalWarmingPotentials!$C$11*M237)^2))</f>
        <v>0</v>
      </c>
      <c r="Q237" s="30"/>
    </row>
    <row r="238" spans="1:17" x14ac:dyDescent="0.25">
      <c r="A238" t="str">
        <f>Ferment!A20</f>
        <v>Electricity Input</v>
      </c>
      <c r="B238" s="732">
        <f>(AllocationEnergy!$H$27/100)*Ferment!J20*Unitflowchart!$S$312/Unitflowchart!$S$383</f>
        <v>0</v>
      </c>
      <c r="C238" s="26">
        <f>(B238/B$391)*100</f>
        <v>0</v>
      </c>
      <c r="D238" s="358">
        <f>(AllocationEnergy!$H$27/100)*Ferment!K20*Unitflowchart!$S$312/Unitflowchart!$S$383</f>
        <v>0</v>
      </c>
      <c r="E238" s="732">
        <f>(AllocationEnergy!$H$27/100)*Ferment!P20*Unitflowchart!$S$312/Unitflowchart!$S$383</f>
        <v>0</v>
      </c>
      <c r="F238" s="26">
        <f>(E238/E$391)*100</f>
        <v>0</v>
      </c>
      <c r="G238" s="358">
        <f>(AllocationEnergy!$H$27/100)*Ferment!Q20*Unitflowchart!$S$312/Unitflowchart!$S$383</f>
        <v>0</v>
      </c>
      <c r="H238" s="749">
        <f>(AllocationEnergy!$H$27/100)*Ferment!V20*Unitflowchart!$S$312/Unitflowchart!$S$383</f>
        <v>3.3882352941176484E-4</v>
      </c>
      <c r="I238" s="26">
        <f>(H238/H$391)*100</f>
        <v>3.3826771368418454E-2</v>
      </c>
      <c r="J238" s="751">
        <f>(AllocationEnergy!$H$27/100)*Ferment!W20*Unitflowchart!$S$312/Unitflowchart!$S$383</f>
        <v>0</v>
      </c>
      <c r="K238" s="749">
        <f>(AllocationEnergy!$H$27/100)*Ferment!AB20*Unitflowchart!$S$312/Unitflowchart!$S$383</f>
        <v>1.0164705882352942E-4</v>
      </c>
      <c r="L238" s="26">
        <f>(K238/K$391)*100</f>
        <v>4.6930801683549163E-2</v>
      </c>
      <c r="M238" s="752">
        <f>(AllocationEnergy!$H$27/100)*Ferment!AC20*Unitflowchart!$S$312/Unitflowchart!$S$383</f>
        <v>0</v>
      </c>
      <c r="N238" s="727">
        <f>E238+(GlobalWarmingPotentials!$B$11*H238)+(GlobalWarmingPotentials!$C$11*K238)</f>
        <v>3.78804705882353E-2</v>
      </c>
      <c r="O238" s="26">
        <f>(N238/N$391)*100</f>
        <v>4.2489290178144307E-3</v>
      </c>
      <c r="P238" s="760">
        <f>SQRT((G238^2)+((GlobalWarmingPotentials!$B$11*J238)^2)+((GlobalWarmingPotentials!$C$11*M238)^2))</f>
        <v>0</v>
      </c>
      <c r="Q238" s="30"/>
    </row>
    <row r="239" spans="1:17" x14ac:dyDescent="0.25">
      <c r="B239" s="728"/>
      <c r="D239" s="735"/>
      <c r="E239" s="728"/>
      <c r="G239" s="735"/>
      <c r="H239" s="31"/>
      <c r="J239" s="32"/>
      <c r="K239" s="31"/>
      <c r="M239" s="724"/>
      <c r="N239" s="728"/>
      <c r="P239" s="735"/>
      <c r="Q239" s="30"/>
    </row>
    <row r="240" spans="1:17" x14ac:dyDescent="0.25">
      <c r="A240" s="218" t="s">
        <v>913</v>
      </c>
      <c r="B240" s="730">
        <f>(AllocationEnergy!$H$27/100)*Ferment!J22*Unitflowchart!$S$312/Unitflowchart!$S$383</f>
        <v>0</v>
      </c>
      <c r="C240" s="15">
        <f>(B240/B$391)*100</f>
        <v>0</v>
      </c>
      <c r="D240" s="740">
        <f>(AllocationEnergy!$H$27/100)*Ferment!K22*Unitflowchart!$S$312/Unitflowchart!$S$383</f>
        <v>0</v>
      </c>
      <c r="E240" s="730">
        <f>(AllocationEnergy!$H$27/100)*Ferment!P22*Unitflowchart!$S$312/Unitflowchart!$S$383</f>
        <v>0</v>
      </c>
      <c r="F240" s="15">
        <f>(E240/E$391)*100</f>
        <v>0</v>
      </c>
      <c r="G240" s="740">
        <f>(AllocationEnergy!$H$27/100)*Ferment!Q22*Unitflowchart!$S$312/Unitflowchart!$S$383</f>
        <v>0</v>
      </c>
      <c r="H240" s="215">
        <f>(AllocationEnergy!$H$27/100)*Ferment!V22*Unitflowchart!$S$312/Unitflowchart!$S$383</f>
        <v>3.3882352941176484E-4</v>
      </c>
      <c r="I240" s="15">
        <f>(H240/H$391)*100</f>
        <v>3.3826771368418454E-2</v>
      </c>
      <c r="J240" s="216">
        <f>(AllocationEnergy!$H$27/100)*Ferment!W22*Unitflowchart!$S$312/Unitflowchart!$S$383</f>
        <v>0</v>
      </c>
      <c r="K240" s="215">
        <f>(AllocationEnergy!$H$27/100)*Ferment!AB22*Unitflowchart!$S$312/Unitflowchart!$S$383</f>
        <v>1.0164705882352942E-4</v>
      </c>
      <c r="L240" s="15">
        <f>(K240/K$391)*100</f>
        <v>4.6930801683549163E-2</v>
      </c>
      <c r="M240" s="216">
        <f>(AllocationEnergy!$H$27/100)*Ferment!AC22*Unitflowchart!$S$312/Unitflowchart!$S$383</f>
        <v>0</v>
      </c>
      <c r="N240" s="730">
        <f>E240+(GlobalWarmingPotentials!$B$11*H240)+(GlobalWarmingPotentials!$C$11*K240)</f>
        <v>3.78804705882353E-2</v>
      </c>
      <c r="O240" s="15">
        <f>(N240/N$391)*100</f>
        <v>4.2489290178144307E-3</v>
      </c>
      <c r="P240" s="759">
        <f>SQRT((G240^2)+((GlobalWarmingPotentials!$B$11*J240)^2)+((GlobalWarmingPotentials!$C$11*M240)^2))</f>
        <v>0</v>
      </c>
    </row>
    <row r="241" spans="1:17" x14ac:dyDescent="0.25">
      <c r="B241" s="728"/>
      <c r="D241" s="735"/>
      <c r="E241" s="733"/>
      <c r="G241" s="735"/>
      <c r="H241" s="750"/>
      <c r="J241" s="32"/>
      <c r="K241" s="750"/>
      <c r="M241" s="724"/>
      <c r="N241" s="733"/>
      <c r="P241" s="735"/>
      <c r="Q241" s="30"/>
    </row>
    <row r="242" spans="1:17" x14ac:dyDescent="0.25">
      <c r="A242" s="2" t="s">
        <v>1716</v>
      </c>
      <c r="B242" s="728"/>
      <c r="D242" s="735"/>
      <c r="E242" s="728"/>
      <c r="G242" s="735"/>
      <c r="H242" s="31"/>
      <c r="J242" s="32"/>
      <c r="K242" s="31"/>
      <c r="M242" s="724"/>
      <c r="N242" s="728"/>
      <c r="P242" s="735"/>
      <c r="Q242" s="30"/>
    </row>
    <row r="243" spans="1:17" x14ac:dyDescent="0.25">
      <c r="B243" s="728"/>
      <c r="D243" s="735"/>
      <c r="E243" s="728"/>
      <c r="G243" s="735"/>
      <c r="H243" s="31"/>
      <c r="J243" s="32"/>
      <c r="K243" s="31"/>
      <c r="M243" s="724"/>
      <c r="N243" s="728"/>
      <c r="P243" s="735"/>
      <c r="Q243" s="30"/>
    </row>
    <row r="244" spans="1:17" x14ac:dyDescent="0.25">
      <c r="A244" t="str">
        <f>EthanolRecovery!A19</f>
        <v>Heat Input</v>
      </c>
      <c r="B244" s="732">
        <f>(AllocationEnergy!$H$31/100)*EthanolRecovery!J19*(Unitflowchart!$S$312/Unitflowchart!$S$383)</f>
        <v>0</v>
      </c>
      <c r="C244" s="26">
        <f>(B244/B$391)*100</f>
        <v>0</v>
      </c>
      <c r="D244" s="358">
        <f>(AllocationEnergy!$H$31/100)*EthanolRecovery!K19*(Unitflowchart!$S$312/Unitflowchart!$S$383)</f>
        <v>0</v>
      </c>
      <c r="E244" s="732">
        <f>(AllocationEnergy!$H$31/100)*EthanolRecovery!P19*(Unitflowchart!$S$312/Unitflowchart!$S$383)</f>
        <v>0</v>
      </c>
      <c r="F244" s="26">
        <f>(E244/E$391)*100</f>
        <v>0</v>
      </c>
      <c r="G244" s="358">
        <f>(AllocationEnergy!$H$31/100)*EthanolRecovery!Q19*(Unitflowchart!$S$312/Unitflowchart!$S$383)</f>
        <v>0</v>
      </c>
      <c r="H244" s="749">
        <f>(AllocationEnergy!$H$31/100)*EthanolRecovery!V19*(Unitflowchart!$S$312/Unitflowchart!$S$383)</f>
        <v>2.9162823529411769E-2</v>
      </c>
      <c r="I244" s="26">
        <f>(H244/H$391)*100</f>
        <v>2.9114984006559159</v>
      </c>
      <c r="J244" s="751">
        <f>(AllocationEnergy!$H$31/100)*EthanolRecovery!W19*(Unitflowchart!$S$312/Unitflowchart!$S$383)</f>
        <v>0</v>
      </c>
      <c r="K244" s="749">
        <f>(AllocationEnergy!$H$31/100)*EthanolRecovery!AB19*(Unitflowchart!$S$312/Unitflowchart!$S$383)</f>
        <v>8.7488470588235299E-3</v>
      </c>
      <c r="L244" s="26">
        <f>(K244/K$391)*100</f>
        <v>4.0393732099044799</v>
      </c>
      <c r="M244" s="752">
        <f>(AllocationEnergy!$H$31/100)*EthanolRecovery!AC19*(Unitflowchart!$S$312/Unitflowchart!$S$383)</f>
        <v>0</v>
      </c>
      <c r="N244" s="727">
        <f>E244+(GlobalWarmingPotentials!$B$11*H244)+(GlobalWarmingPotentials!$C$11*K244)</f>
        <v>3.2604036705882353</v>
      </c>
      <c r="O244" s="26">
        <f>(N244/N$391)*100</f>
        <v>0.36570886133746949</v>
      </c>
      <c r="P244" s="760">
        <f>SQRT((G244^2)+((GlobalWarmingPotentials!$B$11*J244)^2)+((GlobalWarmingPotentials!$C$11*M244)^2))</f>
        <v>0</v>
      </c>
      <c r="Q244" s="30"/>
    </row>
    <row r="245" spans="1:17" x14ac:dyDescent="0.25">
      <c r="A245" t="str">
        <f>EthanolRecovery!A20</f>
        <v>Electricity Input</v>
      </c>
      <c r="B245" s="732">
        <f>(AllocationEnergy!$H$31/100)*EthanolRecovery!J20*(Unitflowchart!$S$312/Unitflowchart!$S$383)</f>
        <v>0</v>
      </c>
      <c r="C245" s="26">
        <f>(B245/B$391)*100</f>
        <v>0</v>
      </c>
      <c r="D245" s="358">
        <f>(AllocationEnergy!$H$31/100)*EthanolRecovery!K20*(Unitflowchart!$S$312/Unitflowchart!$S$383)</f>
        <v>0</v>
      </c>
      <c r="E245" s="732">
        <f>(AllocationEnergy!$H$31/100)*EthanolRecovery!P20*(Unitflowchart!$S$312/Unitflowchart!$S$383)</f>
        <v>0</v>
      </c>
      <c r="F245" s="26">
        <f>(E245/E$391)*100</f>
        <v>0</v>
      </c>
      <c r="G245" s="358">
        <f>(AllocationEnergy!$H$31/100)*EthanolRecovery!Q20*(Unitflowchart!$S$312/Unitflowchart!$S$383)</f>
        <v>0</v>
      </c>
      <c r="H245" s="749">
        <f>(AllocationEnergy!$H$31/100)*EthanolRecovery!V20*(Unitflowchart!$S$312/Unitflowchart!$S$383)</f>
        <v>2.6371764705882361E-3</v>
      </c>
      <c r="I245" s="26">
        <f>(H245/H$391)*100</f>
        <v>0.26328503715085694</v>
      </c>
      <c r="J245" s="751">
        <f>(AllocationEnergy!$H$31/100)*EthanolRecovery!W20*(Unitflowchart!$S$312/Unitflowchart!$S$383)</f>
        <v>0</v>
      </c>
      <c r="K245" s="749">
        <f>(AllocationEnergy!$H$31/100)*EthanolRecovery!AB20*(Unitflowchart!$S$312/Unitflowchart!$S$383)</f>
        <v>7.9115294117647068E-4</v>
      </c>
      <c r="L245" s="26">
        <f>(K245/K$391)*100</f>
        <v>0.36527807310362437</v>
      </c>
      <c r="M245" s="752">
        <f>(AllocationEnergy!$H$31/100)*EthanolRecovery!AC20*(Unitflowchart!$S$312/Unitflowchart!$S$383)</f>
        <v>0</v>
      </c>
      <c r="N245" s="727">
        <f>E245+(GlobalWarmingPotentials!$B$11*H245)+(GlobalWarmingPotentials!$C$11*K245)</f>
        <v>0.29483632941176474</v>
      </c>
      <c r="O245" s="26">
        <f>(N245/N$391)*100</f>
        <v>3.3070830855322315E-2</v>
      </c>
      <c r="P245" s="760">
        <f>SQRT((G245^2)+((GlobalWarmingPotentials!$B$11*J245)^2)+((GlobalWarmingPotentials!$C$11*M245)^2))</f>
        <v>0</v>
      </c>
      <c r="Q245" s="30"/>
    </row>
    <row r="246" spans="1:17" x14ac:dyDescent="0.25">
      <c r="B246" s="728"/>
      <c r="D246" s="735"/>
      <c r="E246" s="728"/>
      <c r="G246" s="735"/>
      <c r="H246" s="31"/>
      <c r="J246" s="32"/>
      <c r="K246" s="31"/>
      <c r="M246" s="724"/>
      <c r="N246" s="728"/>
      <c r="P246" s="735"/>
      <c r="Q246" s="30"/>
    </row>
    <row r="247" spans="1:17" x14ac:dyDescent="0.25">
      <c r="A247" s="218" t="s">
        <v>1825</v>
      </c>
      <c r="B247" s="730">
        <f>(AllocationEnergy!$H$31/100)*EthanolRecovery!J22*(Unitflowchart!$S$312/Unitflowchart!$S$383)</f>
        <v>0</v>
      </c>
      <c r="C247" s="15">
        <f>(B247/B$391)*100</f>
        <v>0</v>
      </c>
      <c r="D247" s="740">
        <f>(AllocationEnergy!$H$31/100)*EthanolRecovery!K22*(Unitflowchart!$S$312/Unitflowchart!$S$383)</f>
        <v>0</v>
      </c>
      <c r="E247" s="730">
        <f>(AllocationEnergy!$H$31/100)*EthanolRecovery!P22*(Unitflowchart!$S$312/Unitflowchart!$S$383)</f>
        <v>0</v>
      </c>
      <c r="F247" s="15">
        <f>(E247/E$391)*100</f>
        <v>0</v>
      </c>
      <c r="G247" s="740">
        <f>(AllocationEnergy!$H$31/100)*EthanolRecovery!Q22*(Unitflowchart!$S$312/Unitflowchart!$S$383)</f>
        <v>0</v>
      </c>
      <c r="H247" s="215">
        <f>(AllocationEnergy!$H$31/100)*EthanolRecovery!V22*(Unitflowchart!$S$312/Unitflowchart!$S$383)</f>
        <v>3.1800000000000002E-2</v>
      </c>
      <c r="I247" s="15">
        <f>(H247/H$391)*100</f>
        <v>3.1747834378067727</v>
      </c>
      <c r="J247" s="216">
        <f>(AllocationEnergy!$H$31/100)*EthanolRecovery!W22*(Unitflowchart!$S$312/Unitflowchart!$S$383)</f>
        <v>0</v>
      </c>
      <c r="K247" s="215">
        <f>(AllocationEnergy!$H$31/100)*EthanolRecovery!AB22*(Unitflowchart!$S$312/Unitflowchart!$S$383)</f>
        <v>9.5399999999999999E-3</v>
      </c>
      <c r="L247" s="15">
        <f>(K247/K$391)*100</f>
        <v>4.4046512830081035</v>
      </c>
      <c r="M247" s="216">
        <f>(AllocationEnergy!$H$31/100)*EthanolRecovery!AC22*(Unitflowchart!$S$312/Unitflowchart!$S$383)</f>
        <v>0</v>
      </c>
      <c r="N247" s="730">
        <f>E247+(GlobalWarmingPotentials!$B$11*H247)+(GlobalWarmingPotentials!$C$11*K247)</f>
        <v>3.5552400000000004</v>
      </c>
      <c r="O247" s="15">
        <f>(N247/N$391)*100</f>
        <v>0.39877969219279186</v>
      </c>
      <c r="P247" s="759">
        <f>SQRT((G247^2)+((GlobalWarmingPotentials!$B$11*J247)^2)+((GlobalWarmingPotentials!$C$11*M247)^2))</f>
        <v>0</v>
      </c>
    </row>
    <row r="248" spans="1:17" x14ac:dyDescent="0.25">
      <c r="B248" s="733"/>
      <c r="D248" s="735"/>
      <c r="E248" s="733"/>
      <c r="G248" s="735"/>
      <c r="H248" s="750"/>
      <c r="J248" s="32"/>
      <c r="K248" s="750"/>
      <c r="M248" s="724"/>
      <c r="N248" s="733"/>
      <c r="P248" s="735"/>
      <c r="Q248" s="30"/>
    </row>
    <row r="249" spans="1:17" x14ac:dyDescent="0.25">
      <c r="A249" s="2" t="s">
        <v>1721</v>
      </c>
      <c r="B249" s="728"/>
      <c r="D249" s="735"/>
      <c r="E249" s="728"/>
      <c r="G249" s="735"/>
      <c r="H249" s="31"/>
      <c r="J249" s="32"/>
      <c r="K249" s="31"/>
      <c r="M249" s="724"/>
      <c r="N249" s="728"/>
      <c r="P249" s="735"/>
      <c r="Q249" s="30"/>
    </row>
    <row r="250" spans="1:17" x14ac:dyDescent="0.25">
      <c r="B250" s="728"/>
      <c r="D250" s="735"/>
      <c r="E250" s="728"/>
      <c r="G250" s="735"/>
      <c r="H250" s="31"/>
      <c r="J250" s="32"/>
      <c r="K250" s="31"/>
      <c r="M250" s="724"/>
      <c r="N250" s="728"/>
      <c r="P250" s="735"/>
      <c r="Q250" s="30"/>
    </row>
    <row r="251" spans="1:17" x14ac:dyDescent="0.25">
      <c r="A251" t="str">
        <f>WasteSolidFilter!A19</f>
        <v>Heat Input</v>
      </c>
      <c r="B251" s="732">
        <f>(AllocationEnergy!$H$35/100)*WasteSolidFilter!J19*(Unitflowchart!$S$312/Unitflowchart!$S$383)</f>
        <v>0</v>
      </c>
      <c r="C251" s="26">
        <f>(B251/B$391)*100</f>
        <v>0</v>
      </c>
      <c r="D251" s="358">
        <f>(AllocationEnergy!$H$35/100)*WasteSolidFilter!K19*(Unitflowchart!$S$312/Unitflowchart!$S$383)</f>
        <v>0</v>
      </c>
      <c r="E251" s="732">
        <f>(AllocationEnergy!$H$35/100)*WasteSolidFilter!P19*(Unitflowchart!$S$312/Unitflowchart!$S$383)</f>
        <v>0</v>
      </c>
      <c r="F251" s="26">
        <f>(E251/E$391)*100</f>
        <v>0</v>
      </c>
      <c r="G251" s="358">
        <f>(AllocationEnergy!$H$35/100)*WasteSolidFilter!Q19*(Unitflowchart!$S$312/Unitflowchart!$S$383)</f>
        <v>0</v>
      </c>
      <c r="H251" s="749">
        <f>(AllocationEnergy!$H$35/100)*WasteSolidFilter!V19*(Unitflowchart!$S$312/Unitflowchart!$S$383)</f>
        <v>0</v>
      </c>
      <c r="I251" s="26">
        <f>(H251/H$391)*100</f>
        <v>0</v>
      </c>
      <c r="J251" s="751">
        <f>(AllocationEnergy!$H$35/100)*WasteSolidFilter!W19*(Unitflowchart!$S$312/Unitflowchart!$S$383)</f>
        <v>0</v>
      </c>
      <c r="K251" s="749">
        <f>(AllocationEnergy!$H$35/100)*WasteSolidFilter!AB19*(Unitflowchart!$S$312/Unitflowchart!$S$383)</f>
        <v>0</v>
      </c>
      <c r="L251" s="26">
        <f>(K251/K$391)*100</f>
        <v>0</v>
      </c>
      <c r="M251" s="752">
        <f>(AllocationEnergy!$H$35/100)*WasteSolidFilter!AC19*(Unitflowchart!$S$312/Unitflowchart!$S$383)</f>
        <v>0</v>
      </c>
      <c r="N251" s="727">
        <f>E251+(GlobalWarmingPotentials!$B$11*H251)+(GlobalWarmingPotentials!$C$11*K251)</f>
        <v>0</v>
      </c>
      <c r="O251" s="26">
        <f>(N251/N$391)*100</f>
        <v>0</v>
      </c>
      <c r="P251" s="760">
        <f>SQRT((G251^2)+((GlobalWarmingPotentials!$B$11*J251)^2)+((GlobalWarmingPotentials!$C$11*M251)^2))</f>
        <v>0</v>
      </c>
      <c r="Q251" s="30"/>
    </row>
    <row r="252" spans="1:17" x14ac:dyDescent="0.25">
      <c r="A252" t="str">
        <f>WasteSolidFilter!A20</f>
        <v>Electricity Input</v>
      </c>
      <c r="B252" s="732">
        <f>(AllocationEnergy!$H$35/100)*WasteSolidFilter!J20*(Unitflowchart!$S$312/Unitflowchart!$S$383)</f>
        <v>0</v>
      </c>
      <c r="C252" s="26">
        <f>(B252/B$391)*100</f>
        <v>0</v>
      </c>
      <c r="D252" s="358">
        <f>(AllocationEnergy!$H$35/100)*WasteSolidFilter!K20*(Unitflowchart!$S$312/Unitflowchart!$S$383)</f>
        <v>0</v>
      </c>
      <c r="E252" s="732">
        <f>(AllocationEnergy!$H$35/100)*WasteSolidFilter!P20*(Unitflowchart!$S$312/Unitflowchart!$S$383)</f>
        <v>0</v>
      </c>
      <c r="F252" s="26">
        <f>(E252/E$391)*100</f>
        <v>0</v>
      </c>
      <c r="G252" s="358">
        <f>(AllocationEnergy!$H$35/100)*WasteSolidFilter!Q20*(Unitflowchart!$S$312/Unitflowchart!$S$383)</f>
        <v>0</v>
      </c>
      <c r="H252" s="749">
        <f>(AllocationEnergy!$H$35/100)*WasteSolidFilter!V20*(Unitflowchart!$S$312/Unitflowchart!$S$383)</f>
        <v>2.5182405314136485E-3</v>
      </c>
      <c r="I252" s="26">
        <f>(H252/H$391)*100</f>
        <v>0.25141095382219425</v>
      </c>
      <c r="J252" s="751">
        <f>(AllocationEnergy!$H$35/100)*WasteSolidFilter!W20*(Unitflowchart!$S$312/Unitflowchart!$S$383)</f>
        <v>0</v>
      </c>
      <c r="K252" s="749">
        <f>(AllocationEnergy!$H$35/100)*WasteSolidFilter!AB20*(Unitflowchart!$S$312/Unitflowchart!$S$383)</f>
        <v>7.5547215942409446E-4</v>
      </c>
      <c r="L252" s="26">
        <f>(K252/K$391)*100</f>
        <v>0.34880413168597907</v>
      </c>
      <c r="M252" s="752">
        <f>(AllocationEnergy!$H$35/100)*WasteSolidFilter!AC20*(Unitflowchart!$S$312/Unitflowchart!$S$383)</f>
        <v>0</v>
      </c>
      <c r="N252" s="727">
        <f>E252+(GlobalWarmingPotentials!$B$11*H252)+(GlobalWarmingPotentials!$C$11*K252)</f>
        <v>0.28153929141204587</v>
      </c>
      <c r="O252" s="26">
        <f>(N252/N$391)*100</f>
        <v>3.1579345408319089E-2</v>
      </c>
      <c r="P252" s="760">
        <f>SQRT((G252^2)+((GlobalWarmingPotentials!$B$11*J252)^2)+((GlobalWarmingPotentials!$C$11*M252)^2))</f>
        <v>0</v>
      </c>
      <c r="Q252" s="30"/>
    </row>
    <row r="253" spans="1:17" x14ac:dyDescent="0.25">
      <c r="B253" s="728"/>
      <c r="D253" s="735"/>
      <c r="E253" s="728"/>
      <c r="G253" s="735"/>
      <c r="H253" s="31"/>
      <c r="J253" s="32"/>
      <c r="K253" s="31"/>
      <c r="M253" s="724"/>
      <c r="N253" s="728"/>
      <c r="P253" s="735"/>
      <c r="Q253" s="30"/>
    </row>
    <row r="254" spans="1:17" x14ac:dyDescent="0.25">
      <c r="A254" s="218" t="s">
        <v>1826</v>
      </c>
      <c r="B254" s="730">
        <f>(AllocationEnergy!$H$35/100)*WasteSolidFilter!J22*(Unitflowchart!$S$312/Unitflowchart!$S$383)</f>
        <v>0</v>
      </c>
      <c r="C254" s="15">
        <f>(B254/B$391)*100</f>
        <v>0</v>
      </c>
      <c r="D254" s="740">
        <f>(AllocationEnergy!$H$35/100)*WasteSolidFilter!K22*(Unitflowchart!$S$312/Unitflowchart!$S$383)</f>
        <v>0</v>
      </c>
      <c r="E254" s="730">
        <f>(AllocationEnergy!$H$35/100)*WasteSolidFilter!P22*(Unitflowchart!$S$312/Unitflowchart!$S$383)</f>
        <v>0</v>
      </c>
      <c r="F254" s="15">
        <f>(E254/E$391)*100</f>
        <v>0</v>
      </c>
      <c r="G254" s="740">
        <f>(AllocationEnergy!$H$35/100)*WasteSolidFilter!Q22*(Unitflowchart!$S$312/Unitflowchart!$S$383)</f>
        <v>0</v>
      </c>
      <c r="H254" s="215">
        <f>(AllocationEnergy!$H$35/100)*WasteSolidFilter!V22*(Unitflowchart!$S$312/Unitflowchart!$S$383)</f>
        <v>2.5182405314136485E-3</v>
      </c>
      <c r="I254" s="15">
        <f>(H254/H$391)*100</f>
        <v>0.25141095382219425</v>
      </c>
      <c r="J254" s="216">
        <f>(AllocationEnergy!$H$35/100)*WasteSolidFilter!W22*(Unitflowchart!$S$312/Unitflowchart!$S$383)</f>
        <v>0</v>
      </c>
      <c r="K254" s="215">
        <f>(AllocationEnergy!$H$35/100)*WasteSolidFilter!AB22*(Unitflowchart!$S$312/Unitflowchart!$S$383)</f>
        <v>7.5547215942409446E-4</v>
      </c>
      <c r="L254" s="15">
        <f>(K254/K$391)*100</f>
        <v>0.34880413168597907</v>
      </c>
      <c r="M254" s="216">
        <f>(AllocationEnergy!$H$35/100)*WasteSolidFilter!AC22*(Unitflowchart!$S$312/Unitflowchart!$S$383)</f>
        <v>0</v>
      </c>
      <c r="N254" s="730">
        <f>E254+(GlobalWarmingPotentials!$B$11*H254)+(GlobalWarmingPotentials!$C$11*K254)</f>
        <v>0.28153929141204587</v>
      </c>
      <c r="O254" s="15">
        <f>(N254/N$391)*100</f>
        <v>3.1579345408319089E-2</v>
      </c>
      <c r="P254" s="761">
        <f>SQRT((G254^2)+((GlobalWarmingPotentials!$B$11*J254)^2)+((GlobalWarmingPotentials!$C$11*M254)^2))</f>
        <v>0</v>
      </c>
      <c r="Q254" s="30"/>
    </row>
    <row r="255" spans="1:17" x14ac:dyDescent="0.25">
      <c r="B255" s="733"/>
      <c r="D255" s="735"/>
      <c r="E255" s="733"/>
      <c r="G255" s="735"/>
      <c r="H255" s="750"/>
      <c r="J255" s="32"/>
      <c r="K255" s="750"/>
      <c r="M255" s="724"/>
      <c r="N255" s="733"/>
      <c r="P255" s="735"/>
      <c r="Q255" s="30"/>
    </row>
    <row r="256" spans="1:17" x14ac:dyDescent="0.25">
      <c r="A256" s="2" t="s">
        <v>905</v>
      </c>
      <c r="B256" s="728"/>
      <c r="D256" s="735"/>
      <c r="E256" s="728"/>
      <c r="G256" s="735"/>
      <c r="H256" s="31"/>
      <c r="J256" s="32"/>
      <c r="K256" s="31"/>
      <c r="M256" s="724"/>
      <c r="N256" s="728"/>
      <c r="P256" s="735"/>
      <c r="Q256" s="30"/>
    </row>
    <row r="257" spans="1:17" x14ac:dyDescent="0.25">
      <c r="B257" s="728"/>
      <c r="D257" s="735"/>
      <c r="E257" s="728"/>
      <c r="G257" s="735"/>
      <c r="H257" s="31"/>
      <c r="J257" s="32"/>
      <c r="K257" s="31"/>
      <c r="M257" s="724"/>
      <c r="N257" s="728"/>
      <c r="P257" s="735"/>
      <c r="Q257" s="30"/>
    </row>
    <row r="258" spans="1:17" x14ac:dyDescent="0.25">
      <c r="A258" t="str">
        <f>AnaerobicDigestion!A19</f>
        <v>Electricity Input</v>
      </c>
      <c r="B258" s="732">
        <f>(AllocationEnergy!$H$35/100)*AnaerobicDigestion!J19*(Unitflowchart!$S$312/Unitflowchart!$S$383)</f>
        <v>0</v>
      </c>
      <c r="C258" s="26">
        <f>(B258/B$391)*100</f>
        <v>0</v>
      </c>
      <c r="D258" s="358">
        <f>(AllocationEnergy!$H$35/100)*AnaerobicDigestion!K19*(Unitflowchart!$S$312/Unitflowchart!$S$383)</f>
        <v>0</v>
      </c>
      <c r="E258" s="732">
        <f>(AllocationEnergy!$H$35/100)*AnaerobicDigestion!P19*(Unitflowchart!$S$312/Unitflowchart!$S$383)</f>
        <v>0</v>
      </c>
      <c r="F258" s="26">
        <f>(E258/E$391)*100</f>
        <v>0</v>
      </c>
      <c r="G258" s="358">
        <f>(AllocationEnergy!$H$35/100)*AnaerobicDigestion!Q19*(Unitflowchart!$S$312/Unitflowchart!$S$383)</f>
        <v>0</v>
      </c>
      <c r="H258" s="749">
        <f>(AllocationEnergy!$H$35/100)*AnaerobicDigestion!V19*(Unitflowchart!$S$312/Unitflowchart!$S$383)</f>
        <v>6.3176470588235294E-3</v>
      </c>
      <c r="I258" s="26">
        <f>(H258/H$391)*100</f>
        <v>0.63072834114030218</v>
      </c>
      <c r="J258" s="751">
        <f>(AllocationEnergy!$H$35/100)*AnaerobicDigestion!W19*(Unitflowchart!$S$312/Unitflowchart!$S$383)</f>
        <v>0</v>
      </c>
      <c r="K258" s="749">
        <f>(AllocationEnergy!$H$35/100)*AnaerobicDigestion!AB19*(Unitflowchart!$S$312/Unitflowchart!$S$383)</f>
        <v>1.8952941176470584E-3</v>
      </c>
      <c r="L258" s="26">
        <f>(K258/K$391)*100</f>
        <v>0.87506390639117693</v>
      </c>
      <c r="M258" s="752">
        <f>(AllocationEnergy!$H$35/100)*AnaerobicDigestion!AC19*(Unitflowchart!$S$312/Unitflowchart!$S$383)</f>
        <v>0</v>
      </c>
      <c r="N258" s="727">
        <f>E258+(GlobalWarmingPotentials!$B$11*H258)+(GlobalWarmingPotentials!$C$11*K258)</f>
        <v>0.70631294117647048</v>
      </c>
      <c r="O258" s="26">
        <f>(N258/N$391)*100</f>
        <v>7.9224822311331544E-2</v>
      </c>
      <c r="P258" s="760">
        <f>SQRT((G258^2)+((GlobalWarmingPotentials!$B$11*J258)^2)+((GlobalWarmingPotentials!$C$11*M258)^2))</f>
        <v>0</v>
      </c>
      <c r="Q258" s="30"/>
    </row>
    <row r="259" spans="1:17" x14ac:dyDescent="0.25">
      <c r="A259" t="str">
        <f>AnaerobicDigestion!A20</f>
        <v>Caustic Soda Input</v>
      </c>
      <c r="B259" s="732">
        <f>(AllocationEnergy!$H$35/100)*AnaerobicDigestion!J20*(Unitflowchart!$S$312/Unitflowchart!$S$383)</f>
        <v>1274.9999999999998</v>
      </c>
      <c r="C259" s="26">
        <f>(B259/B$391)*100</f>
        <v>9.8498329964429594</v>
      </c>
      <c r="D259" s="358">
        <f>(AllocationEnergy!$H$35/100)*AnaerobicDigestion!K20*(Unitflowchart!$S$312/Unitflowchart!$S$383)</f>
        <v>191.24999999999997</v>
      </c>
      <c r="E259" s="732">
        <f>(AllocationEnergy!$H$35/100)*AnaerobicDigestion!P20*(Unitflowchart!$S$312/Unitflowchart!$S$383)</f>
        <v>71.400000000000006</v>
      </c>
      <c r="F259" s="26">
        <f>(E259/E$391)*100</f>
        <v>8.8763834909268571</v>
      </c>
      <c r="G259" s="358">
        <f>(AllocationEnergy!$H$35/100)*AnaerobicDigestion!Q20*(Unitflowchart!$S$312/Unitflowchart!$S$383)</f>
        <v>10.8375</v>
      </c>
      <c r="H259" s="749">
        <f>(AllocationEnergy!$H$35/100)*AnaerobicDigestion!V20*(Unitflowchart!$S$312/Unitflowchart!$S$383)</f>
        <v>0.20718749999999997</v>
      </c>
      <c r="I259" s="26">
        <f>(H259/H$391)*100</f>
        <v>20.684762374861339</v>
      </c>
      <c r="J259" s="751">
        <f>(AllocationEnergy!$H$35/100)*AnaerobicDigestion!W20*(Unitflowchart!$S$312/Unitflowchart!$S$383)</f>
        <v>3.1237499999999994E-2</v>
      </c>
      <c r="K259" s="749">
        <f>(AllocationEnergy!$H$35/100)*AnaerobicDigestion!AB20*(Unitflowchart!$S$312/Unitflowchart!$S$383)</f>
        <v>0</v>
      </c>
      <c r="L259" s="26">
        <f>(K259/K$391)*100</f>
        <v>0</v>
      </c>
      <c r="M259" s="752">
        <f>(AllocationEnergy!$H$35/100)*AnaerobicDigestion!AC20*(Unitflowchart!$S$312/Unitflowchart!$S$383)</f>
        <v>0</v>
      </c>
      <c r="N259" s="727">
        <f>E259+(GlobalWarmingPotentials!$B$11*H259)+(GlobalWarmingPotentials!$C$11*K259)</f>
        <v>76.165312499999999</v>
      </c>
      <c r="O259" s="26">
        <f>(N259/N$391)*100</f>
        <v>8.5432150500438215</v>
      </c>
      <c r="P259" s="760">
        <f>SQRT((G259^2)+((GlobalWarmingPotentials!$B$11*J259)^2)+((GlobalWarmingPotentials!$C$11*M259)^2))</f>
        <v>10.861288809985041</v>
      </c>
      <c r="Q259" s="30"/>
    </row>
    <row r="260" spans="1:17" x14ac:dyDescent="0.25">
      <c r="B260" s="728"/>
      <c r="D260" s="735"/>
      <c r="E260" s="728"/>
      <c r="G260" s="735"/>
      <c r="H260" s="31"/>
      <c r="J260" s="32"/>
      <c r="K260" s="31"/>
      <c r="M260" s="724"/>
      <c r="N260" s="728"/>
      <c r="P260" s="739"/>
      <c r="Q260" s="30"/>
    </row>
    <row r="261" spans="1:17" x14ac:dyDescent="0.25">
      <c r="A261" s="218" t="s">
        <v>914</v>
      </c>
      <c r="B261" s="730">
        <f>(AllocationEnergy!$H$35/100)*AnaerobicDigestion!J22*(Unitflowchart!$S$312/Unitflowchart!$S$383)</f>
        <v>1274.9999999999998</v>
      </c>
      <c r="C261" s="15">
        <f>(B261/B$391)*100</f>
        <v>9.8498329964429594</v>
      </c>
      <c r="D261" s="740">
        <f>(AllocationEnergy!$H$35/100)*AnaerobicDigestion!K22*(Unitflowchart!$S$312/Unitflowchart!$S$383)</f>
        <v>191.24999999999997</v>
      </c>
      <c r="E261" s="730">
        <f>(AllocationEnergy!$H$35/100)*AnaerobicDigestion!P22*(Unitflowchart!$S$312/Unitflowchart!$S$383)</f>
        <v>71.400000000000006</v>
      </c>
      <c r="F261" s="15">
        <f>(E261/E$391)*100</f>
        <v>8.8763834909268571</v>
      </c>
      <c r="G261" s="740">
        <f>(AllocationEnergy!$H$35/100)*AnaerobicDigestion!Q22*(Unitflowchart!$S$312/Unitflowchart!$S$383)</f>
        <v>10.8375</v>
      </c>
      <c r="H261" s="215">
        <f>(AllocationEnergy!$H$35/100)*AnaerobicDigestion!V22*(Unitflowchart!$S$312/Unitflowchart!$S$383)</f>
        <v>0.21350514705882351</v>
      </c>
      <c r="I261" s="15">
        <f>(H261/H$391)*100</f>
        <v>21.315490716001641</v>
      </c>
      <c r="J261" s="216">
        <f>(AllocationEnergy!$H$35/100)*AnaerobicDigestion!W22*(Unitflowchart!$S$312/Unitflowchart!$S$383)</f>
        <v>3.1237499999999994E-2</v>
      </c>
      <c r="K261" s="215">
        <f>(AllocationEnergy!$H$35/100)*AnaerobicDigestion!AB22*(Unitflowchart!$S$312/Unitflowchart!$S$383)</f>
        <v>1.8952941176470584E-3</v>
      </c>
      <c r="L261" s="15">
        <f>(K261/K$391)*100</f>
        <v>0.87506390639117693</v>
      </c>
      <c r="M261" s="216">
        <f>(AllocationEnergy!$H$35/100)*AnaerobicDigestion!AC22*(Unitflowchart!$S$312/Unitflowchart!$S$383)</f>
        <v>0</v>
      </c>
      <c r="N261" s="730">
        <f>E261+(GlobalWarmingPotentials!$B$11*H261)+(GlobalWarmingPotentials!$C$11*K261)</f>
        <v>76.871625441176477</v>
      </c>
      <c r="O261" s="15">
        <f>(N261/N$391)*100</f>
        <v>8.6224398723551552</v>
      </c>
      <c r="P261" s="761">
        <f>SQRT((G261^2)+((GlobalWarmingPotentials!$B$11*J261)^2)+((GlobalWarmingPotentials!$C$11*M261)^2))</f>
        <v>10.861288809985041</v>
      </c>
      <c r="Q261" s="30"/>
    </row>
    <row r="262" spans="1:17" x14ac:dyDescent="0.25">
      <c r="B262" s="733"/>
      <c r="D262" s="735"/>
      <c r="E262" s="733"/>
      <c r="G262" s="735"/>
      <c r="H262" s="750"/>
      <c r="J262" s="32"/>
      <c r="K262" s="750"/>
      <c r="M262" s="724"/>
      <c r="N262" s="733"/>
      <c r="P262" s="735"/>
      <c r="Q262" s="30"/>
    </row>
    <row r="263" spans="1:17" x14ac:dyDescent="0.25">
      <c r="A263" s="2" t="s">
        <v>1719</v>
      </c>
      <c r="B263" s="728"/>
      <c r="D263" s="735"/>
      <c r="E263" s="728"/>
      <c r="G263" s="735"/>
      <c r="H263" s="31"/>
      <c r="J263" s="32"/>
      <c r="K263" s="31"/>
      <c r="M263" s="724"/>
      <c r="N263" s="728"/>
      <c r="P263" s="735"/>
      <c r="Q263" s="30"/>
    </row>
    <row r="264" spans="1:17" x14ac:dyDescent="0.25">
      <c r="B264" s="728"/>
      <c r="D264" s="735"/>
      <c r="E264" s="728"/>
      <c r="G264" s="735"/>
      <c r="H264" s="31"/>
      <c r="J264" s="32"/>
      <c r="K264" s="31"/>
      <c r="M264" s="724"/>
      <c r="N264" s="728"/>
      <c r="P264" s="735"/>
      <c r="Q264" s="30"/>
    </row>
    <row r="265" spans="1:17" x14ac:dyDescent="0.25">
      <c r="A265" t="str">
        <f>Utilities!A18</f>
        <v>Electricity Input</v>
      </c>
      <c r="B265" s="732">
        <f>(AllocationEnergy!$H$35/100)*Utilities!J18*(Unitflowchart!$S$312/Unitflowchart!$S$383)</f>
        <v>0</v>
      </c>
      <c r="C265" s="26">
        <f>(B265/B$391)*100</f>
        <v>0</v>
      </c>
      <c r="D265" s="358">
        <f>(AllocationEnergy!$H$35/100)*Utilities!K18*(Unitflowchart!$S$312/Unitflowchart!$S$383)</f>
        <v>0</v>
      </c>
      <c r="E265" s="726">
        <f>(AllocationEnergy!$H$35/100)*Utilities!P18*(Unitflowchart!$S$312/Unitflowchart!$S$383)</f>
        <v>0</v>
      </c>
      <c r="F265" s="25">
        <f t="shared" ref="F265:F267" si="56">(E265/E$391)*100</f>
        <v>0</v>
      </c>
      <c r="G265" s="744">
        <f>(AllocationEnergy!$H$35/100)*Utilities!Q18*(Unitflowchart!$S$312/Unitflowchart!$S$383)</f>
        <v>0</v>
      </c>
      <c r="H265" s="723">
        <f>(AllocationEnergy!$H$35/100)*Utilities!V18*(Unitflowchart!$S$312/Unitflowchart!$S$383)</f>
        <v>4.2465882352941192E-3</v>
      </c>
      <c r="I265" s="25">
        <f t="shared" ref="I265:I267" si="57">(H265/H$391)*100</f>
        <v>0.42396220115084465</v>
      </c>
      <c r="J265" s="1066">
        <f>(AllocationEnergy!$H$35/100)*Utilities!W18*(Unitflowchart!$S$312/Unitflowchart!$S$383)</f>
        <v>0</v>
      </c>
      <c r="K265" s="723">
        <f>(AllocationEnergy!$H$35/100)*Utilities!AB18*(Unitflowchart!$S$312/Unitflowchart!$S$383)</f>
        <v>1.2739764705882355E-3</v>
      </c>
      <c r="L265" s="25">
        <f t="shared" ref="L265:L267" si="58">(K265/K$391)*100</f>
        <v>0.58819938110048298</v>
      </c>
      <c r="M265" s="725">
        <f>(AllocationEnergy!$H$35/100)*Utilities!AC18*(Unitflowchart!$S$312/Unitflowchart!$S$383)</f>
        <v>0</v>
      </c>
      <c r="N265" s="727">
        <f>E265+(GlobalWarmingPotentials!$B$11*H265)+(GlobalWarmingPotentials!$C$11*K265)</f>
        <v>0.47476856470588247</v>
      </c>
      <c r="O265" s="26">
        <f>(N265/N$391)*100</f>
        <v>5.325324368994086E-2</v>
      </c>
      <c r="P265" s="760">
        <f>SQRT((G265^2)+((GlobalWarmingPotentials!$B$11*J265)^2)+((GlobalWarmingPotentials!$C$11*M265)^2))</f>
        <v>0</v>
      </c>
      <c r="Q265" s="30"/>
    </row>
    <row r="266" spans="1:17" x14ac:dyDescent="0.25">
      <c r="B266" s="728"/>
      <c r="D266" s="735"/>
      <c r="E266" s="728"/>
      <c r="G266" s="735"/>
      <c r="H266" s="31"/>
      <c r="J266" s="32"/>
      <c r="K266" s="31"/>
      <c r="M266" s="724"/>
      <c r="N266" s="728"/>
      <c r="P266" s="735"/>
      <c r="Q266" s="30"/>
    </row>
    <row r="267" spans="1:17" x14ac:dyDescent="0.25">
      <c r="A267" s="218" t="s">
        <v>1834</v>
      </c>
      <c r="B267" s="734">
        <f>(AllocationEnergy!$H$35/100)*Utilities!J20*(Unitflowchart!$S$312/Unitflowchart!$S$383)</f>
        <v>0</v>
      </c>
      <c r="C267" s="721">
        <f>(B267/B$391)*100</f>
        <v>0</v>
      </c>
      <c r="D267" s="745">
        <f>(AllocationEnergy!$H$35/100)*Utilities!K20*(Unitflowchart!$S$312/Unitflowchart!$S$383)</f>
        <v>0</v>
      </c>
      <c r="E267" s="734">
        <f>(AllocationEnergy!$H$35/100)*Utilities!P20*(Unitflowchart!$S$312/Unitflowchart!$S$383)</f>
        <v>0</v>
      </c>
      <c r="F267" s="721">
        <f t="shared" si="56"/>
        <v>0</v>
      </c>
      <c r="G267" s="745">
        <f>(AllocationEnergy!$H$35/100)*Utilities!Q20*(Unitflowchart!$S$312/Unitflowchart!$S$383)</f>
        <v>0</v>
      </c>
      <c r="H267" s="722">
        <f>(AllocationEnergy!$H$35/100)*Utilities!V20*(Unitflowchart!$S$312/Unitflowchart!$S$383)</f>
        <v>4.2465882352941192E-3</v>
      </c>
      <c r="I267" s="721">
        <f t="shared" si="57"/>
        <v>0.42396220115084465</v>
      </c>
      <c r="J267" s="719">
        <f>(AllocationEnergy!$H$35/100)*Utilities!W20*(Unitflowchart!$S$312/Unitflowchart!$S$383)</f>
        <v>0</v>
      </c>
      <c r="K267" s="722">
        <f>(AllocationEnergy!$H$35/100)*Utilities!AB20*(Unitflowchart!$S$312/Unitflowchart!$S$383)</f>
        <v>1.2739764705882355E-3</v>
      </c>
      <c r="L267" s="721">
        <f t="shared" si="58"/>
        <v>0.58819938110048298</v>
      </c>
      <c r="M267" s="720">
        <f>(AllocationEnergy!$H$35/100)*Utilities!AC20*(Unitflowchart!$S$312/Unitflowchart!$S$383)</f>
        <v>0</v>
      </c>
      <c r="N267" s="734">
        <f>E267+(GlobalWarmingPotentials!$B$11*H267)+(GlobalWarmingPotentials!$C$11*K267)</f>
        <v>0.47476856470588247</v>
      </c>
      <c r="O267" s="721">
        <f>(N267/N$391)*100</f>
        <v>5.325324368994086E-2</v>
      </c>
      <c r="P267" s="743">
        <f>SQRT((G267^2)+((GlobalWarmingPotentials!$B$11*J267)^2)+((GlobalWarmingPotentials!$C$11*M267)^2))</f>
        <v>0</v>
      </c>
      <c r="Q267" s="30"/>
    </row>
    <row r="268" spans="1:17" x14ac:dyDescent="0.25">
      <c r="B268" s="728"/>
      <c r="D268" s="735"/>
      <c r="E268" s="728"/>
      <c r="G268" s="735"/>
      <c r="H268" s="31"/>
      <c r="J268" s="32"/>
      <c r="K268" s="31"/>
      <c r="M268" s="724"/>
      <c r="N268" s="728"/>
      <c r="P268" s="735"/>
      <c r="Q268" s="30"/>
    </row>
    <row r="269" spans="1:17" x14ac:dyDescent="0.25">
      <c r="A269" s="2" t="s">
        <v>896</v>
      </c>
      <c r="B269" s="728"/>
      <c r="D269" s="735"/>
      <c r="E269" s="728"/>
      <c r="G269" s="735"/>
      <c r="H269" s="31"/>
      <c r="J269" s="32"/>
      <c r="K269" s="31"/>
      <c r="M269" s="724"/>
      <c r="N269" s="728"/>
      <c r="P269" s="735"/>
      <c r="Q269" s="30"/>
    </row>
    <row r="270" spans="1:17" x14ac:dyDescent="0.25">
      <c r="B270" s="728"/>
      <c r="D270" s="735"/>
      <c r="E270" s="728"/>
      <c r="G270" s="735"/>
      <c r="H270" s="31"/>
      <c r="J270" s="32"/>
      <c r="K270" s="31"/>
      <c r="M270" s="724"/>
      <c r="N270" s="728"/>
      <c r="P270" s="735"/>
      <c r="Q270" s="30"/>
    </row>
    <row r="271" spans="1:17" x14ac:dyDescent="0.25">
      <c r="A271" s="3" t="s">
        <v>897</v>
      </c>
      <c r="B271" s="791">
        <v>0</v>
      </c>
      <c r="C271" s="25">
        <f>(B271/B$391)*100</f>
        <v>0</v>
      </c>
      <c r="D271" s="744">
        <v>0</v>
      </c>
      <c r="E271" s="726">
        <f>-(AllocationEnergy!$H$35/100)/Unitflowchart!$S$383*(Unitflowchart!AG254*1000)*gas_credit</f>
        <v>0</v>
      </c>
      <c r="F271" s="25">
        <f>(E271/E$391)*100</f>
        <v>0</v>
      </c>
      <c r="G271" s="744">
        <v>0</v>
      </c>
      <c r="H271" s="723">
        <v>0</v>
      </c>
      <c r="I271" s="25">
        <f>(H271/H$391)*100</f>
        <v>0</v>
      </c>
      <c r="J271" s="1066">
        <v>0</v>
      </c>
      <c r="K271" s="723">
        <v>0</v>
      </c>
      <c r="L271" s="25">
        <f>(K271/K$391)*100</f>
        <v>0</v>
      </c>
      <c r="M271" s="725">
        <v>0</v>
      </c>
      <c r="N271" s="726">
        <f>E271+(GlobalWarmingPotentials!$B$11*H271)+(GlobalWarmingPotentials!$C$11*K271)</f>
        <v>0</v>
      </c>
      <c r="O271" s="25">
        <f>(N271/N$391)*100</f>
        <v>0</v>
      </c>
      <c r="P271" s="744">
        <f>SQRT((G271^2)+((GlobalWarmingPotentials!$B$11*J271)^2)+((GlobalWarmingPotentials!$C$11*M271)^2))</f>
        <v>0</v>
      </c>
      <c r="Q271" s="30"/>
    </row>
    <row r="272" spans="1:17" x14ac:dyDescent="0.25">
      <c r="B272" s="728"/>
      <c r="D272" s="735"/>
      <c r="E272" s="728"/>
      <c r="F272" s="25"/>
      <c r="G272" s="735"/>
      <c r="H272" s="31"/>
      <c r="I272" s="25"/>
      <c r="J272" s="32"/>
      <c r="K272" s="31"/>
      <c r="L272" s="25"/>
      <c r="M272" s="724"/>
      <c r="N272" s="728"/>
      <c r="O272" s="25"/>
      <c r="P272" s="735"/>
      <c r="Q272" s="30"/>
    </row>
    <row r="273" spans="1:17" x14ac:dyDescent="0.25">
      <c r="A273" s="715" t="s">
        <v>898</v>
      </c>
      <c r="B273" s="734">
        <v>0</v>
      </c>
      <c r="C273" s="721">
        <f>(B273/B$391)*100</f>
        <v>0</v>
      </c>
      <c r="D273" s="745">
        <v>0</v>
      </c>
      <c r="E273" s="734">
        <f>E271</f>
        <v>0</v>
      </c>
      <c r="F273" s="721">
        <f>(E273/E$391)*100</f>
        <v>0</v>
      </c>
      <c r="G273" s="745"/>
      <c r="H273" s="722">
        <v>0</v>
      </c>
      <c r="I273" s="721">
        <f>(H273/H$391)*100</f>
        <v>0</v>
      </c>
      <c r="J273" s="719">
        <v>0</v>
      </c>
      <c r="K273" s="722">
        <v>0</v>
      </c>
      <c r="L273" s="721">
        <f>(K273/K$391)*100</f>
        <v>0</v>
      </c>
      <c r="M273" s="720">
        <v>0</v>
      </c>
      <c r="N273" s="734">
        <f>E273+(GlobalWarmingPotentials!$B$11*H273)+(GlobalWarmingPotentials!$C$11*K273)</f>
        <v>0</v>
      </c>
      <c r="O273" s="721">
        <f>(N273/N$391)*100</f>
        <v>0</v>
      </c>
      <c r="P273" s="743">
        <f>SQRT((G273^2)+((GlobalWarmingPotentials!$B$11*J273)^2)+((GlobalWarmingPotentials!$C$11*M273)^2))</f>
        <v>0</v>
      </c>
      <c r="Q273" s="30"/>
    </row>
    <row r="274" spans="1:17" x14ac:dyDescent="0.25">
      <c r="B274" s="728"/>
      <c r="D274" s="735"/>
      <c r="E274" s="728"/>
      <c r="G274" s="735"/>
      <c r="H274" s="31"/>
      <c r="J274" s="32"/>
      <c r="K274" s="31"/>
      <c r="M274" s="724"/>
      <c r="N274" s="728"/>
      <c r="P274" s="735"/>
      <c r="Q274" s="30"/>
    </row>
    <row r="275" spans="1:17" x14ac:dyDescent="0.25">
      <c r="A275" s="2" t="s">
        <v>906</v>
      </c>
      <c r="B275" s="728"/>
      <c r="D275" s="735"/>
      <c r="E275" s="728"/>
      <c r="G275" s="735"/>
      <c r="H275" s="31"/>
      <c r="J275" s="32"/>
      <c r="K275" s="31"/>
      <c r="M275" s="724"/>
      <c r="N275" s="728"/>
      <c r="P275" s="735"/>
      <c r="Q275" s="30"/>
    </row>
    <row r="276" spans="1:17" x14ac:dyDescent="0.25">
      <c r="B276" s="728"/>
      <c r="D276" s="735"/>
      <c r="E276" s="728"/>
      <c r="G276" s="735"/>
      <c r="H276" s="31"/>
      <c r="J276" s="32"/>
      <c r="K276" s="31"/>
      <c r="M276" s="724"/>
      <c r="N276" s="728"/>
      <c r="P276" s="735"/>
      <c r="Q276" s="30"/>
    </row>
    <row r="277" spans="1:17" x14ac:dyDescent="0.25">
      <c r="A277" t="str">
        <f>ElectricitySales!A15</f>
        <v>Electricity Credit</v>
      </c>
      <c r="B277" s="732">
        <f>Unitflowchart!$S$312*(AllocationEnergy!$H$35/100)/Unitflowchart!$S$383*(ElectricitySales!J15)</f>
        <v>0</v>
      </c>
      <c r="C277" s="26">
        <f>(B277/B$391)*100</f>
        <v>0</v>
      </c>
      <c r="D277" s="491">
        <f>Unitflowchart!$S$312*(AllocationEnergy!$H$35/100)/Unitflowchart!$S$383*(ElectricitySales!K15)</f>
        <v>0</v>
      </c>
      <c r="E277" s="732">
        <f>Unitflowchart!$S$312*(AllocationEnergy!$H$35/100)/Unitflowchart!$S$383*(ElectricitySales!P15)</f>
        <v>0</v>
      </c>
      <c r="F277" s="26">
        <f>(E277/E$391)*100</f>
        <v>0</v>
      </c>
      <c r="G277" s="358">
        <f>Unitflowchart!$S$312*(AllocationEnergy!$H$35/100)/Unitflowchart!$S$383*(ElectricitySales!Q15)</f>
        <v>0</v>
      </c>
      <c r="H277" s="749">
        <f>Unitflowchart!$S$312*(AllocationEnergy!$H$35/100)/Unitflowchart!$S$383*(ElectricitySales!V15)</f>
        <v>-7.4146129819083251E-2</v>
      </c>
      <c r="I277" s="26">
        <f>(H277/H$391)*100</f>
        <v>-7.4024498404747288</v>
      </c>
      <c r="J277" s="751">
        <f>Unitflowchart!$S$312*(AllocationEnergy!$H$35/100)/Unitflowchart!$S$383*(ElectricitySales!W15)</f>
        <v>0</v>
      </c>
      <c r="K277" s="749">
        <f>Unitflowchart!$S$312*(AllocationEnergy!$H$35/100)/Unitflowchart!$S$383*(ElectricitySales!AB15)</f>
        <v>-2.2243838945724972E-2</v>
      </c>
      <c r="L277" s="26">
        <f>(K277/K$391)*100</f>
        <v>-10.27005804521102</v>
      </c>
      <c r="M277" s="752">
        <f>Unitflowchart!$S$312*(AllocationEnergy!$H$35/100)/Unitflowchart!$S$383*(ElectricitySales!AC15)</f>
        <v>0</v>
      </c>
      <c r="N277" s="727">
        <f>E277+(GlobalWarmingPotentials!$B$11*H277)+(GlobalWarmingPotentials!$C$11*K277)</f>
        <v>-8.289537313773506</v>
      </c>
      <c r="O277" s="26">
        <f>(N277/N$391)*100</f>
        <v>-0.92981040335033938</v>
      </c>
      <c r="P277" s="760">
        <f>SQRT((G277^2)+((GlobalWarmingPotentials!$B$11*J277)^2)+((GlobalWarmingPotentials!$C$11*M277)^2))</f>
        <v>0</v>
      </c>
      <c r="Q277" s="30"/>
    </row>
    <row r="278" spans="1:17" s="43" customFormat="1" x14ac:dyDescent="0.25">
      <c r="B278" s="729"/>
      <c r="C278" s="155"/>
      <c r="D278" s="779"/>
      <c r="E278" s="766"/>
      <c r="F278" s="992"/>
      <c r="G278" s="827"/>
      <c r="H278" s="783"/>
      <c r="I278" s="992"/>
      <c r="J278" s="784"/>
      <c r="K278" s="783"/>
      <c r="L278" s="992"/>
      <c r="M278" s="828"/>
      <c r="N278" s="729"/>
      <c r="O278" s="155"/>
      <c r="P278" s="213"/>
      <c r="Q278" s="852"/>
    </row>
    <row r="279" spans="1:17" x14ac:dyDescent="0.25">
      <c r="A279" s="218" t="s">
        <v>915</v>
      </c>
      <c r="B279" s="730">
        <f>Unitflowchart!$S$312*(AllocationEnergy!$H$35/100)/Unitflowchart!$S$383*(ElectricitySales!J17)</f>
        <v>0</v>
      </c>
      <c r="C279" s="15">
        <f>(B279/B$391)*100</f>
        <v>0</v>
      </c>
      <c r="D279" s="1003">
        <f>Unitflowchart!$S$312*(AllocationEnergy!$H$35/100)/Unitflowchart!$S$383*(ElectricitySales!K17)</f>
        <v>0</v>
      </c>
      <c r="E279" s="1002">
        <f>Unitflowchart!$S$312*(AllocationEnergy!$H$35/100)/Unitflowchart!$S$383*(ElectricitySales!P17)</f>
        <v>0</v>
      </c>
      <c r="F279" s="993">
        <f>(E279/E$391)*100</f>
        <v>0</v>
      </c>
      <c r="G279" s="1007">
        <f>Unitflowchart!$S$312*(AllocationEnergy!$H$35/100)/Unitflowchart!$S$383*(ElectricitySales!Q17)</f>
        <v>0</v>
      </c>
      <c r="H279" s="1004">
        <f>Unitflowchart!$S$312*(AllocationEnergy!$H$35/100)/Unitflowchart!$S$383*(ElectricitySales!V17)</f>
        <v>-7.4146129819083251E-2</v>
      </c>
      <c r="I279" s="993">
        <f>(H279/H$391)*100</f>
        <v>-7.4024498404747288</v>
      </c>
      <c r="J279" s="1005">
        <f>Unitflowchart!$S$312*(AllocationEnergy!$H$35/100)/Unitflowchart!$S$383*(ElectricitySales!W17)</f>
        <v>0</v>
      </c>
      <c r="K279" s="1004">
        <f>Unitflowchart!$S$312*(AllocationEnergy!$H$35/100)/Unitflowchart!$S$383*(ElectricitySales!AB17)</f>
        <v>-2.2243838945724972E-2</v>
      </c>
      <c r="L279" s="993">
        <f>(K279/K$391)*100</f>
        <v>-10.27005804521102</v>
      </c>
      <c r="M279" s="1005">
        <f>Unitflowchart!$S$312*(AllocationEnergy!$H$35/100)/Unitflowchart!$S$383*(ElectricitySales!AC17)</f>
        <v>0</v>
      </c>
      <c r="N279" s="730">
        <f>E279+(GlobalWarmingPotentials!$B$11*H279)+(GlobalWarmingPotentials!$C$11*K279)</f>
        <v>-8.289537313773506</v>
      </c>
      <c r="O279" s="15">
        <f>(N279/N$391)*100</f>
        <v>-0.92981040335033938</v>
      </c>
      <c r="P279" s="761">
        <f>SQRT((G279^2)+((GlobalWarmingPotentials!$B$11*J279)^2)+((GlobalWarmingPotentials!$C$11*M279)^2))</f>
        <v>0</v>
      </c>
      <c r="Q279" s="30"/>
    </row>
    <row r="280" spans="1:17" x14ac:dyDescent="0.25">
      <c r="B280" s="728"/>
      <c r="D280" s="735"/>
      <c r="E280" s="728"/>
      <c r="G280" s="735"/>
      <c r="H280" s="31"/>
      <c r="J280" s="32"/>
      <c r="K280" s="31"/>
      <c r="M280" s="724"/>
      <c r="N280" s="733"/>
      <c r="P280" s="735"/>
      <c r="Q280" s="30"/>
    </row>
    <row r="281" spans="1:17" x14ac:dyDescent="0.25">
      <c r="A281" s="387" t="s">
        <v>422</v>
      </c>
      <c r="B281" s="728"/>
      <c r="D281" s="735"/>
      <c r="E281" s="728"/>
      <c r="G281" s="735"/>
      <c r="H281" s="31"/>
      <c r="J281" s="32"/>
      <c r="K281" s="31"/>
      <c r="M281" s="724"/>
      <c r="N281" s="728"/>
      <c r="P281" s="735"/>
      <c r="Q281" s="30"/>
    </row>
    <row r="282" spans="1:17" x14ac:dyDescent="0.25">
      <c r="B282" s="728"/>
      <c r="D282" s="735"/>
      <c r="E282" s="728"/>
      <c r="G282" s="735"/>
      <c r="H282" s="31"/>
      <c r="J282" s="32"/>
      <c r="K282" s="31"/>
      <c r="M282" s="724"/>
      <c r="N282" s="728"/>
      <c r="P282" s="735"/>
      <c r="Q282" s="30"/>
    </row>
    <row r="283" spans="1:17" x14ac:dyDescent="0.25">
      <c r="A283" t="str">
        <f>RoadTransportEthanolStage1!A42</f>
        <v xml:space="preserve"> - Diesel Fuel</v>
      </c>
      <c r="B283" s="732">
        <f>(Unitflowchart!$S$320/Unitflowchart!$S$383)*RoadTransportEthanolStage1!J42*Unitflowchart!$S$329</f>
        <v>517.88672232212184</v>
      </c>
      <c r="C283" s="26">
        <f>(B283/B$391)*100</f>
        <v>4.0008609615279447</v>
      </c>
      <c r="D283" s="491">
        <f>(Unitflowchart!$S$320/Unitflowchart!$S$383)*RoadTransportEthanolStage1!K42*Unitflowchart!$S$329</f>
        <v>24.34067594913973</v>
      </c>
      <c r="E283" s="732">
        <f>(Unitflowchart!$S$320/Unitflowchart!$S$383)*RoadTransportEthanolStage1!P42*Unitflowchart!$S$329</f>
        <v>37.164284826471004</v>
      </c>
      <c r="F283" s="26">
        <f>(E283/E$391)*100</f>
        <v>4.6202303121259201</v>
      </c>
      <c r="G283" s="358">
        <f>(Unitflowchart!$S$320/Unitflowchart!$S$383)*RoadTransportEthanolStage1!Q42*Unitflowchart!$S$329</f>
        <v>1.7467213868441371</v>
      </c>
      <c r="H283" s="749">
        <f>(Unitflowchart!$S$320/Unitflowchart!$S$383)*RoadTransportEthanolStage1!V42*Unitflowchart!$S$329</f>
        <v>7.7224487951108563E-3</v>
      </c>
      <c r="I283" s="26">
        <f>(H283/H$391)*100</f>
        <v>0.77097806710782424</v>
      </c>
      <c r="J283" s="751">
        <f>(Unitflowchart!$S$320/Unitflowchart!$S$383)*RoadTransportEthanolStage1!W425*Unitflowchart!$S$329</f>
        <v>0</v>
      </c>
      <c r="K283" s="749">
        <f>(Unitflowchart!$S$320/Unitflowchart!$S$383)*RoadTransportEthanolStage1!AB42*Unitflowchart!$S$329</f>
        <v>1.0039183433644116E-2</v>
      </c>
      <c r="L283" s="26">
        <f>(K283/K$391)*100</f>
        <v>4.6351260158652252</v>
      </c>
      <c r="M283" s="752">
        <f>(Unitflowchart!$S$320/Unitflowchart!$S$383)*RoadTransportEthanolStage1!AC42*Unitflowchart!$S$329</f>
        <v>4.7184162138127345E-4</v>
      </c>
      <c r="N283" s="727">
        <f>E283+(GlobalWarmingPotentials!$B$11*H283)+(GlobalWarmingPotentials!$C$11*K283)</f>
        <v>40.313499445117209</v>
      </c>
      <c r="O283" s="26">
        <f>(N283/N$391)*100</f>
        <v>4.5218339408698496</v>
      </c>
      <c r="P283" s="760">
        <f>SQRT((G283^2)+((GlobalWarmingPotentials!$B$11*J283)^2)+((GlobalWarmingPotentials!$C$11*M283)^2))</f>
        <v>1.7522961932799626</v>
      </c>
      <c r="Q283" s="30"/>
    </row>
    <row r="284" spans="1:17" x14ac:dyDescent="0.25">
      <c r="A284" t="str">
        <f>RoadTransportEthanolStage1!A43</f>
        <v xml:space="preserve"> - Vehicle </v>
      </c>
      <c r="B284" s="732">
        <f>(Unitflowchart!$S$320/Unitflowchart!$S$383)*RoadTransportEthanolStage1!J43*Unitflowchart!$S$329</f>
        <v>0</v>
      </c>
      <c r="C284" s="26">
        <f t="shared" ref="C284:C287" si="59">(B284/B$391)*100</f>
        <v>0</v>
      </c>
      <c r="D284" s="491">
        <f>(Unitflowchart!$S$320/Unitflowchart!$S$383)*RoadTransportEthanolStage1!K43*Unitflowchart!$S$329</f>
        <v>0</v>
      </c>
      <c r="E284" s="732">
        <f>(Unitflowchart!$S$320/Unitflowchart!$S$383)*RoadTransportEthanolStage1!P43*Unitflowchart!$S$329</f>
        <v>0</v>
      </c>
      <c r="F284" s="26">
        <f t="shared" ref="F284:F287" si="60">(E284/E$391)*100</f>
        <v>0</v>
      </c>
      <c r="G284" s="358">
        <f>(Unitflowchart!$S$320/Unitflowchart!$S$383)*RoadTransportEthanolStage1!Q43*Unitflowchart!$S$329</f>
        <v>0</v>
      </c>
      <c r="H284" s="749">
        <f>(Unitflowchart!$S$320/Unitflowchart!$S$383)*RoadTransportEthanolStage1!V43*Unitflowchart!$S$329</f>
        <v>0</v>
      </c>
      <c r="I284" s="26">
        <f t="shared" ref="I284:I287" si="61">(H284/H$391)*100</f>
        <v>0</v>
      </c>
      <c r="J284" s="751">
        <f>(Unitflowchart!$S$320/Unitflowchart!$S$383)*RoadTransportEthanolStage1!W426*Unitflowchart!$S$329</f>
        <v>0</v>
      </c>
      <c r="K284" s="749">
        <f>(Unitflowchart!$S$320/Unitflowchart!$S$383)*RoadTransportEthanolStage1!AB43*Unitflowchart!$S$329</f>
        <v>0</v>
      </c>
      <c r="L284" s="26">
        <f t="shared" ref="L284:L287" si="62">(K284/K$391)*100</f>
        <v>0</v>
      </c>
      <c r="M284" s="752">
        <f>(Unitflowchart!$S$320/Unitflowchart!$S$383)*RoadTransportEthanolStage1!AC43*Unitflowchart!$S$329</f>
        <v>0</v>
      </c>
      <c r="N284" s="727">
        <f>E284+(GlobalWarmingPotentials!$B$11*H284)+(GlobalWarmingPotentials!$C$11*K284)</f>
        <v>0</v>
      </c>
      <c r="O284" s="26">
        <f>(N284/N$391)*100</f>
        <v>0</v>
      </c>
      <c r="P284" s="760">
        <f>SQRT((G284^2)+((GlobalWarmingPotentials!$B$11*J284)^2)+((GlobalWarmingPotentials!$C$11*M284)^2))</f>
        <v>0</v>
      </c>
      <c r="Q284" s="30"/>
    </row>
    <row r="285" spans="1:17" x14ac:dyDescent="0.25">
      <c r="A285" t="str">
        <f>RoadTransportEthanolStage1!A44</f>
        <v xml:space="preserve"> - Maintenance</v>
      </c>
      <c r="B285" s="732">
        <f>(Unitflowchart!$S$320/Unitflowchart!$S$383)*RoadTransportEthanolStage1!J44*Unitflowchart!$S$329</f>
        <v>0</v>
      </c>
      <c r="C285" s="26">
        <f t="shared" si="59"/>
        <v>0</v>
      </c>
      <c r="D285" s="491">
        <f>(Unitflowchart!$S$320/Unitflowchart!$S$383)*RoadTransportEthanolStage1!K44*Unitflowchart!$S$329</f>
        <v>0</v>
      </c>
      <c r="E285" s="732">
        <f>(Unitflowchart!$S$320/Unitflowchart!$S$383)*RoadTransportEthanolStage1!P44*Unitflowchart!$S$329</f>
        <v>0</v>
      </c>
      <c r="F285" s="26">
        <f t="shared" si="60"/>
        <v>0</v>
      </c>
      <c r="G285" s="358">
        <f>(Unitflowchart!$S$320/Unitflowchart!$S$383)*RoadTransportEthanolStage1!Q44*Unitflowchart!$S$329</f>
        <v>0</v>
      </c>
      <c r="H285" s="749">
        <f>(Unitflowchart!$S$320/Unitflowchart!$S$383)*RoadTransportEthanolStage1!V44*Unitflowchart!$S$329</f>
        <v>0</v>
      </c>
      <c r="I285" s="26">
        <f t="shared" si="61"/>
        <v>0</v>
      </c>
      <c r="J285" s="751">
        <f>(Unitflowchart!$S$320/Unitflowchart!$S$383)*RoadTransportEthanolStage1!W427*Unitflowchart!$S$329</f>
        <v>0</v>
      </c>
      <c r="K285" s="749">
        <f>(Unitflowchart!$S$320/Unitflowchart!$S$383)*RoadTransportEthanolStage1!AB44*Unitflowchart!$S$329</f>
        <v>0</v>
      </c>
      <c r="L285" s="26">
        <f t="shared" si="62"/>
        <v>0</v>
      </c>
      <c r="M285" s="752">
        <f>(Unitflowchart!$S$320/Unitflowchart!$S$383)*RoadTransportEthanolStage1!AC44*Unitflowchart!$S$329</f>
        <v>0</v>
      </c>
      <c r="N285" s="727">
        <f>E285+(GlobalWarmingPotentials!$B$11*H285)+(GlobalWarmingPotentials!$C$11*K285)</f>
        <v>0</v>
      </c>
      <c r="O285" s="26">
        <f>(N285/N$391)*100</f>
        <v>0</v>
      </c>
      <c r="P285" s="760">
        <f>SQRT((G285^2)+((GlobalWarmingPotentials!$B$11*J285)^2)+((GlobalWarmingPotentials!$C$11*M285)^2))</f>
        <v>0</v>
      </c>
      <c r="Q285" s="30"/>
    </row>
    <row r="286" spans="1:17" s="43" customFormat="1" x14ac:dyDescent="0.25">
      <c r="B286" s="766"/>
      <c r="C286" s="992"/>
      <c r="D286" s="779"/>
      <c r="E286" s="766"/>
      <c r="F286" s="992"/>
      <c r="G286" s="827"/>
      <c r="H286" s="783"/>
      <c r="I286" s="992"/>
      <c r="J286" s="784"/>
      <c r="K286" s="783"/>
      <c r="L286" s="992"/>
      <c r="M286" s="828"/>
      <c r="N286" s="1064"/>
      <c r="O286" s="1060"/>
      <c r="P286" s="1065"/>
      <c r="Q286" s="852"/>
    </row>
    <row r="287" spans="1:17" x14ac:dyDescent="0.25">
      <c r="A287" s="218" t="s">
        <v>866</v>
      </c>
      <c r="B287" s="1002">
        <f>(Unitflowchart!$S$320/Unitflowchart!$S$383)*RoadTransportEthanolStage1!J46*Unitflowchart!$S$329</f>
        <v>517.88672232212184</v>
      </c>
      <c r="C287" s="993">
        <f t="shared" si="59"/>
        <v>4.0008609615279447</v>
      </c>
      <c r="D287" s="1003">
        <f>(Unitflowchart!$S$320/Unitflowchart!$S$383)*RoadTransportEthanolStage1!K46*Unitflowchart!$S$329</f>
        <v>24.34067594913973</v>
      </c>
      <c r="E287" s="1002">
        <f>(Unitflowchart!$S$320/Unitflowchart!$S$383)*RoadTransportEthanolStage1!P46*Unitflowchart!$S$329</f>
        <v>37.164284826471004</v>
      </c>
      <c r="F287" s="993">
        <f t="shared" si="60"/>
        <v>4.6202303121259201</v>
      </c>
      <c r="G287" s="1007">
        <f>(Unitflowchart!$S$320/Unitflowchart!$S$383)*RoadTransportEthanolStage1!Q46*Unitflowchart!$S$329</f>
        <v>1.7467213868441371</v>
      </c>
      <c r="H287" s="1004">
        <f>(Unitflowchart!$S$320/Unitflowchart!$S$383)*RoadTransportEthanolStage1!V46*Unitflowchart!$S$329</f>
        <v>7.7224487951108563E-3</v>
      </c>
      <c r="I287" s="993">
        <f t="shared" si="61"/>
        <v>0.77097806710782424</v>
      </c>
      <c r="J287" s="1005">
        <f>(Unitflowchart!$S$320/Unitflowchart!$S$383)*RoadTransportEthanolStage1!W429*Unitflowchart!$S$329</f>
        <v>0</v>
      </c>
      <c r="K287" s="1004">
        <f>(Unitflowchart!$S$320/Unitflowchart!$S$383)*RoadTransportEthanolStage1!AB46*Unitflowchart!$S$329</f>
        <v>1.0039183433644116E-2</v>
      </c>
      <c r="L287" s="993">
        <f t="shared" si="62"/>
        <v>4.6351260158652252</v>
      </c>
      <c r="M287" s="1005">
        <f>(Unitflowchart!$S$320/Unitflowchart!$S$383)*RoadTransportEthanolStage1!AC46*Unitflowchart!$S$329</f>
        <v>4.7184162138127345E-4</v>
      </c>
      <c r="N287" s="730">
        <f>E287+(GlobalWarmingPotentials!$B$11*H287)+(GlobalWarmingPotentials!$C$11*K287)</f>
        <v>40.313499445117209</v>
      </c>
      <c r="O287" s="15">
        <f>(N287/N$391)*100</f>
        <v>4.5218339408698496</v>
      </c>
      <c r="P287" s="761">
        <f>SQRT((G287^2)+((GlobalWarmingPotentials!$B$11*J287)^2)+((GlobalWarmingPotentials!$C$11*M287)^2))</f>
        <v>1.7522961932799626</v>
      </c>
      <c r="Q287" s="30"/>
    </row>
    <row r="288" spans="1:17" x14ac:dyDescent="0.25">
      <c r="B288" s="728"/>
      <c r="D288" s="735"/>
      <c r="E288" s="728"/>
      <c r="G288" s="735"/>
      <c r="H288" s="31"/>
      <c r="J288" s="32"/>
      <c r="K288" s="31"/>
      <c r="M288" s="724"/>
      <c r="N288" s="733"/>
      <c r="P288" s="735"/>
      <c r="Q288" s="30"/>
    </row>
    <row r="289" spans="1:17" x14ac:dyDescent="0.25">
      <c r="A289" s="387" t="s">
        <v>917</v>
      </c>
      <c r="B289" s="728"/>
      <c r="D289" s="735"/>
      <c r="E289" s="728"/>
      <c r="G289" s="735"/>
      <c r="H289" s="31"/>
      <c r="J289" s="32"/>
      <c r="K289" s="31"/>
      <c r="M289" s="724"/>
      <c r="N289" s="728"/>
      <c r="P289" s="735"/>
      <c r="Q289" s="30"/>
    </row>
    <row r="290" spans="1:17" x14ac:dyDescent="0.25">
      <c r="B290" s="728"/>
      <c r="D290" s="735"/>
      <c r="E290" s="728"/>
      <c r="G290" s="735"/>
      <c r="H290" s="31"/>
      <c r="J290" s="32"/>
      <c r="K290" s="31"/>
      <c r="M290" s="724"/>
      <c r="N290" s="728"/>
      <c r="P290" s="735"/>
      <c r="Q290" s="30"/>
    </row>
    <row r="291" spans="1:17" x14ac:dyDescent="0.25">
      <c r="A291" t="str">
        <f>RailTransport!A11</f>
        <v xml:space="preserve"> - Gas Oil</v>
      </c>
      <c r="B291" s="726">
        <f>(Unitflowchart!$S$320/Unitflowchart!$S$383)*RailTransport!J11*Unitflowchart!$S$331</f>
        <v>0</v>
      </c>
      <c r="C291" s="25">
        <f>(B291/B$391)*100</f>
        <v>0</v>
      </c>
      <c r="D291" s="744">
        <f>(Unitflowchart!$S$320/Unitflowchart!$S$383)*RailTransport!K11*Unitflowchart!$S$331</f>
        <v>0</v>
      </c>
      <c r="E291" s="726">
        <f>(Unitflowchart!$S$320/Unitflowchart!$S$383)*RailTransport!P11*Unitflowchart!$S$331</f>
        <v>0</v>
      </c>
      <c r="F291" s="25">
        <f>(E291/E$391)*100</f>
        <v>0</v>
      </c>
      <c r="G291" s="744">
        <f>(Unitflowchart!$S$320/Unitflowchart!$S$383)*RailTransport!Q11*Unitflowchart!$S$331</f>
        <v>0</v>
      </c>
      <c r="H291" s="723">
        <f>(Unitflowchart!$S$320/Unitflowchart!$S$383)*RailTransport!V11*Unitflowchart!$S$331</f>
        <v>0</v>
      </c>
      <c r="I291" s="25">
        <f>(H291/H$391)*100</f>
        <v>0</v>
      </c>
      <c r="J291" s="1066">
        <f>(Unitflowchart!$S$320/Unitflowchart!$S$383)*RailTransport!W11*Unitflowchart!$S$331</f>
        <v>0</v>
      </c>
      <c r="K291" s="723">
        <f>(Unitflowchart!$S$320/Unitflowchart!$S$383)*RailTransport!AB11*Unitflowchart!$S$331</f>
        <v>0</v>
      </c>
      <c r="L291" s="25">
        <f>(K291/K$391)*100</f>
        <v>0</v>
      </c>
      <c r="M291" s="725">
        <f>(Unitflowchart!$S$320/Unitflowchart!$S$383)*RailTransport!AC11*Unitflowchart!$S$331</f>
        <v>0</v>
      </c>
      <c r="N291" s="726">
        <f>E291+(GlobalWarmingPotentials!$B$11*H291)+(GlobalWarmingPotentials!$C$11*K291)</f>
        <v>0</v>
      </c>
      <c r="O291" s="25">
        <f>(N291/N$391)*100</f>
        <v>0</v>
      </c>
      <c r="P291" s="744">
        <f>SQRT((G291^2)+((GlobalWarmingPotentials!$B$11*J291)^2)+((GlobalWarmingPotentials!$C$11*M291)^2))</f>
        <v>0</v>
      </c>
      <c r="Q291" s="30"/>
    </row>
    <row r="292" spans="1:17" x14ac:dyDescent="0.25">
      <c r="A292" t="str">
        <f>RailTransport!A12</f>
        <v xml:space="preserve"> - Capital Equipment</v>
      </c>
      <c r="B292" s="726">
        <f>(Unitflowchart!$S$320/Unitflowchart!$S$383)*RailTransport!J12*Unitflowchart!$S$331</f>
        <v>0</v>
      </c>
      <c r="C292" s="25">
        <f>(B292/B$391)*100</f>
        <v>0</v>
      </c>
      <c r="D292" s="744">
        <f>(Unitflowchart!$S$320/Unitflowchart!$S$383)*RailTransport!K12*Unitflowchart!$S$331</f>
        <v>0</v>
      </c>
      <c r="E292" s="726">
        <f>(Unitflowchart!$S$320/Unitflowchart!$S$383)*RailTransport!P12*Unitflowchart!$S$331</f>
        <v>0</v>
      </c>
      <c r="F292" s="25">
        <f>(E292/E$391)*100</f>
        <v>0</v>
      </c>
      <c r="G292" s="744">
        <f>(Unitflowchart!$S$320/Unitflowchart!$S$383)*RailTransport!Q12*Unitflowchart!$S$331</f>
        <v>0</v>
      </c>
      <c r="H292" s="723">
        <f>(Unitflowchart!$S$320/Unitflowchart!$S$383)*RailTransport!V12*Unitflowchart!$S$331</f>
        <v>0</v>
      </c>
      <c r="I292" s="25">
        <f>(H292/H$391)*100</f>
        <v>0</v>
      </c>
      <c r="J292" s="1066">
        <f>(Unitflowchart!$S$320/Unitflowchart!$S$383)*RailTransport!W12*Unitflowchart!$S$331</f>
        <v>0</v>
      </c>
      <c r="K292" s="723">
        <f>(Unitflowchart!$S$320/Unitflowchart!$S$383)*RailTransport!AB12*Unitflowchart!$S$331</f>
        <v>0</v>
      </c>
      <c r="L292" s="25">
        <f>(K292/K$391)*100</f>
        <v>0</v>
      </c>
      <c r="M292" s="725">
        <f>(Unitflowchart!$S$320/Unitflowchart!$S$383)*RailTransport!AC12*Unitflowchart!$S$331</f>
        <v>0</v>
      </c>
      <c r="N292" s="726">
        <f>E292+(GlobalWarmingPotentials!$B$11*H292)+(GlobalWarmingPotentials!$C$11*K292)</f>
        <v>0</v>
      </c>
      <c r="O292" s="25">
        <f>(N292/N$391)*100</f>
        <v>0</v>
      </c>
      <c r="P292" s="744">
        <f>SQRT((G292^2)+((GlobalWarmingPotentials!$B$11*J292)^2)+((GlobalWarmingPotentials!$C$11*M292)^2))</f>
        <v>0</v>
      </c>
      <c r="Q292" s="30"/>
    </row>
    <row r="293" spans="1:17" x14ac:dyDescent="0.25">
      <c r="A293" t="str">
        <f>RailTransport!A13</f>
        <v xml:space="preserve"> - Maintenance</v>
      </c>
      <c r="B293" s="726">
        <f>(Unitflowchart!$S$320/Unitflowchart!$S$383)*RailTransport!J13*Unitflowchart!$S$331</f>
        <v>0</v>
      </c>
      <c r="C293" s="25">
        <f>(B293/B$391)*100</f>
        <v>0</v>
      </c>
      <c r="D293" s="744">
        <f>(Unitflowchart!$S$320/Unitflowchart!$S$383)*RailTransport!K13*Unitflowchart!$S$331</f>
        <v>0</v>
      </c>
      <c r="E293" s="726">
        <f>(Unitflowchart!$S$320/Unitflowchart!$S$383)*RailTransport!P13*Unitflowchart!$S$331</f>
        <v>0</v>
      </c>
      <c r="F293" s="25">
        <f>(E293/E$391)*100</f>
        <v>0</v>
      </c>
      <c r="G293" s="744">
        <f>(Unitflowchart!$S$320/Unitflowchart!$S$383)*RailTransport!Q13*Unitflowchart!$S$331</f>
        <v>0</v>
      </c>
      <c r="H293" s="723">
        <f>(Unitflowchart!$S$320/Unitflowchart!$S$383)*RailTransport!V13*Unitflowchart!$S$331</f>
        <v>0</v>
      </c>
      <c r="I293" s="25">
        <f>(H293/H$391)*100</f>
        <v>0</v>
      </c>
      <c r="J293" s="1066">
        <f>(Unitflowchart!$S$320/Unitflowchart!$S$383)*RailTransport!W13*Unitflowchart!$S$331</f>
        <v>0</v>
      </c>
      <c r="K293" s="723">
        <f>(Unitflowchart!$S$320/Unitflowchart!$S$383)*RailTransport!AB13*Unitflowchart!$S$331</f>
        <v>0</v>
      </c>
      <c r="L293" s="25">
        <f>(K293/K$391)*100</f>
        <v>0</v>
      </c>
      <c r="M293" s="725">
        <f>(Unitflowchart!$S$320/Unitflowchart!$S$383)*RailTransport!AC13*Unitflowchart!$S$331</f>
        <v>0</v>
      </c>
      <c r="N293" s="726">
        <f>E293+(GlobalWarmingPotentials!$B$11*H293)+(GlobalWarmingPotentials!$C$11*K293)</f>
        <v>0</v>
      </c>
      <c r="O293" s="25">
        <f>(N293/N$391)*100</f>
        <v>0</v>
      </c>
      <c r="P293" s="744">
        <f>SQRT((G293^2)+((GlobalWarmingPotentials!$B$11*J293)^2)+((GlobalWarmingPotentials!$C$11*M293)^2))</f>
        <v>0</v>
      </c>
      <c r="Q293" s="30"/>
    </row>
    <row r="294" spans="1:17" x14ac:dyDescent="0.25">
      <c r="B294" s="728"/>
      <c r="C294" s="25"/>
      <c r="D294" s="735"/>
      <c r="E294" s="728"/>
      <c r="F294" s="25"/>
      <c r="G294" s="735"/>
      <c r="H294" s="31"/>
      <c r="I294" s="25"/>
      <c r="J294" s="32"/>
      <c r="K294" s="31"/>
      <c r="L294" s="25"/>
      <c r="M294" s="724"/>
      <c r="N294" s="728"/>
      <c r="O294" s="25"/>
      <c r="P294" s="735"/>
      <c r="Q294" s="30"/>
    </row>
    <row r="295" spans="1:17" x14ac:dyDescent="0.25">
      <c r="A295" s="218" t="s">
        <v>867</v>
      </c>
      <c r="B295" s="734">
        <f>(Unitflowchart!$S$320/Unitflowchart!$S$383)*RailTransport!J15*Unitflowchart!$S$331</f>
        <v>0</v>
      </c>
      <c r="C295" s="721">
        <f>(B295/B$391)*100</f>
        <v>0</v>
      </c>
      <c r="D295" s="745">
        <f>(Unitflowchart!$S$320/Unitflowchart!$S$383)*RailTransport!K15*Unitflowchart!$S$331</f>
        <v>0</v>
      </c>
      <c r="E295" s="734">
        <f>(Unitflowchart!$S$320/Unitflowchart!$S$383)*RailTransport!P15*Unitflowchart!$S$331</f>
        <v>0</v>
      </c>
      <c r="F295" s="721">
        <f>(E295/E$391)*100</f>
        <v>0</v>
      </c>
      <c r="G295" s="745">
        <f>(Unitflowchart!$S$320/Unitflowchart!$S$383)*RailTransport!Q15*Unitflowchart!$S$331</f>
        <v>0</v>
      </c>
      <c r="H295" s="722">
        <f>(Unitflowchart!$S$320/Unitflowchart!$S$383)*RailTransport!V15*Unitflowchart!$S$331</f>
        <v>0</v>
      </c>
      <c r="I295" s="721">
        <f>(H295/H$391)*100</f>
        <v>0</v>
      </c>
      <c r="J295" s="719">
        <f>(Unitflowchart!$S$320/Unitflowchart!$S$383)*RailTransport!W15*Unitflowchart!$S$331</f>
        <v>0</v>
      </c>
      <c r="K295" s="722">
        <f>(Unitflowchart!$S$320/Unitflowchart!$S$383)*RailTransport!AB15*Unitflowchart!$S$331</f>
        <v>0</v>
      </c>
      <c r="L295" s="721">
        <f>(K295/K$391)*100</f>
        <v>0</v>
      </c>
      <c r="M295" s="720">
        <f>(Unitflowchart!$S$320/Unitflowchart!$S$383)*RailTransport!AC15*Unitflowchart!$S$331</f>
        <v>0</v>
      </c>
      <c r="N295" s="734">
        <f>E295+(GlobalWarmingPotentials!$B$11*H295)+(GlobalWarmingPotentials!$C$11*K295)</f>
        <v>0</v>
      </c>
      <c r="O295" s="721">
        <f>(N295/N$391)*100</f>
        <v>0</v>
      </c>
      <c r="P295" s="743">
        <f>SQRT((G295^2)+((GlobalWarmingPotentials!$B$11*J295)^2)+((GlobalWarmingPotentials!$C$11*M295)^2))</f>
        <v>0</v>
      </c>
      <c r="Q295" s="30"/>
    </row>
    <row r="296" spans="1:17" x14ac:dyDescent="0.25">
      <c r="B296" s="728"/>
      <c r="C296" s="25"/>
      <c r="D296" s="735"/>
      <c r="E296" s="728"/>
      <c r="F296" s="25"/>
      <c r="G296" s="735"/>
      <c r="H296" s="31"/>
      <c r="I296" s="25"/>
      <c r="J296" s="32"/>
      <c r="K296" s="31"/>
      <c r="L296" s="25"/>
      <c r="M296" s="724"/>
      <c r="N296" s="728"/>
      <c r="O296" s="25"/>
      <c r="P296" s="735"/>
      <c r="Q296" s="30"/>
    </row>
    <row r="297" spans="1:17" x14ac:dyDescent="0.25">
      <c r="A297" s="387" t="s">
        <v>918</v>
      </c>
      <c r="B297" s="728"/>
      <c r="C297" s="25"/>
      <c r="D297" s="735"/>
      <c r="E297" s="728"/>
      <c r="F297" s="25"/>
      <c r="G297" s="735"/>
      <c r="H297" s="31"/>
      <c r="I297" s="25"/>
      <c r="J297" s="32"/>
      <c r="K297" s="31"/>
      <c r="L297" s="25"/>
      <c r="M297" s="724"/>
      <c r="N297" s="728"/>
      <c r="O297" s="25"/>
      <c r="P297" s="735"/>
      <c r="Q297" s="30"/>
    </row>
    <row r="298" spans="1:17" x14ac:dyDescent="0.25">
      <c r="B298" s="728"/>
      <c r="C298" s="25"/>
      <c r="D298" s="735"/>
      <c r="E298" s="728"/>
      <c r="F298" s="25"/>
      <c r="G298" s="735"/>
      <c r="H298" s="31"/>
      <c r="I298" s="25"/>
      <c r="J298" s="32"/>
      <c r="K298" s="31"/>
      <c r="L298" s="25"/>
      <c r="M298" s="724"/>
      <c r="N298" s="728"/>
      <c r="O298" s="25"/>
      <c r="P298" s="735"/>
      <c r="Q298" s="30"/>
    </row>
    <row r="299" spans="1:17" x14ac:dyDescent="0.25">
      <c r="A299" t="str">
        <f>BargeTransport!A11</f>
        <v xml:space="preserve"> - Marine Diesel</v>
      </c>
      <c r="B299" s="726">
        <f>(Unitflowchart!$S$320/Unitflowchart!$S$383)*BargeTransport!J11*Unitflowchart!$S$333</f>
        <v>0</v>
      </c>
      <c r="C299" s="25">
        <f>(B299/B$391)*100</f>
        <v>0</v>
      </c>
      <c r="D299" s="744">
        <f>(Unitflowchart!$S$320/Unitflowchart!$S$383)*BargeTransport!K11*Unitflowchart!$S$333</f>
        <v>0</v>
      </c>
      <c r="E299" s="726">
        <f>(Unitflowchart!$S$320/Unitflowchart!$S$383)*BargeTransport!P11*Unitflowchart!$S$333</f>
        <v>0</v>
      </c>
      <c r="F299" s="25">
        <f>(E299/E$391)*100</f>
        <v>0</v>
      </c>
      <c r="G299" s="744">
        <f>(Unitflowchart!$S$320/Unitflowchart!$S$383)*BargeTransport!Q11*Unitflowchart!$S$333</f>
        <v>0</v>
      </c>
      <c r="H299" s="723">
        <f>(Unitflowchart!$S$320/Unitflowchart!$S$383)*BargeTransport!V11*Unitflowchart!$S$333</f>
        <v>0</v>
      </c>
      <c r="I299" s="25">
        <f>(H299/H$391)*100</f>
        <v>0</v>
      </c>
      <c r="J299" s="1066">
        <f>(Unitflowchart!$S$320/Unitflowchart!$S$383)*BargeTransport!W11*Unitflowchart!$S$333</f>
        <v>0</v>
      </c>
      <c r="K299" s="723">
        <f>(Unitflowchart!$S$320/Unitflowchart!$S$383)*BargeTransport!AB11*Unitflowchart!$S$333</f>
        <v>0</v>
      </c>
      <c r="L299" s="25">
        <f>(K299/K$391)*100</f>
        <v>0</v>
      </c>
      <c r="M299" s="725">
        <f>(Unitflowchart!$S$320/Unitflowchart!$S$383)*BargeTransport!AC11*Unitflowchart!$S$333</f>
        <v>0</v>
      </c>
      <c r="N299" s="726">
        <f>E299+(GlobalWarmingPotentials!$B$11*H299)+(GlobalWarmingPotentials!$C$11*K299)</f>
        <v>0</v>
      </c>
      <c r="O299" s="25">
        <f>(N299/N$391)*100</f>
        <v>0</v>
      </c>
      <c r="P299" s="744">
        <f>SQRT((G299^2)+((GlobalWarmingPotentials!$B$11*J299)^2)+((GlobalWarmingPotentials!$C$11*M299)^2))</f>
        <v>0</v>
      </c>
      <c r="Q299" s="30"/>
    </row>
    <row r="300" spans="1:17" x14ac:dyDescent="0.25">
      <c r="A300" t="str">
        <f>BargeTransport!A12</f>
        <v xml:space="preserve"> - Barge Construction</v>
      </c>
      <c r="B300" s="726">
        <f>(Unitflowchart!$S$320/Unitflowchart!$S$383)*BargeTransport!J12*Unitflowchart!$S$333</f>
        <v>0</v>
      </c>
      <c r="C300" s="25">
        <f>(B300/B$391)*100</f>
        <v>0</v>
      </c>
      <c r="D300" s="744">
        <f>(Unitflowchart!$S$320/Unitflowchart!$S$383)*BargeTransport!K12*Unitflowchart!$S$333</f>
        <v>0</v>
      </c>
      <c r="E300" s="726">
        <f>(Unitflowchart!$S$320/Unitflowchart!$S$383)*BargeTransport!P12*Unitflowchart!$S$333</f>
        <v>0</v>
      </c>
      <c r="F300" s="25">
        <f>(E300/E$391)*100</f>
        <v>0</v>
      </c>
      <c r="G300" s="744">
        <f>(Unitflowchart!$S$320/Unitflowchart!$S$383)*BargeTransport!Q12*Unitflowchart!$S$333</f>
        <v>0</v>
      </c>
      <c r="H300" s="723">
        <f>(Unitflowchart!$S$320/Unitflowchart!$S$383)*BargeTransport!V12*Unitflowchart!$S$333</f>
        <v>0</v>
      </c>
      <c r="I300" s="25">
        <f>(H300/H$391)*100</f>
        <v>0</v>
      </c>
      <c r="J300" s="1066">
        <f>(Unitflowchart!$S$320/Unitflowchart!$S$383)*BargeTransport!W12*Unitflowchart!$S$333</f>
        <v>0</v>
      </c>
      <c r="K300" s="723">
        <f>(Unitflowchart!$S$320/Unitflowchart!$S$383)*BargeTransport!AB12*Unitflowchart!$S$333</f>
        <v>0</v>
      </c>
      <c r="L300" s="25">
        <f>(K300/K$391)*100</f>
        <v>0</v>
      </c>
      <c r="M300" s="725">
        <f>(Unitflowchart!$S$320/Unitflowchart!$S$383)*BargeTransport!AC12*Unitflowchart!$S$333</f>
        <v>0</v>
      </c>
      <c r="N300" s="726">
        <f>E300+(GlobalWarmingPotentials!$B$11*H300)+(GlobalWarmingPotentials!$C$11*K300)</f>
        <v>0</v>
      </c>
      <c r="O300" s="25">
        <f>(N300/N$391)*100</f>
        <v>0</v>
      </c>
      <c r="P300" s="744">
        <f>SQRT((G300^2)+((GlobalWarmingPotentials!$B$11*J300)^2)+((GlobalWarmingPotentials!$C$11*M300)^2))</f>
        <v>0</v>
      </c>
      <c r="Q300" s="30"/>
    </row>
    <row r="301" spans="1:17" x14ac:dyDescent="0.25">
      <c r="A301" t="str">
        <f>BargeTransport!A13</f>
        <v xml:space="preserve"> - Barge Maintenance</v>
      </c>
      <c r="B301" s="726">
        <f>(Unitflowchart!$S$320/Unitflowchart!$S$383)*BargeTransport!J13*Unitflowchart!$S$333</f>
        <v>0</v>
      </c>
      <c r="C301" s="25">
        <f>(B301/B$391)*100</f>
        <v>0</v>
      </c>
      <c r="D301" s="744">
        <f>(Unitflowchart!$S$320/Unitflowchart!$S$383)*BargeTransport!K13*Unitflowchart!$S$333</f>
        <v>0</v>
      </c>
      <c r="E301" s="726">
        <f>(Unitflowchart!$S$320/Unitflowchart!$S$383)*BargeTransport!P13*Unitflowchart!$S$333</f>
        <v>0</v>
      </c>
      <c r="F301" s="25">
        <f>(E301/E$391)*100</f>
        <v>0</v>
      </c>
      <c r="G301" s="744">
        <f>(Unitflowchart!$S$320/Unitflowchart!$S$383)*BargeTransport!Q13*Unitflowchart!$S$333</f>
        <v>0</v>
      </c>
      <c r="H301" s="723">
        <f>(Unitflowchart!$S$320/Unitflowchart!$S$383)*BargeTransport!V13*Unitflowchart!$S$333</f>
        <v>0</v>
      </c>
      <c r="I301" s="25">
        <f>(H301/H$391)*100</f>
        <v>0</v>
      </c>
      <c r="J301" s="1066">
        <f>(Unitflowchart!$S$320/Unitflowchart!$S$383)*BargeTransport!W13*Unitflowchart!$S$333</f>
        <v>0</v>
      </c>
      <c r="K301" s="723">
        <f>(Unitflowchart!$S$320/Unitflowchart!$S$383)*BargeTransport!AB13*Unitflowchart!$S$333</f>
        <v>0</v>
      </c>
      <c r="L301" s="25">
        <f>(K301/K$391)*100</f>
        <v>0</v>
      </c>
      <c r="M301" s="725">
        <f>(Unitflowchart!$S$320/Unitflowchart!$S$383)*BargeTransport!AC13*Unitflowchart!$S$333</f>
        <v>0</v>
      </c>
      <c r="N301" s="726">
        <f>E301+(GlobalWarmingPotentials!$B$11*H301)+(GlobalWarmingPotentials!$C$11*K301)</f>
        <v>0</v>
      </c>
      <c r="O301" s="25">
        <f>(N301/N$391)*100</f>
        <v>0</v>
      </c>
      <c r="P301" s="744">
        <f>SQRT((G301^2)+((GlobalWarmingPotentials!$B$11*J301)^2)+((GlobalWarmingPotentials!$C$11*M301)^2))</f>
        <v>0</v>
      </c>
      <c r="Q301" s="30"/>
    </row>
    <row r="302" spans="1:17" x14ac:dyDescent="0.25">
      <c r="B302" s="728"/>
      <c r="C302" s="25"/>
      <c r="D302" s="735"/>
      <c r="E302" s="728"/>
      <c r="F302" s="25"/>
      <c r="G302" s="735"/>
      <c r="H302" s="31"/>
      <c r="I302" s="25"/>
      <c r="J302" s="32"/>
      <c r="K302" s="31"/>
      <c r="L302" s="25"/>
      <c r="M302" s="724"/>
      <c r="N302" s="728"/>
      <c r="O302" s="25"/>
      <c r="P302" s="735"/>
      <c r="Q302" s="30"/>
    </row>
    <row r="303" spans="1:17" x14ac:dyDescent="0.25">
      <c r="A303" s="218" t="s">
        <v>871</v>
      </c>
      <c r="B303" s="734">
        <f>(Unitflowchart!$S$320/Unitflowchart!$S$383)*BargeTransport!J15*Unitflowchart!$S$333</f>
        <v>0</v>
      </c>
      <c r="C303" s="721">
        <f>(B303/B$391)*100</f>
        <v>0</v>
      </c>
      <c r="D303" s="745">
        <f>(Unitflowchart!$S$320/Unitflowchart!$S$383)*BargeTransport!K15*Unitflowchart!$S$333</f>
        <v>0</v>
      </c>
      <c r="E303" s="734">
        <f>(Unitflowchart!$S$320/Unitflowchart!$S$383)*BargeTransport!P15*Unitflowchart!$S$333</f>
        <v>0</v>
      </c>
      <c r="F303" s="721">
        <f>(E303/E$391)*100</f>
        <v>0</v>
      </c>
      <c r="G303" s="745">
        <f>(Unitflowchart!$S$320/Unitflowchart!$S$383)*BargeTransport!Q15*Unitflowchart!$S$333</f>
        <v>0</v>
      </c>
      <c r="H303" s="722">
        <f>(Unitflowchart!$S$320/Unitflowchart!$S$383)*BargeTransport!V15*Unitflowchart!$S$333</f>
        <v>0</v>
      </c>
      <c r="I303" s="721">
        <f>(H303/H$391)*100</f>
        <v>0</v>
      </c>
      <c r="J303" s="719">
        <f>(Unitflowchart!$S$320/Unitflowchart!$S$383)*BargeTransport!W15*Unitflowchart!$S$333</f>
        <v>0</v>
      </c>
      <c r="K303" s="722">
        <f>(Unitflowchart!$S$320/Unitflowchart!$S$383)*BargeTransport!AB15*Unitflowchart!$S$333</f>
        <v>0</v>
      </c>
      <c r="L303" s="721">
        <f>(K303/K$391)*100</f>
        <v>0</v>
      </c>
      <c r="M303" s="720">
        <f>(Unitflowchart!$S$320/Unitflowchart!$S$383)*BargeTransport!AC15*Unitflowchart!$S$333</f>
        <v>0</v>
      </c>
      <c r="N303" s="734">
        <f>E303+(GlobalWarmingPotentials!$B$11*H303)+(GlobalWarmingPotentials!$C$11*K303)</f>
        <v>0</v>
      </c>
      <c r="O303" s="721">
        <f>(N303/N$391)*100</f>
        <v>0</v>
      </c>
      <c r="P303" s="743">
        <f>SQRT((G303^2)+((GlobalWarmingPotentials!$B$11*J303)^2)+((GlobalWarmingPotentials!$C$11*M303)^2))</f>
        <v>0</v>
      </c>
      <c r="Q303" s="30"/>
    </row>
    <row r="304" spans="1:17" x14ac:dyDescent="0.25">
      <c r="B304" s="728"/>
      <c r="C304" s="25"/>
      <c r="D304" s="735"/>
      <c r="E304" s="728"/>
      <c r="F304" s="25"/>
      <c r="G304" s="735"/>
      <c r="H304" s="31"/>
      <c r="I304" s="25"/>
      <c r="J304" s="32"/>
      <c r="K304" s="31"/>
      <c r="L304" s="25"/>
      <c r="M304" s="724"/>
      <c r="N304" s="728"/>
      <c r="O304" s="25"/>
      <c r="P304" s="735"/>
      <c r="Q304" s="30"/>
    </row>
    <row r="305" spans="1:17" x14ac:dyDescent="0.25">
      <c r="A305" s="387" t="s">
        <v>919</v>
      </c>
      <c r="B305" s="728"/>
      <c r="C305" s="25"/>
      <c r="D305" s="735"/>
      <c r="E305" s="728"/>
      <c r="F305" s="25"/>
      <c r="G305" s="735"/>
      <c r="H305" s="31"/>
      <c r="I305" s="25"/>
      <c r="J305" s="32"/>
      <c r="K305" s="31"/>
      <c r="L305" s="25"/>
      <c r="M305" s="724"/>
      <c r="N305" s="728"/>
      <c r="O305" s="25"/>
      <c r="P305" s="735"/>
      <c r="Q305" s="30"/>
    </row>
    <row r="306" spans="1:17" x14ac:dyDescent="0.25">
      <c r="B306" s="728"/>
      <c r="C306" s="25"/>
      <c r="D306" s="735"/>
      <c r="E306" s="728"/>
      <c r="F306" s="25"/>
      <c r="G306" s="735"/>
      <c r="H306" s="31"/>
      <c r="I306" s="25"/>
      <c r="J306" s="32"/>
      <c r="K306" s="31"/>
      <c r="L306" s="25"/>
      <c r="M306" s="724"/>
      <c r="N306" s="728"/>
      <c r="O306" s="25"/>
      <c r="P306" s="735"/>
      <c r="Q306" s="30"/>
    </row>
    <row r="307" spans="1:17" x14ac:dyDescent="0.25">
      <c r="A307" t="str">
        <f>ShipTransport!A11</f>
        <v xml:space="preserve"> - Marine Diesel</v>
      </c>
      <c r="B307" s="726">
        <f>(Unitflowchart!$S$320/Unitflowchart!$S$383)*ShipTransport!J11*Unitflowchart!$S$335</f>
        <v>0</v>
      </c>
      <c r="C307" s="25">
        <f>(B307/B$391)*100</f>
        <v>0</v>
      </c>
      <c r="D307" s="744">
        <f>(Unitflowchart!$S$320/Unitflowchart!$S$383)*ShipTransport!K11*Unitflowchart!$S$335</f>
        <v>0</v>
      </c>
      <c r="E307" s="726">
        <f>(Unitflowchart!$S$320/Unitflowchart!$S$383)*ShipTransport!P11*Unitflowchart!$S$335</f>
        <v>0</v>
      </c>
      <c r="F307" s="25">
        <f>(E307/E$391)*100</f>
        <v>0</v>
      </c>
      <c r="G307" s="744">
        <f>(Unitflowchart!$S$320/Unitflowchart!$S$383)*ShipTransport!Q11*Unitflowchart!$S$335</f>
        <v>0</v>
      </c>
      <c r="H307" s="723">
        <f>(Unitflowchart!$S$320/Unitflowchart!$S$383)*ShipTransport!V11*Unitflowchart!$S$335</f>
        <v>0</v>
      </c>
      <c r="I307" s="25">
        <f>(H307/H$391)*100</f>
        <v>0</v>
      </c>
      <c r="J307" s="1066">
        <f>(Unitflowchart!$S$320/Unitflowchart!$S$383)*ShipTransport!W11*Unitflowchart!$S$335</f>
        <v>0</v>
      </c>
      <c r="K307" s="723">
        <f>(Unitflowchart!$S$320/Unitflowchart!$S$383)*ShipTransport!AB11*Unitflowchart!$S$335</f>
        <v>0</v>
      </c>
      <c r="L307" s="25">
        <f>(K307/K$391)*100</f>
        <v>0</v>
      </c>
      <c r="M307" s="725">
        <f>(Unitflowchart!$S$320/Unitflowchart!$S$383)*ShipTransport!AC11*Unitflowchart!$S$335</f>
        <v>0</v>
      </c>
      <c r="N307" s="726">
        <f>E307+(GlobalWarmingPotentials!$B$11*H307)+(GlobalWarmingPotentials!$C$11*K307)</f>
        <v>0</v>
      </c>
      <c r="O307" s="25">
        <f>(N307/N$391)*100</f>
        <v>0</v>
      </c>
      <c r="P307" s="744">
        <f>SQRT((G307^2)+((GlobalWarmingPotentials!$B$11*J307)^2)+((GlobalWarmingPotentials!$C$11*M307)^2))</f>
        <v>0</v>
      </c>
      <c r="Q307" s="30"/>
    </row>
    <row r="308" spans="1:17" x14ac:dyDescent="0.25">
      <c r="A308" t="str">
        <f>ShipTransport!A12</f>
        <v xml:space="preserve"> - Ship Construction</v>
      </c>
      <c r="B308" s="726">
        <f>(Unitflowchart!$S$320/Unitflowchart!$S$383)*ShipTransport!J12*Unitflowchart!$S$335</f>
        <v>0</v>
      </c>
      <c r="C308" s="25">
        <f>(B308/B$391)*100</f>
        <v>0</v>
      </c>
      <c r="D308" s="744">
        <f>(Unitflowchart!$S$320/Unitflowchart!$S$383)*ShipTransport!K12*Unitflowchart!$S$335</f>
        <v>0</v>
      </c>
      <c r="E308" s="726">
        <f>(Unitflowchart!$S$320/Unitflowchart!$S$383)*ShipTransport!P12*Unitflowchart!$S$335</f>
        <v>0</v>
      </c>
      <c r="F308" s="25">
        <f>(E308/E$391)*100</f>
        <v>0</v>
      </c>
      <c r="G308" s="744">
        <f>(Unitflowchart!$S$320/Unitflowchart!$S$383)*ShipTransport!Q12*Unitflowchart!$S$335</f>
        <v>0</v>
      </c>
      <c r="H308" s="723">
        <f>(Unitflowchart!$S$320/Unitflowchart!$S$383)*ShipTransport!V12*Unitflowchart!$S$335</f>
        <v>0</v>
      </c>
      <c r="I308" s="25">
        <f>(H308/H$391)*100</f>
        <v>0</v>
      </c>
      <c r="J308" s="1066">
        <f>(Unitflowchart!$S$320/Unitflowchart!$S$383)*ShipTransport!W12*Unitflowchart!$S$335</f>
        <v>0</v>
      </c>
      <c r="K308" s="723">
        <f>(Unitflowchart!$S$320/Unitflowchart!$S$383)*ShipTransport!AB12*Unitflowchart!$S$335</f>
        <v>0</v>
      </c>
      <c r="L308" s="25">
        <f>(K308/K$391)*100</f>
        <v>0</v>
      </c>
      <c r="M308" s="725">
        <f>(Unitflowchart!$S$320/Unitflowchart!$S$383)*ShipTransport!AC12*Unitflowchart!$S$335</f>
        <v>0</v>
      </c>
      <c r="N308" s="726">
        <f>E308+(GlobalWarmingPotentials!$B$11*H308)+(GlobalWarmingPotentials!$C$11*K308)</f>
        <v>0</v>
      </c>
      <c r="O308" s="25">
        <f>(N308/N$391)*100</f>
        <v>0</v>
      </c>
      <c r="P308" s="744">
        <f>SQRT((G308^2)+((GlobalWarmingPotentials!$B$11*J308)^2)+((GlobalWarmingPotentials!$C$11*M308)^2))</f>
        <v>0</v>
      </c>
      <c r="Q308" s="30"/>
    </row>
    <row r="309" spans="1:17" x14ac:dyDescent="0.25">
      <c r="A309" t="str">
        <f>ShipTransport!A13</f>
        <v xml:space="preserve"> - Ship Maintenance</v>
      </c>
      <c r="B309" s="726">
        <f>(Unitflowchart!$S$320/Unitflowchart!$S$383)*ShipTransport!J13*Unitflowchart!$S$335</f>
        <v>0</v>
      </c>
      <c r="C309" s="25">
        <f>(B309/B$391)*100</f>
        <v>0</v>
      </c>
      <c r="D309" s="744">
        <f>(Unitflowchart!$S$320/Unitflowchart!$S$383)*ShipTransport!K13*Unitflowchart!$S$335</f>
        <v>0</v>
      </c>
      <c r="E309" s="726">
        <f>(Unitflowchart!$S$320/Unitflowchart!$S$383)*ShipTransport!P13*Unitflowchart!$S$335</f>
        <v>0</v>
      </c>
      <c r="F309" s="25">
        <f>(E309/E$391)*100</f>
        <v>0</v>
      </c>
      <c r="G309" s="744">
        <f>(Unitflowchart!$S$320/Unitflowchart!$S$383)*ShipTransport!Q13*Unitflowchart!$S$335</f>
        <v>0</v>
      </c>
      <c r="H309" s="723">
        <f>(Unitflowchart!$S$320/Unitflowchart!$S$383)*ShipTransport!V13*Unitflowchart!$S$335</f>
        <v>0</v>
      </c>
      <c r="I309" s="25">
        <f>(H309/H$391)*100</f>
        <v>0</v>
      </c>
      <c r="J309" s="1066">
        <f>(Unitflowchart!$S$320/Unitflowchart!$S$383)*ShipTransport!W13*Unitflowchart!$S$335</f>
        <v>0</v>
      </c>
      <c r="K309" s="723">
        <f>(Unitflowchart!$S$320/Unitflowchart!$S$383)*ShipTransport!AB13*Unitflowchart!$S$335</f>
        <v>0</v>
      </c>
      <c r="L309" s="25">
        <f>(K309/K$391)*100</f>
        <v>0</v>
      </c>
      <c r="M309" s="725">
        <f>(Unitflowchart!$S$320/Unitflowchart!$S$383)*ShipTransport!AC13*Unitflowchart!$S$335</f>
        <v>0</v>
      </c>
      <c r="N309" s="726">
        <f>E309+(GlobalWarmingPotentials!$B$11*H309)+(GlobalWarmingPotentials!$C$11*K309)</f>
        <v>0</v>
      </c>
      <c r="O309" s="25">
        <f>(N309/N$391)*100</f>
        <v>0</v>
      </c>
      <c r="P309" s="744">
        <f>SQRT((G309^2)+((GlobalWarmingPotentials!$B$11*J309)^2)+((GlobalWarmingPotentials!$C$11*M309)^2))</f>
        <v>0</v>
      </c>
      <c r="Q309" s="30"/>
    </row>
    <row r="310" spans="1:17" x14ac:dyDescent="0.25">
      <c r="B310" s="728"/>
      <c r="C310" s="25"/>
      <c r="D310" s="735"/>
      <c r="E310" s="728"/>
      <c r="F310" s="25"/>
      <c r="G310" s="735"/>
      <c r="H310" s="31"/>
      <c r="I310" s="25"/>
      <c r="J310" s="32"/>
      <c r="K310" s="31"/>
      <c r="L310" s="25"/>
      <c r="M310" s="724"/>
      <c r="N310" s="728"/>
      <c r="O310" s="25"/>
      <c r="P310" s="735"/>
      <c r="Q310" s="30"/>
    </row>
    <row r="311" spans="1:17" x14ac:dyDescent="0.25">
      <c r="A311" s="218" t="s">
        <v>873</v>
      </c>
      <c r="B311" s="734">
        <f>(Unitflowchart!$S$320/Unitflowchart!$S$383)*ShipTransport!J15*Unitflowchart!$S$335</f>
        <v>0</v>
      </c>
      <c r="C311" s="721">
        <f>(B311/B$391)*100</f>
        <v>0</v>
      </c>
      <c r="D311" s="745">
        <f>(Unitflowchart!$S$320/Unitflowchart!$S$383)*ShipTransport!K15*Unitflowchart!$S$335</f>
        <v>0</v>
      </c>
      <c r="E311" s="734">
        <f>(Unitflowchart!$S$320/Unitflowchart!$S$383)*ShipTransport!P15*Unitflowchart!$S$335</f>
        <v>0</v>
      </c>
      <c r="F311" s="721">
        <f>(E311/E$391)*100</f>
        <v>0</v>
      </c>
      <c r="G311" s="745">
        <f>(Unitflowchart!$S$320/Unitflowchart!$S$383)*ShipTransport!Q15*Unitflowchart!$S$335</f>
        <v>0</v>
      </c>
      <c r="H311" s="722">
        <f>(Unitflowchart!$S$320/Unitflowchart!$S$383)*ShipTransport!V15*Unitflowchart!$S$335</f>
        <v>0</v>
      </c>
      <c r="I311" s="721">
        <f>(H311/H$391)*100</f>
        <v>0</v>
      </c>
      <c r="J311" s="719">
        <f>(Unitflowchart!$S$320/Unitflowchart!$S$383)*ShipTransport!W15*Unitflowchart!$S$335</f>
        <v>0</v>
      </c>
      <c r="K311" s="722">
        <f>(Unitflowchart!$S$320/Unitflowchart!$S$383)*ShipTransport!AB15*Unitflowchart!$S$335</f>
        <v>0</v>
      </c>
      <c r="L311" s="721">
        <f>(K311/K$391)*100</f>
        <v>0</v>
      </c>
      <c r="M311" s="720">
        <f>(Unitflowchart!$S$320/Unitflowchart!$S$383)*ShipTransport!AC15*Unitflowchart!$S$335</f>
        <v>0</v>
      </c>
      <c r="N311" s="734">
        <f>E311+(GlobalWarmingPotentials!$B$11*H311)+(GlobalWarmingPotentials!$C$11*K311)</f>
        <v>0</v>
      </c>
      <c r="O311" s="721">
        <f>(N311/N$391)*100</f>
        <v>0</v>
      </c>
      <c r="P311" s="743">
        <f>SQRT((G311^2)+((GlobalWarmingPotentials!$B$11*J311)^2)+((GlobalWarmingPotentials!$C$11*M311)^2))</f>
        <v>0</v>
      </c>
      <c r="Q311" s="30"/>
    </row>
    <row r="312" spans="1:17" x14ac:dyDescent="0.25">
      <c r="B312" s="728"/>
      <c r="D312" s="735"/>
      <c r="E312" s="728"/>
      <c r="F312" s="25"/>
      <c r="G312" s="735"/>
      <c r="H312" s="31"/>
      <c r="I312" s="25"/>
      <c r="J312" s="32"/>
      <c r="K312" s="31"/>
      <c r="L312" s="25"/>
      <c r="M312" s="724"/>
      <c r="N312" s="728"/>
      <c r="O312" s="25"/>
      <c r="P312" s="735"/>
      <c r="Q312" s="30"/>
    </row>
    <row r="313" spans="1:17" x14ac:dyDescent="0.25">
      <c r="A313" s="715" t="s">
        <v>910</v>
      </c>
      <c r="B313" s="734">
        <f>B287+B295+B303+B311</f>
        <v>517.88672232212184</v>
      </c>
      <c r="C313" s="721">
        <f>(B313/B$391)*100</f>
        <v>4.0008609615279447</v>
      </c>
      <c r="D313" s="745">
        <f>SQRT((D287^2)+(D295^2)+(D303^2)+(D311^2))</f>
        <v>24.34067594913973</v>
      </c>
      <c r="E313" s="734">
        <f t="shared" ref="E313" si="63">E287+E295+E303+E311</f>
        <v>37.164284826471004</v>
      </c>
      <c r="F313" s="721">
        <f t="shared" ref="F313" si="64">(E313/E$391)*100</f>
        <v>4.6202303121259201</v>
      </c>
      <c r="G313" s="745">
        <f t="shared" ref="G313" si="65">SQRT((G287^2)+(G295^2)+(G303^2)+(G311^2))</f>
        <v>1.7467213868441371</v>
      </c>
      <c r="H313" s="722">
        <f t="shared" ref="H313" si="66">H287+H295+H303+H311</f>
        <v>7.7224487951108563E-3</v>
      </c>
      <c r="I313" s="721">
        <f t="shared" ref="I313" si="67">(H313/H$391)*100</f>
        <v>0.77097806710782424</v>
      </c>
      <c r="J313" s="719">
        <f t="shared" ref="J313" si="68">SQRT((J287^2)+(J295^2)+(J303^2)+(J311^2))</f>
        <v>0</v>
      </c>
      <c r="K313" s="722">
        <f t="shared" ref="K313" si="69">K287+K295+K303+K311</f>
        <v>1.0039183433644116E-2</v>
      </c>
      <c r="L313" s="721">
        <f t="shared" ref="L313" si="70">(K313/K$391)*100</f>
        <v>4.6351260158652252</v>
      </c>
      <c r="M313" s="720">
        <f t="shared" ref="M313" si="71">SQRT((M287^2)+(M295^2)+(M303^2)+(M311^2))</f>
        <v>4.7184162138127345E-4</v>
      </c>
      <c r="N313" s="734">
        <f t="shared" ref="N313" si="72">N287+N295+N303+N311</f>
        <v>40.313499445117209</v>
      </c>
      <c r="O313" s="721">
        <f t="shared" ref="O313" si="73">(N313/N$391)*100</f>
        <v>4.5218339408698496</v>
      </c>
      <c r="P313" s="743">
        <f t="shared" ref="P313" si="74">SQRT((P287^2)+(P295^2)+(P303^2)+(P311^2))</f>
        <v>1.7522961932799626</v>
      </c>
      <c r="Q313" s="30"/>
    </row>
    <row r="314" spans="1:17" x14ac:dyDescent="0.25">
      <c r="B314" s="728"/>
      <c r="D314" s="735"/>
      <c r="E314" s="728"/>
      <c r="G314" s="735"/>
      <c r="H314" s="31"/>
      <c r="J314" s="32"/>
      <c r="K314" s="31"/>
      <c r="M314" s="724"/>
      <c r="N314" s="728"/>
      <c r="P314" s="735"/>
      <c r="Q314" s="30"/>
    </row>
    <row r="315" spans="1:17" x14ac:dyDescent="0.25">
      <c r="A315" s="387" t="s">
        <v>423</v>
      </c>
      <c r="B315" s="728"/>
      <c r="D315" s="735"/>
      <c r="E315" s="728"/>
      <c r="G315" s="735"/>
      <c r="H315" s="31"/>
      <c r="J315" s="32"/>
      <c r="K315" s="31"/>
      <c r="M315" s="724"/>
      <c r="N315" s="728"/>
      <c r="P315" s="735"/>
      <c r="Q315" s="30"/>
    </row>
    <row r="316" spans="1:17" x14ac:dyDescent="0.25">
      <c r="B316" s="728"/>
      <c r="D316" s="735"/>
      <c r="E316" s="728"/>
      <c r="G316" s="735"/>
      <c r="H316" s="31"/>
      <c r="J316" s="32"/>
      <c r="K316" s="31"/>
      <c r="M316" s="724"/>
      <c r="N316" s="728"/>
      <c r="P316" s="735"/>
      <c r="Q316" s="30"/>
    </row>
    <row r="317" spans="1:17" x14ac:dyDescent="0.25">
      <c r="A317" t="str">
        <f>RoadTransportEthanolStage2!A42</f>
        <v xml:space="preserve"> - Diesel Fuel</v>
      </c>
      <c r="B317" s="732">
        <f>(Unitflowchart!$S$341/Unitflowchart!$S$383)*RoadTransportEthanolStage2!J42*Unitflowchart!$S$350</f>
        <v>0</v>
      </c>
      <c r="C317" s="26">
        <f>(B317/B$391)*100</f>
        <v>0</v>
      </c>
      <c r="D317" s="491">
        <f>(Unitflowchart!$S$341/Unitflowchart!$S$383)*RoadTransportEthanolStage2!K42*Unitflowchart!$S$350</f>
        <v>0</v>
      </c>
      <c r="E317" s="732">
        <f>(Unitflowchart!$S$341/Unitflowchart!$S$383)*RoadTransportEthanolStage2!P42*Unitflowchart!$S$350</f>
        <v>0</v>
      </c>
      <c r="F317" s="26">
        <f>(E317/E$391)*100</f>
        <v>0</v>
      </c>
      <c r="G317" s="491">
        <f>(Unitflowchart!$S$341/Unitflowchart!$S$383)*RoadTransportEthanolStage2!Q42*Unitflowchart!$S$350</f>
        <v>0</v>
      </c>
      <c r="H317" s="749">
        <f>(Unitflowchart!$S$341/Unitflowchart!$S$383)*RoadTransportEthanolStage2!V42*Unitflowchart!$S$350</f>
        <v>0</v>
      </c>
      <c r="I317" s="26">
        <f>(H317/H$391)*100</f>
        <v>0</v>
      </c>
      <c r="J317" s="751">
        <f>(Unitflowchart!$S$341/Unitflowchart!$S$383)*RoadTransportEthanolStage2!W42*Unitflowchart!$S$350</f>
        <v>0</v>
      </c>
      <c r="K317" s="749">
        <f>(Unitflowchart!$S$341/Unitflowchart!$S$383)*RoadTransportEthanolStage2!AB42*Unitflowchart!$S$350</f>
        <v>0</v>
      </c>
      <c r="L317" s="26">
        <f>(K317/K$391)*100</f>
        <v>0</v>
      </c>
      <c r="M317" s="751">
        <f>(Unitflowchart!$S$341/Unitflowchart!$S$383)*RoadTransportEthanolStage2!AC42*Unitflowchart!$S$350</f>
        <v>0</v>
      </c>
      <c r="N317" s="727">
        <f>E317+(GlobalWarmingPotentials!$B$11*H317)+(GlobalWarmingPotentials!$C$11*K317)</f>
        <v>0</v>
      </c>
      <c r="O317" s="26">
        <f>(N317/N$391)*100</f>
        <v>0</v>
      </c>
      <c r="P317" s="760">
        <f>SQRT((G317^2)+((GlobalWarmingPotentials!$B$11*J317)^2)+((GlobalWarmingPotentials!$C$11*M317)^2))</f>
        <v>0</v>
      </c>
      <c r="Q317" s="30"/>
    </row>
    <row r="318" spans="1:17" x14ac:dyDescent="0.25">
      <c r="A318" t="str">
        <f>RoadTransportEthanolStage2!A43</f>
        <v xml:space="preserve"> - Vehicle </v>
      </c>
      <c r="B318" s="732">
        <f>(Unitflowchart!$S$341/Unitflowchart!$S$383)*RoadTransportEthanolStage2!J43*Unitflowchart!$S$350</f>
        <v>0</v>
      </c>
      <c r="C318" s="26">
        <f t="shared" ref="C318:C321" si="75">(B318/B$391)*100</f>
        <v>0</v>
      </c>
      <c r="D318" s="491">
        <f>(Unitflowchart!$S$341/Unitflowchart!$S$383)*RoadTransportEthanolStage2!K43*Unitflowchart!$S$350</f>
        <v>0</v>
      </c>
      <c r="E318" s="732">
        <f>(Unitflowchart!$S$341/Unitflowchart!$S$383)*RoadTransportEthanolStage2!P43*Unitflowchart!$S$350</f>
        <v>0</v>
      </c>
      <c r="F318" s="26">
        <f t="shared" ref="F318:F321" si="76">(E318/E$391)*100</f>
        <v>0</v>
      </c>
      <c r="G318" s="491">
        <f>(Unitflowchart!$S$341/Unitflowchart!$S$383)*RoadTransportEthanolStage2!Q43*Unitflowchart!$S$350</f>
        <v>0</v>
      </c>
      <c r="H318" s="749">
        <f>(Unitflowchart!$S$341/Unitflowchart!$S$383)*RoadTransportEthanolStage2!V43*Unitflowchart!$S$350</f>
        <v>0</v>
      </c>
      <c r="I318" s="26">
        <f t="shared" ref="I318:I321" si="77">(H318/H$391)*100</f>
        <v>0</v>
      </c>
      <c r="J318" s="751">
        <f>(Unitflowchart!$S$341/Unitflowchart!$S$383)*RoadTransportEthanolStage2!W43*Unitflowchart!$S$350</f>
        <v>0</v>
      </c>
      <c r="K318" s="749">
        <f>(Unitflowchart!$S$341/Unitflowchart!$S$383)*RoadTransportEthanolStage2!AB43*Unitflowchart!$S$350</f>
        <v>0</v>
      </c>
      <c r="L318" s="26">
        <f t="shared" ref="L318:L321" si="78">(K318/K$391)*100</f>
        <v>0</v>
      </c>
      <c r="M318" s="751">
        <f>(Unitflowchart!$S$341/Unitflowchart!$S$383)*RoadTransportEthanolStage2!AC43*Unitflowchart!$S$350</f>
        <v>0</v>
      </c>
      <c r="N318" s="727">
        <f>E318+(GlobalWarmingPotentials!$B$11*H318)+(GlobalWarmingPotentials!$C$11*K318)</f>
        <v>0</v>
      </c>
      <c r="O318" s="26">
        <f>(N318/N$391)*100</f>
        <v>0</v>
      </c>
      <c r="P318" s="760">
        <f>SQRT((G318^2)+((GlobalWarmingPotentials!$B$11*J318)^2)+((GlobalWarmingPotentials!$C$11*M318)^2))</f>
        <v>0</v>
      </c>
      <c r="Q318" s="30"/>
    </row>
    <row r="319" spans="1:17" x14ac:dyDescent="0.25">
      <c r="A319" t="str">
        <f>RoadTransportEthanolStage2!A44</f>
        <v xml:space="preserve"> - Maintenance</v>
      </c>
      <c r="B319" s="732">
        <f>(Unitflowchart!$S$341/Unitflowchart!$S$383)*RoadTransportEthanolStage2!J44*Unitflowchart!$S$350</f>
        <v>0</v>
      </c>
      <c r="C319" s="26">
        <f t="shared" si="75"/>
        <v>0</v>
      </c>
      <c r="D319" s="491">
        <f>(Unitflowchart!$S$341/Unitflowchart!$S$383)*RoadTransportEthanolStage2!K44*Unitflowchart!$S$350</f>
        <v>0</v>
      </c>
      <c r="E319" s="732">
        <f>(Unitflowchart!$S$341/Unitflowchart!$S$383)*RoadTransportEthanolStage2!P44*Unitflowchart!$S$350</f>
        <v>0</v>
      </c>
      <c r="F319" s="26">
        <f t="shared" si="76"/>
        <v>0</v>
      </c>
      <c r="G319" s="491">
        <f>(Unitflowchart!$S$341/Unitflowchart!$S$383)*RoadTransportEthanolStage2!Q44*Unitflowchart!$S$350</f>
        <v>0</v>
      </c>
      <c r="H319" s="749">
        <f>(Unitflowchart!$S$341/Unitflowchart!$S$383)*RoadTransportEthanolStage2!V44*Unitflowchart!$S$350</f>
        <v>0</v>
      </c>
      <c r="I319" s="26">
        <f t="shared" si="77"/>
        <v>0</v>
      </c>
      <c r="J319" s="751">
        <f>(Unitflowchart!$S$341/Unitflowchart!$S$383)*RoadTransportEthanolStage2!W44*Unitflowchart!$S$350</f>
        <v>0</v>
      </c>
      <c r="K319" s="749">
        <f>(Unitflowchart!$S$341/Unitflowchart!$S$383)*RoadTransportEthanolStage2!AB44*Unitflowchart!$S$350</f>
        <v>0</v>
      </c>
      <c r="L319" s="26">
        <f t="shared" si="78"/>
        <v>0</v>
      </c>
      <c r="M319" s="751">
        <f>(Unitflowchart!$S$341/Unitflowchart!$S$383)*RoadTransportEthanolStage2!AC44*Unitflowchart!$S$350</f>
        <v>0</v>
      </c>
      <c r="N319" s="727">
        <f>E319+(GlobalWarmingPotentials!$B$11*H319)+(GlobalWarmingPotentials!$C$11*K319)</f>
        <v>0</v>
      </c>
      <c r="O319" s="26">
        <f>(N319/N$391)*100</f>
        <v>0</v>
      </c>
      <c r="P319" s="760">
        <f>SQRT((G319^2)+((GlobalWarmingPotentials!$B$11*J319)^2)+((GlobalWarmingPotentials!$C$11*M319)^2))</f>
        <v>0</v>
      </c>
      <c r="Q319" s="30"/>
    </row>
    <row r="320" spans="1:17" s="43" customFormat="1" x14ac:dyDescent="0.25">
      <c r="B320" s="766"/>
      <c r="C320" s="992"/>
      <c r="D320" s="779"/>
      <c r="E320" s="766"/>
      <c r="F320" s="992"/>
      <c r="G320" s="779"/>
      <c r="H320" s="783"/>
      <c r="I320" s="992"/>
      <c r="J320" s="784"/>
      <c r="K320" s="783"/>
      <c r="L320" s="992"/>
      <c r="M320" s="784"/>
      <c r="N320" s="729"/>
      <c r="O320" s="1060"/>
      <c r="P320" s="213"/>
      <c r="Q320" s="852"/>
    </row>
    <row r="321" spans="1:17" x14ac:dyDescent="0.25">
      <c r="A321" s="218" t="s">
        <v>868</v>
      </c>
      <c r="B321" s="730">
        <f>(Unitflowchart!$S$341/Unitflowchart!$S$383)*RoadTransportEthanolStage2!J46*Unitflowchart!$S$350</f>
        <v>0</v>
      </c>
      <c r="C321" s="15">
        <f t="shared" si="75"/>
        <v>0</v>
      </c>
      <c r="D321" s="740">
        <f>(Unitflowchart!$S$341/Unitflowchart!$S$383)*RoadTransportEthanolStage2!K46*Unitflowchart!$S$350</f>
        <v>0</v>
      </c>
      <c r="E321" s="730">
        <f>(Unitflowchart!$S$341/Unitflowchart!$S$383)*RoadTransportEthanolStage2!P46*Unitflowchart!$S$350</f>
        <v>0</v>
      </c>
      <c r="F321" s="15">
        <f t="shared" si="76"/>
        <v>0</v>
      </c>
      <c r="G321" s="740">
        <f>(Unitflowchart!$S$341/Unitflowchart!$S$383)*RoadTransportEthanolStage2!Q46*Unitflowchart!$S$350</f>
        <v>0</v>
      </c>
      <c r="H321" s="215">
        <f>(Unitflowchart!$S$341/Unitflowchart!$S$383)*RoadTransportEthanolStage2!V46*Unitflowchart!$S$350</f>
        <v>0</v>
      </c>
      <c r="I321" s="15">
        <f t="shared" si="77"/>
        <v>0</v>
      </c>
      <c r="J321" s="216">
        <f>(Unitflowchart!$S$341/Unitflowchart!$S$383)*RoadTransportEthanolStage2!W46*Unitflowchart!$S$350</f>
        <v>0</v>
      </c>
      <c r="K321" s="215">
        <f>(Unitflowchart!$S$341/Unitflowchart!$S$383)*RoadTransportEthanolStage2!AB46*Unitflowchart!$S$350</f>
        <v>0</v>
      </c>
      <c r="L321" s="15">
        <f t="shared" si="78"/>
        <v>0</v>
      </c>
      <c r="M321" s="216">
        <f>(Unitflowchart!$S$341/Unitflowchart!$S$383)*RoadTransportEthanolStage2!AC46*Unitflowchart!$S$350</f>
        <v>0</v>
      </c>
      <c r="N321" s="730">
        <f>E321+(GlobalWarmingPotentials!$B$11*H321)+(GlobalWarmingPotentials!$C$11*K321)</f>
        <v>0</v>
      </c>
      <c r="O321" s="15">
        <f>(N321/N$391)*100</f>
        <v>0</v>
      </c>
      <c r="P321" s="761">
        <f>SQRT((G321^2)+((GlobalWarmingPotentials!$B$11*J321)^2)+((GlobalWarmingPotentials!$C$11*M321)^2))</f>
        <v>0</v>
      </c>
      <c r="Q321" s="30"/>
    </row>
    <row r="322" spans="1:17" x14ac:dyDescent="0.25">
      <c r="B322" s="728"/>
      <c r="D322" s="735"/>
      <c r="E322" s="728"/>
      <c r="G322" s="735"/>
      <c r="H322" s="31"/>
      <c r="J322" s="32"/>
      <c r="K322" s="31"/>
      <c r="M322" s="724"/>
      <c r="N322" s="733"/>
      <c r="P322" s="735"/>
      <c r="Q322" s="30"/>
    </row>
    <row r="323" spans="1:17" x14ac:dyDescent="0.25">
      <c r="A323" s="387" t="s">
        <v>921</v>
      </c>
      <c r="B323" s="728"/>
      <c r="D323" s="735"/>
      <c r="E323" s="728"/>
      <c r="G323" s="735"/>
      <c r="H323" s="31"/>
      <c r="J323" s="32"/>
      <c r="K323" s="31"/>
      <c r="M323" s="724"/>
      <c r="N323" s="728"/>
      <c r="P323" s="735"/>
      <c r="Q323" s="30"/>
    </row>
    <row r="324" spans="1:17" x14ac:dyDescent="0.25">
      <c r="B324" s="728"/>
      <c r="D324" s="735"/>
      <c r="E324" s="728"/>
      <c r="G324" s="735"/>
      <c r="H324" s="31"/>
      <c r="J324" s="32"/>
      <c r="K324" s="31"/>
      <c r="M324" s="724"/>
      <c r="N324" s="728"/>
      <c r="P324" s="735"/>
      <c r="Q324" s="30"/>
    </row>
    <row r="325" spans="1:17" x14ac:dyDescent="0.25">
      <c r="A325" t="str">
        <f>RailTransport!A11</f>
        <v xml:space="preserve"> - Gas Oil</v>
      </c>
      <c r="B325" s="726">
        <f>(Unitflowchart!$S$341/Unitflowchart!$S$383)*RailTransport!J11*Unitflowchart!$S$352</f>
        <v>0</v>
      </c>
      <c r="C325" s="25">
        <f>(B325/B$391)*100</f>
        <v>0</v>
      </c>
      <c r="D325" s="744">
        <f>(Unitflowchart!$S$341/Unitflowchart!$S$383)*RailTransport!K11*Unitflowchart!$S$352</f>
        <v>0</v>
      </c>
      <c r="E325" s="726">
        <f>(Unitflowchart!$S$341/Unitflowchart!$S$383)*RailTransport!P11*Unitflowchart!$S$352</f>
        <v>0</v>
      </c>
      <c r="F325" s="25">
        <f>(E325/E$391)*100</f>
        <v>0</v>
      </c>
      <c r="G325" s="744">
        <f>(Unitflowchart!$S$341/Unitflowchart!$S$383)*RailTransport!Q11*Unitflowchart!$S$352</f>
        <v>0</v>
      </c>
      <c r="H325" s="723">
        <f>(Unitflowchart!$S$341/Unitflowchart!$S$383)*RailTransport!V11*Unitflowchart!$S$352</f>
        <v>0</v>
      </c>
      <c r="I325" s="25">
        <f>(H325/H$391)*100</f>
        <v>0</v>
      </c>
      <c r="J325" s="1066">
        <f>(Unitflowchart!$S$341/Unitflowchart!$S$383)*RailTransport!W11*Unitflowchart!$S$352</f>
        <v>0</v>
      </c>
      <c r="K325" s="723">
        <f>(Unitflowchart!$S$341/Unitflowchart!$S$383)*RailTransport!AB11*Unitflowchart!$S$352</f>
        <v>0</v>
      </c>
      <c r="L325" s="25">
        <f>(K325/K$391)*100</f>
        <v>0</v>
      </c>
      <c r="M325" s="725">
        <f>(Unitflowchart!$S$341/Unitflowchart!$S$383)*RailTransport!AC11*Unitflowchart!$S$352</f>
        <v>0</v>
      </c>
      <c r="N325" s="726">
        <f>E325+(GlobalWarmingPotentials!$B$11*H325)+(GlobalWarmingPotentials!$C$11*K325)</f>
        <v>0</v>
      </c>
      <c r="O325" s="25">
        <f>(N325/N$391)*100</f>
        <v>0</v>
      </c>
      <c r="P325" s="744">
        <f>SQRT((G325^2)+((GlobalWarmingPotentials!$B$11*J325)^2)+((GlobalWarmingPotentials!$C$11*M325)^2))</f>
        <v>0</v>
      </c>
      <c r="Q325" s="30"/>
    </row>
    <row r="326" spans="1:17" x14ac:dyDescent="0.25">
      <c r="A326" t="str">
        <f>RailTransport!A12</f>
        <v xml:space="preserve"> - Capital Equipment</v>
      </c>
      <c r="B326" s="726">
        <f>(Unitflowchart!$S$341/Unitflowchart!$S$383)*RailTransport!J12*Unitflowchart!$S$352</f>
        <v>0</v>
      </c>
      <c r="C326" s="25">
        <f>(B326/B$391)*100</f>
        <v>0</v>
      </c>
      <c r="D326" s="744">
        <f>(Unitflowchart!$S$341/Unitflowchart!$S$383)*RailTransport!K12*Unitflowchart!$S$352</f>
        <v>0</v>
      </c>
      <c r="E326" s="726">
        <f>(Unitflowchart!$S$341/Unitflowchart!$S$383)*RailTransport!P12*Unitflowchart!$S$352</f>
        <v>0</v>
      </c>
      <c r="F326" s="25">
        <f>(E326/E$391)*100</f>
        <v>0</v>
      </c>
      <c r="G326" s="744">
        <f>(Unitflowchart!$S$341/Unitflowchart!$S$383)*RailTransport!Q12*Unitflowchart!$S$352</f>
        <v>0</v>
      </c>
      <c r="H326" s="723">
        <f>(Unitflowchart!$S$341/Unitflowchart!$S$383)*RailTransport!V12*Unitflowchart!$S$352</f>
        <v>0</v>
      </c>
      <c r="I326" s="25">
        <f>(H326/H$391)*100</f>
        <v>0</v>
      </c>
      <c r="J326" s="1066">
        <f>(Unitflowchart!$S$341/Unitflowchart!$S$383)*RailTransport!W12*Unitflowchart!$S$352</f>
        <v>0</v>
      </c>
      <c r="K326" s="723">
        <f>(Unitflowchart!$S$341/Unitflowchart!$S$383)*RailTransport!AB12*Unitflowchart!$S$352</f>
        <v>0</v>
      </c>
      <c r="L326" s="25">
        <f>(K326/K$391)*100</f>
        <v>0</v>
      </c>
      <c r="M326" s="725">
        <f>(Unitflowchart!$S$341/Unitflowchart!$S$383)*RailTransport!AC12*Unitflowchart!$S$352</f>
        <v>0</v>
      </c>
      <c r="N326" s="726">
        <f>E326+(GlobalWarmingPotentials!$B$11*H326)+(GlobalWarmingPotentials!$C$11*K326)</f>
        <v>0</v>
      </c>
      <c r="O326" s="25">
        <f>(N326/N$391)*100</f>
        <v>0</v>
      </c>
      <c r="P326" s="744">
        <f>SQRT((G326^2)+((GlobalWarmingPotentials!$B$11*J326)^2)+((GlobalWarmingPotentials!$C$11*M326)^2))</f>
        <v>0</v>
      </c>
      <c r="Q326" s="30"/>
    </row>
    <row r="327" spans="1:17" x14ac:dyDescent="0.25">
      <c r="A327" t="str">
        <f>RailTransport!A13</f>
        <v xml:space="preserve"> - Maintenance</v>
      </c>
      <c r="B327" s="726">
        <f>(Unitflowchart!$S$341/Unitflowchart!$S$383)*RailTransport!J13*Unitflowchart!$S$352</f>
        <v>0</v>
      </c>
      <c r="C327" s="25">
        <f>(B327/B$391)*100</f>
        <v>0</v>
      </c>
      <c r="D327" s="744">
        <f>(Unitflowchart!$S$341/Unitflowchart!$S$383)*RailTransport!K13*Unitflowchart!$S$352</f>
        <v>0</v>
      </c>
      <c r="E327" s="726">
        <f>(Unitflowchart!$S$341/Unitflowchart!$S$383)*RailTransport!P13*Unitflowchart!$S$352</f>
        <v>0</v>
      </c>
      <c r="F327" s="25">
        <f>(E327/E$391)*100</f>
        <v>0</v>
      </c>
      <c r="G327" s="744">
        <f>(Unitflowchart!$S$341/Unitflowchart!$S$383)*RailTransport!Q13*Unitflowchart!$S$352</f>
        <v>0</v>
      </c>
      <c r="H327" s="723">
        <f>(Unitflowchart!$S$341/Unitflowchart!$S$383)*RailTransport!V13*Unitflowchart!$S$352</f>
        <v>0</v>
      </c>
      <c r="I327" s="25">
        <f>(H327/H$391)*100</f>
        <v>0</v>
      </c>
      <c r="J327" s="1066">
        <f>(Unitflowchart!$S$341/Unitflowchart!$S$383)*RailTransport!W13*Unitflowchart!$S$352</f>
        <v>0</v>
      </c>
      <c r="K327" s="723">
        <f>(Unitflowchart!$S$341/Unitflowchart!$S$383)*RailTransport!AB13*Unitflowchart!$S$352</f>
        <v>0</v>
      </c>
      <c r="L327" s="25">
        <f>(K327/K$391)*100</f>
        <v>0</v>
      </c>
      <c r="M327" s="725">
        <f>(Unitflowchart!$S$341/Unitflowchart!$S$383)*RailTransport!AC13*Unitflowchart!$S$352</f>
        <v>0</v>
      </c>
      <c r="N327" s="726">
        <f>E327+(GlobalWarmingPotentials!$B$11*H327)+(GlobalWarmingPotentials!$C$11*K327)</f>
        <v>0</v>
      </c>
      <c r="O327" s="25">
        <f>(N327/N$391)*100</f>
        <v>0</v>
      </c>
      <c r="P327" s="744">
        <f>SQRT((G327^2)+((GlobalWarmingPotentials!$B$11*J327)^2)+((GlobalWarmingPotentials!$C$11*M327)^2))</f>
        <v>0</v>
      </c>
      <c r="Q327" s="30"/>
    </row>
    <row r="328" spans="1:17" x14ac:dyDescent="0.25">
      <c r="B328" s="728"/>
      <c r="C328" s="25"/>
      <c r="D328" s="735"/>
      <c r="E328" s="728"/>
      <c r="F328" s="25"/>
      <c r="G328" s="735"/>
      <c r="H328" s="31"/>
      <c r="I328" s="25"/>
      <c r="J328" s="32"/>
      <c r="K328" s="31"/>
      <c r="L328" s="25"/>
      <c r="M328" s="724"/>
      <c r="N328" s="728"/>
      <c r="O328" s="25"/>
      <c r="P328" s="735"/>
      <c r="Q328" s="30"/>
    </row>
    <row r="329" spans="1:17" x14ac:dyDescent="0.25">
      <c r="A329" s="218" t="s">
        <v>891</v>
      </c>
      <c r="B329" s="734">
        <f>(Unitflowchart!$S$341/Unitflowchart!$S$383)*RailTransport!J15*Unitflowchart!$S$352</f>
        <v>0</v>
      </c>
      <c r="C329" s="721">
        <f>(B329/B$391)*100</f>
        <v>0</v>
      </c>
      <c r="D329" s="745">
        <f>(Unitflowchart!$S$341/Unitflowchart!$S$383)*RailTransport!K15*Unitflowchart!$S$352</f>
        <v>0</v>
      </c>
      <c r="E329" s="734">
        <f>(Unitflowchart!$S$341/Unitflowchart!$S$383)*RailTransport!P15*Unitflowchart!$S$352</f>
        <v>0</v>
      </c>
      <c r="F329" s="721">
        <f>(E329/E$391)*100</f>
        <v>0</v>
      </c>
      <c r="G329" s="745">
        <f>(Unitflowchart!$S$341/Unitflowchart!$S$383)*RailTransport!Q15*Unitflowchart!$S$352</f>
        <v>0</v>
      </c>
      <c r="H329" s="722">
        <f>(Unitflowchart!$S$341/Unitflowchart!$S$383)*RailTransport!V15*Unitflowchart!$S$352</f>
        <v>0</v>
      </c>
      <c r="I329" s="721">
        <f>(H329/H$391)*100</f>
        <v>0</v>
      </c>
      <c r="J329" s="719">
        <f>(Unitflowchart!$S$341/Unitflowchart!$S$383)*RailTransport!W15*Unitflowchart!$S$352</f>
        <v>0</v>
      </c>
      <c r="K329" s="722">
        <f>(Unitflowchart!$S$341/Unitflowchart!$S$383)*RailTransport!AB15*Unitflowchart!$S$352</f>
        <v>0</v>
      </c>
      <c r="L329" s="721">
        <f>(K329/K$391)*100</f>
        <v>0</v>
      </c>
      <c r="M329" s="720">
        <f>(Unitflowchart!$S$341/Unitflowchart!$S$383)*RailTransport!AC15*Unitflowchart!$S$352</f>
        <v>0</v>
      </c>
      <c r="N329" s="734">
        <f>E329+(GlobalWarmingPotentials!$B$11*H329)+(GlobalWarmingPotentials!$C$11*K329)</f>
        <v>0</v>
      </c>
      <c r="O329" s="721">
        <f>(N329/N$391)*100</f>
        <v>0</v>
      </c>
      <c r="P329" s="743">
        <f>SQRT((G329^2)+((GlobalWarmingPotentials!$B$11*J329)^2)+((GlobalWarmingPotentials!$C$11*M329)^2))</f>
        <v>0</v>
      </c>
      <c r="Q329" s="30"/>
    </row>
    <row r="330" spans="1:17" x14ac:dyDescent="0.25">
      <c r="B330" s="728"/>
      <c r="D330" s="735"/>
      <c r="E330" s="728"/>
      <c r="G330" s="735"/>
      <c r="H330" s="31"/>
      <c r="J330" s="32"/>
      <c r="K330" s="31"/>
      <c r="M330" s="724"/>
      <c r="N330" s="728"/>
      <c r="P330" s="735"/>
      <c r="Q330" s="30"/>
    </row>
    <row r="331" spans="1:17" x14ac:dyDescent="0.25">
      <c r="A331" s="387" t="s">
        <v>922</v>
      </c>
      <c r="B331" s="728"/>
      <c r="D331" s="735"/>
      <c r="E331" s="728"/>
      <c r="G331" s="735"/>
      <c r="H331" s="31"/>
      <c r="J331" s="32"/>
      <c r="K331" s="31"/>
      <c r="M331" s="724"/>
      <c r="N331" s="728"/>
      <c r="P331" s="735"/>
      <c r="Q331" s="30"/>
    </row>
    <row r="332" spans="1:17" x14ac:dyDescent="0.25">
      <c r="B332" s="728"/>
      <c r="D332" s="735"/>
      <c r="E332" s="728"/>
      <c r="G332" s="735"/>
      <c r="H332" s="31"/>
      <c r="J332" s="32"/>
      <c r="K332" s="31"/>
      <c r="M332" s="724"/>
      <c r="N332" s="728"/>
      <c r="P332" s="735"/>
      <c r="Q332" s="30"/>
    </row>
    <row r="333" spans="1:17" x14ac:dyDescent="0.25">
      <c r="A333" t="str">
        <f>BargeTransport!A11</f>
        <v xml:space="preserve"> - Marine Diesel</v>
      </c>
      <c r="B333" s="726">
        <f>(Unitflowchart!$S$341/Unitflowchart!$S$383)*BargeTransport!J11*Unitflowchart!$S$354</f>
        <v>0</v>
      </c>
      <c r="C333" s="25">
        <f>(B333/B$391)*100</f>
        <v>0</v>
      </c>
      <c r="D333" s="744">
        <f>(Unitflowchart!$S$341/Unitflowchart!$S$383)*BargeTransport!K11*Unitflowchart!$S$354</f>
        <v>0</v>
      </c>
      <c r="E333" s="726">
        <f>(Unitflowchart!$S$341/Unitflowchart!$S$383)*BargeTransport!P11*Unitflowchart!$S$354</f>
        <v>0</v>
      </c>
      <c r="F333" s="25">
        <f>(E333/E$391)*100</f>
        <v>0</v>
      </c>
      <c r="G333" s="744">
        <f>(Unitflowchart!$S$341/Unitflowchart!$S$383)*BargeTransport!Q11*Unitflowchart!$S$354</f>
        <v>0</v>
      </c>
      <c r="H333" s="723">
        <f>(Unitflowchart!$S$341/Unitflowchart!$S$383)*BargeTransport!V11*Unitflowchart!$S$354</f>
        <v>0</v>
      </c>
      <c r="I333" s="25">
        <f>(H333/H$391)*100</f>
        <v>0</v>
      </c>
      <c r="J333" s="1066">
        <f>(Unitflowchart!$S$341/Unitflowchart!$S$383)*BargeTransport!W11*Unitflowchart!$S$354</f>
        <v>0</v>
      </c>
      <c r="K333" s="723">
        <f>(Unitflowchart!$S$341/Unitflowchart!$S$383)*BargeTransport!AB11*Unitflowchart!$S$354</f>
        <v>0</v>
      </c>
      <c r="L333" s="25">
        <f>(K333/K$391)*100</f>
        <v>0</v>
      </c>
      <c r="M333" s="725">
        <f>(Unitflowchart!$S$341/Unitflowchart!$S$383)*BargeTransport!AC11*Unitflowchart!$S$354</f>
        <v>0</v>
      </c>
      <c r="N333" s="726">
        <f>E333+(GlobalWarmingPotentials!$B$11*H333)+(GlobalWarmingPotentials!$C$11*K333)</f>
        <v>0</v>
      </c>
      <c r="O333" s="25">
        <f>(N333/N$391)*100</f>
        <v>0</v>
      </c>
      <c r="P333" s="744">
        <f>SQRT((G333^2)+((GlobalWarmingPotentials!$B$11*J333)^2)+((GlobalWarmingPotentials!$C$11*M333)^2))</f>
        <v>0</v>
      </c>
      <c r="Q333" s="30"/>
    </row>
    <row r="334" spans="1:17" x14ac:dyDescent="0.25">
      <c r="A334" t="str">
        <f>BargeTransport!A12</f>
        <v xml:space="preserve"> - Barge Construction</v>
      </c>
      <c r="B334" s="726">
        <f>(Unitflowchart!$S$341/Unitflowchart!$S$383)*BargeTransport!J12*Unitflowchart!$S$354</f>
        <v>0</v>
      </c>
      <c r="C334" s="25">
        <f>(B334/B$391)*100</f>
        <v>0</v>
      </c>
      <c r="D334" s="744">
        <f>(Unitflowchart!$S$341/Unitflowchart!$S$383)*BargeTransport!K12*Unitflowchart!$S$354</f>
        <v>0</v>
      </c>
      <c r="E334" s="726">
        <f>(Unitflowchart!$S$341/Unitflowchart!$S$383)*BargeTransport!P12*Unitflowchart!$S$354</f>
        <v>0</v>
      </c>
      <c r="F334" s="25">
        <f>(E334/E$391)*100</f>
        <v>0</v>
      </c>
      <c r="G334" s="744">
        <f>(Unitflowchart!$S$341/Unitflowchart!$S$383)*BargeTransport!Q12*Unitflowchart!$S$354</f>
        <v>0</v>
      </c>
      <c r="H334" s="723">
        <f>(Unitflowchart!$S$341/Unitflowchart!$S$383)*BargeTransport!V12*Unitflowchart!$S$354</f>
        <v>0</v>
      </c>
      <c r="I334" s="25">
        <f>(H334/H$391)*100</f>
        <v>0</v>
      </c>
      <c r="J334" s="1066">
        <f>(Unitflowchart!$S$341/Unitflowchart!$S$383)*BargeTransport!W12*Unitflowchart!$S$354</f>
        <v>0</v>
      </c>
      <c r="K334" s="723">
        <f>(Unitflowchart!$S$341/Unitflowchart!$S$383)*BargeTransport!AB12*Unitflowchart!$S$354</f>
        <v>0</v>
      </c>
      <c r="L334" s="25">
        <f>(K334/K$391)*100</f>
        <v>0</v>
      </c>
      <c r="M334" s="725">
        <f>(Unitflowchart!$S$341/Unitflowchart!$S$383)*BargeTransport!AC12*Unitflowchart!$S$354</f>
        <v>0</v>
      </c>
      <c r="N334" s="726">
        <f>E334+(GlobalWarmingPotentials!$B$11*H334)+(GlobalWarmingPotentials!$C$11*K334)</f>
        <v>0</v>
      </c>
      <c r="O334" s="25">
        <f>(N334/N$391)*100</f>
        <v>0</v>
      </c>
      <c r="P334" s="744">
        <f>SQRT((G334^2)+((GlobalWarmingPotentials!$B$11*J334)^2)+((GlobalWarmingPotentials!$C$11*M334)^2))</f>
        <v>0</v>
      </c>
      <c r="Q334" s="30"/>
    </row>
    <row r="335" spans="1:17" x14ac:dyDescent="0.25">
      <c r="A335" t="str">
        <f>BargeTransport!A13</f>
        <v xml:space="preserve"> - Barge Maintenance</v>
      </c>
      <c r="B335" s="726">
        <f>(Unitflowchart!$S$341/Unitflowchart!$S$383)*BargeTransport!J13*Unitflowchart!$S$354</f>
        <v>0</v>
      </c>
      <c r="C335" s="25">
        <f>(B335/B$391)*100</f>
        <v>0</v>
      </c>
      <c r="D335" s="744">
        <f>(Unitflowchart!$S$341/Unitflowchart!$S$383)*BargeTransport!K13*Unitflowchart!$S$354</f>
        <v>0</v>
      </c>
      <c r="E335" s="726">
        <f>(Unitflowchart!$S$341/Unitflowchart!$S$383)*BargeTransport!P13*Unitflowchart!$S$354</f>
        <v>0</v>
      </c>
      <c r="F335" s="25">
        <f>(E335/E$391)*100</f>
        <v>0</v>
      </c>
      <c r="G335" s="744">
        <f>(Unitflowchart!$S$341/Unitflowchart!$S$383)*BargeTransport!Q13*Unitflowchart!$S$354</f>
        <v>0</v>
      </c>
      <c r="H335" s="723">
        <f>(Unitflowchart!$S$341/Unitflowchart!$S$383)*BargeTransport!V13*Unitflowchart!$S$354</f>
        <v>0</v>
      </c>
      <c r="I335" s="25">
        <f>(H335/H$391)*100</f>
        <v>0</v>
      </c>
      <c r="J335" s="1066">
        <f>(Unitflowchart!$S$341/Unitflowchart!$S$383)*BargeTransport!W13*Unitflowchart!$S$354</f>
        <v>0</v>
      </c>
      <c r="K335" s="723">
        <f>(Unitflowchart!$S$341/Unitflowchart!$S$383)*BargeTransport!AB13*Unitflowchart!$S$354</f>
        <v>0</v>
      </c>
      <c r="L335" s="25">
        <f>(K335/K$391)*100</f>
        <v>0</v>
      </c>
      <c r="M335" s="725">
        <f>(Unitflowchart!$S$341/Unitflowchart!$S$383)*BargeTransport!AC13*Unitflowchart!$S$354</f>
        <v>0</v>
      </c>
      <c r="N335" s="726">
        <f>E335+(GlobalWarmingPotentials!$B$11*H335)+(GlobalWarmingPotentials!$C$11*K335)</f>
        <v>0</v>
      </c>
      <c r="O335" s="25">
        <f>(N335/N$391)*100</f>
        <v>0</v>
      </c>
      <c r="P335" s="744">
        <f>SQRT((G335^2)+((GlobalWarmingPotentials!$B$11*J335)^2)+((GlobalWarmingPotentials!$C$11*M335)^2))</f>
        <v>0</v>
      </c>
      <c r="Q335" s="30"/>
    </row>
    <row r="336" spans="1:17" x14ac:dyDescent="0.25">
      <c r="B336" s="728"/>
      <c r="C336" s="25"/>
      <c r="D336" s="735"/>
      <c r="E336" s="728"/>
      <c r="F336" s="25"/>
      <c r="G336" s="735"/>
      <c r="H336" s="31"/>
      <c r="I336" s="25"/>
      <c r="J336" s="32"/>
      <c r="K336" s="31"/>
      <c r="L336" s="25"/>
      <c r="M336" s="724"/>
      <c r="N336" s="728"/>
      <c r="O336" s="25"/>
      <c r="P336" s="735"/>
      <c r="Q336" s="30"/>
    </row>
    <row r="337" spans="1:17" x14ac:dyDescent="0.25">
      <c r="A337" s="218" t="s">
        <v>893</v>
      </c>
      <c r="B337" s="734">
        <f>(Unitflowchart!$S$341/Unitflowchart!$S$383)*BargeTransport!J15*Unitflowchart!$S$354</f>
        <v>0</v>
      </c>
      <c r="C337" s="721">
        <f>(B337/B$391)*100</f>
        <v>0</v>
      </c>
      <c r="D337" s="745">
        <f>(Unitflowchart!$S$341/Unitflowchart!$S$383)*BargeTransport!K15*Unitflowchart!$S$354</f>
        <v>0</v>
      </c>
      <c r="E337" s="734">
        <f>(Unitflowchart!$S$341/Unitflowchart!$S$383)*BargeTransport!P15*Unitflowchart!$S$354</f>
        <v>0</v>
      </c>
      <c r="F337" s="721">
        <f>(E337/E$391)*100</f>
        <v>0</v>
      </c>
      <c r="G337" s="745">
        <f>(Unitflowchart!$S$341/Unitflowchart!$S$383)*BargeTransport!Q15*Unitflowchart!$S$354</f>
        <v>0</v>
      </c>
      <c r="H337" s="722">
        <f>(Unitflowchart!$S$341/Unitflowchart!$S$383)*BargeTransport!V15*Unitflowchart!$S$354</f>
        <v>0</v>
      </c>
      <c r="I337" s="721">
        <f>(H337/H$391)*100</f>
        <v>0</v>
      </c>
      <c r="J337" s="719">
        <f>(Unitflowchart!$S$341/Unitflowchart!$S$383)*BargeTransport!W15*Unitflowchart!$S$354</f>
        <v>0</v>
      </c>
      <c r="K337" s="722">
        <f>(Unitflowchart!$S$341/Unitflowchart!$S$383)*BargeTransport!AB15*Unitflowchart!$S$354</f>
        <v>0</v>
      </c>
      <c r="L337" s="721">
        <f>(K337/K$391)*100</f>
        <v>0</v>
      </c>
      <c r="M337" s="720">
        <f>(Unitflowchart!$S$341/Unitflowchart!$S$383)*BargeTransport!AC15*Unitflowchart!$S$354</f>
        <v>0</v>
      </c>
      <c r="N337" s="734">
        <f>E337+(GlobalWarmingPotentials!$B$11*H337)+(GlobalWarmingPotentials!$C$11*K337)</f>
        <v>0</v>
      </c>
      <c r="O337" s="721">
        <f>(N337/N$391)*100</f>
        <v>0</v>
      </c>
      <c r="P337" s="743">
        <f>SQRT((G337^2)+((GlobalWarmingPotentials!$B$11*J337)^2)+((GlobalWarmingPotentials!$C$11*M337)^2))</f>
        <v>0</v>
      </c>
      <c r="Q337" s="30"/>
    </row>
    <row r="338" spans="1:17" x14ac:dyDescent="0.25">
      <c r="B338" s="728"/>
      <c r="D338" s="735"/>
      <c r="E338" s="728"/>
      <c r="G338" s="735"/>
      <c r="H338" s="31"/>
      <c r="J338" s="32"/>
      <c r="K338" s="31"/>
      <c r="M338" s="724"/>
      <c r="N338" s="728"/>
      <c r="P338" s="735"/>
      <c r="Q338" s="30"/>
    </row>
    <row r="339" spans="1:17" x14ac:dyDescent="0.25">
      <c r="A339" s="387" t="s">
        <v>923</v>
      </c>
      <c r="B339" s="728"/>
      <c r="D339" s="735"/>
      <c r="E339" s="728"/>
      <c r="G339" s="735"/>
      <c r="H339" s="31"/>
      <c r="J339" s="32"/>
      <c r="K339" s="31"/>
      <c r="M339" s="724"/>
      <c r="N339" s="728"/>
      <c r="P339" s="735"/>
      <c r="Q339" s="30"/>
    </row>
    <row r="340" spans="1:17" x14ac:dyDescent="0.25">
      <c r="B340" s="728"/>
      <c r="D340" s="735"/>
      <c r="E340" s="728"/>
      <c r="G340" s="735"/>
      <c r="H340" s="31"/>
      <c r="J340" s="32"/>
      <c r="K340" s="31"/>
      <c r="M340" s="724"/>
      <c r="N340" s="728"/>
      <c r="P340" s="735"/>
      <c r="Q340" s="30"/>
    </row>
    <row r="341" spans="1:17" x14ac:dyDescent="0.25">
      <c r="A341" t="str">
        <f>ShipTransport!A11</f>
        <v xml:space="preserve"> - Marine Diesel</v>
      </c>
      <c r="B341" s="726">
        <f>(Unitflowchart!$S$341/Unitflowchart!$S$383)*ShipTransport!J11*Unitflowchart!$S$356</f>
        <v>0</v>
      </c>
      <c r="C341" s="25">
        <f>(B341/B$391)*100</f>
        <v>0</v>
      </c>
      <c r="D341" s="744">
        <f>(Unitflowchart!$S$341/Unitflowchart!$S$383)*ShipTransport!K11*Unitflowchart!$S$356</f>
        <v>0</v>
      </c>
      <c r="E341" s="726">
        <f>(Unitflowchart!$S$341/Unitflowchart!$S$383)*ShipTransport!P11*Unitflowchart!$S$356</f>
        <v>0</v>
      </c>
      <c r="F341" s="25">
        <f>(E341/E$391)*100</f>
        <v>0</v>
      </c>
      <c r="G341" s="744">
        <f>(Unitflowchart!$S$341/Unitflowchart!$S$383)*ShipTransport!Q11*Unitflowchart!$S$356</f>
        <v>0</v>
      </c>
      <c r="H341" s="723">
        <f>(Unitflowchart!$S$341/Unitflowchart!$S$383)*ShipTransport!V11*Unitflowchart!$S$356</f>
        <v>0</v>
      </c>
      <c r="I341" s="25">
        <f>(H341/H$391)*100</f>
        <v>0</v>
      </c>
      <c r="J341" s="1066">
        <f>(Unitflowchart!$S$341/Unitflowchart!$S$383)*ShipTransport!W11*Unitflowchart!$S$356</f>
        <v>0</v>
      </c>
      <c r="K341" s="723">
        <f>(Unitflowchart!$S$341/Unitflowchart!$S$383)*ShipTransport!AB11*Unitflowchart!$S$356</f>
        <v>0</v>
      </c>
      <c r="L341" s="25">
        <f>(K341/K$391)*100</f>
        <v>0</v>
      </c>
      <c r="M341" s="725">
        <f>(Unitflowchart!$S$341/Unitflowchart!$S$383)*ShipTransport!AC19*Unitflowchart!$S$354</f>
        <v>0</v>
      </c>
      <c r="N341" s="726">
        <f>E341+(GlobalWarmingPotentials!$B$11*H341)+(GlobalWarmingPotentials!$C$11*K341)</f>
        <v>0</v>
      </c>
      <c r="O341" s="25">
        <f>(N341/N$391)*100</f>
        <v>0</v>
      </c>
      <c r="P341" s="744">
        <f>SQRT((G341^2)+((GlobalWarmingPotentials!$B$11*J341)^2)+((GlobalWarmingPotentials!$C$11*M341)^2))</f>
        <v>0</v>
      </c>
      <c r="Q341" s="30"/>
    </row>
    <row r="342" spans="1:17" x14ac:dyDescent="0.25">
      <c r="A342" t="str">
        <f>ShipTransport!A12</f>
        <v xml:space="preserve"> - Ship Construction</v>
      </c>
      <c r="B342" s="726">
        <f>(Unitflowchart!$S$341/Unitflowchart!$S$383)*ShipTransport!J12*Unitflowchart!$S$356</f>
        <v>0</v>
      </c>
      <c r="C342" s="25">
        <f t="shared" ref="C342:C343" si="79">(B342/B$391)*100</f>
        <v>0</v>
      </c>
      <c r="D342" s="744">
        <f>(Unitflowchart!$S$341/Unitflowchart!$S$383)*ShipTransport!K12*Unitflowchart!$S$356</f>
        <v>0</v>
      </c>
      <c r="E342" s="726">
        <f>(Unitflowchart!$S$341/Unitflowchart!$S$383)*ShipTransport!P12*Unitflowchart!$S$356</f>
        <v>0</v>
      </c>
      <c r="F342" s="25">
        <f t="shared" ref="F342:F343" si="80">(E342/E$391)*100</f>
        <v>0</v>
      </c>
      <c r="G342" s="744">
        <f>(Unitflowchart!$S$341/Unitflowchart!$S$383)*ShipTransport!Q12*Unitflowchart!$S$356</f>
        <v>0</v>
      </c>
      <c r="H342" s="723">
        <f>(Unitflowchart!$S$341/Unitflowchart!$S$383)*ShipTransport!V12*Unitflowchart!$S$356</f>
        <v>0</v>
      </c>
      <c r="I342" s="25">
        <f t="shared" ref="I342:I343" si="81">(H342/H$391)*100</f>
        <v>0</v>
      </c>
      <c r="J342" s="1066">
        <f>(Unitflowchart!$S$341/Unitflowchart!$S$383)*ShipTransport!W12*Unitflowchart!$S$356</f>
        <v>0</v>
      </c>
      <c r="K342" s="723">
        <f>(Unitflowchart!$S$341/Unitflowchart!$S$383)*ShipTransport!AB12*Unitflowchart!$S$356</f>
        <v>0</v>
      </c>
      <c r="L342" s="25">
        <f t="shared" ref="L342:L343" si="82">(K342/K$391)*100</f>
        <v>0</v>
      </c>
      <c r="M342" s="725">
        <f>(Unitflowchart!$S$341/Unitflowchart!$S$383)*ShipTransport!AC20*Unitflowchart!$S$354</f>
        <v>0</v>
      </c>
      <c r="N342" s="726">
        <f>E342+(GlobalWarmingPotentials!$B$11*H342)+(GlobalWarmingPotentials!$C$11*K342)</f>
        <v>0</v>
      </c>
      <c r="O342" s="25">
        <f t="shared" ref="O342:O343" si="83">(N342/N$391)*100</f>
        <v>0</v>
      </c>
      <c r="P342" s="744">
        <f>SQRT((G342^2)+((GlobalWarmingPotentials!$B$11*J342)^2)+((GlobalWarmingPotentials!$C$11*M342)^2))</f>
        <v>0</v>
      </c>
      <c r="Q342" s="30"/>
    </row>
    <row r="343" spans="1:17" x14ac:dyDescent="0.25">
      <c r="A343" t="str">
        <f>ShipTransport!A13</f>
        <v xml:space="preserve"> - Ship Maintenance</v>
      </c>
      <c r="B343" s="726">
        <f>(Unitflowchart!$S$341/Unitflowchart!$S$383)*ShipTransport!J13*Unitflowchart!$S$356</f>
        <v>0</v>
      </c>
      <c r="C343" s="25">
        <f t="shared" si="79"/>
        <v>0</v>
      </c>
      <c r="D343" s="744">
        <f>(Unitflowchart!$S$341/Unitflowchart!$S$383)*ShipTransport!K13*Unitflowchart!$S$356</f>
        <v>0</v>
      </c>
      <c r="E343" s="726">
        <f>(Unitflowchart!$S$341/Unitflowchart!$S$383)*ShipTransport!P13*Unitflowchart!$S$356</f>
        <v>0</v>
      </c>
      <c r="F343" s="25">
        <f t="shared" si="80"/>
        <v>0</v>
      </c>
      <c r="G343" s="744">
        <f>(Unitflowchart!$S$341/Unitflowchart!$S$383)*ShipTransport!Q13*Unitflowchart!$S$356</f>
        <v>0</v>
      </c>
      <c r="H343" s="723">
        <f>(Unitflowchart!$S$341/Unitflowchart!$S$383)*ShipTransport!V13*Unitflowchart!$S$356</f>
        <v>0</v>
      </c>
      <c r="I343" s="25">
        <f t="shared" si="81"/>
        <v>0</v>
      </c>
      <c r="J343" s="1066">
        <f>(Unitflowchart!$S$341/Unitflowchart!$S$383)*ShipTransport!W13*Unitflowchart!$S$356</f>
        <v>0</v>
      </c>
      <c r="K343" s="723">
        <f>(Unitflowchart!$S$341/Unitflowchart!$S$383)*ShipTransport!AB13*Unitflowchart!$S$356</f>
        <v>0</v>
      </c>
      <c r="L343" s="25">
        <f t="shared" si="82"/>
        <v>0</v>
      </c>
      <c r="M343" s="725">
        <f>(Unitflowchart!$S$341/Unitflowchart!$S$383)*ShipTransport!AC21*Unitflowchart!$S$354</f>
        <v>0</v>
      </c>
      <c r="N343" s="726">
        <f>E343+(GlobalWarmingPotentials!$B$11*H343)+(GlobalWarmingPotentials!$C$11*K343)</f>
        <v>0</v>
      </c>
      <c r="O343" s="25">
        <f t="shared" si="83"/>
        <v>0</v>
      </c>
      <c r="P343" s="744">
        <f>SQRT((G343^2)+((GlobalWarmingPotentials!$B$11*J343)^2)+((GlobalWarmingPotentials!$C$11*M343)^2))</f>
        <v>0</v>
      </c>
      <c r="Q343" s="30"/>
    </row>
    <row r="344" spans="1:17" x14ac:dyDescent="0.25">
      <c r="B344" s="728"/>
      <c r="D344" s="735"/>
      <c r="E344" s="728"/>
      <c r="F344" s="25"/>
      <c r="G344" s="735"/>
      <c r="H344" s="31"/>
      <c r="I344" s="25"/>
      <c r="J344" s="32"/>
      <c r="K344" s="31"/>
      <c r="L344" s="25"/>
      <c r="M344" s="724"/>
      <c r="N344" s="728"/>
      <c r="O344" s="25"/>
      <c r="P344" s="735"/>
      <c r="Q344" s="30"/>
    </row>
    <row r="345" spans="1:17" x14ac:dyDescent="0.25">
      <c r="A345" s="218" t="s">
        <v>895</v>
      </c>
      <c r="B345" s="734">
        <f>(Unitflowchart!$S$341/Unitflowchart!$S$383)*ShipTransport!J15*Unitflowchart!$S$356</f>
        <v>0</v>
      </c>
      <c r="C345" s="721">
        <f>(B345/B$391)*100</f>
        <v>0</v>
      </c>
      <c r="D345" s="745">
        <f>(Unitflowchart!$S$341/Unitflowchart!$S$383)*ShipTransport!K15*Unitflowchart!$S$356</f>
        <v>0</v>
      </c>
      <c r="E345" s="734">
        <f>(Unitflowchart!$S$341/Unitflowchart!$S$383)*ShipTransport!P15*Unitflowchart!$S$356</f>
        <v>0</v>
      </c>
      <c r="F345" s="721">
        <f>(E345/E$391)*100</f>
        <v>0</v>
      </c>
      <c r="G345" s="745">
        <f>(Unitflowchart!$S$341/Unitflowchart!$S$383)*ShipTransport!Q15*Unitflowchart!$S$356</f>
        <v>0</v>
      </c>
      <c r="H345" s="722">
        <f>(Unitflowchart!$S$341/Unitflowchart!$S$383)*ShipTransport!V15*Unitflowchart!$S$356</f>
        <v>0</v>
      </c>
      <c r="I345" s="721">
        <f>(H345/H$391)*100</f>
        <v>0</v>
      </c>
      <c r="J345" s="719">
        <f>(Unitflowchart!$S$341/Unitflowchart!$S$383)*ShipTransport!W15*Unitflowchart!$S$356</f>
        <v>0</v>
      </c>
      <c r="K345" s="722">
        <f>(Unitflowchart!$S$341/Unitflowchart!$S$383)*ShipTransport!AB15*Unitflowchart!$S$356</f>
        <v>0</v>
      </c>
      <c r="L345" s="721">
        <f>(K345/K$391)*100</f>
        <v>0</v>
      </c>
      <c r="M345" s="720">
        <f>(Unitflowchart!$S$341/Unitflowchart!$S$383)*ShipTransport!AC23*Unitflowchart!$S$354</f>
        <v>0</v>
      </c>
      <c r="N345" s="734">
        <f>E345+(GlobalWarmingPotentials!$B$11*H345)+(GlobalWarmingPotentials!$C$11*K345)</f>
        <v>0</v>
      </c>
      <c r="O345" s="721">
        <f>(N345/N$391)*100</f>
        <v>0</v>
      </c>
      <c r="P345" s="743">
        <f>SQRT((G345^2)+((GlobalWarmingPotentials!$B$11*J345)^2)+((GlobalWarmingPotentials!$C$11*M345)^2))</f>
        <v>0</v>
      </c>
      <c r="Q345" s="30"/>
    </row>
    <row r="346" spans="1:17" x14ac:dyDescent="0.25">
      <c r="B346" s="728"/>
      <c r="D346" s="735"/>
      <c r="E346" s="728"/>
      <c r="G346" s="735"/>
      <c r="H346" s="31"/>
      <c r="J346" s="32"/>
      <c r="K346" s="31"/>
      <c r="M346" s="724"/>
      <c r="N346" s="728"/>
      <c r="P346" s="735"/>
      <c r="Q346" s="30"/>
    </row>
    <row r="347" spans="1:17" x14ac:dyDescent="0.25">
      <c r="A347" s="218" t="s">
        <v>932</v>
      </c>
      <c r="B347" s="730">
        <f>B321+B329+B337+B345</f>
        <v>0</v>
      </c>
      <c r="C347" s="15">
        <f>(B347/B$391)*100</f>
        <v>0</v>
      </c>
      <c r="D347" s="740">
        <f>SQRT((D321^2)+(D329^2)+(D337^2)+(D345^2))</f>
        <v>0</v>
      </c>
      <c r="E347" s="730">
        <f t="shared" ref="E347" si="84">E321+E329+E337+E345</f>
        <v>0</v>
      </c>
      <c r="F347" s="15">
        <f t="shared" ref="F347" si="85">(E347/E$391)*100</f>
        <v>0</v>
      </c>
      <c r="G347" s="740">
        <f t="shared" ref="G347" si="86">SQRT((G321^2)+(G329^2)+(G337^2)+(G345^2))</f>
        <v>0</v>
      </c>
      <c r="H347" s="215">
        <f t="shared" ref="H347" si="87">H321+H329+H337+H345</f>
        <v>0</v>
      </c>
      <c r="I347" s="15">
        <f t="shared" ref="I347" si="88">(H347/H$391)*100</f>
        <v>0</v>
      </c>
      <c r="J347" s="216">
        <f t="shared" ref="J347" si="89">SQRT((J321^2)+(J329^2)+(J337^2)+(J345^2))</f>
        <v>0</v>
      </c>
      <c r="K347" s="215">
        <f t="shared" ref="K347" si="90">K321+K329+K337+K345</f>
        <v>0</v>
      </c>
      <c r="L347" s="15">
        <f t="shared" ref="L347" si="91">(K347/K$391)*100</f>
        <v>0</v>
      </c>
      <c r="M347" s="216">
        <f t="shared" ref="M347" si="92">SQRT((M321^2)+(M329^2)+(M337^2)+(M345^2))</f>
        <v>0</v>
      </c>
      <c r="N347" s="730">
        <f t="shared" ref="N347" si="93">N321+N329+N337+N345</f>
        <v>0</v>
      </c>
      <c r="O347" s="15">
        <f t="shared" ref="O347" si="94">(N347/N$391)*100</f>
        <v>0</v>
      </c>
      <c r="P347" s="740">
        <f t="shared" ref="P347" si="95">SQRT((P321^2)+(P329^2)+(P337^2)+(P345^2))</f>
        <v>0</v>
      </c>
      <c r="Q347" s="30"/>
    </row>
    <row r="348" spans="1:17" x14ac:dyDescent="0.25">
      <c r="B348" s="728"/>
      <c r="D348" s="735"/>
      <c r="E348" s="728"/>
      <c r="G348" s="735"/>
      <c r="H348" s="31"/>
      <c r="J348" s="32"/>
      <c r="K348" s="31"/>
      <c r="M348" s="724"/>
      <c r="N348" s="728"/>
      <c r="P348" s="735"/>
      <c r="Q348" s="30"/>
    </row>
    <row r="349" spans="1:17" x14ac:dyDescent="0.25">
      <c r="A349" s="387" t="s">
        <v>924</v>
      </c>
      <c r="B349" s="728"/>
      <c r="D349" s="735"/>
      <c r="E349" s="728"/>
      <c r="G349" s="735"/>
      <c r="H349" s="31"/>
      <c r="J349" s="32"/>
      <c r="K349" s="31"/>
      <c r="M349" s="724"/>
      <c r="N349" s="728"/>
      <c r="P349" s="735"/>
      <c r="Q349" s="30"/>
    </row>
    <row r="350" spans="1:17" x14ac:dyDescent="0.25">
      <c r="B350" s="728"/>
      <c r="D350" s="735"/>
      <c r="E350" s="728"/>
      <c r="G350" s="735"/>
      <c r="H350" s="31"/>
      <c r="J350" s="32"/>
      <c r="K350" s="31"/>
      <c r="M350" s="724"/>
      <c r="N350" s="728"/>
      <c r="P350" s="735"/>
      <c r="Q350" s="30"/>
    </row>
    <row r="351" spans="1:17" x14ac:dyDescent="0.25">
      <c r="A351" s="14" t="str">
        <f>RoadTransportEthanolStage3!A42</f>
        <v xml:space="preserve"> - Diesel Fuel</v>
      </c>
      <c r="B351" s="732">
        <f>(Unitflowchart!$S$362/Unitflowchart!$S$383)*RoadTransportEthanolStage3!J42*Unitflowchart!$S$371</f>
        <v>0</v>
      </c>
      <c r="C351" s="26">
        <f>(B351/B$391)*100</f>
        <v>0</v>
      </c>
      <c r="D351" s="491">
        <f>(Unitflowchart!$S$362/Unitflowchart!$S$383)*RoadTransportEthanolStage3!K42*Unitflowchart!$S$371</f>
        <v>0</v>
      </c>
      <c r="E351" s="732">
        <f>(Unitflowchart!$S$362/Unitflowchart!$S$383)*RoadTransportEthanolStage3!P42*Unitflowchart!$S$371</f>
        <v>0</v>
      </c>
      <c r="F351" s="26">
        <f>(E351/E$391)*100</f>
        <v>0</v>
      </c>
      <c r="G351" s="491">
        <f>(Unitflowchart!$S$362/Unitflowchart!$S$383)*RoadTransportEthanolStage3!Q42*Unitflowchart!$S$371</f>
        <v>0</v>
      </c>
      <c r="H351" s="749">
        <f>(Unitflowchart!$S$362/Unitflowchart!$S$383)*RoadTransportEthanolStage3!V42*Unitflowchart!$S$371</f>
        <v>0</v>
      </c>
      <c r="I351" s="26">
        <f>(H351/H$391)*100</f>
        <v>0</v>
      </c>
      <c r="J351" s="751">
        <f>(Unitflowchart!$S$362/Unitflowchart!$S$383)*RoadTransportEthanolStage3!W42*Unitflowchart!$S$371</f>
        <v>0</v>
      </c>
      <c r="K351" s="749">
        <f>(Unitflowchart!$S$362/Unitflowchart!$S$383)*RoadTransportEthanolStage3!AB42*Unitflowchart!$S$371</f>
        <v>0</v>
      </c>
      <c r="L351" s="26">
        <f>(K351/K$391)*100</f>
        <v>0</v>
      </c>
      <c r="M351" s="751">
        <f>(Unitflowchart!$S$362/Unitflowchart!$S$383)*RoadTransportEthanolStage3!AC42*Unitflowchart!$S$371</f>
        <v>0</v>
      </c>
      <c r="N351" s="727">
        <f>E351+(GlobalWarmingPotentials!$B$11*H351)+(GlobalWarmingPotentials!$C$11*K351)</f>
        <v>0</v>
      </c>
      <c r="O351" s="26">
        <f>(N351/N$391)*100</f>
        <v>0</v>
      </c>
      <c r="P351" s="760">
        <f>SQRT((G351^2)+((GlobalWarmingPotentials!$B$11*J351)^2)+((GlobalWarmingPotentials!$C$11*M351)^2))</f>
        <v>0</v>
      </c>
      <c r="Q351" s="30"/>
    </row>
    <row r="352" spans="1:17" x14ac:dyDescent="0.25">
      <c r="A352" s="14" t="str">
        <f>RoadTransportEthanolStage3!A43</f>
        <v xml:space="preserve"> - Vehicle</v>
      </c>
      <c r="B352" s="732">
        <f>(Unitflowchart!$S$362/Unitflowchart!$S$383)*RoadTransportEthanolStage3!J43*Unitflowchart!$S$371</f>
        <v>0</v>
      </c>
      <c r="C352" s="26">
        <f t="shared" ref="C352:C355" si="96">(B352/B$391)*100</f>
        <v>0</v>
      </c>
      <c r="D352" s="491">
        <f>(Unitflowchart!$S$362/Unitflowchart!$S$383)*RoadTransportEthanolStage3!K43*Unitflowchart!$S$371</f>
        <v>0</v>
      </c>
      <c r="E352" s="732">
        <f>(Unitflowchart!$S$362/Unitflowchart!$S$383)*RoadTransportEthanolStage3!P43*Unitflowchart!$S$371</f>
        <v>0</v>
      </c>
      <c r="F352" s="26">
        <f t="shared" ref="F352:F355" si="97">(E352/E$391)*100</f>
        <v>0</v>
      </c>
      <c r="G352" s="491">
        <f>(Unitflowchart!$S$362/Unitflowchart!$S$383)*RoadTransportEthanolStage3!Q43*Unitflowchart!$S$371</f>
        <v>0</v>
      </c>
      <c r="H352" s="749">
        <f>(Unitflowchart!$S$362/Unitflowchart!$S$383)*RoadTransportEthanolStage3!V43*Unitflowchart!$S$371</f>
        <v>0</v>
      </c>
      <c r="I352" s="26">
        <f t="shared" ref="I352:I355" si="98">(H352/H$391)*100</f>
        <v>0</v>
      </c>
      <c r="J352" s="751">
        <f>(Unitflowchart!$S$362/Unitflowchart!$S$383)*RoadTransportEthanolStage3!W43*Unitflowchart!$S$371</f>
        <v>0</v>
      </c>
      <c r="K352" s="749">
        <f>(Unitflowchart!$S$362/Unitflowchart!$S$383)*RoadTransportEthanolStage3!AB43*Unitflowchart!$S$371</f>
        <v>0</v>
      </c>
      <c r="L352" s="26">
        <f t="shared" ref="L352:L355" si="99">(K352/K$391)*100</f>
        <v>0</v>
      </c>
      <c r="M352" s="751">
        <f>(Unitflowchart!$S$362/Unitflowchart!$S$383)*RoadTransportEthanolStage3!AC43*Unitflowchart!$S$371</f>
        <v>0</v>
      </c>
      <c r="N352" s="727">
        <f>E352+(GlobalWarmingPotentials!$B$11*H352)+(GlobalWarmingPotentials!$C$11*K352)</f>
        <v>0</v>
      </c>
      <c r="O352" s="26">
        <f t="shared" ref="O352:O353" si="100">(N352/N$391)*100</f>
        <v>0</v>
      </c>
      <c r="P352" s="760">
        <f>SQRT((G352^2)+((GlobalWarmingPotentials!$B$11*J352)^2)+((GlobalWarmingPotentials!$C$11*M352)^2))</f>
        <v>0</v>
      </c>
      <c r="Q352" s="30"/>
    </row>
    <row r="353" spans="1:17" x14ac:dyDescent="0.25">
      <c r="A353" s="14" t="str">
        <f>RoadTransportEthanolStage3!A44</f>
        <v xml:space="preserve"> - Maintenance</v>
      </c>
      <c r="B353" s="732">
        <f>(Unitflowchart!$S$362/Unitflowchart!$S$383)*RoadTransportEthanolStage3!J44*Unitflowchart!$S$371</f>
        <v>0</v>
      </c>
      <c r="C353" s="26">
        <f t="shared" si="96"/>
        <v>0</v>
      </c>
      <c r="D353" s="491">
        <f>(Unitflowchart!$S$362/Unitflowchart!$S$383)*RoadTransportEthanolStage3!K44*Unitflowchart!$S$371</f>
        <v>0</v>
      </c>
      <c r="E353" s="732">
        <f>(Unitflowchart!$S$362/Unitflowchart!$S$383)*RoadTransportEthanolStage3!P44*Unitflowchart!$S$371</f>
        <v>0</v>
      </c>
      <c r="F353" s="26">
        <f t="shared" si="97"/>
        <v>0</v>
      </c>
      <c r="G353" s="491">
        <f>(Unitflowchart!$S$362/Unitflowchart!$S$383)*RoadTransportEthanolStage3!Q44*Unitflowchart!$S$371</f>
        <v>0</v>
      </c>
      <c r="H353" s="749">
        <f>(Unitflowchart!$S$362/Unitflowchart!$S$383)*RoadTransportEthanolStage3!V44*Unitflowchart!$S$371</f>
        <v>0</v>
      </c>
      <c r="I353" s="26">
        <f t="shared" si="98"/>
        <v>0</v>
      </c>
      <c r="J353" s="751">
        <f>(Unitflowchart!$S$362/Unitflowchart!$S$383)*RoadTransportEthanolStage3!W44*Unitflowchart!$S$371</f>
        <v>0</v>
      </c>
      <c r="K353" s="749">
        <f>(Unitflowchart!$S$362/Unitflowchart!$S$383)*RoadTransportEthanolStage3!AB44*Unitflowchart!$S$371</f>
        <v>0</v>
      </c>
      <c r="L353" s="26">
        <f t="shared" si="99"/>
        <v>0</v>
      </c>
      <c r="M353" s="751">
        <f>(Unitflowchart!$S$362/Unitflowchart!$S$383)*RoadTransportEthanolStage3!AC44*Unitflowchart!$S$371</f>
        <v>0</v>
      </c>
      <c r="N353" s="727">
        <f>E353+(GlobalWarmingPotentials!$B$11*H353)+(GlobalWarmingPotentials!$C$11*K353)</f>
        <v>0</v>
      </c>
      <c r="O353" s="26">
        <f t="shared" si="100"/>
        <v>0</v>
      </c>
      <c r="P353" s="760">
        <f>SQRT((G353^2)+((GlobalWarmingPotentials!$B$11*J353)^2)+((GlobalWarmingPotentials!$C$11*M353)^2))</f>
        <v>0</v>
      </c>
      <c r="Q353" s="30"/>
    </row>
    <row r="354" spans="1:17" s="43" customFormat="1" x14ac:dyDescent="0.25">
      <c r="B354" s="766"/>
      <c r="C354" s="992"/>
      <c r="D354" s="779"/>
      <c r="E354" s="766"/>
      <c r="F354" s="992"/>
      <c r="G354" s="779"/>
      <c r="H354" s="783"/>
      <c r="I354" s="992"/>
      <c r="J354" s="784"/>
      <c r="K354" s="783"/>
      <c r="L354" s="992"/>
      <c r="M354" s="784"/>
      <c r="N354" s="729"/>
      <c r="O354" s="155"/>
      <c r="P354" s="213"/>
      <c r="Q354" s="852"/>
    </row>
    <row r="355" spans="1:17" x14ac:dyDescent="0.25">
      <c r="A355" s="218" t="s">
        <v>927</v>
      </c>
      <c r="B355" s="730">
        <f>(Unitflowchart!$S$362/Unitflowchart!$S$383)*RoadTransportEthanolStage3!J46*Unitflowchart!$S$371</f>
        <v>0</v>
      </c>
      <c r="C355" s="15">
        <f t="shared" si="96"/>
        <v>0</v>
      </c>
      <c r="D355" s="740">
        <f>(Unitflowchart!$S$362/Unitflowchart!$S$383)*RoadTransportEthanolStage3!K46*Unitflowchart!$S$371</f>
        <v>0</v>
      </c>
      <c r="E355" s="730">
        <f>(Unitflowchart!$S$362/Unitflowchart!$S$383)*RoadTransportEthanolStage3!P46*Unitflowchart!$S$371</f>
        <v>0</v>
      </c>
      <c r="F355" s="15">
        <f t="shared" si="97"/>
        <v>0</v>
      </c>
      <c r="G355" s="740">
        <f>(Unitflowchart!$S$362/Unitflowchart!$S$383)*RoadTransportEthanolStage3!Q46*Unitflowchart!$S$371</f>
        <v>0</v>
      </c>
      <c r="H355" s="215">
        <f>(Unitflowchart!$S$362/Unitflowchart!$S$383)*RoadTransportEthanolStage3!V46*Unitflowchart!$S$371</f>
        <v>0</v>
      </c>
      <c r="I355" s="15">
        <f t="shared" si="98"/>
        <v>0</v>
      </c>
      <c r="J355" s="216">
        <f>(Unitflowchart!$S$362/Unitflowchart!$S$383)*RoadTransportEthanolStage3!W46*Unitflowchart!$S$371</f>
        <v>0</v>
      </c>
      <c r="K355" s="215">
        <f>(Unitflowchart!$S$362/Unitflowchart!$S$383)*RoadTransportEthanolStage3!AB46*Unitflowchart!$S$371</f>
        <v>0</v>
      </c>
      <c r="L355" s="15">
        <f t="shared" si="99"/>
        <v>0</v>
      </c>
      <c r="M355" s="216">
        <f>(Unitflowchart!$S$362/Unitflowchart!$S$383)*RoadTransportEthanolStage3!AC46*Unitflowchart!$S$371</f>
        <v>0</v>
      </c>
      <c r="N355" s="734">
        <f>E355+(GlobalWarmingPotentials!$B$11*H355)+(GlobalWarmingPotentials!$C$11*K355)</f>
        <v>0</v>
      </c>
      <c r="O355" s="218">
        <f>(N355/N$391)*100</f>
        <v>0</v>
      </c>
      <c r="P355" s="743">
        <f>SQRT((G355^2)+((GlobalWarmingPotentials!$B$11*J355)^2)+((GlobalWarmingPotentials!$C$11*M355)^2))</f>
        <v>0</v>
      </c>
      <c r="Q355" s="30"/>
    </row>
    <row r="356" spans="1:17" x14ac:dyDescent="0.25">
      <c r="B356" s="728"/>
      <c r="D356" s="735"/>
      <c r="E356" s="728"/>
      <c r="G356" s="735"/>
      <c r="H356" s="31"/>
      <c r="J356" s="32"/>
      <c r="K356" s="31"/>
      <c r="M356" s="724"/>
      <c r="N356" s="728"/>
      <c r="P356" s="735"/>
      <c r="Q356" s="30"/>
    </row>
    <row r="357" spans="1:17" x14ac:dyDescent="0.25">
      <c r="A357" s="387" t="s">
        <v>925</v>
      </c>
      <c r="B357" s="728"/>
      <c r="D357" s="735"/>
      <c r="E357" s="728"/>
      <c r="G357" s="735"/>
      <c r="H357" s="31"/>
      <c r="J357" s="32"/>
      <c r="K357" s="31"/>
      <c r="M357" s="724"/>
      <c r="N357" s="728"/>
      <c r="P357" s="735"/>
      <c r="Q357" s="30"/>
    </row>
    <row r="358" spans="1:17" x14ac:dyDescent="0.25">
      <c r="B358" s="728"/>
      <c r="D358" s="735"/>
      <c r="E358" s="728"/>
      <c r="G358" s="735"/>
      <c r="H358" s="31"/>
      <c r="J358" s="32"/>
      <c r="K358" s="31"/>
      <c r="M358" s="724"/>
      <c r="N358" s="728"/>
      <c r="P358" s="735"/>
      <c r="Q358" s="30"/>
    </row>
    <row r="359" spans="1:17" x14ac:dyDescent="0.25">
      <c r="A359" s="14" t="str">
        <f>RailTransport!A11</f>
        <v xml:space="preserve"> - Gas Oil</v>
      </c>
      <c r="B359" s="726">
        <f>(Unitflowchart!$S$362/Unitflowchart!$S$383)*RailTransport!J11*Unitflowchart!$S$373</f>
        <v>0</v>
      </c>
      <c r="C359" s="25">
        <f>(B359/B$391)*100</f>
        <v>0</v>
      </c>
      <c r="D359" s="744">
        <f>(Unitflowchart!$S$362/Unitflowchart!$S$383)*RailTransport!K11*Unitflowchart!$S$373</f>
        <v>0</v>
      </c>
      <c r="E359" s="726">
        <f>(Unitflowchart!$S$362/Unitflowchart!$S$383)*RailTransport!P11*Unitflowchart!$S$373</f>
        <v>0</v>
      </c>
      <c r="F359" s="25">
        <f>(E359/E$391)*100</f>
        <v>0</v>
      </c>
      <c r="G359" s="744">
        <f>(Unitflowchart!$S$362/Unitflowchart!$S$383)*RailTransport!Q11*Unitflowchart!$S$373</f>
        <v>0</v>
      </c>
      <c r="H359" s="723">
        <f>(Unitflowchart!$S$362/Unitflowchart!$S$383)*RailTransport!V11*Unitflowchart!$S$373</f>
        <v>0</v>
      </c>
      <c r="I359" s="25">
        <f>(H359/H$391)*100</f>
        <v>0</v>
      </c>
      <c r="J359" s="1066">
        <f>(Unitflowchart!$S$362/Unitflowchart!$S$383)*RailTransport!W11*Unitflowchart!$S$373</f>
        <v>0</v>
      </c>
      <c r="K359" s="723">
        <f>(Unitflowchart!$S$362/Unitflowchart!$S$383)*RailTransport!AB11*Unitflowchart!$S$373</f>
        <v>0</v>
      </c>
      <c r="L359" s="25">
        <f>(K359/K$391)*100</f>
        <v>0</v>
      </c>
      <c r="M359" s="725">
        <f>(Unitflowchart!$S$362/Unitflowchart!$S$383)*RailTransport!AC11*Unitflowchart!$S$373</f>
        <v>0</v>
      </c>
      <c r="N359" s="726">
        <f>E359+(GlobalWarmingPotentials!$B$11*H359)+(GlobalWarmingPotentials!$C$11*K359)</f>
        <v>0</v>
      </c>
      <c r="O359" s="25">
        <f>(N359/N$391)*100</f>
        <v>0</v>
      </c>
      <c r="P359" s="744">
        <f>SQRT((G359^2)+((GlobalWarmingPotentials!$B$11*J359)^2)+((GlobalWarmingPotentials!$C$11*M359)^2))</f>
        <v>0</v>
      </c>
      <c r="Q359" s="30"/>
    </row>
    <row r="360" spans="1:17" x14ac:dyDescent="0.25">
      <c r="A360" s="14" t="str">
        <f>RailTransport!A12</f>
        <v xml:space="preserve"> - Capital Equipment</v>
      </c>
      <c r="B360" s="726">
        <f>(Unitflowchart!$S$362/Unitflowchart!$S$383)*RailTransport!J12*Unitflowchart!$S$373</f>
        <v>0</v>
      </c>
      <c r="C360" s="25">
        <f t="shared" ref="C360:C361" si="101">(B360/B$391)*100</f>
        <v>0</v>
      </c>
      <c r="D360" s="744">
        <f>(Unitflowchart!$S$362/Unitflowchart!$S$383)*RailTransport!K12*Unitflowchart!$S$373</f>
        <v>0</v>
      </c>
      <c r="E360" s="726">
        <f>(Unitflowchart!$S$362/Unitflowchart!$S$383)*RailTransport!P12*Unitflowchart!$S$373</f>
        <v>0</v>
      </c>
      <c r="F360" s="25">
        <f t="shared" ref="F360:F361" si="102">(E360/E$391)*100</f>
        <v>0</v>
      </c>
      <c r="G360" s="744">
        <f>(Unitflowchart!$S$362/Unitflowchart!$S$383)*RailTransport!Q12*Unitflowchart!$S$373</f>
        <v>0</v>
      </c>
      <c r="H360" s="723">
        <f>(Unitflowchart!$S$362/Unitflowchart!$S$383)*RailTransport!V12*Unitflowchart!$S$373</f>
        <v>0</v>
      </c>
      <c r="I360" s="25">
        <f t="shared" ref="I360:I361" si="103">(H360/H$391)*100</f>
        <v>0</v>
      </c>
      <c r="J360" s="1066">
        <f>(Unitflowchart!$S$362/Unitflowchart!$S$383)*RailTransport!W12*Unitflowchart!$S$373</f>
        <v>0</v>
      </c>
      <c r="K360" s="723">
        <f>(Unitflowchart!$S$362/Unitflowchart!$S$383)*RailTransport!AB12*Unitflowchart!$S$373</f>
        <v>0</v>
      </c>
      <c r="L360" s="25">
        <f t="shared" ref="L360:L361" si="104">(K360/K$391)*100</f>
        <v>0</v>
      </c>
      <c r="M360" s="725">
        <f>(Unitflowchart!$S$362/Unitflowchart!$S$383)*RailTransport!AC12*Unitflowchart!$S$373</f>
        <v>0</v>
      </c>
      <c r="N360" s="726">
        <f>E360+(GlobalWarmingPotentials!$B$11*H360)+(GlobalWarmingPotentials!$C$11*K360)</f>
        <v>0</v>
      </c>
      <c r="O360" s="25">
        <f t="shared" ref="O360:O361" si="105">(N360/N$391)*100</f>
        <v>0</v>
      </c>
      <c r="P360" s="744">
        <f>SQRT((G360^2)+((GlobalWarmingPotentials!$B$11*J360)^2)+((GlobalWarmingPotentials!$C$11*M360)^2))</f>
        <v>0</v>
      </c>
      <c r="Q360" s="30"/>
    </row>
    <row r="361" spans="1:17" x14ac:dyDescent="0.25">
      <c r="A361" s="14" t="str">
        <f>RailTransport!A13</f>
        <v xml:space="preserve"> - Maintenance</v>
      </c>
      <c r="B361" s="726">
        <f>(Unitflowchart!$S$362/Unitflowchart!$S$383)*RailTransport!J13*Unitflowchart!$S$373</f>
        <v>0</v>
      </c>
      <c r="C361" s="25">
        <f t="shared" si="101"/>
        <v>0</v>
      </c>
      <c r="D361" s="744">
        <f>(Unitflowchart!$S$362/Unitflowchart!$S$383)*RailTransport!K13*Unitflowchart!$S$373</f>
        <v>0</v>
      </c>
      <c r="E361" s="726">
        <f>(Unitflowchart!$S$362/Unitflowchart!$S$383)*RailTransport!P13*Unitflowchart!$S$373</f>
        <v>0</v>
      </c>
      <c r="F361" s="25">
        <f t="shared" si="102"/>
        <v>0</v>
      </c>
      <c r="G361" s="744">
        <f>(Unitflowchart!$S$362/Unitflowchart!$S$383)*RailTransport!Q13*Unitflowchart!$S$373</f>
        <v>0</v>
      </c>
      <c r="H361" s="723">
        <f>(Unitflowchart!$S$362/Unitflowchart!$S$383)*RailTransport!V13*Unitflowchart!$S$373</f>
        <v>0</v>
      </c>
      <c r="I361" s="25">
        <f t="shared" si="103"/>
        <v>0</v>
      </c>
      <c r="J361" s="1066">
        <f>(Unitflowchart!$S$362/Unitflowchart!$S$383)*RailTransport!W13*Unitflowchart!$S$373</f>
        <v>0</v>
      </c>
      <c r="K361" s="723">
        <f>(Unitflowchart!$S$362/Unitflowchart!$S$383)*RailTransport!AB13*Unitflowchart!$S$373</f>
        <v>0</v>
      </c>
      <c r="L361" s="25">
        <f t="shared" si="104"/>
        <v>0</v>
      </c>
      <c r="M361" s="725">
        <f>(Unitflowchart!$S$362/Unitflowchart!$S$383)*RailTransport!AC13*Unitflowchart!$S$373</f>
        <v>0</v>
      </c>
      <c r="N361" s="726">
        <f>E361+(GlobalWarmingPotentials!$B$11*H361)+(GlobalWarmingPotentials!$C$11*K361)</f>
        <v>0</v>
      </c>
      <c r="O361" s="25">
        <f t="shared" si="105"/>
        <v>0</v>
      </c>
      <c r="P361" s="744">
        <f>SQRT((G361^2)+((GlobalWarmingPotentials!$B$11*J361)^2)+((GlobalWarmingPotentials!$C$11*M361)^2))</f>
        <v>0</v>
      </c>
      <c r="Q361" s="30"/>
    </row>
    <row r="362" spans="1:17" x14ac:dyDescent="0.25">
      <c r="B362" s="728"/>
      <c r="C362" s="25"/>
      <c r="D362" s="735"/>
      <c r="E362" s="728"/>
      <c r="F362" s="25"/>
      <c r="G362" s="735"/>
      <c r="H362" s="31"/>
      <c r="I362" s="25"/>
      <c r="J362" s="32"/>
      <c r="K362" s="31"/>
      <c r="L362" s="25"/>
      <c r="M362" s="724"/>
      <c r="N362" s="728"/>
      <c r="O362" s="25"/>
      <c r="P362" s="735"/>
      <c r="Q362" s="30"/>
    </row>
    <row r="363" spans="1:17" x14ac:dyDescent="0.25">
      <c r="A363" s="218" t="s">
        <v>926</v>
      </c>
      <c r="B363" s="734">
        <f>(Unitflowchart!$S$362/Unitflowchart!$S$383)*RailTransport!J15*Unitflowchart!$S$373</f>
        <v>0</v>
      </c>
      <c r="C363" s="721">
        <f>(B363/B$391)*100</f>
        <v>0</v>
      </c>
      <c r="D363" s="745">
        <f>(Unitflowchart!$S$362/Unitflowchart!$S$383)*RailTransport!K15*Unitflowchart!$S$373</f>
        <v>0</v>
      </c>
      <c r="E363" s="734">
        <f>(Unitflowchart!$S$362/Unitflowchart!$S$383)*RailTransport!P15*Unitflowchart!$S$373</f>
        <v>0</v>
      </c>
      <c r="F363" s="721">
        <f>(E363/E$391)*100</f>
        <v>0</v>
      </c>
      <c r="G363" s="745">
        <f>(Unitflowchart!$S$362/Unitflowchart!$S$383)*RailTransport!Q15*Unitflowchart!$S$373</f>
        <v>0</v>
      </c>
      <c r="H363" s="722">
        <f>(Unitflowchart!$S$362/Unitflowchart!$S$383)*RailTransport!V15*Unitflowchart!$S$373</f>
        <v>0</v>
      </c>
      <c r="I363" s="721">
        <f>(H363/H$391)*100</f>
        <v>0</v>
      </c>
      <c r="J363" s="719">
        <f>(Unitflowchart!$S$362/Unitflowchart!$S$383)*RailTransport!W15*Unitflowchart!$S$373</f>
        <v>0</v>
      </c>
      <c r="K363" s="722">
        <f>(Unitflowchart!$S$362/Unitflowchart!$S$383)*RailTransport!AB15*Unitflowchart!$S$373</f>
        <v>0</v>
      </c>
      <c r="L363" s="721">
        <f>(K363/K$391)*100</f>
        <v>0</v>
      </c>
      <c r="M363" s="720">
        <f>(Unitflowchart!$S$362/Unitflowchart!$S$383)*RailTransport!AC15*Unitflowchart!$S$373</f>
        <v>0</v>
      </c>
      <c r="N363" s="734">
        <f>E363+(GlobalWarmingPotentials!$B$11*H363)+(GlobalWarmingPotentials!$C$11*K363)</f>
        <v>0</v>
      </c>
      <c r="O363" s="721">
        <f>(N363/N$391)*100</f>
        <v>0</v>
      </c>
      <c r="P363" s="743">
        <f>SQRT((G363^2)+((GlobalWarmingPotentials!$B$11*J363)^2)+((GlobalWarmingPotentials!$C$11*M363)^2))</f>
        <v>0</v>
      </c>
      <c r="Q363" s="30"/>
    </row>
    <row r="364" spans="1:17" x14ac:dyDescent="0.25">
      <c r="B364" s="728"/>
      <c r="D364" s="735"/>
      <c r="E364" s="728"/>
      <c r="G364" s="735"/>
      <c r="H364" s="31"/>
      <c r="J364" s="32"/>
      <c r="K364" s="31"/>
      <c r="M364" s="724"/>
      <c r="N364" s="728"/>
      <c r="P364" s="735"/>
      <c r="Q364" s="30"/>
    </row>
    <row r="365" spans="1:17" x14ac:dyDescent="0.25">
      <c r="A365" s="387" t="s">
        <v>928</v>
      </c>
      <c r="B365" s="728"/>
      <c r="D365" s="735"/>
      <c r="E365" s="728"/>
      <c r="G365" s="735"/>
      <c r="H365" s="31"/>
      <c r="J365" s="32"/>
      <c r="K365" s="31"/>
      <c r="M365" s="724"/>
      <c r="N365" s="728"/>
      <c r="P365" s="735"/>
      <c r="Q365" s="30"/>
    </row>
    <row r="366" spans="1:17" x14ac:dyDescent="0.25">
      <c r="B366" s="728"/>
      <c r="D366" s="735"/>
      <c r="E366" s="728"/>
      <c r="G366" s="735"/>
      <c r="H366" s="31"/>
      <c r="J366" s="32"/>
      <c r="K366" s="31"/>
      <c r="M366" s="724"/>
      <c r="N366" s="728"/>
      <c r="P366" s="735"/>
      <c r="Q366" s="30"/>
    </row>
    <row r="367" spans="1:17" x14ac:dyDescent="0.25">
      <c r="A367" s="14" t="str">
        <f>BargeTransport!A11</f>
        <v xml:space="preserve"> - Marine Diesel</v>
      </c>
      <c r="B367" s="726">
        <f>(Unitflowchart!$S$362/Unitflowchart!$S$383)*BargeTransport!J11*Unitflowchart!$S$375</f>
        <v>0</v>
      </c>
      <c r="C367" s="25">
        <f>(B367/B$391)*100</f>
        <v>0</v>
      </c>
      <c r="D367" s="744">
        <f>(Unitflowchart!$S$362/Unitflowchart!$S$383)*BargeTransport!K11*Unitflowchart!$S$375</f>
        <v>0</v>
      </c>
      <c r="E367" s="726">
        <f>(Unitflowchart!$S$362/Unitflowchart!$S$383)*BargeTransport!P11*Unitflowchart!$S$375</f>
        <v>0</v>
      </c>
      <c r="F367" s="25">
        <f>(E367/E$391)*100</f>
        <v>0</v>
      </c>
      <c r="G367" s="744">
        <f>(Unitflowchart!$S$362/Unitflowchart!$S$383)*BargeTransport!Q11*Unitflowchart!$S$375</f>
        <v>0</v>
      </c>
      <c r="H367" s="723">
        <f>(Unitflowchart!$S$362/Unitflowchart!$S$383)*BargeTransport!V11*Unitflowchart!$S$375</f>
        <v>0</v>
      </c>
      <c r="I367" s="25">
        <f>(H367/H$391)*100</f>
        <v>0</v>
      </c>
      <c r="J367" s="1066">
        <f>(Unitflowchart!$S$362/Unitflowchart!$S$383)*BargeTransport!W11*Unitflowchart!$S$375</f>
        <v>0</v>
      </c>
      <c r="K367" s="723">
        <f>(Unitflowchart!$S$362/Unitflowchart!$S$383)*BargeTransport!AB11*Unitflowchart!$S$375</f>
        <v>0</v>
      </c>
      <c r="L367" s="25">
        <f>(K367/K$391)*100</f>
        <v>0</v>
      </c>
      <c r="M367" s="725">
        <f>(Unitflowchart!$S$362/Unitflowchart!$S$383)*BargeTransport!AC11*Unitflowchart!$S$375</f>
        <v>0</v>
      </c>
      <c r="N367" s="726">
        <f>E367+(GlobalWarmingPotentials!$B$11*H367)+(GlobalWarmingPotentials!$C$11*K367)</f>
        <v>0</v>
      </c>
      <c r="O367" s="25">
        <f>(N367/N$391)*100</f>
        <v>0</v>
      </c>
      <c r="P367" s="744">
        <f>SQRT((G367^2)+((GlobalWarmingPotentials!$B$11*J367)^2)+((GlobalWarmingPotentials!$C$11*M367)^2))</f>
        <v>0</v>
      </c>
      <c r="Q367" s="30"/>
    </row>
    <row r="368" spans="1:17" x14ac:dyDescent="0.25">
      <c r="A368" s="14" t="str">
        <f>BargeTransport!A12</f>
        <v xml:space="preserve"> - Barge Construction</v>
      </c>
      <c r="B368" s="726">
        <f>(Unitflowchart!$S$362/Unitflowchart!$S$383)*BargeTransport!J12*Unitflowchart!$S$375</f>
        <v>0</v>
      </c>
      <c r="C368" s="25">
        <f t="shared" ref="C368:C369" si="106">(B368/B$391)*100</f>
        <v>0</v>
      </c>
      <c r="D368" s="744">
        <f>(Unitflowchart!$S$362/Unitflowchart!$S$383)*BargeTransport!K12*Unitflowchart!$S$375</f>
        <v>0</v>
      </c>
      <c r="E368" s="726">
        <f>(Unitflowchart!$S$362/Unitflowchart!$S$383)*BargeTransport!P12*Unitflowchart!$S$375</f>
        <v>0</v>
      </c>
      <c r="F368" s="25">
        <f t="shared" ref="F368:F369" si="107">(E368/E$391)*100</f>
        <v>0</v>
      </c>
      <c r="G368" s="744">
        <f>(Unitflowchart!$S$362/Unitflowchart!$S$383)*BargeTransport!Q12*Unitflowchart!$S$375</f>
        <v>0</v>
      </c>
      <c r="H368" s="723">
        <f>(Unitflowchart!$S$362/Unitflowchart!$S$383)*BargeTransport!V12*Unitflowchart!$S$375</f>
        <v>0</v>
      </c>
      <c r="I368" s="25">
        <f t="shared" ref="I368:I369" si="108">(H368/H$391)*100</f>
        <v>0</v>
      </c>
      <c r="J368" s="1066">
        <f>(Unitflowchart!$S$362/Unitflowchart!$S$383)*BargeTransport!W12*Unitflowchart!$S$375</f>
        <v>0</v>
      </c>
      <c r="K368" s="723">
        <f>(Unitflowchart!$S$362/Unitflowchart!$S$383)*BargeTransport!AB12*Unitflowchart!$S$375</f>
        <v>0</v>
      </c>
      <c r="L368" s="25">
        <f t="shared" ref="L368:L369" si="109">(K368/K$391)*100</f>
        <v>0</v>
      </c>
      <c r="M368" s="725">
        <f>(Unitflowchart!$S$362/Unitflowchart!$S$383)*BargeTransport!AC12*Unitflowchart!$S$375</f>
        <v>0</v>
      </c>
      <c r="N368" s="726">
        <f>E368+(GlobalWarmingPotentials!$B$11*H368)+(GlobalWarmingPotentials!$C$11*K368)</f>
        <v>0</v>
      </c>
      <c r="O368" s="25">
        <f t="shared" ref="O368:O369" si="110">(N368/N$391)*100</f>
        <v>0</v>
      </c>
      <c r="P368" s="744">
        <f>SQRT((G368^2)+((GlobalWarmingPotentials!$B$11*J368)^2)+((GlobalWarmingPotentials!$C$11*M368)^2))</f>
        <v>0</v>
      </c>
      <c r="Q368" s="30"/>
    </row>
    <row r="369" spans="1:17" x14ac:dyDescent="0.25">
      <c r="A369" s="14" t="str">
        <f>BargeTransport!A13</f>
        <v xml:space="preserve"> - Barge Maintenance</v>
      </c>
      <c r="B369" s="726">
        <f>(Unitflowchart!$S$362/Unitflowchart!$S$383)*BargeTransport!J13*Unitflowchart!$S$375</f>
        <v>0</v>
      </c>
      <c r="C369" s="25">
        <f t="shared" si="106"/>
        <v>0</v>
      </c>
      <c r="D369" s="744">
        <f>(Unitflowchart!$S$362/Unitflowchart!$S$383)*BargeTransport!K13*Unitflowchart!$S$375</f>
        <v>0</v>
      </c>
      <c r="E369" s="726">
        <f>(Unitflowchart!$S$362/Unitflowchart!$S$383)*BargeTransport!P13*Unitflowchart!$S$375</f>
        <v>0</v>
      </c>
      <c r="F369" s="25">
        <f t="shared" si="107"/>
        <v>0</v>
      </c>
      <c r="G369" s="744">
        <f>(Unitflowchart!$S$362/Unitflowchart!$S$383)*BargeTransport!Q13*Unitflowchart!$S$375</f>
        <v>0</v>
      </c>
      <c r="H369" s="723">
        <f>(Unitflowchart!$S$362/Unitflowchart!$S$383)*BargeTransport!V13*Unitflowchart!$S$375</f>
        <v>0</v>
      </c>
      <c r="I369" s="25">
        <f t="shared" si="108"/>
        <v>0</v>
      </c>
      <c r="J369" s="1066">
        <f>(Unitflowchart!$S$362/Unitflowchart!$S$383)*BargeTransport!W13*Unitflowchart!$S$375</f>
        <v>0</v>
      </c>
      <c r="K369" s="723">
        <f>(Unitflowchart!$S$362/Unitflowchart!$S$383)*BargeTransport!AB13*Unitflowchart!$S$375</f>
        <v>0</v>
      </c>
      <c r="L369" s="25">
        <f t="shared" si="109"/>
        <v>0</v>
      </c>
      <c r="M369" s="725">
        <f>(Unitflowchart!$S$362/Unitflowchart!$S$383)*BargeTransport!AC13*Unitflowchart!$S$375</f>
        <v>0</v>
      </c>
      <c r="N369" s="726">
        <f>E369+(GlobalWarmingPotentials!$B$11*H369)+(GlobalWarmingPotentials!$C$11*K369)</f>
        <v>0</v>
      </c>
      <c r="O369" s="25">
        <f t="shared" si="110"/>
        <v>0</v>
      </c>
      <c r="P369" s="744">
        <f>SQRT((G369^2)+((GlobalWarmingPotentials!$B$11*J369)^2)+((GlobalWarmingPotentials!$C$11*M369)^2))</f>
        <v>0</v>
      </c>
      <c r="Q369" s="30"/>
    </row>
    <row r="370" spans="1:17" x14ac:dyDescent="0.25">
      <c r="B370" s="728"/>
      <c r="D370" s="735"/>
      <c r="E370" s="728"/>
      <c r="G370" s="735"/>
      <c r="H370" s="31"/>
      <c r="J370" s="32"/>
      <c r="K370" s="31"/>
      <c r="M370" s="724"/>
      <c r="N370" s="728"/>
      <c r="P370" s="735"/>
      <c r="Q370" s="30"/>
    </row>
    <row r="371" spans="1:17" x14ac:dyDescent="0.25">
      <c r="A371" s="218" t="s">
        <v>929</v>
      </c>
      <c r="B371" s="734">
        <f>(Unitflowchart!$S$362/Unitflowchart!$S$383)*BargeTransport!J15*Unitflowchart!$S$375</f>
        <v>0</v>
      </c>
      <c r="C371" s="721">
        <f>(B371/B$391)*100</f>
        <v>0</v>
      </c>
      <c r="D371" s="745">
        <f>(Unitflowchart!$S$362/Unitflowchart!$S$383)*BargeTransport!K15*Unitflowchart!$S$375</f>
        <v>0</v>
      </c>
      <c r="E371" s="734">
        <f>(Unitflowchart!$S$362/Unitflowchart!$S$383)*BargeTransport!P15*Unitflowchart!$S$375</f>
        <v>0</v>
      </c>
      <c r="F371" s="721">
        <f>(E371/E$391)*100</f>
        <v>0</v>
      </c>
      <c r="G371" s="745">
        <f>(Unitflowchart!$S$362/Unitflowchart!$S$383)*BargeTransport!Q15*Unitflowchart!$S$375</f>
        <v>0</v>
      </c>
      <c r="H371" s="722">
        <f>(Unitflowchart!$S$362/Unitflowchart!$S$383)*BargeTransport!V15*Unitflowchart!$S$375</f>
        <v>0</v>
      </c>
      <c r="I371" s="721">
        <f>(H371/H$391)*100</f>
        <v>0</v>
      </c>
      <c r="J371" s="719">
        <f>(Unitflowchart!$S$362/Unitflowchart!$S$383)*BargeTransport!W15*Unitflowchart!$S$375</f>
        <v>0</v>
      </c>
      <c r="K371" s="722">
        <f>(Unitflowchart!$S$362/Unitflowchart!$S$383)*BargeTransport!AB15*Unitflowchart!$S$375</f>
        <v>0</v>
      </c>
      <c r="L371" s="721">
        <f>(K371/K$391)*100</f>
        <v>0</v>
      </c>
      <c r="M371" s="720">
        <f>(Unitflowchart!$S$362/Unitflowchart!$S$383)*BargeTransport!AC15*Unitflowchart!$S$375</f>
        <v>0</v>
      </c>
      <c r="N371" s="734">
        <f>E371+(GlobalWarmingPotentials!$B$11*H371)+(GlobalWarmingPotentials!$C$11*K371)</f>
        <v>0</v>
      </c>
      <c r="O371" s="721">
        <f>(N371/N$391)*100</f>
        <v>0</v>
      </c>
      <c r="P371" s="743">
        <f>SQRT((G371^2)+((GlobalWarmingPotentials!$B$11*J371)^2)+((GlobalWarmingPotentials!$C$11*M371)^2))</f>
        <v>0</v>
      </c>
      <c r="Q371" s="30"/>
    </row>
    <row r="372" spans="1:17" x14ac:dyDescent="0.25">
      <c r="B372" s="728"/>
      <c r="D372" s="735"/>
      <c r="E372" s="728"/>
      <c r="G372" s="735"/>
      <c r="H372" s="31"/>
      <c r="J372" s="32"/>
      <c r="K372" s="31"/>
      <c r="M372" s="724"/>
      <c r="N372" s="728"/>
      <c r="P372" s="735"/>
      <c r="Q372" s="30"/>
    </row>
    <row r="373" spans="1:17" x14ac:dyDescent="0.25">
      <c r="A373" s="387" t="s">
        <v>930</v>
      </c>
      <c r="B373" s="728"/>
      <c r="D373" s="735"/>
      <c r="E373" s="728"/>
      <c r="G373" s="735"/>
      <c r="H373" s="31"/>
      <c r="J373" s="32"/>
      <c r="K373" s="31"/>
      <c r="M373" s="724"/>
      <c r="N373" s="728"/>
      <c r="P373" s="735"/>
      <c r="Q373" s="30"/>
    </row>
    <row r="374" spans="1:17" x14ac:dyDescent="0.25">
      <c r="B374" s="728"/>
      <c r="D374" s="735"/>
      <c r="E374" s="728"/>
      <c r="G374" s="735"/>
      <c r="H374" s="31"/>
      <c r="J374" s="32"/>
      <c r="K374" s="31"/>
      <c r="M374" s="724"/>
      <c r="N374" s="728"/>
      <c r="P374" s="735"/>
      <c r="Q374" s="30"/>
    </row>
    <row r="375" spans="1:17" x14ac:dyDescent="0.25">
      <c r="A375" s="14" t="str">
        <f>ShipTransport!A11</f>
        <v xml:space="preserve"> - Marine Diesel</v>
      </c>
      <c r="B375" s="726">
        <f>(Unitflowchart!$S$362/Unitflowchart!$S$383)*ShipTransport!J11*Unitflowchart!$S$377</f>
        <v>0</v>
      </c>
      <c r="C375" s="25">
        <f>(B375/B$391)*100</f>
        <v>0</v>
      </c>
      <c r="D375" s="744">
        <f>(Unitflowchart!$S$362/Unitflowchart!$S$383)*ShipTransport!K11*Unitflowchart!$S$377</f>
        <v>0</v>
      </c>
      <c r="E375" s="726">
        <f>(Unitflowchart!$S$362/Unitflowchart!$S$383)*ShipTransport!P11*Unitflowchart!$S$377</f>
        <v>0</v>
      </c>
      <c r="F375" s="25">
        <f>(E375/E$391)*100</f>
        <v>0</v>
      </c>
      <c r="G375" s="744">
        <f>(Unitflowchart!$S$362/Unitflowchart!$S$383)*ShipTransport!Q11*Unitflowchart!$S$377</f>
        <v>0</v>
      </c>
      <c r="H375" s="723">
        <f>(Unitflowchart!$S$362/Unitflowchart!$S$383)*ShipTransport!V11*Unitflowchart!$S$377</f>
        <v>0</v>
      </c>
      <c r="I375" s="25">
        <f>(H375/H$391)*100</f>
        <v>0</v>
      </c>
      <c r="J375" s="1066">
        <f>(Unitflowchart!$S$362/Unitflowchart!$S$383)*ShipTransport!W11*Unitflowchart!$S$377</f>
        <v>0</v>
      </c>
      <c r="K375" s="723">
        <f>(Unitflowchart!$S$362/Unitflowchart!$S$383)*ShipTransport!AB11*Unitflowchart!$S$377</f>
        <v>0</v>
      </c>
      <c r="L375" s="25">
        <f>(K375/K$391)*100</f>
        <v>0</v>
      </c>
      <c r="M375" s="725">
        <f>(Unitflowchart!$S$362/Unitflowchart!$S$383)*ShipTransport!AC11*Unitflowchart!$S$377</f>
        <v>0</v>
      </c>
      <c r="N375" s="726">
        <f>E375+(GlobalWarmingPotentials!$B$11*H375)+(GlobalWarmingPotentials!$C$11*K375)</f>
        <v>0</v>
      </c>
      <c r="O375" s="25">
        <f>(N375/N$391)*100</f>
        <v>0</v>
      </c>
      <c r="P375" s="744">
        <f>SQRT((G375^2)+((GlobalWarmingPotentials!$B$11*J375)^2)+((GlobalWarmingPotentials!$C$11*M375)^2))</f>
        <v>0</v>
      </c>
      <c r="Q375" s="30"/>
    </row>
    <row r="376" spans="1:17" x14ac:dyDescent="0.25">
      <c r="A376" s="14" t="str">
        <f>ShipTransport!A12</f>
        <v xml:space="preserve"> - Ship Construction</v>
      </c>
      <c r="B376" s="726">
        <f>(Unitflowchart!$S$362/Unitflowchart!$S$383)*ShipTransport!J12*Unitflowchart!$S$377</f>
        <v>0</v>
      </c>
      <c r="C376" s="25">
        <f t="shared" ref="C376:C377" si="111">(B376/B$391)*100</f>
        <v>0</v>
      </c>
      <c r="D376" s="744">
        <f>(Unitflowchart!$S$362/Unitflowchart!$S$383)*ShipTransport!K12*Unitflowchart!$S$377</f>
        <v>0</v>
      </c>
      <c r="E376" s="726">
        <f>(Unitflowchart!$S$362/Unitflowchart!$S$383)*ShipTransport!P12*Unitflowchart!$S$377</f>
        <v>0</v>
      </c>
      <c r="F376" s="25">
        <f t="shared" ref="F376:F377" si="112">(E376/E$391)*100</f>
        <v>0</v>
      </c>
      <c r="G376" s="744">
        <f>(Unitflowchart!$S$362/Unitflowchart!$S$383)*ShipTransport!Q12*Unitflowchart!$S$377</f>
        <v>0</v>
      </c>
      <c r="H376" s="723">
        <f>(Unitflowchart!$S$362/Unitflowchart!$S$383)*ShipTransport!V12*Unitflowchart!$S$377</f>
        <v>0</v>
      </c>
      <c r="I376" s="25">
        <f t="shared" ref="I376:I377" si="113">(H376/H$391)*100</f>
        <v>0</v>
      </c>
      <c r="J376" s="1066">
        <f>(Unitflowchart!$S$362/Unitflowchart!$S$383)*ShipTransport!W12*Unitflowchart!$S$377</f>
        <v>0</v>
      </c>
      <c r="K376" s="723">
        <f>(Unitflowchart!$S$362/Unitflowchart!$S$383)*ShipTransport!AB12*Unitflowchart!$S$377</f>
        <v>0</v>
      </c>
      <c r="L376" s="25">
        <f t="shared" ref="L376:L377" si="114">(K376/K$391)*100</f>
        <v>0</v>
      </c>
      <c r="M376" s="725">
        <f>(Unitflowchart!$S$362/Unitflowchart!$S$383)*ShipTransport!AC12*Unitflowchart!$S$377</f>
        <v>0</v>
      </c>
      <c r="N376" s="726">
        <f>E376+(GlobalWarmingPotentials!$B$11*H376)+(GlobalWarmingPotentials!$C$11*K376)</f>
        <v>0</v>
      </c>
      <c r="O376" s="25">
        <f t="shared" ref="O376:O377" si="115">(N376/N$391)*100</f>
        <v>0</v>
      </c>
      <c r="P376" s="744">
        <f>SQRT((G376^2)+((GlobalWarmingPotentials!$B$11*J376)^2)+((GlobalWarmingPotentials!$C$11*M376)^2))</f>
        <v>0</v>
      </c>
      <c r="Q376" s="30"/>
    </row>
    <row r="377" spans="1:17" x14ac:dyDescent="0.25">
      <c r="A377" s="14" t="str">
        <f>ShipTransport!A13</f>
        <v xml:space="preserve"> - Ship Maintenance</v>
      </c>
      <c r="B377" s="726">
        <f>(Unitflowchart!$S$362/Unitflowchart!$S$383)*ShipTransport!J13*Unitflowchart!$S$377</f>
        <v>0</v>
      </c>
      <c r="C377" s="25">
        <f t="shared" si="111"/>
        <v>0</v>
      </c>
      <c r="D377" s="744">
        <f>(Unitflowchart!$S$362/Unitflowchart!$S$383)*ShipTransport!K13*Unitflowchart!$S$377</f>
        <v>0</v>
      </c>
      <c r="E377" s="726">
        <f>(Unitflowchart!$S$362/Unitflowchart!$S$383)*ShipTransport!P13*Unitflowchart!$S$377</f>
        <v>0</v>
      </c>
      <c r="F377" s="25">
        <f t="shared" si="112"/>
        <v>0</v>
      </c>
      <c r="G377" s="744">
        <f>(Unitflowchart!$S$362/Unitflowchart!$S$383)*ShipTransport!Q13*Unitflowchart!$S$377</f>
        <v>0</v>
      </c>
      <c r="H377" s="723">
        <f>(Unitflowchart!$S$362/Unitflowchart!$S$383)*ShipTransport!V13*Unitflowchart!$S$377</f>
        <v>0</v>
      </c>
      <c r="I377" s="25">
        <f t="shared" si="113"/>
        <v>0</v>
      </c>
      <c r="J377" s="1066">
        <f>(Unitflowchart!$S$362/Unitflowchart!$S$383)*ShipTransport!W13*Unitflowchart!$S$377</f>
        <v>0</v>
      </c>
      <c r="K377" s="723">
        <f>(Unitflowchart!$S$362/Unitflowchart!$S$383)*ShipTransport!AB13*Unitflowchart!$S$377</f>
        <v>0</v>
      </c>
      <c r="L377" s="25">
        <f t="shared" si="114"/>
        <v>0</v>
      </c>
      <c r="M377" s="725">
        <f>(Unitflowchart!$S$362/Unitflowchart!$S$383)*ShipTransport!AC13*Unitflowchart!$S$377</f>
        <v>0</v>
      </c>
      <c r="N377" s="726">
        <f>E377+(GlobalWarmingPotentials!$B$11*H377)+(GlobalWarmingPotentials!$C$11*K377)</f>
        <v>0</v>
      </c>
      <c r="O377" s="25">
        <f t="shared" si="115"/>
        <v>0</v>
      </c>
      <c r="P377" s="744">
        <f>SQRT((G377^2)+((GlobalWarmingPotentials!$B$11*J377)^2)+((GlobalWarmingPotentials!$C$11*M377)^2))</f>
        <v>0</v>
      </c>
      <c r="Q377" s="30"/>
    </row>
    <row r="378" spans="1:17" x14ac:dyDescent="0.25">
      <c r="B378" s="728"/>
      <c r="C378" s="25"/>
      <c r="D378" s="735"/>
      <c r="E378" s="728"/>
      <c r="F378" s="25"/>
      <c r="G378" s="735"/>
      <c r="H378" s="31"/>
      <c r="I378" s="25"/>
      <c r="J378" s="32"/>
      <c r="K378" s="31"/>
      <c r="L378" s="25"/>
      <c r="M378" s="724"/>
      <c r="N378" s="728"/>
      <c r="O378" s="25"/>
      <c r="P378" s="735"/>
      <c r="Q378" s="30"/>
    </row>
    <row r="379" spans="1:17" x14ac:dyDescent="0.25">
      <c r="A379" s="218" t="s">
        <v>931</v>
      </c>
      <c r="B379" s="734">
        <f>(Unitflowchart!$S$362/Unitflowchart!$S$383)*ShipTransport!J15*Unitflowchart!$S$377</f>
        <v>0</v>
      </c>
      <c r="C379" s="721">
        <f>(B379/B$391)*100</f>
        <v>0</v>
      </c>
      <c r="D379" s="745">
        <f>(Unitflowchart!$S$362/Unitflowchart!$S$383)*ShipTransport!K15*Unitflowchart!$S$377</f>
        <v>0</v>
      </c>
      <c r="E379" s="734">
        <f>(Unitflowchart!$S$362/Unitflowchart!$S$383)*ShipTransport!P15*Unitflowchart!$S$377</f>
        <v>0</v>
      </c>
      <c r="F379" s="721">
        <f>(E379/E$391)*100</f>
        <v>0</v>
      </c>
      <c r="G379" s="745">
        <f>(Unitflowchart!$S$362/Unitflowchart!$S$383)*ShipTransport!Q15*Unitflowchart!$S$377</f>
        <v>0</v>
      </c>
      <c r="H379" s="722">
        <f>(Unitflowchart!$S$362/Unitflowchart!$S$383)*ShipTransport!V15*Unitflowchart!$S$377</f>
        <v>0</v>
      </c>
      <c r="I379" s="721">
        <f>(H379/H$391)*100</f>
        <v>0</v>
      </c>
      <c r="J379" s="719">
        <f>(Unitflowchart!$S$362/Unitflowchart!$S$383)*ShipTransport!W15*Unitflowchart!$S$377</f>
        <v>0</v>
      </c>
      <c r="K379" s="722">
        <f>(Unitflowchart!$S$362/Unitflowchart!$S$383)*ShipTransport!AB15*Unitflowchart!$S$377</f>
        <v>0</v>
      </c>
      <c r="L379" s="721">
        <f>(K379/K$391)*100</f>
        <v>0</v>
      </c>
      <c r="M379" s="720">
        <f>(Unitflowchart!$S$362/Unitflowchart!$S$383)*ShipTransport!AC15*Unitflowchart!$S$377</f>
        <v>0</v>
      </c>
      <c r="N379" s="734">
        <f>E379+(GlobalWarmingPotentials!$B$11*H379)+(GlobalWarmingPotentials!$C$11*K379)</f>
        <v>0</v>
      </c>
      <c r="O379" s="721">
        <f>(N379/N$391)*100</f>
        <v>0</v>
      </c>
      <c r="P379" s="743">
        <f>SQRT((G379^2)+((GlobalWarmingPotentials!$B$11*J379)^2)+((GlobalWarmingPotentials!$C$11*M379)^2))</f>
        <v>0</v>
      </c>
      <c r="Q379" s="30"/>
    </row>
    <row r="380" spans="1:17" x14ac:dyDescent="0.25">
      <c r="A380" s="23"/>
      <c r="B380" s="728"/>
      <c r="D380" s="735"/>
      <c r="E380" s="728"/>
      <c r="G380" s="735"/>
      <c r="H380" s="31"/>
      <c r="J380" s="32"/>
      <c r="K380" s="31"/>
      <c r="M380" s="724"/>
      <c r="N380" s="728"/>
      <c r="P380" s="735"/>
      <c r="Q380" s="30"/>
    </row>
    <row r="381" spans="1:17" x14ac:dyDescent="0.25">
      <c r="A381" s="218" t="s">
        <v>920</v>
      </c>
      <c r="B381" s="734">
        <f>B355+B363+B371+B379</f>
        <v>0</v>
      </c>
      <c r="C381" s="721">
        <f>(B381/B$391)*100</f>
        <v>0</v>
      </c>
      <c r="D381" s="745">
        <f>SQRT((D355^2)+(D363^2)+(D371^2)+(D379^2))</f>
        <v>0</v>
      </c>
      <c r="E381" s="734">
        <f t="shared" ref="E381" si="116">E355+E363+E371+E379</f>
        <v>0</v>
      </c>
      <c r="F381" s="721">
        <f t="shared" ref="F381" si="117">(E381/E$391)*100</f>
        <v>0</v>
      </c>
      <c r="G381" s="745">
        <f t="shared" ref="G381" si="118">SQRT((G355^2)+(G363^2)+(G371^2)+(G379^2))</f>
        <v>0</v>
      </c>
      <c r="H381" s="722">
        <f t="shared" ref="H381" si="119">H355+H363+H371+H379</f>
        <v>0</v>
      </c>
      <c r="I381" s="721">
        <f t="shared" ref="I381" si="120">(H381/H$391)*100</f>
        <v>0</v>
      </c>
      <c r="J381" s="719">
        <f t="shared" ref="J381" si="121">SQRT((J355^2)+(J363^2)+(J371^2)+(J379^2))</f>
        <v>0</v>
      </c>
      <c r="K381" s="722">
        <f t="shared" ref="K381" si="122">K355+K363+K371+K379</f>
        <v>0</v>
      </c>
      <c r="L381" s="721">
        <f t="shared" ref="L381" si="123">(K381/K$391)*100</f>
        <v>0</v>
      </c>
      <c r="M381" s="720">
        <f t="shared" ref="M381" si="124">SQRT((M355^2)+(M363^2)+(M371^2)+(M379^2))</f>
        <v>0</v>
      </c>
      <c r="N381" s="734">
        <f t="shared" ref="N381" si="125">N355+N363+N371+N379</f>
        <v>0</v>
      </c>
      <c r="O381" s="721">
        <f t="shared" ref="O381" si="126">(N381/N$391)*100</f>
        <v>0</v>
      </c>
      <c r="P381" s="743">
        <f t="shared" ref="P381" si="127">SQRT((P355^2)+(P363^2)+(P371^2)+(P379^2))</f>
        <v>0</v>
      </c>
      <c r="Q381" s="30"/>
    </row>
    <row r="382" spans="1:17" x14ac:dyDescent="0.25">
      <c r="B382" s="728"/>
      <c r="D382" s="735"/>
      <c r="E382" s="728"/>
      <c r="G382" s="735"/>
      <c r="H382" s="31"/>
      <c r="J382" s="724"/>
      <c r="K382" s="31"/>
      <c r="M382" s="724"/>
      <c r="N382" s="728"/>
      <c r="P382" s="735"/>
      <c r="Q382" s="30"/>
    </row>
    <row r="383" spans="1:17" x14ac:dyDescent="0.25">
      <c r="A383" s="387" t="s">
        <v>878</v>
      </c>
      <c r="B383" s="728"/>
      <c r="D383" s="735"/>
      <c r="E383" s="728"/>
      <c r="G383" s="735"/>
      <c r="H383" s="31"/>
      <c r="J383" s="724"/>
      <c r="K383" s="31"/>
      <c r="M383" s="724"/>
      <c r="N383" s="728"/>
      <c r="P383" s="735"/>
      <c r="Q383" s="30"/>
    </row>
    <row r="384" spans="1:17" x14ac:dyDescent="0.25">
      <c r="B384" s="728"/>
      <c r="D384" s="735"/>
      <c r="E384" s="728"/>
      <c r="G384" s="735"/>
      <c r="H384" s="31"/>
      <c r="J384" s="724"/>
      <c r="K384" s="31"/>
      <c r="M384" s="724"/>
      <c r="N384" s="728"/>
      <c r="P384" s="735"/>
      <c r="Q384" s="30"/>
    </row>
    <row r="385" spans="1:17" x14ac:dyDescent="0.25">
      <c r="A385" t="str">
        <f>Biorefinery!A16</f>
        <v xml:space="preserve"> - Plant Construction</v>
      </c>
      <c r="B385" s="732">
        <f>Unitflowchart!$S$312*(AllocationEnergy!$H$35/100)/Unitflowchart!$S$383*(Biorefinery!J16)</f>
        <v>0</v>
      </c>
      <c r="C385" s="26">
        <f t="shared" ref="C385:C387" si="128">(B385/B$391)*100</f>
        <v>0</v>
      </c>
      <c r="D385" s="358">
        <f>Unitflowchart!$S$312*(AllocationEnergy!$H$35/100)/Unitflowchart!$S$383*(Biorefinery!K16)</f>
        <v>0</v>
      </c>
      <c r="E385" s="732">
        <f>Unitflowchart!$S$312*(AllocationEnergy!$H$35/100)/Unitflowchart!$S$383*(Biorefinery!P16)</f>
        <v>0</v>
      </c>
      <c r="F385" s="26">
        <f t="shared" ref="F385:F387" si="129">(E385/E$391)*100</f>
        <v>0</v>
      </c>
      <c r="G385" s="358">
        <f>Unitflowchart!$S$312*(AllocationEnergy!$H$35/100)/Unitflowchart!$S$383*(Biorefinery!Q16)</f>
        <v>0</v>
      </c>
      <c r="H385" s="749">
        <f>Unitflowchart!$S$312*(AllocationEnergy!$H$35/100)/Unitflowchart!$S$383*(Biorefinery!V16)</f>
        <v>0</v>
      </c>
      <c r="I385" s="26">
        <f t="shared" ref="I385:I387" si="130">(H385/H$391)*100</f>
        <v>0</v>
      </c>
      <c r="J385" s="752">
        <f>Unitflowchart!$S$312*(AllocationEnergy!$H$35/100)/Unitflowchart!$S$383*(Biorefinery!W16)</f>
        <v>0</v>
      </c>
      <c r="K385" s="749">
        <f>Unitflowchart!$S$312*(AllocationEnergy!$H$35/100)/Unitflowchart!$S$383*(Biorefinery!AB16)</f>
        <v>0</v>
      </c>
      <c r="L385" s="26">
        <f t="shared" ref="L385:L387" si="131">(K385/K$391)*100</f>
        <v>0</v>
      </c>
      <c r="M385" s="752">
        <f>Unitflowchart!$S$312*(AllocationEnergy!$H$35/100)/Unitflowchart!$S$383*(Biorefinery!AC16)</f>
        <v>0</v>
      </c>
      <c r="N385" s="727">
        <f>E385+(GlobalWarmingPotentials!$B$11*H385)+(GlobalWarmingPotentials!$C$11*K385)</f>
        <v>0</v>
      </c>
      <c r="O385" s="26">
        <f t="shared" ref="O385:O387" si="132">(N385/N$391)*100</f>
        <v>0</v>
      </c>
      <c r="P385" s="760">
        <f>SQRT((G385^2)+((GlobalWarmingPotentials!$B$11*J385)^2)+((GlobalWarmingPotentials!$C$11*M385)^2))</f>
        <v>0</v>
      </c>
      <c r="Q385" s="30"/>
    </row>
    <row r="386" spans="1:17" x14ac:dyDescent="0.25">
      <c r="A386" t="str">
        <f>Biorefinery!A17</f>
        <v xml:space="preserve"> - Plant Maintenance</v>
      </c>
      <c r="B386" s="732">
        <f>Unitflowchart!$S$312*(AllocationEnergy!$H$35/100)/Unitflowchart!$S$383*(Biorefinery!J17)</f>
        <v>0</v>
      </c>
      <c r="C386" s="26">
        <f t="shared" si="128"/>
        <v>0</v>
      </c>
      <c r="D386" s="358">
        <f>Unitflowchart!$S$312*(AllocationEnergy!$H$35/100)/Unitflowchart!$S$383*(Biorefinery!K17)</f>
        <v>0</v>
      </c>
      <c r="E386" s="732">
        <f>Unitflowchart!$S$312*(AllocationEnergy!$H$35/100)/Unitflowchart!$S$383*(Biorefinery!P17)</f>
        <v>0</v>
      </c>
      <c r="F386" s="26">
        <f t="shared" si="129"/>
        <v>0</v>
      </c>
      <c r="G386" s="358">
        <f>Unitflowchart!$S$312*(AllocationEnergy!$H$35/100)/Unitflowchart!$S$383*(Biorefinery!Q17)</f>
        <v>0</v>
      </c>
      <c r="H386" s="749">
        <f>Unitflowchart!$S$312*(AllocationEnergy!$H$35/100)/Unitflowchart!$S$383*(Biorefinery!V17)</f>
        <v>0</v>
      </c>
      <c r="I386" s="26">
        <f t="shared" si="130"/>
        <v>0</v>
      </c>
      <c r="J386" s="752">
        <f>Unitflowchart!$S$312*(AllocationEnergy!$H$35/100)/Unitflowchart!$S$383*(Biorefinery!W17)</f>
        <v>0</v>
      </c>
      <c r="K386" s="749">
        <f>Unitflowchart!$S$312*(AllocationEnergy!$H$35/100)/Unitflowchart!$S$383*(Biorefinery!AB17)</f>
        <v>0</v>
      </c>
      <c r="L386" s="26">
        <f t="shared" si="131"/>
        <v>0</v>
      </c>
      <c r="M386" s="752">
        <f>Unitflowchart!$S$312*(AllocationEnergy!$H$35/100)/Unitflowchart!$S$383*(Biorefinery!AC17)</f>
        <v>0</v>
      </c>
      <c r="N386" s="727">
        <f>E386+(GlobalWarmingPotentials!$B$11*H386)+(GlobalWarmingPotentials!$C$11*K386)</f>
        <v>0</v>
      </c>
      <c r="O386" s="26">
        <f t="shared" si="132"/>
        <v>0</v>
      </c>
      <c r="P386" s="760">
        <f>SQRT((G386^2)+((GlobalWarmingPotentials!$B$11*J386)^2)+((GlobalWarmingPotentials!$C$11*M386)^2))</f>
        <v>0</v>
      </c>
      <c r="Q386" s="30"/>
    </row>
    <row r="387" spans="1:17" x14ac:dyDescent="0.25">
      <c r="A387" t="str">
        <f>Biorefinery!A18</f>
        <v xml:space="preserve"> - Plant Decommissioning</v>
      </c>
      <c r="B387" s="732">
        <f>Unitflowchart!$S$312*(AllocationEnergy!$H$35/100)/Unitflowchart!$S$383*(Biorefinery!J18)</f>
        <v>0</v>
      </c>
      <c r="C387" s="26">
        <f t="shared" si="128"/>
        <v>0</v>
      </c>
      <c r="D387" s="358">
        <f>Unitflowchart!$S$312*(AllocationEnergy!$H$35/100)/Unitflowchart!$S$383*(Biorefinery!K18)</f>
        <v>0</v>
      </c>
      <c r="E387" s="732">
        <f>Unitflowchart!$S$312*(AllocationEnergy!$H$35/100)/Unitflowchart!$S$383*(Biorefinery!P18)</f>
        <v>0</v>
      </c>
      <c r="F387" s="26">
        <f t="shared" si="129"/>
        <v>0</v>
      </c>
      <c r="G387" s="358">
        <f>Unitflowchart!$S$312*(AllocationEnergy!$H$35/100)/Unitflowchart!$S$383*(Biorefinery!Q18)</f>
        <v>0</v>
      </c>
      <c r="H387" s="749">
        <f>Unitflowchart!$S$312*(AllocationEnergy!$H$35/100)/Unitflowchart!$S$383*(Biorefinery!V18)</f>
        <v>0</v>
      </c>
      <c r="I387" s="26">
        <f t="shared" si="130"/>
        <v>0</v>
      </c>
      <c r="J387" s="752">
        <f>Unitflowchart!$S$312*(AllocationEnergy!$H$35/100)/Unitflowchart!$S$383*(Biorefinery!W18)</f>
        <v>0</v>
      </c>
      <c r="K387" s="749">
        <f>Unitflowchart!$S$312*(AllocationEnergy!$H$35/100)/Unitflowchart!$S$383*(Biorefinery!AB18)</f>
        <v>0</v>
      </c>
      <c r="L387" s="26">
        <f t="shared" si="131"/>
        <v>0</v>
      </c>
      <c r="M387" s="752">
        <f>Unitflowchart!$S$312*(AllocationEnergy!$H$35/100)/Unitflowchart!$S$383*(Biorefinery!AC18)</f>
        <v>0</v>
      </c>
      <c r="N387" s="727">
        <f>E387+(GlobalWarmingPotentials!$B$11*H387)+(GlobalWarmingPotentials!$C$11*K387)</f>
        <v>0</v>
      </c>
      <c r="O387" s="26">
        <f t="shared" si="132"/>
        <v>0</v>
      </c>
      <c r="P387" s="760">
        <f>SQRT((G387^2)+((GlobalWarmingPotentials!$B$11*J387)^2)+((GlobalWarmingPotentials!$C$11*M387)^2))</f>
        <v>0</v>
      </c>
      <c r="Q387" s="30"/>
    </row>
    <row r="388" spans="1:17" x14ac:dyDescent="0.25">
      <c r="B388" s="728"/>
      <c r="C388" s="156"/>
      <c r="D388" s="735"/>
      <c r="E388" s="728"/>
      <c r="F388" s="156"/>
      <c r="G388" s="735"/>
      <c r="H388" s="31"/>
      <c r="I388" s="156"/>
      <c r="J388" s="724"/>
      <c r="K388" s="31"/>
      <c r="L388" s="156"/>
      <c r="M388" s="724"/>
      <c r="N388" s="728"/>
      <c r="O388" s="156"/>
      <c r="P388" s="735"/>
      <c r="Q388" s="30"/>
    </row>
    <row r="389" spans="1:17" x14ac:dyDescent="0.25">
      <c r="A389" s="218" t="s">
        <v>916</v>
      </c>
      <c r="B389" s="730">
        <f>Unitflowchart!$S$312*(AllocationEnergy!$H$35/100)/Unitflowchart!$S$383*(Biorefinery!J20)</f>
        <v>0</v>
      </c>
      <c r="C389" s="15">
        <f>(B389/B$391)*100</f>
        <v>0</v>
      </c>
      <c r="D389" s="740">
        <f>Unitflowchart!$S$312*(AllocationEnergy!$H$35/100)/Unitflowchart!$S$383*(Biorefinery!K20)</f>
        <v>0</v>
      </c>
      <c r="E389" s="730">
        <f>Unitflowchart!$S$312*(AllocationEnergy!$H$35/100)/Unitflowchart!$S$383*(Biorefinery!P20)</f>
        <v>0</v>
      </c>
      <c r="F389" s="15">
        <f>(E389/E$391)*100</f>
        <v>0</v>
      </c>
      <c r="G389" s="740">
        <f>Unitflowchart!$S$312*(AllocationEnergy!$H$35/100)/Unitflowchart!$S$383*(Biorefinery!Q20)</f>
        <v>0</v>
      </c>
      <c r="H389" s="215">
        <f>Unitflowchart!$S$312*(AllocationEnergy!$H$35/100)/Unitflowchart!$S$383*(Biorefinery!V20)</f>
        <v>0</v>
      </c>
      <c r="I389" s="15">
        <f>(H389/H$391)*100</f>
        <v>0</v>
      </c>
      <c r="J389" s="747">
        <f>Unitflowchart!$S$312*(AllocationEnergy!$H$35/100)/Unitflowchart!$S$383*(Biorefinery!W20)</f>
        <v>0</v>
      </c>
      <c r="K389" s="215">
        <f>Unitflowchart!$S$312*(AllocationEnergy!$H$35/100)/Unitflowchart!$S$383*(Biorefinery!AB20)</f>
        <v>0</v>
      </c>
      <c r="L389" s="15">
        <f>(K389/K$391)*100</f>
        <v>0</v>
      </c>
      <c r="M389" s="216">
        <f>Unitflowchart!$S$312*(AllocationEnergy!$H$35/100)/Unitflowchart!$S$383*(Biorefinery!AC20)</f>
        <v>0</v>
      </c>
      <c r="N389" s="730">
        <f>E389+(GlobalWarmingPotentials!$B$11*H389)+(GlobalWarmingPotentials!$C$11*K389)</f>
        <v>0</v>
      </c>
      <c r="O389" s="15">
        <f>(N389/N$391)*100</f>
        <v>0</v>
      </c>
      <c r="P389" s="761">
        <f>SQRT((G389^2)+((GlobalWarmingPotentials!$B$11*J389)^2)+((GlobalWarmingPotentials!$C$11*M389)^2))</f>
        <v>0</v>
      </c>
      <c r="Q389" s="30"/>
    </row>
    <row r="390" spans="1:17" x14ac:dyDescent="0.25">
      <c r="B390" s="728"/>
      <c r="D390" s="735"/>
      <c r="E390" s="728"/>
      <c r="G390" s="735"/>
      <c r="H390" s="31"/>
      <c r="J390" s="724"/>
      <c r="K390" s="750"/>
      <c r="M390" s="754"/>
      <c r="N390" s="735"/>
      <c r="P390" s="735"/>
      <c r="Q390" s="30"/>
    </row>
    <row r="391" spans="1:17" x14ac:dyDescent="0.25">
      <c r="A391" s="218" t="s">
        <v>424</v>
      </c>
      <c r="B391" s="734">
        <f>B115+B142+B176+B210+B240+B247+B254+B233+B261+B267+B273+B279+B313+B347+B381+B389</f>
        <v>12944.38190434738</v>
      </c>
      <c r="C391" s="15">
        <f>(B391/B$391)*100</f>
        <v>100</v>
      </c>
      <c r="D391" s="745">
        <f>SQRT((D115^2)+(D142^2)+(D176^2)+(D210^2)+(D240^2)+(D247^2)+(D254^2)+(D267^2)+(D233^2)+(D261^2)+(D273^2)+(D279^2)+(D313^2)+(D347^2)+(D381^2)+(D389^2))</f>
        <v>827.39839929050697</v>
      </c>
      <c r="E391" s="734">
        <f t="shared" ref="E391" si="133">E115+E142+E176+E210+E240+E247+E254+E233+E261+E267+E273+E279+E313+E347+E381+E389</f>
        <v>804.38165017298661</v>
      </c>
      <c r="F391" s="15">
        <f t="shared" ref="F391" si="134">(E391/E$391)*100</f>
        <v>100</v>
      </c>
      <c r="G391" s="745">
        <f t="shared" ref="G391" si="135">SQRT((G115^2)+(G142^2)+(G176^2)+(G210^2)+(G240^2)+(G247^2)+(G254^2)+(G267^2)+(G233^2)+(G261^2)+(G273^2)+(G279^2)+(G313^2)+(G347^2)+(G381^2)+(G389^2))</f>
        <v>51.560977474000268</v>
      </c>
      <c r="H391" s="722">
        <f t="shared" ref="H391" si="136">H115+H142+H176+H210+H240+H247+H254+H233+H261+H267+H273+H279+H313+H347+H381+H389</f>
        <v>1.0016431237895178</v>
      </c>
      <c r="I391" s="15">
        <f t="shared" ref="I391" si="137">(H391/H$391)*100</f>
        <v>100</v>
      </c>
      <c r="J391" s="720">
        <f t="shared" ref="J391" si="138">SQRT((J115^2)+(J142^2)+(J176^2)+(J210^2)+(J240^2)+(J247^2)+(J254^2)+(J267^2)+(J233^2)+(J261^2)+(J273^2)+(J279^2)+(J313^2)+(J347^2)+(J381^2)+(J389^2))</f>
        <v>8.2466808057339219E-2</v>
      </c>
      <c r="K391" s="722">
        <f t="shared" ref="K391" si="139">K115+K142+K176+K210+K240+K247+K254+K233+K261+K267+K273+K279+K313+K347+K381+K389</f>
        <v>0.21658922323323565</v>
      </c>
      <c r="L391" s="15">
        <f t="shared" ref="L391" si="140">(K391/K$391)*100</f>
        <v>100</v>
      </c>
      <c r="M391" s="720">
        <f t="shared" ref="M391" si="141">SQRT((M115^2)+(M142^2)+(M176^2)+(M210^2)+(M240^2)+(M247^2)+(M254^2)+(M267^2)+(M233^2)+(M261^2)+(M273^2)+(M279^2)+(M313^2)+(M347^2)+(M381^2)+(M389^2))</f>
        <v>8.6893338480532965E-4</v>
      </c>
      <c r="N391" s="734">
        <f t="shared" ref="N391" si="142">N115+N142+N176+N210+N240+N247+N254+N233+N261+N267+N273+N279+N313+N347+N381+N389</f>
        <v>891.52985209718338</v>
      </c>
      <c r="O391" s="15">
        <f t="shared" ref="O391" si="143">(N391/N$391)*100</f>
        <v>100</v>
      </c>
      <c r="P391" s="745">
        <f t="shared" ref="P391" si="144">SQRT((P115^2)+(P142^2)+(P176^2)+(P210^2)+(P240^2)+(P247^2)+(P254^2)+(P267^2)+(P233^2)+(P261^2)+(P273^2)+(P279^2)+(P313^2)+(P347^2)+(P381^2)+(P389^2))</f>
        <v>51.596493696675537</v>
      </c>
      <c r="Q391" s="30"/>
    </row>
    <row r="392" spans="1:17" x14ac:dyDescent="0.25">
      <c r="A392" s="354"/>
      <c r="B392" s="354"/>
      <c r="D392" s="354"/>
      <c r="E392" s="354"/>
      <c r="G392" s="354"/>
      <c r="H392" s="354"/>
      <c r="J392" s="354"/>
      <c r="K392" s="354"/>
      <c r="M392" s="354"/>
      <c r="N392" s="354"/>
      <c r="P392" s="354"/>
      <c r="Q392" s="24"/>
    </row>
    <row r="393" spans="1:17" x14ac:dyDescent="0.25">
      <c r="B393" s="24"/>
      <c r="E393" s="24"/>
      <c r="G393" s="24"/>
      <c r="H393" s="24"/>
      <c r="J393" s="24"/>
      <c r="K393" s="24"/>
      <c r="M393" s="24"/>
      <c r="N393" s="24"/>
      <c r="P393" s="24"/>
    </row>
    <row r="394" spans="1:17" x14ac:dyDescent="0.25">
      <c r="B394" s="24"/>
      <c r="E394" s="24"/>
      <c r="G394" s="24"/>
      <c r="H394" s="24"/>
      <c r="J394" s="24"/>
      <c r="K394" s="24"/>
      <c r="M394" s="24"/>
      <c r="N394" s="24"/>
      <c r="P394" s="24"/>
    </row>
    <row r="395" spans="1:17" x14ac:dyDescent="0.25">
      <c r="B395" s="24"/>
      <c r="E395" s="24"/>
      <c r="G395" s="24"/>
      <c r="H395" s="24"/>
      <c r="J395" s="24"/>
      <c r="K395" s="24"/>
      <c r="M395" s="24"/>
      <c r="N395" s="24"/>
      <c r="P395" s="24"/>
    </row>
    <row r="396" spans="1:17" x14ac:dyDescent="0.25">
      <c r="B396" s="24"/>
      <c r="E396" s="24"/>
      <c r="G396" s="24"/>
      <c r="H396" s="24"/>
      <c r="J396" s="24"/>
      <c r="K396" s="24"/>
      <c r="M396" s="24"/>
      <c r="N396" s="24"/>
      <c r="P396" s="24"/>
    </row>
    <row r="397" spans="1:17" x14ac:dyDescent="0.25">
      <c r="B397" s="24"/>
      <c r="E397" s="24"/>
      <c r="G397" s="24"/>
      <c r="H397" s="24"/>
      <c r="J397" s="24"/>
      <c r="K397" s="24"/>
      <c r="M397" s="24"/>
      <c r="N397" s="24"/>
      <c r="P397" s="24"/>
    </row>
    <row r="398" spans="1:17" x14ac:dyDescent="0.25">
      <c r="B398" s="24"/>
      <c r="E398" s="24"/>
      <c r="G398" s="24"/>
      <c r="H398" s="24"/>
      <c r="J398" s="24"/>
      <c r="K398" s="24"/>
      <c r="M398" s="24"/>
      <c r="N398" s="24"/>
      <c r="P398" s="24"/>
    </row>
    <row r="399" spans="1:17" x14ac:dyDescent="0.25">
      <c r="B399" s="24"/>
      <c r="E399" s="24"/>
      <c r="G399" s="24"/>
      <c r="H399" s="24"/>
      <c r="J399" s="24"/>
      <c r="K399" s="24"/>
      <c r="M399" s="24"/>
      <c r="N399" s="24"/>
      <c r="P399" s="24"/>
    </row>
    <row r="400" spans="1:17" x14ac:dyDescent="0.25">
      <c r="B400" s="24"/>
      <c r="E400" s="24"/>
      <c r="G400" s="24"/>
      <c r="H400" s="24"/>
      <c r="J400" s="24"/>
      <c r="K400" s="24"/>
      <c r="M400" s="24"/>
      <c r="N400" s="24"/>
      <c r="P400" s="24"/>
    </row>
    <row r="401" spans="2:16" x14ac:dyDescent="0.25">
      <c r="B401" s="24"/>
      <c r="E401" s="24"/>
      <c r="G401" s="24"/>
      <c r="H401" s="24"/>
      <c r="J401" s="24"/>
      <c r="K401" s="24"/>
      <c r="M401" s="24"/>
      <c r="N401" s="24"/>
      <c r="P401" s="24"/>
    </row>
    <row r="402" spans="2:16" x14ac:dyDescent="0.25">
      <c r="B402" s="24"/>
      <c r="E402" s="24"/>
      <c r="G402" s="24"/>
      <c r="H402" s="24"/>
      <c r="J402" s="24"/>
      <c r="K402" s="24"/>
      <c r="M402" s="24"/>
      <c r="N402" s="24"/>
      <c r="P402" s="24"/>
    </row>
    <row r="403" spans="2:16" x14ac:dyDescent="0.25">
      <c r="B403" s="24"/>
      <c r="E403" s="24"/>
      <c r="G403" s="24"/>
      <c r="H403" s="24"/>
      <c r="J403" s="24"/>
      <c r="K403" s="24"/>
      <c r="M403" s="24"/>
      <c r="N403" s="24"/>
      <c r="P403" s="24"/>
    </row>
    <row r="404" spans="2:16" x14ac:dyDescent="0.25">
      <c r="B404" s="24"/>
      <c r="E404" s="24"/>
      <c r="G404" s="24"/>
      <c r="H404" s="24"/>
      <c r="J404" s="24"/>
      <c r="K404" s="24"/>
      <c r="M404" s="24"/>
      <c r="N404" s="24"/>
      <c r="P404" s="24"/>
    </row>
    <row r="405" spans="2:16" x14ac:dyDescent="0.25">
      <c r="B405" s="24"/>
      <c r="E405" s="24"/>
      <c r="G405" s="24"/>
      <c r="H405" s="24"/>
      <c r="J405" s="24"/>
      <c r="K405" s="24"/>
      <c r="M405" s="24"/>
      <c r="N405" s="24"/>
      <c r="P405" s="24"/>
    </row>
    <row r="406" spans="2:16" x14ac:dyDescent="0.25">
      <c r="B406" s="24"/>
      <c r="E406" s="24"/>
      <c r="G406" s="24"/>
      <c r="H406" s="24"/>
      <c r="J406" s="24"/>
      <c r="K406" s="24"/>
      <c r="M406" s="24"/>
      <c r="N406" s="24"/>
      <c r="P406" s="24"/>
    </row>
    <row r="407" spans="2:16" x14ac:dyDescent="0.25">
      <c r="B407" s="24"/>
      <c r="E407" s="24"/>
      <c r="G407" s="24"/>
      <c r="H407" s="24"/>
      <c r="J407" s="24"/>
      <c r="K407" s="24"/>
      <c r="M407" s="24"/>
      <c r="N407" s="24"/>
      <c r="P407" s="24"/>
    </row>
    <row r="408" spans="2:16" x14ac:dyDescent="0.25">
      <c r="B408" s="24"/>
      <c r="E408" s="24"/>
      <c r="G408" s="24"/>
      <c r="H408" s="24"/>
      <c r="J408" s="24"/>
      <c r="K408" s="24"/>
      <c r="M408" s="24"/>
      <c r="N408" s="24"/>
      <c r="P408" s="24"/>
    </row>
    <row r="409" spans="2:16" x14ac:dyDescent="0.25">
      <c r="B409" s="24"/>
      <c r="E409" s="24"/>
      <c r="G409" s="24"/>
      <c r="H409" s="24"/>
      <c r="J409" s="24"/>
      <c r="K409" s="24"/>
      <c r="M409" s="24"/>
      <c r="N409" s="24"/>
      <c r="P409" s="24"/>
    </row>
    <row r="410" spans="2:16" x14ac:dyDescent="0.25">
      <c r="B410" s="24"/>
      <c r="E410" s="24"/>
      <c r="G410" s="24"/>
      <c r="H410" s="24"/>
      <c r="J410" s="24"/>
      <c r="K410" s="24"/>
      <c r="M410" s="24"/>
      <c r="N410" s="24"/>
      <c r="P410" s="24"/>
    </row>
    <row r="411" spans="2:16" x14ac:dyDescent="0.25">
      <c r="B411" s="24"/>
      <c r="E411" s="24"/>
      <c r="G411" s="24"/>
      <c r="H411" s="24"/>
      <c r="J411" s="24"/>
      <c r="K411" s="24"/>
      <c r="M411" s="24"/>
      <c r="N411" s="24"/>
      <c r="P411" s="24"/>
    </row>
    <row r="412" spans="2:16" x14ac:dyDescent="0.25">
      <c r="B412" s="24"/>
      <c r="E412" s="24"/>
      <c r="G412" s="24"/>
      <c r="H412" s="24"/>
      <c r="J412" s="24"/>
      <c r="K412" s="24"/>
      <c r="M412" s="24"/>
      <c r="N412" s="24"/>
      <c r="P412" s="24"/>
    </row>
    <row r="413" spans="2:16" x14ac:dyDescent="0.25">
      <c r="B413" s="24"/>
      <c r="E413" s="24"/>
      <c r="G413" s="24"/>
      <c r="H413" s="24"/>
      <c r="J413" s="24"/>
      <c r="K413" s="24"/>
      <c r="M413" s="24"/>
      <c r="N413" s="24"/>
      <c r="P413" s="24"/>
    </row>
    <row r="414" spans="2:16" x14ac:dyDescent="0.25">
      <c r="B414" s="24"/>
      <c r="E414" s="24"/>
      <c r="G414" s="24"/>
      <c r="H414" s="24"/>
      <c r="J414" s="24"/>
      <c r="K414" s="24"/>
      <c r="M414" s="24"/>
      <c r="N414" s="24"/>
      <c r="P414" s="24"/>
    </row>
    <row r="415" spans="2:16" x14ac:dyDescent="0.25">
      <c r="B415" s="24"/>
      <c r="E415" s="24"/>
      <c r="G415" s="24"/>
      <c r="H415" s="24"/>
      <c r="J415" s="24"/>
      <c r="K415" s="24"/>
      <c r="M415" s="24"/>
      <c r="N415" s="24"/>
      <c r="P415" s="24"/>
    </row>
    <row r="416" spans="2:16" x14ac:dyDescent="0.25">
      <c r="B416" s="24"/>
      <c r="E416" s="24"/>
      <c r="G416" s="24"/>
      <c r="H416" s="24"/>
      <c r="J416" s="24"/>
      <c r="K416" s="24"/>
      <c r="M416" s="24"/>
      <c r="N416" s="24"/>
      <c r="P416" s="24"/>
    </row>
    <row r="417" spans="2:16" x14ac:dyDescent="0.25">
      <c r="B417" s="24"/>
      <c r="E417" s="24"/>
      <c r="G417" s="24"/>
      <c r="H417" s="24"/>
      <c r="J417" s="24"/>
      <c r="K417" s="24"/>
      <c r="M417" s="24"/>
      <c r="N417" s="24"/>
      <c r="P417" s="24"/>
    </row>
    <row r="418" spans="2:16" x14ac:dyDescent="0.25">
      <c r="B418" s="24"/>
      <c r="E418" s="24"/>
      <c r="G418" s="24"/>
      <c r="H418" s="24"/>
      <c r="J418" s="24"/>
      <c r="K418" s="24"/>
      <c r="M418" s="24"/>
      <c r="N418" s="24"/>
      <c r="P418" s="24"/>
    </row>
    <row r="419" spans="2:16" x14ac:dyDescent="0.25">
      <c r="B419" s="24"/>
      <c r="E419" s="24"/>
      <c r="G419" s="24"/>
      <c r="H419" s="24"/>
      <c r="J419" s="24"/>
      <c r="K419" s="24"/>
      <c r="M419" s="24"/>
      <c r="N419" s="24"/>
      <c r="P419" s="24"/>
    </row>
    <row r="420" spans="2:16" x14ac:dyDescent="0.25">
      <c r="B420" s="24"/>
      <c r="E420" s="24"/>
      <c r="G420" s="24"/>
      <c r="H420" s="24"/>
      <c r="J420" s="24"/>
      <c r="K420" s="24"/>
      <c r="M420" s="24"/>
      <c r="N420" s="24"/>
      <c r="P420" s="24"/>
    </row>
    <row r="421" spans="2:16" x14ac:dyDescent="0.25">
      <c r="B421" s="24"/>
      <c r="E421" s="24"/>
      <c r="G421" s="24"/>
      <c r="H421" s="24"/>
      <c r="J421" s="24"/>
      <c r="K421" s="24"/>
      <c r="M421" s="24"/>
      <c r="N421" s="24"/>
      <c r="P421" s="24"/>
    </row>
    <row r="422" spans="2:16" x14ac:dyDescent="0.25">
      <c r="B422" s="24"/>
      <c r="E422" s="24"/>
      <c r="G422" s="24"/>
      <c r="H422" s="24"/>
      <c r="J422" s="24"/>
      <c r="K422" s="24"/>
      <c r="M422" s="24"/>
      <c r="N422" s="24"/>
      <c r="P422" s="24"/>
    </row>
    <row r="423" spans="2:16" x14ac:dyDescent="0.25">
      <c r="B423" s="24"/>
      <c r="E423" s="24"/>
      <c r="G423" s="24"/>
      <c r="H423" s="24"/>
      <c r="J423" s="24"/>
      <c r="K423" s="24"/>
      <c r="M423" s="24"/>
      <c r="N423" s="24"/>
      <c r="P423" s="24"/>
    </row>
    <row r="424" spans="2:16" x14ac:dyDescent="0.25">
      <c r="B424" s="24"/>
      <c r="E424" s="24"/>
      <c r="G424" s="24"/>
      <c r="H424" s="24"/>
      <c r="J424" s="24"/>
      <c r="K424" s="24"/>
      <c r="M424" s="24"/>
      <c r="N424" s="24"/>
      <c r="P424" s="24"/>
    </row>
    <row r="425" spans="2:16" x14ac:dyDescent="0.25">
      <c r="B425" s="24"/>
      <c r="E425" s="24"/>
      <c r="G425" s="24"/>
      <c r="H425" s="24"/>
      <c r="J425" s="24"/>
      <c r="K425" s="24"/>
      <c r="M425" s="24"/>
      <c r="N425" s="24"/>
      <c r="P425" s="24"/>
    </row>
    <row r="426" spans="2:16" x14ac:dyDescent="0.25">
      <c r="B426" s="24"/>
      <c r="E426" s="24"/>
      <c r="G426" s="24"/>
      <c r="H426" s="24"/>
      <c r="J426" s="24"/>
      <c r="K426" s="24"/>
      <c r="M426" s="24"/>
      <c r="N426" s="24"/>
      <c r="P426" s="24"/>
    </row>
    <row r="427" spans="2:16" x14ac:dyDescent="0.25">
      <c r="B427" s="24"/>
      <c r="E427" s="24"/>
      <c r="G427" s="24"/>
      <c r="H427" s="24"/>
      <c r="J427" s="24"/>
      <c r="K427" s="24"/>
      <c r="M427" s="24"/>
      <c r="N427" s="24"/>
      <c r="P427" s="24"/>
    </row>
    <row r="428" spans="2:16" x14ac:dyDescent="0.25">
      <c r="B428" s="24"/>
      <c r="E428" s="24"/>
      <c r="G428" s="24"/>
      <c r="H428" s="24"/>
      <c r="J428" s="24"/>
      <c r="K428" s="24"/>
      <c r="M428" s="24"/>
      <c r="N428" s="24"/>
      <c r="P428" s="24"/>
    </row>
    <row r="429" spans="2:16" x14ac:dyDescent="0.25">
      <c r="B429" s="24"/>
      <c r="E429" s="24"/>
      <c r="G429" s="24"/>
      <c r="H429" s="24"/>
      <c r="J429" s="24"/>
      <c r="K429" s="24"/>
      <c r="M429" s="24"/>
      <c r="N429" s="24"/>
      <c r="P429" s="24"/>
    </row>
    <row r="430" spans="2:16" x14ac:dyDescent="0.25">
      <c r="B430" s="24"/>
      <c r="E430" s="24"/>
      <c r="G430" s="24"/>
      <c r="H430" s="24"/>
      <c r="J430" s="24"/>
      <c r="K430" s="24"/>
      <c r="M430" s="24"/>
      <c r="N430" s="24"/>
      <c r="P430" s="24"/>
    </row>
    <row r="431" spans="2:16" x14ac:dyDescent="0.25">
      <c r="B431" s="24"/>
      <c r="E431" s="24"/>
      <c r="G431" s="24"/>
      <c r="H431" s="24"/>
      <c r="J431" s="24"/>
      <c r="K431" s="24"/>
      <c r="M431" s="24"/>
      <c r="N431" s="24"/>
      <c r="P431" s="24"/>
    </row>
    <row r="432" spans="2:16" x14ac:dyDescent="0.25">
      <c r="B432" s="24"/>
      <c r="E432" s="24"/>
      <c r="G432" s="24"/>
      <c r="H432" s="24"/>
      <c r="J432" s="24"/>
      <c r="K432" s="24"/>
      <c r="M432" s="24"/>
      <c r="N432" s="24"/>
      <c r="P432" s="24"/>
    </row>
    <row r="433" spans="2:16" x14ac:dyDescent="0.25">
      <c r="B433" s="24"/>
      <c r="E433" s="24"/>
      <c r="G433" s="24"/>
      <c r="H433" s="24"/>
      <c r="J433" s="24"/>
      <c r="K433" s="24"/>
      <c r="M433" s="24"/>
      <c r="N433" s="24"/>
      <c r="P433" s="24"/>
    </row>
    <row r="434" spans="2:16" x14ac:dyDescent="0.25">
      <c r="B434" s="24"/>
      <c r="E434" s="24"/>
      <c r="G434" s="24"/>
      <c r="H434" s="24"/>
      <c r="J434" s="24"/>
      <c r="K434" s="24"/>
      <c r="M434" s="24"/>
      <c r="N434" s="24"/>
      <c r="P434" s="24"/>
    </row>
    <row r="435" spans="2:16" x14ac:dyDescent="0.25">
      <c r="B435" s="24"/>
      <c r="E435" s="24"/>
      <c r="G435" s="24"/>
      <c r="H435" s="24"/>
      <c r="J435" s="24"/>
      <c r="K435" s="24"/>
      <c r="M435" s="24"/>
      <c r="N435" s="24"/>
      <c r="P435" s="24"/>
    </row>
    <row r="436" spans="2:16" x14ac:dyDescent="0.25">
      <c r="B436" s="24"/>
      <c r="E436" s="24"/>
      <c r="G436" s="24"/>
      <c r="H436" s="24"/>
      <c r="J436" s="24"/>
      <c r="K436" s="24"/>
      <c r="M436" s="24"/>
      <c r="N436" s="24"/>
      <c r="P436" s="24"/>
    </row>
    <row r="437" spans="2:16" x14ac:dyDescent="0.25">
      <c r="B437" s="24"/>
      <c r="E437" s="24"/>
      <c r="G437" s="24"/>
      <c r="H437" s="24"/>
      <c r="J437" s="24"/>
      <c r="K437" s="24"/>
      <c r="M437" s="24"/>
      <c r="N437" s="24"/>
      <c r="P437" s="24"/>
    </row>
    <row r="438" spans="2:16" x14ac:dyDescent="0.25">
      <c r="B438" s="24"/>
      <c r="E438" s="24"/>
      <c r="G438" s="24"/>
      <c r="H438" s="24"/>
      <c r="J438" s="24"/>
      <c r="K438" s="24"/>
      <c r="M438" s="24"/>
      <c r="N438" s="24"/>
      <c r="P438" s="24"/>
    </row>
    <row r="439" spans="2:16" x14ac:dyDescent="0.25">
      <c r="B439" s="24"/>
      <c r="E439" s="24"/>
      <c r="G439" s="24"/>
      <c r="H439" s="24"/>
      <c r="J439" s="24"/>
      <c r="K439" s="24"/>
      <c r="M439" s="24"/>
      <c r="N439" s="24"/>
      <c r="P439" s="24"/>
    </row>
    <row r="440" spans="2:16" x14ac:dyDescent="0.25">
      <c r="B440" s="24"/>
      <c r="E440" s="24"/>
      <c r="G440" s="24"/>
      <c r="H440" s="24"/>
      <c r="J440" s="24"/>
      <c r="K440" s="24"/>
      <c r="M440" s="24"/>
      <c r="N440" s="24"/>
      <c r="P440" s="24"/>
    </row>
    <row r="441" spans="2:16" x14ac:dyDescent="0.25">
      <c r="B441" s="24"/>
      <c r="E441" s="24"/>
      <c r="G441" s="24"/>
      <c r="H441" s="24"/>
      <c r="J441" s="24"/>
      <c r="K441" s="24"/>
      <c r="M441" s="24"/>
      <c r="N441" s="24"/>
      <c r="P441" s="24"/>
    </row>
    <row r="442" spans="2:16" x14ac:dyDescent="0.25">
      <c r="B442" s="24"/>
      <c r="E442" s="24"/>
      <c r="G442" s="24"/>
      <c r="H442" s="24"/>
      <c r="J442" s="24"/>
      <c r="K442" s="24"/>
      <c r="M442" s="24"/>
      <c r="N442" s="24"/>
      <c r="P442" s="24"/>
    </row>
    <row r="443" spans="2:16" x14ac:dyDescent="0.25">
      <c r="B443" s="24"/>
      <c r="E443" s="24"/>
      <c r="G443" s="24"/>
      <c r="H443" s="24"/>
      <c r="J443" s="24"/>
      <c r="K443" s="24"/>
      <c r="M443" s="24"/>
      <c r="N443" s="24"/>
      <c r="P443" s="24"/>
    </row>
    <row r="444" spans="2:16" x14ac:dyDescent="0.25">
      <c r="B444" s="24"/>
      <c r="E444" s="24"/>
      <c r="G444" s="24"/>
      <c r="H444" s="24"/>
      <c r="J444" s="24"/>
      <c r="K444" s="24"/>
      <c r="M444" s="24"/>
      <c r="N444" s="24"/>
      <c r="P444" s="24"/>
    </row>
    <row r="445" spans="2:16" x14ac:dyDescent="0.25">
      <c r="B445" s="24"/>
      <c r="E445" s="24"/>
      <c r="G445" s="24"/>
      <c r="H445" s="24"/>
      <c r="J445" s="24"/>
      <c r="K445" s="24"/>
      <c r="M445" s="24"/>
      <c r="N445" s="24"/>
      <c r="P445" s="24"/>
    </row>
    <row r="446" spans="2:16" x14ac:dyDescent="0.25">
      <c r="B446" s="24"/>
      <c r="E446" s="24"/>
      <c r="G446" s="24"/>
      <c r="H446" s="24"/>
      <c r="J446" s="24"/>
      <c r="K446" s="24"/>
      <c r="M446" s="24"/>
      <c r="N446" s="24"/>
      <c r="P446" s="24"/>
    </row>
    <row r="447" spans="2:16" x14ac:dyDescent="0.25">
      <c r="B447" s="24"/>
      <c r="E447" s="24"/>
      <c r="G447" s="24"/>
      <c r="H447" s="24"/>
      <c r="J447" s="24"/>
      <c r="K447" s="24"/>
      <c r="M447" s="24"/>
      <c r="N447" s="24"/>
      <c r="P447" s="24"/>
    </row>
    <row r="448" spans="2:16" x14ac:dyDescent="0.25">
      <c r="B448" s="24"/>
      <c r="E448" s="24"/>
      <c r="G448" s="24"/>
      <c r="H448" s="24"/>
      <c r="J448" s="24"/>
      <c r="K448" s="24"/>
      <c r="M448" s="24"/>
      <c r="N448" s="24"/>
      <c r="P448" s="24"/>
    </row>
    <row r="449" spans="2:16" x14ac:dyDescent="0.25">
      <c r="B449" s="24"/>
      <c r="E449" s="24"/>
      <c r="G449" s="24"/>
      <c r="H449" s="24"/>
      <c r="J449" s="24"/>
      <c r="K449" s="24"/>
      <c r="M449" s="24"/>
      <c r="N449" s="24"/>
      <c r="P449" s="24"/>
    </row>
    <row r="450" spans="2:16" x14ac:dyDescent="0.25">
      <c r="B450" s="24"/>
      <c r="E450" s="24"/>
      <c r="G450" s="24"/>
      <c r="H450" s="24"/>
      <c r="J450" s="24"/>
      <c r="K450" s="24"/>
      <c r="M450" s="24"/>
      <c r="N450" s="24"/>
      <c r="P450" s="24"/>
    </row>
    <row r="451" spans="2:16" x14ac:dyDescent="0.25">
      <c r="B451" s="24"/>
      <c r="E451" s="24"/>
      <c r="G451" s="24"/>
      <c r="H451" s="24"/>
      <c r="J451" s="24"/>
      <c r="K451" s="24"/>
      <c r="M451" s="24"/>
      <c r="N451" s="24"/>
      <c r="P451" s="24"/>
    </row>
    <row r="452" spans="2:16" x14ac:dyDescent="0.25">
      <c r="B452" s="24"/>
      <c r="E452" s="24"/>
      <c r="G452" s="24"/>
      <c r="H452" s="24"/>
      <c r="J452" s="24"/>
      <c r="K452" s="24"/>
      <c r="M452" s="24"/>
      <c r="N452" s="24"/>
      <c r="P452" s="24"/>
    </row>
    <row r="453" spans="2:16" x14ac:dyDescent="0.25">
      <c r="B453" s="24"/>
      <c r="E453" s="24"/>
      <c r="G453" s="24"/>
      <c r="H453" s="24"/>
      <c r="J453" s="24"/>
      <c r="K453" s="24"/>
      <c r="M453" s="24"/>
      <c r="N453" s="24"/>
      <c r="P453" s="24"/>
    </row>
    <row r="454" spans="2:16" x14ac:dyDescent="0.25">
      <c r="B454" s="24"/>
      <c r="E454" s="24"/>
      <c r="G454" s="24"/>
      <c r="H454" s="24"/>
      <c r="J454" s="24"/>
      <c r="K454" s="24"/>
      <c r="M454" s="24"/>
      <c r="N454" s="24"/>
      <c r="P454" s="24"/>
    </row>
    <row r="455" spans="2:16" x14ac:dyDescent="0.25">
      <c r="B455" s="24"/>
      <c r="E455" s="24"/>
      <c r="G455" s="24"/>
      <c r="H455" s="24"/>
      <c r="J455" s="24"/>
      <c r="K455" s="24"/>
      <c r="M455" s="24"/>
      <c r="N455" s="24"/>
      <c r="P455" s="24"/>
    </row>
    <row r="456" spans="2:16" x14ac:dyDescent="0.25">
      <c r="B456" s="24"/>
      <c r="E456" s="24"/>
      <c r="G456" s="24"/>
      <c r="H456" s="24"/>
      <c r="J456" s="24"/>
      <c r="K456" s="24"/>
      <c r="M456" s="24"/>
      <c r="N456" s="24"/>
      <c r="P456" s="24"/>
    </row>
    <row r="457" spans="2:16" x14ac:dyDescent="0.25">
      <c r="B457" s="24"/>
      <c r="E457" s="24"/>
      <c r="G457" s="24"/>
      <c r="H457" s="24"/>
      <c r="J457" s="24"/>
      <c r="K457" s="24"/>
      <c r="M457" s="24"/>
      <c r="N457" s="24"/>
      <c r="P457" s="24"/>
    </row>
    <row r="458" spans="2:16" x14ac:dyDescent="0.25">
      <c r="B458" s="24"/>
      <c r="E458" s="24"/>
      <c r="G458" s="24"/>
      <c r="H458" s="24"/>
      <c r="J458" s="24"/>
      <c r="K458" s="24"/>
      <c r="M458" s="24"/>
      <c r="N458" s="24"/>
      <c r="P458" s="24"/>
    </row>
    <row r="459" spans="2:16" x14ac:dyDescent="0.25">
      <c r="B459" s="24"/>
      <c r="E459" s="24"/>
      <c r="G459" s="24"/>
      <c r="H459" s="24"/>
      <c r="J459" s="24"/>
      <c r="K459" s="24"/>
      <c r="M459" s="24"/>
      <c r="N459" s="24"/>
      <c r="P459" s="24"/>
    </row>
    <row r="460" spans="2:16" x14ac:dyDescent="0.25">
      <c r="B460" s="24"/>
      <c r="E460" s="24"/>
      <c r="G460" s="24"/>
      <c r="H460" s="24"/>
      <c r="J460" s="24"/>
      <c r="K460" s="24"/>
      <c r="M460" s="24"/>
      <c r="N460" s="24"/>
      <c r="P460" s="24"/>
    </row>
    <row r="461" spans="2:16" x14ac:dyDescent="0.25">
      <c r="B461" s="24"/>
      <c r="E461" s="24"/>
      <c r="G461" s="24"/>
      <c r="H461" s="24"/>
      <c r="J461" s="24"/>
      <c r="K461" s="24"/>
      <c r="M461" s="24"/>
      <c r="N461" s="24"/>
      <c r="P461" s="24"/>
    </row>
    <row r="462" spans="2:16" x14ac:dyDescent="0.25">
      <c r="B462" s="24"/>
      <c r="E462" s="24"/>
      <c r="G462" s="24"/>
      <c r="H462" s="24"/>
      <c r="J462" s="24"/>
      <c r="K462" s="24"/>
      <c r="M462" s="24"/>
      <c r="N462" s="24"/>
      <c r="P462" s="24"/>
    </row>
    <row r="463" spans="2:16" x14ac:dyDescent="0.25">
      <c r="B463" s="24"/>
      <c r="E463" s="24"/>
      <c r="G463" s="24"/>
      <c r="H463" s="24"/>
      <c r="J463" s="24"/>
      <c r="K463" s="24"/>
      <c r="M463" s="24"/>
      <c r="N463" s="24"/>
      <c r="P463" s="24"/>
    </row>
    <row r="464" spans="2:16" x14ac:dyDescent="0.25">
      <c r="B464" s="24"/>
      <c r="E464" s="24"/>
      <c r="G464" s="24"/>
      <c r="H464" s="24"/>
      <c r="J464" s="24"/>
      <c r="K464" s="24"/>
      <c r="M464" s="24"/>
      <c r="N464" s="24"/>
      <c r="P464" s="24"/>
    </row>
    <row r="465" spans="2:16" x14ac:dyDescent="0.25">
      <c r="B465" s="24"/>
      <c r="E465" s="24"/>
      <c r="G465" s="24"/>
      <c r="H465" s="24"/>
      <c r="J465" s="24"/>
      <c r="K465" s="24"/>
      <c r="M465" s="24"/>
      <c r="N465" s="24"/>
      <c r="P465" s="24"/>
    </row>
    <row r="466" spans="2:16" x14ac:dyDescent="0.25">
      <c r="B466" s="24"/>
      <c r="E466" s="24"/>
      <c r="G466" s="24"/>
      <c r="H466" s="24"/>
      <c r="J466" s="24"/>
      <c r="K466" s="24"/>
      <c r="M466" s="24"/>
      <c r="N466" s="24"/>
      <c r="P466" s="24"/>
    </row>
    <row r="467" spans="2:16" x14ac:dyDescent="0.25">
      <c r="B467" s="24"/>
      <c r="E467" s="24"/>
      <c r="G467" s="24"/>
      <c r="H467" s="24"/>
      <c r="J467" s="24"/>
      <c r="K467" s="24"/>
      <c r="M467" s="24"/>
      <c r="N467" s="24"/>
      <c r="P467" s="24"/>
    </row>
    <row r="468" spans="2:16" x14ac:dyDescent="0.25">
      <c r="B468" s="24"/>
      <c r="E468" s="24"/>
      <c r="G468" s="24"/>
      <c r="H468" s="24"/>
      <c r="J468" s="24"/>
      <c r="K468" s="24"/>
      <c r="M468" s="24"/>
      <c r="N468" s="24"/>
      <c r="P468" s="24"/>
    </row>
    <row r="469" spans="2:16" x14ac:dyDescent="0.25">
      <c r="B469" s="24"/>
      <c r="E469" s="24"/>
      <c r="G469" s="24"/>
      <c r="H469" s="24"/>
      <c r="J469" s="24"/>
      <c r="K469" s="24"/>
      <c r="M469" s="24"/>
      <c r="N469" s="24"/>
      <c r="P469" s="24"/>
    </row>
    <row r="470" spans="2:16" x14ac:dyDescent="0.25">
      <c r="B470" s="24"/>
      <c r="E470" s="24"/>
      <c r="G470" s="24"/>
      <c r="H470" s="24"/>
      <c r="J470" s="24"/>
      <c r="K470" s="24"/>
      <c r="M470" s="24"/>
      <c r="N470" s="24"/>
      <c r="P470" s="24"/>
    </row>
    <row r="471" spans="2:16" x14ac:dyDescent="0.25">
      <c r="B471" s="24"/>
      <c r="E471" s="24"/>
      <c r="G471" s="24"/>
      <c r="H471" s="24"/>
      <c r="J471" s="24"/>
      <c r="K471" s="24"/>
      <c r="M471" s="24"/>
      <c r="N471" s="24"/>
      <c r="P471" s="24"/>
    </row>
    <row r="472" spans="2:16" x14ac:dyDescent="0.25">
      <c r="B472" s="24"/>
      <c r="E472" s="24"/>
      <c r="G472" s="24"/>
      <c r="H472" s="24"/>
      <c r="J472" s="24"/>
      <c r="K472" s="24"/>
      <c r="M472" s="24"/>
      <c r="N472" s="24"/>
      <c r="P472" s="24"/>
    </row>
    <row r="473" spans="2:16" x14ac:dyDescent="0.25">
      <c r="B473" s="24"/>
      <c r="E473" s="24"/>
      <c r="G473" s="24"/>
      <c r="H473" s="24"/>
      <c r="J473" s="24"/>
      <c r="K473" s="24"/>
      <c r="M473" s="24"/>
      <c r="N473" s="24"/>
      <c r="P473" s="24"/>
    </row>
    <row r="474" spans="2:16" x14ac:dyDescent="0.25">
      <c r="B474" s="24"/>
      <c r="E474" s="24"/>
      <c r="G474" s="24"/>
      <c r="H474" s="24"/>
      <c r="J474" s="24"/>
      <c r="K474" s="24"/>
      <c r="M474" s="24"/>
      <c r="N474" s="24"/>
      <c r="P474" s="24"/>
    </row>
    <row r="475" spans="2:16" x14ac:dyDescent="0.25">
      <c r="B475" s="24"/>
      <c r="E475" s="24"/>
      <c r="G475" s="24"/>
      <c r="H475" s="24"/>
      <c r="J475" s="24"/>
      <c r="K475" s="24"/>
      <c r="M475" s="24"/>
      <c r="N475" s="24"/>
      <c r="P475" s="24"/>
    </row>
    <row r="476" spans="2:16" x14ac:dyDescent="0.25">
      <c r="B476" s="24"/>
      <c r="E476" s="24"/>
      <c r="G476" s="24"/>
      <c r="H476" s="24"/>
      <c r="J476" s="24"/>
      <c r="K476" s="24"/>
      <c r="M476" s="24"/>
      <c r="N476" s="24"/>
      <c r="P476" s="24"/>
    </row>
    <row r="477" spans="2:16" x14ac:dyDescent="0.25">
      <c r="B477" s="24"/>
      <c r="E477" s="24"/>
      <c r="G477" s="24"/>
      <c r="H477" s="24"/>
      <c r="J477" s="24"/>
      <c r="K477" s="24"/>
      <c r="M477" s="24"/>
      <c r="N477" s="24"/>
      <c r="P477" s="24"/>
    </row>
    <row r="478" spans="2:16" x14ac:dyDescent="0.25">
      <c r="B478" s="24"/>
      <c r="E478" s="24"/>
      <c r="G478" s="24"/>
      <c r="H478" s="24"/>
      <c r="J478" s="24"/>
      <c r="K478" s="24"/>
      <c r="M478" s="24"/>
      <c r="N478" s="24"/>
      <c r="P478" s="24"/>
    </row>
    <row r="479" spans="2:16" x14ac:dyDescent="0.25">
      <c r="B479" s="24"/>
      <c r="E479" s="24"/>
      <c r="G479" s="24"/>
      <c r="H479" s="24"/>
      <c r="J479" s="24"/>
      <c r="K479" s="24"/>
      <c r="M479" s="24"/>
      <c r="N479" s="24"/>
      <c r="P479" s="24"/>
    </row>
    <row r="480" spans="2:16" x14ac:dyDescent="0.25">
      <c r="B480" s="24"/>
      <c r="E480" s="24"/>
      <c r="G480" s="24"/>
      <c r="H480" s="24"/>
      <c r="J480" s="24"/>
      <c r="K480" s="24"/>
      <c r="M480" s="24"/>
      <c r="N480" s="24"/>
      <c r="P480" s="24"/>
    </row>
    <row r="481" spans="2:16" x14ac:dyDescent="0.25">
      <c r="B481" s="24"/>
      <c r="E481" s="24"/>
      <c r="G481" s="24"/>
      <c r="H481" s="24"/>
      <c r="J481" s="24"/>
      <c r="K481" s="24"/>
      <c r="M481" s="24"/>
      <c r="N481" s="24"/>
      <c r="P481" s="24"/>
    </row>
    <row r="482" spans="2:16" x14ac:dyDescent="0.25">
      <c r="B482" s="24"/>
      <c r="E482" s="24"/>
      <c r="G482" s="24"/>
      <c r="H482" s="24"/>
      <c r="J482" s="24"/>
      <c r="K482" s="24"/>
      <c r="M482" s="24"/>
      <c r="N482" s="24"/>
      <c r="P482" s="24"/>
    </row>
    <row r="483" spans="2:16" x14ac:dyDescent="0.25">
      <c r="B483" s="24"/>
      <c r="E483" s="24"/>
      <c r="G483" s="24"/>
      <c r="H483" s="24"/>
      <c r="J483" s="24"/>
      <c r="K483" s="24"/>
      <c r="M483" s="24"/>
      <c r="N483" s="24"/>
      <c r="P483" s="24"/>
    </row>
    <row r="484" spans="2:16" x14ac:dyDescent="0.25">
      <c r="B484" s="24"/>
      <c r="E484" s="24"/>
      <c r="G484" s="24"/>
      <c r="H484" s="24"/>
      <c r="J484" s="24"/>
      <c r="K484" s="24"/>
      <c r="M484" s="24"/>
      <c r="N484" s="24"/>
      <c r="P484" s="24"/>
    </row>
    <row r="485" spans="2:16" x14ac:dyDescent="0.25">
      <c r="B485" s="24"/>
      <c r="E485" s="24"/>
      <c r="G485" s="24"/>
      <c r="H485" s="24"/>
      <c r="J485" s="24"/>
      <c r="K485" s="24"/>
      <c r="M485" s="24"/>
      <c r="N485" s="24"/>
      <c r="P485" s="24"/>
    </row>
    <row r="486" spans="2:16" x14ac:dyDescent="0.25">
      <c r="B486" s="24"/>
      <c r="E486" s="24"/>
      <c r="G486" s="24"/>
      <c r="H486" s="24"/>
      <c r="J486" s="24"/>
      <c r="K486" s="24"/>
      <c r="M486" s="24"/>
      <c r="N486" s="24"/>
      <c r="P486" s="24"/>
    </row>
    <row r="487" spans="2:16" x14ac:dyDescent="0.25">
      <c r="B487" s="24"/>
      <c r="E487" s="24"/>
      <c r="G487" s="24"/>
      <c r="H487" s="24"/>
      <c r="J487" s="24"/>
      <c r="K487" s="24"/>
      <c r="M487" s="24"/>
      <c r="N487" s="24"/>
      <c r="P487" s="24"/>
    </row>
    <row r="488" spans="2:16" x14ac:dyDescent="0.25">
      <c r="B488" s="24"/>
      <c r="E488" s="24"/>
      <c r="G488" s="24"/>
      <c r="H488" s="24"/>
      <c r="J488" s="24"/>
      <c r="K488" s="24"/>
      <c r="M488" s="24"/>
      <c r="N488" s="24"/>
      <c r="P488" s="24"/>
    </row>
    <row r="489" spans="2:16" x14ac:dyDescent="0.25">
      <c r="B489" s="24"/>
      <c r="E489" s="24"/>
      <c r="G489" s="24"/>
      <c r="H489" s="24"/>
      <c r="J489" s="24"/>
      <c r="K489" s="24"/>
      <c r="M489" s="24"/>
      <c r="N489" s="24"/>
      <c r="P489" s="24"/>
    </row>
    <row r="490" spans="2:16" x14ac:dyDescent="0.25">
      <c r="B490" s="24"/>
      <c r="E490" s="24"/>
      <c r="G490" s="24"/>
      <c r="H490" s="24"/>
      <c r="J490" s="24"/>
      <c r="K490" s="24"/>
      <c r="M490" s="24"/>
      <c r="N490" s="24"/>
      <c r="P490" s="24"/>
    </row>
    <row r="491" spans="2:16" x14ac:dyDescent="0.25">
      <c r="B491" s="24"/>
      <c r="E491" s="24"/>
      <c r="G491" s="24"/>
      <c r="H491" s="24"/>
      <c r="J491" s="24"/>
      <c r="K491" s="24"/>
      <c r="M491" s="24"/>
      <c r="N491" s="24"/>
      <c r="P491" s="24"/>
    </row>
    <row r="492" spans="2:16" x14ac:dyDescent="0.25">
      <c r="B492" s="24"/>
      <c r="E492" s="24"/>
      <c r="G492" s="24"/>
      <c r="H492" s="24"/>
      <c r="J492" s="24"/>
      <c r="K492" s="24"/>
      <c r="M492" s="24"/>
      <c r="N492" s="24"/>
      <c r="P492" s="24"/>
    </row>
    <row r="493" spans="2:16" x14ac:dyDescent="0.25">
      <c r="B493" s="24"/>
      <c r="E493" s="24"/>
      <c r="G493" s="24"/>
      <c r="H493" s="24"/>
      <c r="J493" s="24"/>
      <c r="K493" s="24"/>
      <c r="M493" s="24"/>
      <c r="N493" s="24"/>
      <c r="P493" s="24"/>
    </row>
    <row r="494" spans="2:16" x14ac:dyDescent="0.25">
      <c r="B494" s="24"/>
      <c r="E494" s="24"/>
      <c r="G494" s="24"/>
      <c r="H494" s="24"/>
      <c r="J494" s="24"/>
      <c r="K494" s="24"/>
      <c r="M494" s="24"/>
      <c r="N494" s="24"/>
      <c r="P494" s="24"/>
    </row>
    <row r="495" spans="2:16" x14ac:dyDescent="0.25">
      <c r="B495" s="24"/>
      <c r="E495" s="24"/>
      <c r="G495" s="24"/>
      <c r="H495" s="24"/>
      <c r="J495" s="24"/>
      <c r="K495" s="24"/>
      <c r="M495" s="24"/>
      <c r="N495" s="24"/>
      <c r="P495" s="24"/>
    </row>
    <row r="496" spans="2:16" x14ac:dyDescent="0.25">
      <c r="B496" s="24"/>
      <c r="E496" s="24"/>
      <c r="G496" s="24"/>
      <c r="H496" s="24"/>
      <c r="J496" s="24"/>
      <c r="K496" s="24"/>
      <c r="M496" s="24"/>
      <c r="N496" s="24"/>
      <c r="P496" s="24"/>
    </row>
    <row r="497" spans="2:16" x14ac:dyDescent="0.25">
      <c r="B497" s="24"/>
      <c r="E497" s="24"/>
      <c r="G497" s="24"/>
      <c r="H497" s="24"/>
      <c r="J497" s="24"/>
      <c r="K497" s="24"/>
      <c r="M497" s="24"/>
      <c r="N497" s="24"/>
      <c r="P497" s="24"/>
    </row>
    <row r="498" spans="2:16" x14ac:dyDescent="0.25">
      <c r="B498" s="24"/>
      <c r="E498" s="24"/>
      <c r="G498" s="24"/>
      <c r="H498" s="24"/>
      <c r="J498" s="24"/>
      <c r="K498" s="24"/>
      <c r="M498" s="24"/>
      <c r="N498" s="24"/>
      <c r="P498" s="24"/>
    </row>
    <row r="499" spans="2:16" x14ac:dyDescent="0.25">
      <c r="B499" s="24"/>
      <c r="E499" s="24"/>
      <c r="G499" s="24"/>
      <c r="H499" s="24"/>
      <c r="J499" s="24"/>
      <c r="K499" s="24"/>
      <c r="M499" s="24"/>
      <c r="N499" s="24"/>
      <c r="P499" s="24"/>
    </row>
    <row r="500" spans="2:16" x14ac:dyDescent="0.25">
      <c r="B500" s="24"/>
      <c r="E500" s="24"/>
      <c r="G500" s="24"/>
      <c r="H500" s="24"/>
      <c r="J500" s="24"/>
      <c r="K500" s="24"/>
      <c r="M500" s="24"/>
      <c r="N500" s="24"/>
      <c r="P500" s="24"/>
    </row>
    <row r="501" spans="2:16" x14ac:dyDescent="0.25">
      <c r="B501" s="24"/>
      <c r="E501" s="24"/>
      <c r="G501" s="24"/>
      <c r="H501" s="24"/>
      <c r="J501" s="24"/>
      <c r="K501" s="24"/>
      <c r="M501" s="24"/>
      <c r="N501" s="24"/>
      <c r="P501" s="24"/>
    </row>
    <row r="502" spans="2:16" x14ac:dyDescent="0.25">
      <c r="B502" s="24"/>
      <c r="E502" s="24"/>
      <c r="G502" s="24"/>
      <c r="H502" s="24"/>
      <c r="J502" s="24"/>
      <c r="K502" s="24"/>
      <c r="M502" s="24"/>
      <c r="N502" s="24"/>
      <c r="P502" s="24"/>
    </row>
    <row r="503" spans="2:16" x14ac:dyDescent="0.25">
      <c r="B503" s="24"/>
      <c r="E503" s="24"/>
      <c r="G503" s="24"/>
      <c r="H503" s="24"/>
      <c r="J503" s="24"/>
      <c r="K503" s="24"/>
      <c r="M503" s="24"/>
      <c r="N503" s="24"/>
      <c r="P503" s="24"/>
    </row>
    <row r="504" spans="2:16" x14ac:dyDescent="0.25">
      <c r="B504" s="24"/>
      <c r="E504" s="24"/>
      <c r="G504" s="24"/>
      <c r="H504" s="24"/>
      <c r="J504" s="24"/>
      <c r="K504" s="24"/>
      <c r="M504" s="24"/>
      <c r="N504" s="24"/>
      <c r="P504" s="24"/>
    </row>
    <row r="505" spans="2:16" x14ac:dyDescent="0.25">
      <c r="B505" s="24"/>
      <c r="E505" s="24"/>
      <c r="G505" s="24"/>
      <c r="H505" s="24"/>
      <c r="J505" s="24"/>
      <c r="K505" s="24"/>
      <c r="M505" s="24"/>
      <c r="N505" s="24"/>
      <c r="P505" s="24"/>
    </row>
    <row r="506" spans="2:16" x14ac:dyDescent="0.25">
      <c r="B506" s="24"/>
      <c r="E506" s="24"/>
      <c r="G506" s="24"/>
      <c r="H506" s="24"/>
      <c r="J506" s="24"/>
      <c r="K506" s="24"/>
      <c r="M506" s="24"/>
      <c r="N506" s="24"/>
      <c r="P506" s="24"/>
    </row>
    <row r="507" spans="2:16" x14ac:dyDescent="0.25">
      <c r="B507" s="24"/>
      <c r="E507" s="24"/>
      <c r="G507" s="24"/>
      <c r="H507" s="24"/>
      <c r="J507" s="24"/>
      <c r="K507" s="24"/>
      <c r="M507" s="24"/>
      <c r="N507" s="24"/>
      <c r="P507" s="24"/>
    </row>
    <row r="508" spans="2:16" x14ac:dyDescent="0.25">
      <c r="B508" s="24"/>
      <c r="E508" s="24"/>
      <c r="G508" s="24"/>
      <c r="H508" s="24"/>
      <c r="J508" s="24"/>
      <c r="K508" s="24"/>
      <c r="M508" s="24"/>
      <c r="N508" s="24"/>
      <c r="P508" s="24"/>
    </row>
    <row r="509" spans="2:16" x14ac:dyDescent="0.25">
      <c r="B509" s="24"/>
      <c r="E509" s="24"/>
      <c r="G509" s="24"/>
      <c r="H509" s="24"/>
      <c r="J509" s="24"/>
      <c r="K509" s="24"/>
      <c r="M509" s="24"/>
      <c r="N509" s="24"/>
      <c r="P509" s="24"/>
    </row>
    <row r="510" spans="2:16" x14ac:dyDescent="0.25">
      <c r="B510" s="24"/>
      <c r="E510" s="24"/>
      <c r="G510" s="24"/>
      <c r="H510" s="24"/>
      <c r="J510" s="24"/>
      <c r="K510" s="24"/>
      <c r="M510" s="24"/>
      <c r="N510" s="24"/>
      <c r="P510" s="24"/>
    </row>
    <row r="511" spans="2:16" x14ac:dyDescent="0.25">
      <c r="B511" s="24"/>
      <c r="E511" s="24"/>
      <c r="G511" s="24"/>
      <c r="H511" s="24"/>
      <c r="J511" s="24"/>
      <c r="K511" s="24"/>
      <c r="M511" s="24"/>
      <c r="N511" s="24"/>
      <c r="P511" s="24"/>
    </row>
    <row r="512" spans="2:16" x14ac:dyDescent="0.25">
      <c r="B512" s="24"/>
      <c r="E512" s="24"/>
      <c r="G512" s="24"/>
      <c r="H512" s="24"/>
      <c r="J512" s="24"/>
      <c r="K512" s="24"/>
      <c r="M512" s="24"/>
      <c r="N512" s="24"/>
      <c r="P512" s="24"/>
    </row>
    <row r="513" spans="2:16" x14ac:dyDescent="0.25">
      <c r="B513" s="24"/>
      <c r="E513" s="24"/>
      <c r="G513" s="24"/>
      <c r="H513" s="24"/>
      <c r="J513" s="24"/>
      <c r="K513" s="24"/>
      <c r="M513" s="24"/>
      <c r="N513" s="24"/>
      <c r="P513" s="24"/>
    </row>
    <row r="514" spans="2:16" x14ac:dyDescent="0.25">
      <c r="B514" s="24"/>
      <c r="E514" s="24"/>
      <c r="G514" s="24"/>
      <c r="H514" s="24"/>
      <c r="J514" s="24"/>
      <c r="K514" s="24"/>
      <c r="M514" s="24"/>
      <c r="N514" s="24"/>
      <c r="P514" s="24"/>
    </row>
    <row r="515" spans="2:16" x14ac:dyDescent="0.25">
      <c r="B515" s="24"/>
      <c r="E515" s="24"/>
      <c r="G515" s="24"/>
      <c r="H515" s="24"/>
      <c r="J515" s="24"/>
      <c r="K515" s="24"/>
      <c r="M515" s="24"/>
      <c r="N515" s="24"/>
      <c r="P515" s="24"/>
    </row>
    <row r="516" spans="2:16" x14ac:dyDescent="0.25">
      <c r="B516" s="24"/>
      <c r="E516" s="24"/>
      <c r="G516" s="24"/>
      <c r="H516" s="24"/>
      <c r="J516" s="24"/>
      <c r="K516" s="24"/>
      <c r="M516" s="24"/>
      <c r="N516" s="24"/>
      <c r="P516" s="24"/>
    </row>
    <row r="517" spans="2:16" x14ac:dyDescent="0.25">
      <c r="B517" s="24"/>
      <c r="E517" s="24"/>
      <c r="G517" s="24"/>
      <c r="H517" s="24"/>
      <c r="J517" s="24"/>
      <c r="K517" s="24"/>
      <c r="M517" s="24"/>
      <c r="N517" s="24"/>
      <c r="P517" s="24"/>
    </row>
    <row r="518" spans="2:16" x14ac:dyDescent="0.25">
      <c r="B518" s="24"/>
      <c r="E518" s="24"/>
      <c r="G518" s="24"/>
      <c r="H518" s="24"/>
      <c r="J518" s="24"/>
      <c r="K518" s="24"/>
      <c r="M518" s="24"/>
      <c r="N518" s="24"/>
      <c r="P518" s="24"/>
    </row>
    <row r="519" spans="2:16" x14ac:dyDescent="0.25">
      <c r="B519" s="24"/>
      <c r="E519" s="24"/>
      <c r="G519" s="24"/>
      <c r="H519" s="24"/>
      <c r="J519" s="24"/>
      <c r="K519" s="24"/>
      <c r="M519" s="24"/>
      <c r="N519" s="24"/>
      <c r="P519" s="24"/>
    </row>
    <row r="520" spans="2:16" x14ac:dyDescent="0.25">
      <c r="B520" s="24"/>
      <c r="E520" s="24"/>
      <c r="G520" s="24"/>
      <c r="H520" s="24"/>
      <c r="J520" s="24"/>
      <c r="K520" s="24"/>
      <c r="M520" s="24"/>
      <c r="N520" s="24"/>
      <c r="P520" s="24"/>
    </row>
    <row r="521" spans="2:16" x14ac:dyDescent="0.25">
      <c r="B521" s="24"/>
      <c r="E521" s="24"/>
      <c r="G521" s="24"/>
      <c r="H521" s="24"/>
      <c r="J521" s="24"/>
      <c r="K521" s="24"/>
      <c r="M521" s="24"/>
      <c r="N521" s="24"/>
      <c r="P521" s="24"/>
    </row>
    <row r="522" spans="2:16" x14ac:dyDescent="0.25">
      <c r="B522" s="24"/>
      <c r="E522" s="24"/>
      <c r="G522" s="24"/>
      <c r="H522" s="24"/>
      <c r="J522" s="24"/>
      <c r="K522" s="24"/>
      <c r="M522" s="24"/>
      <c r="N522" s="24"/>
      <c r="P522" s="24"/>
    </row>
    <row r="523" spans="2:16" x14ac:dyDescent="0.25">
      <c r="B523" s="24"/>
      <c r="E523" s="24"/>
      <c r="G523" s="24"/>
      <c r="H523" s="24"/>
      <c r="J523" s="24"/>
      <c r="K523" s="24"/>
      <c r="M523" s="24"/>
      <c r="N523" s="24"/>
      <c r="P523" s="24"/>
    </row>
    <row r="524" spans="2:16" x14ac:dyDescent="0.25">
      <c r="B524" s="24"/>
      <c r="E524" s="24"/>
      <c r="G524" s="24"/>
      <c r="H524" s="24"/>
      <c r="J524" s="24"/>
      <c r="K524" s="24"/>
      <c r="M524" s="24"/>
      <c r="N524" s="24"/>
      <c r="P524" s="24"/>
    </row>
    <row r="525" spans="2:16" x14ac:dyDescent="0.25">
      <c r="B525" s="24"/>
      <c r="E525" s="24"/>
      <c r="G525" s="24"/>
      <c r="H525" s="24"/>
      <c r="J525" s="24"/>
      <c r="K525" s="24"/>
      <c r="M525" s="24"/>
      <c r="N525" s="24"/>
      <c r="P525" s="24"/>
    </row>
    <row r="526" spans="2:16" x14ac:dyDescent="0.25">
      <c r="B526" s="24"/>
      <c r="E526" s="24"/>
      <c r="G526" s="24"/>
      <c r="H526" s="24"/>
      <c r="J526" s="24"/>
      <c r="K526" s="24"/>
      <c r="M526" s="24"/>
      <c r="N526" s="24"/>
      <c r="P526" s="24"/>
    </row>
    <row r="527" spans="2:16" x14ac:dyDescent="0.25">
      <c r="B527" s="24"/>
      <c r="E527" s="24"/>
      <c r="G527" s="24"/>
      <c r="H527" s="24"/>
      <c r="J527" s="24"/>
      <c r="K527" s="24"/>
      <c r="M527" s="24"/>
      <c r="N527" s="24"/>
      <c r="P527" s="24"/>
    </row>
    <row r="528" spans="2:16" x14ac:dyDescent="0.25">
      <c r="B528" s="24"/>
      <c r="E528" s="24"/>
      <c r="G528" s="24"/>
      <c r="H528" s="24"/>
      <c r="J528" s="24"/>
      <c r="K528" s="24"/>
      <c r="M528" s="24"/>
      <c r="N528" s="24"/>
      <c r="P528" s="24"/>
    </row>
    <row r="529" spans="2:16" x14ac:dyDescent="0.25">
      <c r="B529" s="24"/>
      <c r="E529" s="24"/>
      <c r="G529" s="24"/>
      <c r="H529" s="24"/>
      <c r="J529" s="24"/>
      <c r="K529" s="24"/>
      <c r="M529" s="24"/>
      <c r="N529" s="24"/>
      <c r="P529" s="24"/>
    </row>
    <row r="530" spans="2:16" x14ac:dyDescent="0.25">
      <c r="B530" s="24"/>
      <c r="E530" s="24"/>
      <c r="G530" s="24"/>
      <c r="H530" s="24"/>
      <c r="J530" s="24"/>
      <c r="K530" s="24"/>
      <c r="M530" s="24"/>
      <c r="N530" s="24"/>
      <c r="P530" s="24"/>
    </row>
    <row r="531" spans="2:16" x14ac:dyDescent="0.25">
      <c r="B531" s="24"/>
      <c r="E531" s="24"/>
      <c r="G531" s="24"/>
      <c r="H531" s="24"/>
      <c r="J531" s="24"/>
      <c r="K531" s="24"/>
      <c r="M531" s="24"/>
      <c r="N531" s="24"/>
      <c r="P531" s="24"/>
    </row>
    <row r="532" spans="2:16" x14ac:dyDescent="0.25">
      <c r="B532" s="24"/>
      <c r="E532" s="24"/>
      <c r="G532" s="24"/>
      <c r="H532" s="24"/>
      <c r="J532" s="24"/>
      <c r="K532" s="24"/>
      <c r="M532" s="24"/>
      <c r="N532" s="24"/>
      <c r="P532" s="24"/>
    </row>
    <row r="533" spans="2:16" x14ac:dyDescent="0.25">
      <c r="B533" s="24"/>
      <c r="E533" s="24"/>
      <c r="G533" s="24"/>
      <c r="H533" s="24"/>
      <c r="J533" s="24"/>
      <c r="K533" s="24"/>
      <c r="M533" s="24"/>
      <c r="N533" s="24"/>
      <c r="P533" s="24"/>
    </row>
    <row r="534" spans="2:16" x14ac:dyDescent="0.25">
      <c r="B534" s="24"/>
      <c r="E534" s="24"/>
      <c r="G534" s="24"/>
      <c r="H534" s="24"/>
      <c r="J534" s="24"/>
      <c r="K534" s="24"/>
      <c r="M534" s="24"/>
      <c r="N534" s="24"/>
      <c r="P534" s="24"/>
    </row>
    <row r="535" spans="2:16" x14ac:dyDescent="0.25">
      <c r="B535" s="24"/>
      <c r="E535" s="24"/>
      <c r="G535" s="24"/>
      <c r="H535" s="24"/>
      <c r="J535" s="24"/>
      <c r="K535" s="24"/>
      <c r="M535" s="24"/>
      <c r="N535" s="24"/>
      <c r="P535" s="24"/>
    </row>
    <row r="536" spans="2:16" x14ac:dyDescent="0.25">
      <c r="B536" s="24"/>
      <c r="E536" s="24"/>
      <c r="G536" s="24"/>
      <c r="H536" s="24"/>
      <c r="J536" s="24"/>
      <c r="K536" s="24"/>
      <c r="M536" s="24"/>
      <c r="N536" s="24"/>
      <c r="P536" s="24"/>
    </row>
    <row r="537" spans="2:16" x14ac:dyDescent="0.25">
      <c r="B537" s="24"/>
      <c r="E537" s="24"/>
      <c r="G537" s="24"/>
      <c r="H537" s="24"/>
      <c r="J537" s="24"/>
      <c r="K537" s="24"/>
      <c r="M537" s="24"/>
      <c r="N537" s="24"/>
      <c r="P537" s="24"/>
    </row>
    <row r="538" spans="2:16" x14ac:dyDescent="0.25">
      <c r="B538" s="24"/>
      <c r="E538" s="24"/>
      <c r="G538" s="24"/>
      <c r="H538" s="24"/>
      <c r="J538" s="24"/>
      <c r="K538" s="24"/>
      <c r="M538" s="24"/>
      <c r="N538" s="24"/>
      <c r="P538" s="24"/>
    </row>
    <row r="539" spans="2:16" x14ac:dyDescent="0.25">
      <c r="B539" s="24"/>
      <c r="E539" s="24"/>
      <c r="G539" s="24"/>
      <c r="H539" s="24"/>
      <c r="J539" s="24"/>
      <c r="K539" s="24"/>
      <c r="M539" s="24"/>
      <c r="N539" s="24"/>
      <c r="P539" s="24"/>
    </row>
    <row r="540" spans="2:16" x14ac:dyDescent="0.25">
      <c r="B540" s="24"/>
      <c r="E540" s="24"/>
      <c r="G540" s="24"/>
      <c r="H540" s="24"/>
      <c r="J540" s="24"/>
      <c r="K540" s="24"/>
      <c r="M540" s="24"/>
      <c r="N540" s="24"/>
      <c r="P540" s="24"/>
    </row>
    <row r="541" spans="2:16" x14ac:dyDescent="0.25">
      <c r="B541" s="24"/>
      <c r="E541" s="24"/>
      <c r="G541" s="24"/>
      <c r="H541" s="24"/>
      <c r="J541" s="24"/>
      <c r="K541" s="24"/>
      <c r="M541" s="24"/>
      <c r="N541" s="24"/>
      <c r="P541" s="24"/>
    </row>
    <row r="542" spans="2:16" x14ac:dyDescent="0.25">
      <c r="B542" s="24"/>
      <c r="E542" s="24"/>
      <c r="G542" s="24"/>
      <c r="H542" s="24"/>
      <c r="J542" s="24"/>
      <c r="K542" s="24"/>
      <c r="M542" s="24"/>
      <c r="N542" s="24"/>
      <c r="P542" s="24"/>
    </row>
    <row r="543" spans="2:16" x14ac:dyDescent="0.25">
      <c r="B543" s="24"/>
      <c r="E543" s="24"/>
      <c r="G543" s="24"/>
      <c r="H543" s="24"/>
      <c r="J543" s="24"/>
      <c r="K543" s="24"/>
      <c r="M543" s="24"/>
      <c r="N543" s="24"/>
      <c r="P543" s="24"/>
    </row>
    <row r="544" spans="2:16" x14ac:dyDescent="0.25">
      <c r="B544" s="24"/>
      <c r="E544" s="24"/>
      <c r="G544" s="24"/>
      <c r="H544" s="24"/>
      <c r="J544" s="24"/>
      <c r="K544" s="24"/>
      <c r="M544" s="24"/>
      <c r="N544" s="24"/>
      <c r="P544" s="24"/>
    </row>
    <row r="545" spans="2:16" x14ac:dyDescent="0.25">
      <c r="B545" s="24"/>
      <c r="E545" s="24"/>
      <c r="G545" s="24"/>
      <c r="H545" s="24"/>
      <c r="J545" s="24"/>
      <c r="K545" s="24"/>
      <c r="M545" s="24"/>
      <c r="N545" s="24"/>
      <c r="P545" s="24"/>
    </row>
    <row r="546" spans="2:16" x14ac:dyDescent="0.25">
      <c r="B546" s="24"/>
      <c r="E546" s="24"/>
      <c r="G546" s="24"/>
      <c r="H546" s="24"/>
      <c r="J546" s="24"/>
      <c r="K546" s="24"/>
      <c r="M546" s="24"/>
      <c r="N546" s="24"/>
      <c r="P546" s="24"/>
    </row>
    <row r="547" spans="2:16" x14ac:dyDescent="0.25">
      <c r="B547" s="24"/>
      <c r="E547" s="24"/>
      <c r="G547" s="24"/>
      <c r="H547" s="24"/>
      <c r="J547" s="24"/>
      <c r="K547" s="24"/>
      <c r="M547" s="24"/>
      <c r="N547" s="24"/>
      <c r="P547" s="24"/>
    </row>
    <row r="548" spans="2:16" x14ac:dyDescent="0.25">
      <c r="B548" s="24"/>
      <c r="E548" s="24"/>
      <c r="G548" s="24"/>
      <c r="H548" s="24"/>
      <c r="J548" s="24"/>
      <c r="K548" s="24"/>
      <c r="M548" s="24"/>
      <c r="N548" s="24"/>
      <c r="P548" s="24"/>
    </row>
    <row r="549" spans="2:16" x14ac:dyDescent="0.25">
      <c r="B549" s="24"/>
      <c r="E549" s="24"/>
      <c r="G549" s="24"/>
      <c r="H549" s="24"/>
      <c r="J549" s="24"/>
      <c r="K549" s="24"/>
      <c r="M549" s="24"/>
      <c r="N549" s="24"/>
      <c r="P549" s="24"/>
    </row>
    <row r="550" spans="2:16" x14ac:dyDescent="0.25">
      <c r="B550" s="24"/>
      <c r="E550" s="24"/>
      <c r="G550" s="24"/>
      <c r="H550" s="24"/>
      <c r="J550" s="24"/>
      <c r="K550" s="24"/>
      <c r="M550" s="24"/>
      <c r="N550" s="24"/>
      <c r="P550" s="24"/>
    </row>
    <row r="551" spans="2:16" x14ac:dyDescent="0.25">
      <c r="B551" s="24"/>
      <c r="E551" s="24"/>
      <c r="G551" s="24"/>
      <c r="H551" s="24"/>
      <c r="J551" s="24"/>
      <c r="K551" s="24"/>
      <c r="M551" s="24"/>
      <c r="N551" s="24"/>
      <c r="P551" s="24"/>
    </row>
    <row r="552" spans="2:16" x14ac:dyDescent="0.25">
      <c r="B552" s="24"/>
      <c r="E552" s="24"/>
      <c r="G552" s="24"/>
      <c r="H552" s="24"/>
      <c r="J552" s="24"/>
      <c r="K552" s="24"/>
      <c r="M552" s="24"/>
      <c r="N552" s="24"/>
      <c r="P552" s="24"/>
    </row>
    <row r="553" spans="2:16" x14ac:dyDescent="0.25">
      <c r="B553" s="24"/>
      <c r="E553" s="24"/>
      <c r="G553" s="24"/>
      <c r="H553" s="24"/>
      <c r="J553" s="24"/>
      <c r="K553" s="24"/>
      <c r="M553" s="24"/>
      <c r="N553" s="24"/>
      <c r="P553" s="24"/>
    </row>
    <row r="554" spans="2:16" x14ac:dyDescent="0.25">
      <c r="B554" s="24"/>
      <c r="E554" s="24"/>
      <c r="G554" s="24"/>
      <c r="H554" s="24"/>
      <c r="J554" s="24"/>
      <c r="K554" s="24"/>
      <c r="M554" s="24"/>
      <c r="N554" s="24"/>
      <c r="P554" s="24"/>
    </row>
    <row r="555" spans="2:16" x14ac:dyDescent="0.25">
      <c r="B555" s="24"/>
      <c r="E555" s="24"/>
      <c r="G555" s="24"/>
      <c r="H555" s="24"/>
      <c r="J555" s="24"/>
      <c r="K555" s="24"/>
      <c r="M555" s="24"/>
      <c r="N555" s="24"/>
      <c r="P555" s="24"/>
    </row>
    <row r="556" spans="2:16" x14ac:dyDescent="0.25">
      <c r="B556" s="24"/>
      <c r="E556" s="24"/>
      <c r="G556" s="24"/>
      <c r="H556" s="24"/>
      <c r="J556" s="24"/>
      <c r="K556" s="24"/>
      <c r="M556" s="24"/>
      <c r="N556" s="24"/>
      <c r="P556" s="24"/>
    </row>
    <row r="557" spans="2:16" x14ac:dyDescent="0.25">
      <c r="B557" s="24"/>
      <c r="E557" s="24"/>
      <c r="G557" s="24"/>
      <c r="H557" s="24"/>
      <c r="J557" s="24"/>
      <c r="K557" s="24"/>
      <c r="M557" s="24"/>
      <c r="N557" s="24"/>
      <c r="P557" s="24"/>
    </row>
    <row r="558" spans="2:16" x14ac:dyDescent="0.25">
      <c r="B558" s="24"/>
      <c r="E558" s="24"/>
      <c r="G558" s="24"/>
      <c r="H558" s="24"/>
      <c r="J558" s="24"/>
      <c r="K558" s="24"/>
      <c r="M558" s="24"/>
      <c r="N558" s="24"/>
      <c r="P558" s="24"/>
    </row>
    <row r="559" spans="2:16" x14ac:dyDescent="0.25">
      <c r="B559" s="24"/>
      <c r="E559" s="24"/>
      <c r="G559" s="24"/>
      <c r="H559" s="24"/>
      <c r="J559" s="24"/>
      <c r="K559" s="24"/>
      <c r="M559" s="24"/>
      <c r="N559" s="24"/>
      <c r="P559" s="24"/>
    </row>
    <row r="560" spans="2:16" x14ac:dyDescent="0.25">
      <c r="B560" s="24"/>
      <c r="E560" s="24"/>
      <c r="G560" s="24"/>
      <c r="H560" s="24"/>
      <c r="J560" s="24"/>
      <c r="K560" s="24"/>
      <c r="M560" s="24"/>
      <c r="N560" s="24"/>
      <c r="P560" s="24"/>
    </row>
    <row r="561" spans="2:16" x14ac:dyDescent="0.25">
      <c r="B561" s="24"/>
      <c r="E561" s="24"/>
      <c r="G561" s="24"/>
      <c r="H561" s="24"/>
      <c r="J561" s="24"/>
      <c r="K561" s="24"/>
      <c r="M561" s="24"/>
      <c r="N561" s="24"/>
      <c r="P561" s="24"/>
    </row>
    <row r="562" spans="2:16" x14ac:dyDescent="0.25">
      <c r="B562" s="24"/>
      <c r="E562" s="24"/>
      <c r="G562" s="24"/>
      <c r="H562" s="24"/>
      <c r="J562" s="24"/>
      <c r="K562" s="24"/>
      <c r="M562" s="24"/>
      <c r="N562" s="24"/>
      <c r="P562" s="24"/>
    </row>
    <row r="563" spans="2:16" x14ac:dyDescent="0.25">
      <c r="B563" s="24"/>
      <c r="E563" s="24"/>
      <c r="G563" s="24"/>
      <c r="H563" s="24"/>
      <c r="J563" s="24"/>
      <c r="K563" s="24"/>
      <c r="M563" s="24"/>
      <c r="N563" s="24"/>
      <c r="P563" s="24"/>
    </row>
    <row r="564" spans="2:16" x14ac:dyDescent="0.25">
      <c r="B564" s="24"/>
      <c r="E564" s="24"/>
      <c r="G564" s="24"/>
      <c r="H564" s="24"/>
      <c r="J564" s="24"/>
      <c r="K564" s="24"/>
      <c r="M564" s="24"/>
      <c r="N564" s="24"/>
      <c r="P564" s="24"/>
    </row>
    <row r="565" spans="2:16" x14ac:dyDescent="0.25">
      <c r="B565" s="24"/>
      <c r="E565" s="24"/>
      <c r="G565" s="24"/>
      <c r="H565" s="24"/>
      <c r="J565" s="24"/>
      <c r="K565" s="24"/>
      <c r="M565" s="24"/>
      <c r="N565" s="24"/>
      <c r="P565" s="24"/>
    </row>
    <row r="566" spans="2:16" x14ac:dyDescent="0.25">
      <c r="B566" s="24"/>
      <c r="E566" s="24"/>
      <c r="G566" s="24"/>
      <c r="H566" s="24"/>
      <c r="J566" s="24"/>
      <c r="K566" s="24"/>
      <c r="M566" s="24"/>
      <c r="N566" s="24"/>
      <c r="P566" s="24"/>
    </row>
    <row r="567" spans="2:16" x14ac:dyDescent="0.25">
      <c r="B567" s="24"/>
      <c r="E567" s="24"/>
      <c r="G567" s="24"/>
      <c r="H567" s="24"/>
      <c r="J567" s="24"/>
      <c r="K567" s="24"/>
      <c r="M567" s="24"/>
      <c r="N567" s="24"/>
      <c r="P567" s="24"/>
    </row>
    <row r="568" spans="2:16" x14ac:dyDescent="0.25">
      <c r="B568" s="24"/>
      <c r="E568" s="24"/>
      <c r="G568" s="24"/>
      <c r="H568" s="24"/>
      <c r="J568" s="24"/>
      <c r="K568" s="24"/>
      <c r="M568" s="24"/>
      <c r="N568" s="24"/>
      <c r="P568" s="24"/>
    </row>
    <row r="569" spans="2:16" x14ac:dyDescent="0.25">
      <c r="B569" s="24"/>
      <c r="E569" s="24"/>
      <c r="G569" s="24"/>
      <c r="H569" s="24"/>
      <c r="J569" s="24"/>
      <c r="K569" s="24"/>
      <c r="M569" s="24"/>
      <c r="N569" s="24"/>
      <c r="P569" s="24"/>
    </row>
    <row r="570" spans="2:16" x14ac:dyDescent="0.25">
      <c r="B570" s="24"/>
      <c r="E570" s="24"/>
      <c r="G570" s="24"/>
      <c r="H570" s="24"/>
      <c r="J570" s="24"/>
      <c r="K570" s="24"/>
      <c r="M570" s="24"/>
      <c r="N570" s="24"/>
      <c r="P570" s="24"/>
    </row>
    <row r="571" spans="2:16" x14ac:dyDescent="0.25">
      <c r="B571" s="24"/>
      <c r="E571" s="24"/>
      <c r="G571" s="24"/>
      <c r="H571" s="24"/>
      <c r="J571" s="24"/>
      <c r="K571" s="24"/>
      <c r="M571" s="24"/>
      <c r="N571" s="24"/>
      <c r="P571" s="24"/>
    </row>
    <row r="572" spans="2:16" x14ac:dyDescent="0.25">
      <c r="B572" s="24"/>
      <c r="E572" s="24"/>
      <c r="G572" s="24"/>
      <c r="H572" s="24"/>
      <c r="J572" s="24"/>
      <c r="K572" s="24"/>
      <c r="M572" s="24"/>
      <c r="N572" s="24"/>
      <c r="P572" s="24"/>
    </row>
    <row r="573" spans="2:16" x14ac:dyDescent="0.25">
      <c r="B573" s="24"/>
      <c r="E573" s="24"/>
      <c r="G573" s="24"/>
      <c r="H573" s="24"/>
      <c r="J573" s="24"/>
      <c r="K573" s="24"/>
      <c r="M573" s="24"/>
      <c r="N573" s="24"/>
      <c r="P573" s="24"/>
    </row>
    <row r="574" spans="2:16" x14ac:dyDescent="0.25">
      <c r="B574" s="24"/>
      <c r="E574" s="24"/>
      <c r="G574" s="24"/>
      <c r="H574" s="24"/>
      <c r="J574" s="24"/>
      <c r="K574" s="24"/>
      <c r="M574" s="24"/>
      <c r="N574" s="24"/>
      <c r="P574" s="24"/>
    </row>
    <row r="575" spans="2:16" x14ac:dyDescent="0.25">
      <c r="B575" s="24"/>
      <c r="E575" s="24"/>
      <c r="G575" s="24"/>
      <c r="H575" s="24"/>
      <c r="J575" s="24"/>
      <c r="K575" s="24"/>
      <c r="M575" s="24"/>
      <c r="N575" s="24"/>
      <c r="P575" s="24"/>
    </row>
    <row r="576" spans="2:16" x14ac:dyDescent="0.25">
      <c r="B576" s="24"/>
      <c r="E576" s="24"/>
      <c r="G576" s="24"/>
      <c r="H576" s="24"/>
      <c r="J576" s="24"/>
      <c r="K576" s="24"/>
      <c r="M576" s="24"/>
      <c r="N576" s="24"/>
      <c r="P576" s="24"/>
    </row>
    <row r="577" spans="2:16" x14ac:dyDescent="0.25">
      <c r="B577" s="24"/>
      <c r="E577" s="24"/>
      <c r="G577" s="24"/>
      <c r="H577" s="24"/>
      <c r="J577" s="24"/>
      <c r="K577" s="24"/>
      <c r="M577" s="24"/>
      <c r="N577" s="24"/>
      <c r="P577" s="24"/>
    </row>
    <row r="578" spans="2:16" x14ac:dyDescent="0.25">
      <c r="B578" s="24"/>
      <c r="E578" s="24"/>
      <c r="G578" s="24"/>
      <c r="H578" s="24"/>
      <c r="J578" s="24"/>
      <c r="K578" s="24"/>
      <c r="M578" s="24"/>
      <c r="N578" s="24"/>
      <c r="P578" s="24"/>
    </row>
    <row r="579" spans="2:16" x14ac:dyDescent="0.25">
      <c r="B579" s="24"/>
      <c r="E579" s="24"/>
      <c r="G579" s="24"/>
      <c r="H579" s="24"/>
      <c r="J579" s="24"/>
      <c r="K579" s="24"/>
      <c r="M579" s="24"/>
      <c r="N579" s="24"/>
      <c r="P579" s="24"/>
    </row>
    <row r="580" spans="2:16" x14ac:dyDescent="0.25">
      <c r="B580" s="24"/>
      <c r="E580" s="24"/>
      <c r="G580" s="24"/>
      <c r="H580" s="24"/>
      <c r="J580" s="24"/>
      <c r="K580" s="24"/>
      <c r="M580" s="24"/>
      <c r="N580" s="24"/>
      <c r="P580" s="24"/>
    </row>
    <row r="581" spans="2:16" x14ac:dyDescent="0.25">
      <c r="B581" s="24"/>
      <c r="E581" s="24"/>
      <c r="G581" s="24"/>
      <c r="H581" s="24"/>
      <c r="J581" s="24"/>
      <c r="K581" s="24"/>
      <c r="M581" s="24"/>
      <c r="N581" s="24"/>
      <c r="P581" s="24"/>
    </row>
    <row r="582" spans="2:16" x14ac:dyDescent="0.25">
      <c r="B582" s="24"/>
      <c r="E582" s="24"/>
      <c r="G582" s="24"/>
      <c r="H582" s="24"/>
      <c r="J582" s="24"/>
      <c r="K582" s="24"/>
      <c r="M582" s="24"/>
      <c r="N582" s="24"/>
      <c r="P582" s="24"/>
    </row>
    <row r="583" spans="2:16" x14ac:dyDescent="0.25">
      <c r="B583" s="24"/>
      <c r="E583" s="24"/>
      <c r="G583" s="24"/>
      <c r="H583" s="24"/>
      <c r="J583" s="24"/>
      <c r="K583" s="24"/>
      <c r="M583" s="24"/>
      <c r="N583" s="24"/>
      <c r="P583" s="24"/>
    </row>
    <row r="584" spans="2:16" x14ac:dyDescent="0.25">
      <c r="B584" s="24"/>
      <c r="E584" s="24"/>
      <c r="G584" s="24"/>
      <c r="H584" s="24"/>
      <c r="J584" s="24"/>
      <c r="K584" s="24"/>
      <c r="M584" s="24"/>
      <c r="N584" s="24"/>
      <c r="P584" s="24"/>
    </row>
    <row r="585" spans="2:16" x14ac:dyDescent="0.25">
      <c r="B585" s="24"/>
      <c r="E585" s="24"/>
      <c r="G585" s="24"/>
      <c r="H585" s="24"/>
      <c r="J585" s="24"/>
      <c r="K585" s="24"/>
      <c r="M585" s="24"/>
      <c r="N585" s="24"/>
      <c r="P585" s="24"/>
    </row>
    <row r="586" spans="2:16" x14ac:dyDescent="0.25">
      <c r="B586" s="24"/>
      <c r="E586" s="24"/>
      <c r="G586" s="24"/>
      <c r="H586" s="24"/>
      <c r="J586" s="24"/>
      <c r="K586" s="24"/>
      <c r="M586" s="24"/>
      <c r="N586" s="24"/>
      <c r="P586" s="24"/>
    </row>
    <row r="587" spans="2:16" x14ac:dyDescent="0.25">
      <c r="B587" s="24"/>
      <c r="E587" s="24"/>
      <c r="G587" s="24"/>
      <c r="H587" s="24"/>
      <c r="J587" s="24"/>
      <c r="K587" s="24"/>
      <c r="M587" s="24"/>
      <c r="N587" s="24"/>
      <c r="P587" s="24"/>
    </row>
    <row r="588" spans="2:16" x14ac:dyDescent="0.25">
      <c r="B588" s="24"/>
      <c r="E588" s="24"/>
      <c r="G588" s="24"/>
      <c r="H588" s="24"/>
      <c r="J588" s="24"/>
      <c r="K588" s="24"/>
      <c r="M588" s="24"/>
      <c r="N588" s="24"/>
      <c r="P588" s="24"/>
    </row>
    <row r="589" spans="2:16" x14ac:dyDescent="0.25">
      <c r="B589" s="24"/>
      <c r="E589" s="24"/>
      <c r="G589" s="24"/>
      <c r="H589" s="24"/>
      <c r="J589" s="24"/>
      <c r="K589" s="24"/>
      <c r="M589" s="24"/>
      <c r="N589" s="24"/>
      <c r="P589" s="24"/>
    </row>
    <row r="590" spans="2:16" x14ac:dyDescent="0.25">
      <c r="B590" s="24"/>
      <c r="E590" s="24"/>
      <c r="G590" s="24"/>
      <c r="H590" s="24"/>
      <c r="J590" s="24"/>
      <c r="K590" s="24"/>
      <c r="M590" s="24"/>
      <c r="N590" s="24"/>
      <c r="P590" s="24"/>
    </row>
    <row r="591" spans="2:16" x14ac:dyDescent="0.25">
      <c r="B591" s="24"/>
      <c r="E591" s="24"/>
      <c r="G591" s="24"/>
      <c r="H591" s="24"/>
      <c r="J591" s="24"/>
      <c r="K591" s="24"/>
      <c r="M591" s="24"/>
      <c r="N591" s="24"/>
      <c r="P591" s="24"/>
    </row>
    <row r="592" spans="2:16" x14ac:dyDescent="0.25">
      <c r="B592" s="24"/>
      <c r="E592" s="24"/>
      <c r="G592" s="24"/>
      <c r="H592" s="24"/>
      <c r="J592" s="24"/>
      <c r="K592" s="24"/>
      <c r="M592" s="24"/>
      <c r="N592" s="24"/>
      <c r="P592" s="24"/>
    </row>
    <row r="593" spans="2:16" x14ac:dyDescent="0.25">
      <c r="B593" s="24"/>
      <c r="E593" s="24"/>
      <c r="G593" s="24"/>
      <c r="H593" s="24"/>
      <c r="J593" s="24"/>
      <c r="K593" s="24"/>
      <c r="M593" s="24"/>
      <c r="N593" s="24"/>
      <c r="P593" s="24"/>
    </row>
    <row r="594" spans="2:16" x14ac:dyDescent="0.25">
      <c r="B594" s="24"/>
      <c r="E594" s="24"/>
      <c r="G594" s="24"/>
      <c r="H594" s="24"/>
      <c r="J594" s="24"/>
      <c r="K594" s="24"/>
      <c r="M594" s="24"/>
      <c r="N594" s="24"/>
      <c r="P594" s="24"/>
    </row>
    <row r="595" spans="2:16" x14ac:dyDescent="0.25">
      <c r="B595" s="24"/>
      <c r="E595" s="24"/>
      <c r="G595" s="24"/>
      <c r="H595" s="24"/>
      <c r="J595" s="24"/>
      <c r="K595" s="24"/>
      <c r="M595" s="24"/>
      <c r="N595" s="24"/>
      <c r="P595" s="24"/>
    </row>
    <row r="596" spans="2:16" x14ac:dyDescent="0.25">
      <c r="B596" s="24"/>
      <c r="E596" s="24"/>
      <c r="G596" s="24"/>
      <c r="H596" s="24"/>
      <c r="J596" s="24"/>
      <c r="K596" s="24"/>
      <c r="M596" s="24"/>
      <c r="N596" s="24"/>
      <c r="P596" s="24"/>
    </row>
    <row r="597" spans="2:16" x14ac:dyDescent="0.25">
      <c r="B597" s="24"/>
      <c r="E597" s="24"/>
      <c r="G597" s="24"/>
      <c r="H597" s="24"/>
      <c r="J597" s="24"/>
      <c r="K597" s="24"/>
      <c r="M597" s="24"/>
      <c r="N597" s="24"/>
      <c r="P597" s="24"/>
    </row>
    <row r="598" spans="2:16" x14ac:dyDescent="0.25">
      <c r="B598" s="24"/>
      <c r="E598" s="24"/>
      <c r="G598" s="24"/>
      <c r="H598" s="24"/>
      <c r="J598" s="24"/>
      <c r="K598" s="24"/>
      <c r="M598" s="24"/>
      <c r="N598" s="24"/>
      <c r="P598" s="24"/>
    </row>
    <row r="599" spans="2:16" x14ac:dyDescent="0.25">
      <c r="B599" s="24"/>
      <c r="E599" s="24"/>
      <c r="G599" s="24"/>
      <c r="H599" s="24"/>
      <c r="J599" s="24"/>
      <c r="K599" s="24"/>
      <c r="M599" s="24"/>
      <c r="N599" s="24"/>
      <c r="P599" s="24"/>
    </row>
    <row r="600" spans="2:16" x14ac:dyDescent="0.25">
      <c r="B600" s="24"/>
      <c r="E600" s="24"/>
      <c r="G600" s="24"/>
      <c r="H600" s="24"/>
      <c r="J600" s="24"/>
      <c r="K600" s="24"/>
      <c r="M600" s="24"/>
      <c r="N600" s="24"/>
      <c r="P600" s="24"/>
    </row>
    <row r="601" spans="2:16" x14ac:dyDescent="0.25">
      <c r="B601" s="24"/>
      <c r="E601" s="24"/>
      <c r="G601" s="24"/>
      <c r="H601" s="24"/>
      <c r="J601" s="24"/>
      <c r="K601" s="24"/>
      <c r="M601" s="24"/>
      <c r="N601" s="24"/>
      <c r="P601" s="24"/>
    </row>
    <row r="602" spans="2:16" x14ac:dyDescent="0.25">
      <c r="B602" s="24"/>
      <c r="E602" s="24"/>
      <c r="G602" s="24"/>
      <c r="H602" s="24"/>
      <c r="J602" s="24"/>
      <c r="K602" s="24"/>
      <c r="M602" s="24"/>
      <c r="N602" s="24"/>
      <c r="P602" s="24"/>
    </row>
    <row r="603" spans="2:16" x14ac:dyDescent="0.25">
      <c r="B603" s="24"/>
      <c r="E603" s="24"/>
      <c r="G603" s="24"/>
      <c r="H603" s="24"/>
      <c r="J603" s="24"/>
      <c r="K603" s="24"/>
      <c r="M603" s="24"/>
      <c r="N603" s="24"/>
      <c r="P603" s="24"/>
    </row>
    <row r="604" spans="2:16" x14ac:dyDescent="0.25">
      <c r="B604" s="24"/>
      <c r="E604" s="24"/>
      <c r="G604" s="24"/>
      <c r="H604" s="24"/>
      <c r="J604" s="24"/>
      <c r="K604" s="24"/>
      <c r="M604" s="24"/>
      <c r="N604" s="24"/>
      <c r="P604" s="24"/>
    </row>
    <row r="605" spans="2:16" x14ac:dyDescent="0.25">
      <c r="B605" s="24"/>
      <c r="E605" s="24"/>
      <c r="G605" s="24"/>
      <c r="H605" s="24"/>
      <c r="J605" s="24"/>
      <c r="K605" s="24"/>
      <c r="M605" s="24"/>
      <c r="N605" s="24"/>
      <c r="P605" s="24"/>
    </row>
    <row r="606" spans="2:16" x14ac:dyDescent="0.25">
      <c r="B606" s="24"/>
      <c r="E606" s="24"/>
      <c r="G606" s="24"/>
      <c r="H606" s="24"/>
      <c r="J606" s="24"/>
      <c r="K606" s="24"/>
      <c r="M606" s="24"/>
      <c r="N606" s="24"/>
      <c r="P606" s="24"/>
    </row>
    <row r="607" spans="2:16" x14ac:dyDescent="0.25">
      <c r="B607" s="24"/>
      <c r="E607" s="24"/>
      <c r="G607" s="24"/>
      <c r="H607" s="24"/>
      <c r="J607" s="24"/>
      <c r="K607" s="24"/>
      <c r="M607" s="24"/>
      <c r="N607" s="24"/>
      <c r="P607" s="24"/>
    </row>
    <row r="608" spans="2:16" x14ac:dyDescent="0.25">
      <c r="B608" s="24"/>
      <c r="E608" s="24"/>
      <c r="G608" s="24"/>
      <c r="H608" s="24"/>
      <c r="J608" s="24"/>
      <c r="K608" s="24"/>
      <c r="M608" s="24"/>
      <c r="N608" s="24"/>
      <c r="P608" s="24"/>
    </row>
    <row r="609" spans="2:16" x14ac:dyDescent="0.25">
      <c r="B609" s="24"/>
      <c r="E609" s="24"/>
      <c r="G609" s="24"/>
      <c r="H609" s="24"/>
      <c r="J609" s="24"/>
      <c r="K609" s="24"/>
      <c r="M609" s="24"/>
      <c r="N609" s="24"/>
      <c r="P609" s="24"/>
    </row>
    <row r="610" spans="2:16" x14ac:dyDescent="0.25">
      <c r="B610" s="24"/>
      <c r="E610" s="24"/>
      <c r="G610" s="24"/>
      <c r="H610" s="24"/>
      <c r="J610" s="24"/>
      <c r="K610" s="24"/>
      <c r="M610" s="24"/>
      <c r="N610" s="24"/>
      <c r="P610" s="24"/>
    </row>
    <row r="611" spans="2:16" x14ac:dyDescent="0.25">
      <c r="B611" s="24"/>
      <c r="E611" s="24"/>
      <c r="G611" s="24"/>
      <c r="H611" s="24"/>
      <c r="J611" s="24"/>
      <c r="K611" s="24"/>
      <c r="M611" s="24"/>
      <c r="N611" s="24"/>
      <c r="P611" s="24"/>
    </row>
    <row r="612" spans="2:16" x14ac:dyDescent="0.25">
      <c r="B612" s="24"/>
      <c r="E612" s="24"/>
      <c r="G612" s="24"/>
      <c r="H612" s="24"/>
      <c r="J612" s="24"/>
      <c r="K612" s="24"/>
      <c r="M612" s="24"/>
      <c r="N612" s="24"/>
      <c r="P612" s="24"/>
    </row>
    <row r="613" spans="2:16" x14ac:dyDescent="0.25">
      <c r="B613" s="24"/>
      <c r="E613" s="24"/>
      <c r="G613" s="24"/>
      <c r="H613" s="24"/>
      <c r="J613" s="24"/>
      <c r="K613" s="24"/>
      <c r="M613" s="24"/>
      <c r="N613" s="24"/>
      <c r="P613" s="24"/>
    </row>
    <row r="614" spans="2:16" x14ac:dyDescent="0.25">
      <c r="B614" s="24"/>
      <c r="E614" s="24"/>
      <c r="G614" s="24"/>
      <c r="H614" s="24"/>
      <c r="J614" s="24"/>
      <c r="K614" s="24"/>
      <c r="M614" s="24"/>
      <c r="N614" s="24"/>
      <c r="P614" s="24"/>
    </row>
    <row r="615" spans="2:16" x14ac:dyDescent="0.25">
      <c r="B615" s="24"/>
      <c r="E615" s="24"/>
      <c r="G615" s="24"/>
      <c r="H615" s="24"/>
      <c r="J615" s="24"/>
      <c r="K615" s="24"/>
      <c r="M615" s="24"/>
      <c r="N615" s="24"/>
      <c r="P615" s="24"/>
    </row>
    <row r="616" spans="2:16" x14ac:dyDescent="0.25">
      <c r="B616" s="24"/>
      <c r="E616" s="24"/>
      <c r="G616" s="24"/>
      <c r="H616" s="24"/>
      <c r="J616" s="24"/>
      <c r="K616" s="24"/>
      <c r="M616" s="24"/>
      <c r="N616" s="24"/>
      <c r="P616" s="24"/>
    </row>
    <row r="617" spans="2:16" x14ac:dyDescent="0.25">
      <c r="B617" s="24"/>
      <c r="E617" s="24"/>
      <c r="G617" s="24"/>
      <c r="H617" s="24"/>
      <c r="J617" s="24"/>
      <c r="K617" s="24"/>
      <c r="M617" s="24"/>
      <c r="N617" s="24"/>
      <c r="P617" s="24"/>
    </row>
    <row r="618" spans="2:16" x14ac:dyDescent="0.25">
      <c r="B618" s="24"/>
      <c r="E618" s="24"/>
      <c r="G618" s="24"/>
      <c r="H618" s="24"/>
      <c r="J618" s="24"/>
      <c r="K618" s="24"/>
      <c r="M618" s="24"/>
      <c r="N618" s="24"/>
      <c r="P618" s="24"/>
    </row>
    <row r="619" spans="2:16" x14ac:dyDescent="0.25">
      <c r="B619" s="24"/>
      <c r="E619" s="24"/>
      <c r="G619" s="24"/>
      <c r="H619" s="24"/>
      <c r="J619" s="24"/>
      <c r="K619" s="24"/>
      <c r="M619" s="24"/>
      <c r="N619" s="24"/>
      <c r="P619" s="24"/>
    </row>
    <row r="620" spans="2:16" x14ac:dyDescent="0.25">
      <c r="B620" s="24"/>
      <c r="E620" s="24"/>
      <c r="G620" s="24"/>
      <c r="H620" s="24"/>
      <c r="J620" s="24"/>
      <c r="K620" s="24"/>
      <c r="M620" s="24"/>
      <c r="N620" s="24"/>
      <c r="P620" s="24"/>
    </row>
    <row r="621" spans="2:16" x14ac:dyDescent="0.25">
      <c r="B621" s="24"/>
      <c r="E621" s="24"/>
      <c r="G621" s="24"/>
      <c r="H621" s="24"/>
      <c r="J621" s="24"/>
      <c r="K621" s="24"/>
      <c r="M621" s="24"/>
      <c r="N621" s="24"/>
      <c r="P621" s="24"/>
    </row>
    <row r="622" spans="2:16" x14ac:dyDescent="0.25">
      <c r="B622" s="24"/>
      <c r="E622" s="24"/>
      <c r="G622" s="24"/>
      <c r="H622" s="24"/>
      <c r="J622" s="24"/>
      <c r="K622" s="24"/>
      <c r="M622" s="24"/>
      <c r="N622" s="24"/>
      <c r="P622" s="24"/>
    </row>
    <row r="623" spans="2:16" x14ac:dyDescent="0.25">
      <c r="B623" s="24"/>
      <c r="E623" s="24"/>
      <c r="G623" s="24"/>
      <c r="H623" s="24"/>
      <c r="J623" s="24"/>
      <c r="K623" s="24"/>
      <c r="M623" s="24"/>
      <c r="N623" s="24"/>
      <c r="P623" s="24"/>
    </row>
    <row r="624" spans="2:16" x14ac:dyDescent="0.25">
      <c r="B624" s="24"/>
      <c r="E624" s="24"/>
      <c r="G624" s="24"/>
      <c r="H624" s="24"/>
      <c r="J624" s="24"/>
      <c r="K624" s="24"/>
      <c r="M624" s="24"/>
      <c r="N624" s="24"/>
      <c r="P624" s="24"/>
    </row>
    <row r="625" spans="2:16" x14ac:dyDescent="0.25">
      <c r="B625" s="24"/>
      <c r="E625" s="24"/>
      <c r="G625" s="24"/>
      <c r="H625" s="24"/>
      <c r="J625" s="24"/>
      <c r="K625" s="24"/>
      <c r="M625" s="24"/>
      <c r="N625" s="24"/>
      <c r="P625" s="24"/>
    </row>
    <row r="626" spans="2:16" x14ac:dyDescent="0.25">
      <c r="B626" s="24"/>
      <c r="E626" s="24"/>
      <c r="G626" s="24"/>
      <c r="H626" s="24"/>
      <c r="J626" s="24"/>
      <c r="K626" s="24"/>
      <c r="M626" s="24"/>
      <c r="N626" s="24"/>
      <c r="P626" s="24"/>
    </row>
    <row r="627" spans="2:16" x14ac:dyDescent="0.25">
      <c r="B627" s="24"/>
      <c r="E627" s="24"/>
      <c r="G627" s="24"/>
      <c r="H627" s="24"/>
      <c r="J627" s="24"/>
      <c r="K627" s="24"/>
      <c r="M627" s="24"/>
      <c r="N627" s="24"/>
      <c r="P627" s="24"/>
    </row>
    <row r="628" spans="2:16" x14ac:dyDescent="0.25">
      <c r="B628" s="24"/>
      <c r="E628" s="24"/>
      <c r="G628" s="24"/>
      <c r="H628" s="24"/>
      <c r="J628" s="24"/>
      <c r="K628" s="24"/>
      <c r="M628" s="24"/>
      <c r="N628" s="24"/>
      <c r="P628" s="24"/>
    </row>
    <row r="629" spans="2:16" x14ac:dyDescent="0.25">
      <c r="B629" s="24"/>
      <c r="E629" s="24"/>
      <c r="G629" s="24"/>
      <c r="H629" s="24"/>
      <c r="J629" s="24"/>
      <c r="K629" s="24"/>
      <c r="M629" s="24"/>
      <c r="N629" s="24"/>
      <c r="P629" s="24"/>
    </row>
    <row r="630" spans="2:16" x14ac:dyDescent="0.25">
      <c r="B630" s="24"/>
      <c r="E630" s="24"/>
      <c r="G630" s="24"/>
      <c r="H630" s="24"/>
      <c r="J630" s="24"/>
      <c r="K630" s="24"/>
      <c r="M630" s="24"/>
      <c r="N630" s="24"/>
      <c r="P630" s="24"/>
    </row>
    <row r="631" spans="2:16" x14ac:dyDescent="0.25">
      <c r="B631" s="24"/>
      <c r="E631" s="24"/>
      <c r="G631" s="24"/>
      <c r="H631" s="24"/>
      <c r="J631" s="24"/>
      <c r="K631" s="24"/>
      <c r="M631" s="24"/>
      <c r="N631" s="24"/>
      <c r="P631" s="24"/>
    </row>
    <row r="632" spans="2:16" x14ac:dyDescent="0.25">
      <c r="B632" s="24"/>
      <c r="E632" s="24"/>
      <c r="G632" s="24"/>
      <c r="H632" s="24"/>
      <c r="J632" s="24"/>
      <c r="K632" s="24"/>
      <c r="M632" s="24"/>
      <c r="N632" s="24"/>
      <c r="P632" s="24"/>
    </row>
    <row r="633" spans="2:16" x14ac:dyDescent="0.25">
      <c r="B633" s="24"/>
      <c r="E633" s="24"/>
      <c r="G633" s="24"/>
      <c r="H633" s="24"/>
      <c r="J633" s="24"/>
      <c r="K633" s="24"/>
      <c r="M633" s="24"/>
      <c r="N633" s="24"/>
      <c r="P633" s="24"/>
    </row>
    <row r="634" spans="2:16" x14ac:dyDescent="0.25">
      <c r="B634" s="24"/>
      <c r="E634" s="24"/>
      <c r="G634" s="24"/>
      <c r="H634" s="24"/>
      <c r="J634" s="24"/>
      <c r="K634" s="24"/>
      <c r="M634" s="24"/>
      <c r="N634" s="24"/>
      <c r="P634" s="24"/>
    </row>
    <row r="635" spans="2:16" x14ac:dyDescent="0.25">
      <c r="B635" s="24"/>
      <c r="E635" s="24"/>
      <c r="G635" s="24"/>
      <c r="H635" s="24"/>
      <c r="J635" s="24"/>
      <c r="K635" s="24"/>
      <c r="M635" s="24"/>
      <c r="N635" s="24"/>
      <c r="P635" s="24"/>
    </row>
    <row r="636" spans="2:16" x14ac:dyDescent="0.25">
      <c r="B636" s="24"/>
      <c r="E636" s="24"/>
      <c r="G636" s="24"/>
      <c r="H636" s="24"/>
      <c r="J636" s="24"/>
      <c r="K636" s="24"/>
      <c r="M636" s="24"/>
      <c r="N636" s="24"/>
      <c r="P636" s="24"/>
    </row>
    <row r="637" spans="2:16" x14ac:dyDescent="0.25">
      <c r="B637" s="24"/>
      <c r="E637" s="24"/>
      <c r="G637" s="24"/>
      <c r="H637" s="24"/>
      <c r="J637" s="24"/>
      <c r="K637" s="24"/>
      <c r="M637" s="24"/>
      <c r="N637" s="24"/>
      <c r="P637" s="24"/>
    </row>
    <row r="638" spans="2:16" x14ac:dyDescent="0.25">
      <c r="B638" s="24"/>
      <c r="E638" s="24"/>
      <c r="G638" s="24"/>
      <c r="H638" s="24"/>
      <c r="J638" s="24"/>
      <c r="K638" s="24"/>
      <c r="M638" s="24"/>
      <c r="N638" s="24"/>
      <c r="P638" s="24"/>
    </row>
    <row r="639" spans="2:16" x14ac:dyDescent="0.25">
      <c r="B639" s="24"/>
      <c r="E639" s="24"/>
      <c r="G639" s="24"/>
      <c r="H639" s="24"/>
      <c r="J639" s="24"/>
      <c r="K639" s="24"/>
      <c r="M639" s="24"/>
      <c r="N639" s="24"/>
      <c r="P639" s="24"/>
    </row>
    <row r="640" spans="2:16" x14ac:dyDescent="0.25">
      <c r="B640" s="24"/>
      <c r="E640" s="24"/>
      <c r="G640" s="24"/>
      <c r="H640" s="24"/>
      <c r="J640" s="24"/>
      <c r="K640" s="24"/>
      <c r="M640" s="24"/>
      <c r="N640" s="24"/>
      <c r="P640" s="24"/>
    </row>
    <row r="641" spans="2:16" x14ac:dyDescent="0.25">
      <c r="B641" s="24"/>
      <c r="E641" s="24"/>
      <c r="G641" s="24"/>
      <c r="H641" s="24"/>
      <c r="J641" s="24"/>
      <c r="K641" s="24"/>
      <c r="M641" s="24"/>
      <c r="N641" s="24"/>
      <c r="P641" s="24"/>
    </row>
    <row r="642" spans="2:16" x14ac:dyDescent="0.25">
      <c r="B642" s="24"/>
      <c r="E642" s="24"/>
      <c r="G642" s="24"/>
      <c r="H642" s="24"/>
      <c r="J642" s="24"/>
      <c r="K642" s="24"/>
      <c r="M642" s="24"/>
      <c r="N642" s="24"/>
      <c r="P642" s="24"/>
    </row>
    <row r="643" spans="2:16" x14ac:dyDescent="0.25">
      <c r="B643" s="24"/>
      <c r="E643" s="24"/>
      <c r="G643" s="24"/>
      <c r="H643" s="24"/>
      <c r="J643" s="24"/>
      <c r="K643" s="24"/>
      <c r="M643" s="24"/>
      <c r="N643" s="24"/>
      <c r="P643" s="24"/>
    </row>
    <row r="644" spans="2:16" x14ac:dyDescent="0.25">
      <c r="B644" s="24"/>
      <c r="E644" s="24"/>
      <c r="G644" s="24"/>
      <c r="H644" s="24"/>
      <c r="J644" s="24"/>
      <c r="K644" s="24"/>
      <c r="M644" s="24"/>
      <c r="N644" s="24"/>
      <c r="P644" s="24"/>
    </row>
    <row r="645" spans="2:16" x14ac:dyDescent="0.25">
      <c r="B645" s="24"/>
      <c r="E645" s="24"/>
      <c r="G645" s="24"/>
      <c r="H645" s="24"/>
      <c r="J645" s="24"/>
      <c r="K645" s="24"/>
      <c r="M645" s="24"/>
      <c r="N645" s="24"/>
      <c r="P645" s="24"/>
    </row>
    <row r="646" spans="2:16" x14ac:dyDescent="0.25">
      <c r="B646" s="24"/>
      <c r="E646" s="24"/>
      <c r="G646" s="24"/>
      <c r="H646" s="24"/>
      <c r="J646" s="24"/>
      <c r="K646" s="24"/>
      <c r="M646" s="24"/>
      <c r="N646" s="24"/>
      <c r="P646" s="24"/>
    </row>
    <row r="647" spans="2:16" x14ac:dyDescent="0.25">
      <c r="B647" s="24"/>
      <c r="E647" s="24"/>
      <c r="G647" s="24"/>
      <c r="H647" s="24"/>
      <c r="J647" s="24"/>
      <c r="K647" s="24"/>
      <c r="M647" s="24"/>
      <c r="N647" s="24"/>
      <c r="P647" s="24"/>
    </row>
    <row r="648" spans="2:16" x14ac:dyDescent="0.25">
      <c r="B648" s="24"/>
      <c r="E648" s="24"/>
      <c r="G648" s="24"/>
      <c r="H648" s="24"/>
      <c r="J648" s="24"/>
      <c r="K648" s="24"/>
      <c r="M648" s="24"/>
      <c r="N648" s="24"/>
      <c r="P648" s="24"/>
    </row>
    <row r="649" spans="2:16" x14ac:dyDescent="0.25">
      <c r="B649" s="24"/>
      <c r="E649" s="24"/>
      <c r="G649" s="24"/>
      <c r="H649" s="24"/>
      <c r="J649" s="24"/>
      <c r="K649" s="24"/>
      <c r="M649" s="24"/>
      <c r="N649" s="24"/>
      <c r="P649" s="24"/>
    </row>
    <row r="650" spans="2:16" x14ac:dyDescent="0.25">
      <c r="B650" s="24"/>
      <c r="E650" s="24"/>
      <c r="G650" s="24"/>
      <c r="H650" s="24"/>
      <c r="J650" s="24"/>
      <c r="K650" s="24"/>
      <c r="M650" s="24"/>
      <c r="N650" s="24"/>
      <c r="P650" s="24"/>
    </row>
    <row r="651" spans="2:16" x14ac:dyDescent="0.25">
      <c r="B651" s="24"/>
      <c r="E651" s="24"/>
      <c r="G651" s="24"/>
      <c r="H651" s="24"/>
      <c r="J651" s="24"/>
      <c r="K651" s="24"/>
      <c r="M651" s="24"/>
      <c r="N651" s="24"/>
      <c r="P651" s="24"/>
    </row>
    <row r="652" spans="2:16" x14ac:dyDescent="0.25">
      <c r="B652" s="24"/>
      <c r="E652" s="24"/>
      <c r="G652" s="24"/>
      <c r="H652" s="24"/>
      <c r="J652" s="24"/>
      <c r="K652" s="24"/>
      <c r="M652" s="24"/>
      <c r="N652" s="24"/>
      <c r="P652" s="24"/>
    </row>
    <row r="653" spans="2:16" x14ac:dyDescent="0.25">
      <c r="B653" s="24"/>
      <c r="E653" s="24"/>
      <c r="G653" s="24"/>
      <c r="H653" s="24"/>
      <c r="J653" s="24"/>
      <c r="K653" s="24"/>
      <c r="M653" s="24"/>
      <c r="N653" s="24"/>
      <c r="P653" s="24"/>
    </row>
    <row r="654" spans="2:16" x14ac:dyDescent="0.25">
      <c r="B654" s="24"/>
      <c r="E654" s="24"/>
      <c r="G654" s="24"/>
      <c r="H654" s="24"/>
      <c r="J654" s="24"/>
      <c r="K654" s="24"/>
      <c r="M654" s="24"/>
      <c r="N654" s="24"/>
      <c r="P654" s="24"/>
    </row>
    <row r="655" spans="2:16" x14ac:dyDescent="0.25">
      <c r="B655" s="24"/>
      <c r="E655" s="24"/>
      <c r="G655" s="24"/>
      <c r="H655" s="24"/>
      <c r="J655" s="24"/>
      <c r="K655" s="24"/>
      <c r="M655" s="24"/>
      <c r="N655" s="24"/>
      <c r="P655" s="24"/>
    </row>
    <row r="656" spans="2:16" x14ac:dyDescent="0.25">
      <c r="B656" s="24"/>
      <c r="E656" s="24"/>
      <c r="G656" s="24"/>
      <c r="H656" s="24"/>
      <c r="J656" s="24"/>
      <c r="K656" s="24"/>
      <c r="M656" s="24"/>
      <c r="N656" s="24"/>
      <c r="P656" s="24"/>
    </row>
    <row r="657" spans="2:16" x14ac:dyDescent="0.25">
      <c r="B657" s="24"/>
      <c r="E657" s="24"/>
      <c r="G657" s="24"/>
      <c r="H657" s="24"/>
      <c r="J657" s="24"/>
      <c r="K657" s="24"/>
      <c r="M657" s="24"/>
      <c r="N657" s="24"/>
      <c r="P657" s="24"/>
    </row>
    <row r="658" spans="2:16" x14ac:dyDescent="0.25">
      <c r="B658" s="24"/>
      <c r="E658" s="24"/>
      <c r="G658" s="24"/>
      <c r="H658" s="24"/>
      <c r="J658" s="24"/>
      <c r="K658" s="24"/>
      <c r="M658" s="24"/>
      <c r="N658" s="24"/>
      <c r="P658" s="24"/>
    </row>
    <row r="659" spans="2:16" x14ac:dyDescent="0.25">
      <c r="B659" s="24"/>
      <c r="E659" s="24"/>
      <c r="G659" s="24"/>
      <c r="H659" s="24"/>
      <c r="J659" s="24"/>
      <c r="K659" s="24"/>
      <c r="M659" s="24"/>
      <c r="N659" s="24"/>
      <c r="P659" s="24"/>
    </row>
    <row r="660" spans="2:16" x14ac:dyDescent="0.25">
      <c r="B660" s="24"/>
      <c r="E660" s="24"/>
      <c r="G660" s="24"/>
      <c r="H660" s="24"/>
      <c r="J660" s="24"/>
      <c r="K660" s="24"/>
      <c r="M660" s="24"/>
      <c r="N660" s="24"/>
      <c r="P660" s="24"/>
    </row>
    <row r="661" spans="2:16" x14ac:dyDescent="0.25">
      <c r="B661" s="24"/>
      <c r="E661" s="24"/>
      <c r="G661" s="24"/>
      <c r="H661" s="24"/>
      <c r="J661" s="24"/>
      <c r="K661" s="24"/>
      <c r="M661" s="24"/>
      <c r="N661" s="24"/>
      <c r="P661" s="24"/>
    </row>
    <row r="662" spans="2:16" x14ac:dyDescent="0.25">
      <c r="B662" s="24"/>
      <c r="E662" s="24"/>
      <c r="G662" s="24"/>
      <c r="H662" s="24"/>
      <c r="J662" s="24"/>
      <c r="K662" s="24"/>
      <c r="M662" s="24"/>
      <c r="N662" s="24"/>
      <c r="P662" s="24"/>
    </row>
    <row r="663" spans="2:16" x14ac:dyDescent="0.25">
      <c r="B663" s="24"/>
      <c r="E663" s="24"/>
      <c r="G663" s="24"/>
      <c r="H663" s="24"/>
      <c r="J663" s="24"/>
      <c r="K663" s="24"/>
      <c r="M663" s="24"/>
      <c r="N663" s="24"/>
      <c r="P663" s="24"/>
    </row>
    <row r="664" spans="2:16" x14ac:dyDescent="0.25">
      <c r="B664" s="24"/>
      <c r="E664" s="24"/>
      <c r="G664" s="24"/>
      <c r="H664" s="24"/>
      <c r="J664" s="24"/>
      <c r="K664" s="24"/>
      <c r="M664" s="24"/>
      <c r="N664" s="24"/>
      <c r="P664" s="24"/>
    </row>
    <row r="665" spans="2:16" x14ac:dyDescent="0.25">
      <c r="B665" s="24"/>
      <c r="E665" s="24"/>
      <c r="G665" s="24"/>
      <c r="H665" s="24"/>
      <c r="J665" s="24"/>
      <c r="K665" s="24"/>
      <c r="M665" s="24"/>
      <c r="N665" s="24"/>
      <c r="P665" s="24"/>
    </row>
    <row r="666" spans="2:16" x14ac:dyDescent="0.25">
      <c r="B666" s="24"/>
      <c r="E666" s="24"/>
      <c r="G666" s="24"/>
      <c r="H666" s="24"/>
      <c r="J666" s="24"/>
      <c r="K666" s="24"/>
      <c r="M666" s="24"/>
      <c r="N666" s="24"/>
      <c r="P666" s="24"/>
    </row>
    <row r="667" spans="2:16" x14ac:dyDescent="0.25">
      <c r="B667" s="24"/>
      <c r="E667" s="24"/>
      <c r="G667" s="24"/>
      <c r="H667" s="24"/>
      <c r="J667" s="24"/>
      <c r="K667" s="24"/>
      <c r="M667" s="24"/>
      <c r="N667" s="24"/>
      <c r="P667" s="24"/>
    </row>
    <row r="668" spans="2:16" x14ac:dyDescent="0.25">
      <c r="B668" s="24"/>
      <c r="E668" s="24"/>
      <c r="G668" s="24"/>
      <c r="H668" s="24"/>
      <c r="J668" s="24"/>
      <c r="K668" s="24"/>
      <c r="M668" s="24"/>
      <c r="N668" s="24"/>
      <c r="P668" s="24"/>
    </row>
    <row r="669" spans="2:16" x14ac:dyDescent="0.25">
      <c r="B669" s="24"/>
      <c r="E669" s="24"/>
      <c r="G669" s="24"/>
      <c r="H669" s="24"/>
      <c r="J669" s="24"/>
      <c r="K669" s="24"/>
      <c r="M669" s="24"/>
      <c r="N669" s="24"/>
      <c r="P669" s="24"/>
    </row>
    <row r="670" spans="2:16" x14ac:dyDescent="0.25">
      <c r="B670" s="24"/>
      <c r="E670" s="24"/>
      <c r="G670" s="24"/>
      <c r="H670" s="24"/>
      <c r="J670" s="24"/>
      <c r="K670" s="24"/>
      <c r="M670" s="24"/>
      <c r="N670" s="24"/>
      <c r="P670" s="24"/>
    </row>
    <row r="671" spans="2:16" x14ac:dyDescent="0.25">
      <c r="B671" s="24"/>
      <c r="E671" s="24"/>
      <c r="G671" s="24"/>
      <c r="H671" s="24"/>
      <c r="J671" s="24"/>
      <c r="K671" s="24"/>
      <c r="M671" s="24"/>
      <c r="N671" s="24"/>
      <c r="P671" s="24"/>
    </row>
    <row r="672" spans="2:16" x14ac:dyDescent="0.25">
      <c r="B672" s="24"/>
      <c r="E672" s="24"/>
      <c r="G672" s="24"/>
      <c r="H672" s="24"/>
      <c r="J672" s="24"/>
      <c r="K672" s="24"/>
      <c r="M672" s="24"/>
      <c r="N672" s="24"/>
      <c r="P672" s="24"/>
    </row>
    <row r="673" spans="2:16" x14ac:dyDescent="0.25">
      <c r="B673" s="24"/>
      <c r="E673" s="24"/>
      <c r="G673" s="24"/>
      <c r="H673" s="24"/>
      <c r="J673" s="24"/>
      <c r="K673" s="24"/>
      <c r="M673" s="24"/>
      <c r="N673" s="24"/>
      <c r="P673" s="24"/>
    </row>
    <row r="674" spans="2:16" x14ac:dyDescent="0.25">
      <c r="B674" s="24"/>
      <c r="E674" s="24"/>
      <c r="G674" s="24"/>
      <c r="H674" s="24"/>
      <c r="J674" s="24"/>
      <c r="K674" s="24"/>
      <c r="M674" s="24"/>
      <c r="N674" s="24"/>
      <c r="P674" s="24"/>
    </row>
    <row r="675" spans="2:16" x14ac:dyDescent="0.25">
      <c r="B675" s="24"/>
      <c r="E675" s="24"/>
      <c r="G675" s="24"/>
      <c r="H675" s="24"/>
      <c r="J675" s="24"/>
      <c r="K675" s="24"/>
      <c r="M675" s="24"/>
      <c r="N675" s="24"/>
      <c r="P675" s="24"/>
    </row>
    <row r="676" spans="2:16" x14ac:dyDescent="0.25">
      <c r="B676" s="24"/>
      <c r="E676" s="24"/>
      <c r="G676" s="24"/>
      <c r="H676" s="24"/>
      <c r="J676" s="24"/>
      <c r="K676" s="24"/>
      <c r="M676" s="24"/>
      <c r="N676" s="24"/>
      <c r="P676" s="24"/>
    </row>
    <row r="677" spans="2:16" x14ac:dyDescent="0.25">
      <c r="B677" s="24"/>
      <c r="E677" s="24"/>
      <c r="G677" s="24"/>
      <c r="H677" s="24"/>
      <c r="J677" s="24"/>
      <c r="K677" s="24"/>
      <c r="M677" s="24"/>
      <c r="N677" s="24"/>
      <c r="P677" s="24"/>
    </row>
    <row r="678" spans="2:16" x14ac:dyDescent="0.25">
      <c r="B678" s="24"/>
      <c r="E678" s="24"/>
      <c r="G678" s="24"/>
      <c r="H678" s="24"/>
      <c r="J678" s="24"/>
      <c r="K678" s="24"/>
      <c r="M678" s="24"/>
      <c r="N678" s="24"/>
      <c r="P678" s="24"/>
    </row>
    <row r="679" spans="2:16" x14ac:dyDescent="0.25">
      <c r="B679" s="24"/>
      <c r="E679" s="24"/>
      <c r="G679" s="24"/>
      <c r="H679" s="24"/>
      <c r="J679" s="24"/>
      <c r="K679" s="24"/>
      <c r="M679" s="24"/>
      <c r="N679" s="24"/>
      <c r="P679" s="24"/>
    </row>
    <row r="680" spans="2:16" x14ac:dyDescent="0.25">
      <c r="B680" s="24"/>
      <c r="E680" s="24"/>
      <c r="G680" s="24"/>
      <c r="H680" s="24"/>
      <c r="J680" s="24"/>
      <c r="K680" s="24"/>
      <c r="M680" s="24"/>
      <c r="N680" s="24"/>
      <c r="P680" s="24"/>
    </row>
    <row r="681" spans="2:16" x14ac:dyDescent="0.25">
      <c r="B681" s="24"/>
      <c r="E681" s="24"/>
      <c r="G681" s="24"/>
      <c r="H681" s="24"/>
      <c r="J681" s="24"/>
      <c r="K681" s="24"/>
      <c r="M681" s="24"/>
      <c r="N681" s="24"/>
      <c r="P681" s="24"/>
    </row>
    <row r="682" spans="2:16" x14ac:dyDescent="0.25">
      <c r="B682" s="24"/>
      <c r="E682" s="24"/>
      <c r="G682" s="24"/>
      <c r="H682" s="24"/>
      <c r="J682" s="24"/>
      <c r="K682" s="24"/>
      <c r="M682" s="24"/>
      <c r="N682" s="24"/>
      <c r="P682" s="24"/>
    </row>
    <row r="683" spans="2:16" x14ac:dyDescent="0.25">
      <c r="B683" s="24"/>
      <c r="E683" s="24"/>
      <c r="G683" s="24"/>
      <c r="H683" s="24"/>
      <c r="J683" s="24"/>
      <c r="K683" s="24"/>
      <c r="M683" s="24"/>
      <c r="N683" s="24"/>
      <c r="P683" s="24"/>
    </row>
    <row r="684" spans="2:16" x14ac:dyDescent="0.25">
      <c r="B684" s="24"/>
      <c r="E684" s="24"/>
      <c r="G684" s="24"/>
      <c r="H684" s="24"/>
      <c r="J684" s="24"/>
      <c r="K684" s="24"/>
      <c r="M684" s="24"/>
      <c r="N684" s="24"/>
      <c r="P684" s="24"/>
    </row>
    <row r="685" spans="2:16" x14ac:dyDescent="0.25">
      <c r="B685" s="24"/>
      <c r="E685" s="24"/>
      <c r="G685" s="24"/>
      <c r="H685" s="24"/>
      <c r="J685" s="24"/>
      <c r="K685" s="24"/>
      <c r="M685" s="24"/>
      <c r="N685" s="24"/>
      <c r="P685" s="24"/>
    </row>
    <row r="686" spans="2:16" x14ac:dyDescent="0.25">
      <c r="B686" s="24"/>
      <c r="E686" s="24"/>
      <c r="G686" s="24"/>
      <c r="H686" s="24"/>
      <c r="J686" s="24"/>
      <c r="K686" s="24"/>
      <c r="M686" s="24"/>
      <c r="N686" s="24"/>
      <c r="P686" s="24"/>
    </row>
    <row r="687" spans="2:16" x14ac:dyDescent="0.25">
      <c r="B687" s="24"/>
      <c r="E687" s="24"/>
      <c r="G687" s="24"/>
      <c r="H687" s="24"/>
      <c r="J687" s="24"/>
      <c r="K687" s="24"/>
      <c r="M687" s="24"/>
      <c r="N687" s="24"/>
      <c r="P687" s="24"/>
    </row>
    <row r="688" spans="2:16" x14ac:dyDescent="0.25">
      <c r="B688" s="24"/>
      <c r="E688" s="24"/>
      <c r="G688" s="24"/>
      <c r="H688" s="24"/>
      <c r="J688" s="24"/>
      <c r="K688" s="24"/>
      <c r="M688" s="24"/>
      <c r="N688" s="24"/>
      <c r="P688" s="24"/>
    </row>
    <row r="689" spans="2:16" x14ac:dyDescent="0.25">
      <c r="B689" s="24"/>
      <c r="E689" s="24"/>
      <c r="G689" s="24"/>
      <c r="H689" s="24"/>
      <c r="J689" s="24"/>
      <c r="K689" s="24"/>
      <c r="M689" s="24"/>
      <c r="N689" s="24"/>
      <c r="P689" s="24"/>
    </row>
    <row r="690" spans="2:16" x14ac:dyDescent="0.25">
      <c r="B690" s="24"/>
      <c r="E690" s="24"/>
      <c r="G690" s="24"/>
      <c r="H690" s="24"/>
      <c r="J690" s="24"/>
      <c r="K690" s="24"/>
      <c r="M690" s="24"/>
      <c r="N690" s="24"/>
      <c r="P690" s="24"/>
    </row>
    <row r="691" spans="2:16" x14ac:dyDescent="0.25">
      <c r="B691" s="24"/>
      <c r="E691" s="24"/>
      <c r="G691" s="24"/>
      <c r="H691" s="24"/>
      <c r="J691" s="24"/>
      <c r="K691" s="24"/>
      <c r="M691" s="24"/>
      <c r="N691" s="24"/>
      <c r="P691" s="24"/>
    </row>
    <row r="692" spans="2:16" x14ac:dyDescent="0.25">
      <c r="B692" s="24"/>
      <c r="E692" s="24"/>
      <c r="G692" s="24"/>
      <c r="H692" s="24"/>
      <c r="J692" s="24"/>
      <c r="K692" s="24"/>
      <c r="M692" s="24"/>
      <c r="N692" s="24"/>
      <c r="P692" s="24"/>
    </row>
    <row r="693" spans="2:16" x14ac:dyDescent="0.25">
      <c r="B693" s="24"/>
      <c r="E693" s="24"/>
      <c r="G693" s="24"/>
      <c r="H693" s="24"/>
      <c r="J693" s="24"/>
      <c r="K693" s="24"/>
      <c r="M693" s="24"/>
      <c r="N693" s="24"/>
      <c r="P693" s="24"/>
    </row>
    <row r="694" spans="2:16" x14ac:dyDescent="0.25">
      <c r="B694" s="24"/>
      <c r="E694" s="24"/>
      <c r="G694" s="24"/>
      <c r="H694" s="24"/>
      <c r="J694" s="24"/>
      <c r="K694" s="24"/>
      <c r="M694" s="24"/>
      <c r="N694" s="24"/>
      <c r="P694" s="24"/>
    </row>
    <row r="695" spans="2:16" x14ac:dyDescent="0.25">
      <c r="B695" s="24"/>
      <c r="E695" s="24"/>
      <c r="G695" s="24"/>
      <c r="H695" s="24"/>
      <c r="J695" s="24"/>
      <c r="K695" s="24"/>
      <c r="M695" s="24"/>
      <c r="N695" s="24"/>
      <c r="P695" s="24"/>
    </row>
    <row r="696" spans="2:16" x14ac:dyDescent="0.25">
      <c r="B696" s="24"/>
      <c r="E696" s="24"/>
      <c r="G696" s="24"/>
      <c r="H696" s="24"/>
      <c r="J696" s="24"/>
      <c r="K696" s="24"/>
      <c r="M696" s="24"/>
      <c r="N696" s="24"/>
      <c r="P696" s="24"/>
    </row>
    <row r="697" spans="2:16" x14ac:dyDescent="0.25">
      <c r="B697" s="24"/>
      <c r="E697" s="24"/>
      <c r="G697" s="24"/>
      <c r="H697" s="24"/>
      <c r="J697" s="24"/>
      <c r="K697" s="24"/>
      <c r="M697" s="24"/>
      <c r="N697" s="24"/>
      <c r="P697" s="24"/>
    </row>
    <row r="698" spans="2:16" x14ac:dyDescent="0.25">
      <c r="B698" s="24"/>
      <c r="E698" s="24"/>
      <c r="G698" s="24"/>
      <c r="H698" s="24"/>
      <c r="J698" s="24"/>
      <c r="K698" s="24"/>
      <c r="M698" s="24"/>
      <c r="N698" s="24"/>
      <c r="P698" s="24"/>
    </row>
    <row r="699" spans="2:16" x14ac:dyDescent="0.25">
      <c r="B699" s="24"/>
      <c r="E699" s="24"/>
      <c r="G699" s="24"/>
      <c r="H699" s="24"/>
      <c r="J699" s="24"/>
      <c r="K699" s="24"/>
      <c r="M699" s="24"/>
      <c r="N699" s="24"/>
      <c r="P699" s="24"/>
    </row>
    <row r="700" spans="2:16" x14ac:dyDescent="0.25">
      <c r="B700" s="24"/>
      <c r="E700" s="24"/>
      <c r="G700" s="24"/>
      <c r="H700" s="24"/>
      <c r="J700" s="24"/>
      <c r="K700" s="24"/>
      <c r="M700" s="24"/>
      <c r="N700" s="24"/>
      <c r="P700" s="24"/>
    </row>
    <row r="701" spans="2:16" x14ac:dyDescent="0.25">
      <c r="B701" s="24"/>
      <c r="E701" s="24"/>
      <c r="G701" s="24"/>
      <c r="H701" s="24"/>
      <c r="J701" s="24"/>
      <c r="K701" s="24"/>
      <c r="M701" s="24"/>
      <c r="N701" s="24"/>
      <c r="P701" s="24"/>
    </row>
    <row r="702" spans="2:16" x14ac:dyDescent="0.25">
      <c r="B702" s="24"/>
      <c r="E702" s="24"/>
      <c r="G702" s="24"/>
      <c r="H702" s="24"/>
      <c r="J702" s="24"/>
      <c r="K702" s="24"/>
      <c r="M702" s="24"/>
      <c r="N702" s="24"/>
      <c r="P702" s="24"/>
    </row>
    <row r="703" spans="2:16" x14ac:dyDescent="0.25">
      <c r="B703" s="24"/>
      <c r="E703" s="24"/>
      <c r="G703" s="24"/>
      <c r="H703" s="24"/>
      <c r="J703" s="24"/>
      <c r="K703" s="24"/>
      <c r="M703" s="24"/>
      <c r="N703" s="24"/>
      <c r="P703" s="24"/>
    </row>
    <row r="704" spans="2:16" x14ac:dyDescent="0.25">
      <c r="B704" s="24"/>
      <c r="E704" s="24"/>
      <c r="G704" s="24"/>
      <c r="H704" s="24"/>
      <c r="J704" s="24"/>
      <c r="K704" s="24"/>
      <c r="M704" s="24"/>
      <c r="N704" s="24"/>
      <c r="P704" s="24"/>
    </row>
    <row r="705" spans="2:16" x14ac:dyDescent="0.25">
      <c r="B705" s="24"/>
      <c r="E705" s="24"/>
      <c r="G705" s="24"/>
      <c r="H705" s="24"/>
      <c r="J705" s="24"/>
      <c r="K705" s="24"/>
      <c r="M705" s="24"/>
      <c r="N705" s="24"/>
      <c r="P705" s="24"/>
    </row>
    <row r="706" spans="2:16" x14ac:dyDescent="0.25">
      <c r="B706" s="24"/>
      <c r="E706" s="24"/>
      <c r="G706" s="24"/>
      <c r="H706" s="24"/>
      <c r="J706" s="24"/>
      <c r="K706" s="24"/>
      <c r="M706" s="24"/>
      <c r="N706" s="24"/>
      <c r="P706" s="24"/>
    </row>
    <row r="707" spans="2:16" x14ac:dyDescent="0.25">
      <c r="B707" s="24"/>
      <c r="E707" s="24"/>
      <c r="G707" s="24"/>
      <c r="H707" s="24"/>
      <c r="J707" s="24"/>
      <c r="K707" s="24"/>
      <c r="M707" s="24"/>
      <c r="N707" s="24"/>
      <c r="P707" s="24"/>
    </row>
    <row r="708" spans="2:16" x14ac:dyDescent="0.25">
      <c r="B708" s="24"/>
      <c r="E708" s="24"/>
      <c r="G708" s="24"/>
      <c r="H708" s="24"/>
      <c r="J708" s="24"/>
      <c r="K708" s="24"/>
      <c r="M708" s="24"/>
      <c r="N708" s="24"/>
      <c r="P708" s="24"/>
    </row>
    <row r="709" spans="2:16" x14ac:dyDescent="0.25">
      <c r="B709" s="24"/>
      <c r="E709" s="24"/>
      <c r="G709" s="24"/>
      <c r="H709" s="24"/>
      <c r="J709" s="24"/>
      <c r="K709" s="24"/>
      <c r="M709" s="24"/>
      <c r="N709" s="24"/>
      <c r="P709" s="24"/>
    </row>
    <row r="710" spans="2:16" x14ac:dyDescent="0.25">
      <c r="B710" s="24"/>
      <c r="E710" s="24"/>
      <c r="G710" s="24"/>
      <c r="H710" s="24"/>
      <c r="J710" s="24"/>
      <c r="K710" s="24"/>
      <c r="M710" s="24"/>
      <c r="N710" s="24"/>
      <c r="P710" s="24"/>
    </row>
    <row r="711" spans="2:16" x14ac:dyDescent="0.25">
      <c r="B711" s="24"/>
      <c r="E711" s="24"/>
      <c r="G711" s="24"/>
      <c r="H711" s="24"/>
      <c r="J711" s="24"/>
      <c r="K711" s="24"/>
      <c r="M711" s="24"/>
      <c r="N711" s="24"/>
      <c r="P711" s="24"/>
    </row>
    <row r="712" spans="2:16" x14ac:dyDescent="0.25">
      <c r="B712" s="24"/>
      <c r="E712" s="24"/>
      <c r="G712" s="24"/>
      <c r="H712" s="24"/>
      <c r="J712" s="24"/>
      <c r="K712" s="24"/>
      <c r="M712" s="24"/>
      <c r="N712" s="24"/>
      <c r="P712" s="24"/>
    </row>
    <row r="713" spans="2:16" x14ac:dyDescent="0.25">
      <c r="B713" s="24"/>
      <c r="E713" s="24"/>
      <c r="G713" s="24"/>
      <c r="H713" s="24"/>
      <c r="J713" s="24"/>
      <c r="K713" s="24"/>
      <c r="M713" s="24"/>
      <c r="N713" s="24"/>
      <c r="P713" s="24"/>
    </row>
    <row r="714" spans="2:16" x14ac:dyDescent="0.25">
      <c r="B714" s="24"/>
      <c r="E714" s="24"/>
      <c r="G714" s="24"/>
      <c r="H714" s="24"/>
      <c r="J714" s="24"/>
      <c r="K714" s="24"/>
      <c r="M714" s="24"/>
      <c r="N714" s="24"/>
      <c r="P714" s="24"/>
    </row>
    <row r="715" spans="2:16" x14ac:dyDescent="0.25">
      <c r="B715" s="24"/>
      <c r="E715" s="24"/>
      <c r="G715" s="24"/>
      <c r="H715" s="24"/>
      <c r="J715" s="24"/>
      <c r="K715" s="24"/>
      <c r="M715" s="24"/>
      <c r="N715" s="24"/>
      <c r="P715" s="24"/>
    </row>
    <row r="716" spans="2:16" x14ac:dyDescent="0.25">
      <c r="B716" s="24"/>
      <c r="E716" s="24"/>
      <c r="G716" s="24"/>
      <c r="H716" s="24"/>
      <c r="J716" s="24"/>
      <c r="K716" s="24"/>
      <c r="M716" s="24"/>
      <c r="N716" s="24"/>
      <c r="P716" s="24"/>
    </row>
    <row r="717" spans="2:16" x14ac:dyDescent="0.25">
      <c r="B717" s="24"/>
      <c r="E717" s="24"/>
      <c r="G717" s="24"/>
      <c r="H717" s="24"/>
      <c r="J717" s="24"/>
      <c r="K717" s="24"/>
      <c r="M717" s="24"/>
      <c r="N717" s="24"/>
      <c r="P717" s="24"/>
    </row>
    <row r="718" spans="2:16" x14ac:dyDescent="0.25">
      <c r="B718" s="24"/>
      <c r="E718" s="24"/>
      <c r="G718" s="24"/>
      <c r="H718" s="24"/>
      <c r="J718" s="24"/>
      <c r="K718" s="24"/>
      <c r="M718" s="24"/>
      <c r="N718" s="24"/>
      <c r="P718" s="24"/>
    </row>
    <row r="719" spans="2:16" x14ac:dyDescent="0.25">
      <c r="B719" s="24"/>
      <c r="E719" s="24"/>
      <c r="G719" s="24"/>
      <c r="H719" s="24"/>
      <c r="J719" s="24"/>
      <c r="K719" s="24"/>
      <c r="M719" s="24"/>
      <c r="N719" s="24"/>
      <c r="P719" s="24"/>
    </row>
    <row r="720" spans="2:16" x14ac:dyDescent="0.25">
      <c r="B720" s="24"/>
      <c r="E720" s="24"/>
      <c r="G720" s="24"/>
      <c r="H720" s="24"/>
      <c r="J720" s="24"/>
      <c r="K720" s="24"/>
      <c r="M720" s="24"/>
      <c r="N720" s="24"/>
      <c r="P720" s="24"/>
    </row>
    <row r="721" spans="2:16" x14ac:dyDescent="0.25">
      <c r="B721" s="24"/>
      <c r="E721" s="24"/>
      <c r="G721" s="24"/>
      <c r="H721" s="24"/>
      <c r="J721" s="24"/>
      <c r="K721" s="24"/>
      <c r="M721" s="24"/>
      <c r="N721" s="24"/>
      <c r="P721" s="24"/>
    </row>
    <row r="722" spans="2:16" x14ac:dyDescent="0.25">
      <c r="B722" s="24"/>
      <c r="E722" s="24"/>
      <c r="G722" s="24"/>
      <c r="H722" s="24"/>
      <c r="J722" s="24"/>
      <c r="K722" s="24"/>
      <c r="M722" s="24"/>
      <c r="N722" s="24"/>
      <c r="P722" s="24"/>
    </row>
    <row r="723" spans="2:16" x14ac:dyDescent="0.25">
      <c r="B723" s="24"/>
      <c r="E723" s="24"/>
      <c r="G723" s="24"/>
      <c r="H723" s="24"/>
      <c r="J723" s="24"/>
      <c r="K723" s="24"/>
      <c r="M723" s="24"/>
      <c r="N723" s="24"/>
      <c r="P723" s="24"/>
    </row>
    <row r="724" spans="2:16" x14ac:dyDescent="0.25">
      <c r="B724" s="24"/>
      <c r="E724" s="24"/>
      <c r="G724" s="24"/>
      <c r="H724" s="24"/>
      <c r="J724" s="24"/>
      <c r="K724" s="24"/>
      <c r="M724" s="24"/>
      <c r="N724" s="24"/>
      <c r="P724" s="24"/>
    </row>
    <row r="725" spans="2:16" x14ac:dyDescent="0.25">
      <c r="B725" s="24"/>
      <c r="E725" s="24"/>
      <c r="G725" s="24"/>
      <c r="H725" s="24"/>
      <c r="J725" s="24"/>
      <c r="K725" s="24"/>
      <c r="M725" s="24"/>
      <c r="N725" s="24"/>
      <c r="P725" s="24"/>
    </row>
    <row r="726" spans="2:16" x14ac:dyDescent="0.25">
      <c r="B726" s="24"/>
      <c r="E726" s="24"/>
      <c r="G726" s="24"/>
      <c r="H726" s="24"/>
      <c r="J726" s="24"/>
      <c r="K726" s="24"/>
      <c r="M726" s="24"/>
      <c r="N726" s="24"/>
      <c r="P726" s="24"/>
    </row>
    <row r="727" spans="2:16" x14ac:dyDescent="0.25">
      <c r="B727" s="24"/>
      <c r="E727" s="24"/>
      <c r="G727" s="24"/>
      <c r="H727" s="24"/>
      <c r="J727" s="24"/>
      <c r="K727" s="24"/>
      <c r="M727" s="24"/>
      <c r="N727" s="24"/>
      <c r="P727" s="24"/>
    </row>
    <row r="728" spans="2:16" x14ac:dyDescent="0.25">
      <c r="B728" s="24"/>
      <c r="E728" s="24"/>
      <c r="G728" s="24"/>
      <c r="H728" s="24"/>
      <c r="J728" s="24"/>
      <c r="K728" s="24"/>
      <c r="M728" s="24"/>
      <c r="N728" s="24"/>
      <c r="P728" s="24"/>
    </row>
    <row r="729" spans="2:16" x14ac:dyDescent="0.25">
      <c r="B729" s="24"/>
      <c r="E729" s="24"/>
      <c r="G729" s="24"/>
      <c r="H729" s="24"/>
      <c r="J729" s="24"/>
      <c r="K729" s="24"/>
      <c r="M729" s="24"/>
      <c r="N729" s="24"/>
      <c r="P729" s="24"/>
    </row>
    <row r="730" spans="2:16" x14ac:dyDescent="0.25">
      <c r="B730" s="24"/>
      <c r="E730" s="24"/>
      <c r="G730" s="24"/>
      <c r="H730" s="24"/>
      <c r="J730" s="24"/>
      <c r="K730" s="24"/>
      <c r="M730" s="24"/>
      <c r="N730" s="24"/>
      <c r="P730" s="24"/>
    </row>
    <row r="731" spans="2:16" x14ac:dyDescent="0.25">
      <c r="B731" s="24"/>
      <c r="E731" s="24"/>
      <c r="G731" s="24"/>
      <c r="H731" s="24"/>
      <c r="J731" s="24"/>
      <c r="K731" s="24"/>
      <c r="M731" s="24"/>
      <c r="N731" s="24"/>
      <c r="P731" s="24"/>
    </row>
    <row r="732" spans="2:16" x14ac:dyDescent="0.25">
      <c r="B732" s="24"/>
      <c r="E732" s="24"/>
      <c r="G732" s="24"/>
      <c r="H732" s="24"/>
      <c r="J732" s="24"/>
      <c r="K732" s="24"/>
      <c r="M732" s="24"/>
      <c r="N732" s="24"/>
      <c r="P732" s="24"/>
    </row>
    <row r="733" spans="2:16" x14ac:dyDescent="0.25">
      <c r="B733" s="24"/>
      <c r="E733" s="24"/>
      <c r="G733" s="24"/>
      <c r="H733" s="24"/>
      <c r="J733" s="24"/>
      <c r="K733" s="24"/>
      <c r="M733" s="24"/>
      <c r="N733" s="24"/>
      <c r="P733" s="24"/>
    </row>
    <row r="734" spans="2:16" x14ac:dyDescent="0.25">
      <c r="B734" s="24"/>
      <c r="E734" s="24"/>
      <c r="G734" s="24"/>
      <c r="H734" s="24"/>
      <c r="J734" s="24"/>
      <c r="K734" s="24"/>
      <c r="M734" s="24"/>
      <c r="N734" s="24"/>
      <c r="P734" s="24"/>
    </row>
    <row r="735" spans="2:16" x14ac:dyDescent="0.25">
      <c r="B735" s="24"/>
      <c r="E735" s="24"/>
      <c r="G735" s="24"/>
      <c r="H735" s="24"/>
      <c r="J735" s="24"/>
      <c r="K735" s="24"/>
      <c r="M735" s="24"/>
      <c r="N735" s="24"/>
      <c r="P735" s="24"/>
    </row>
    <row r="736" spans="2:16" x14ac:dyDescent="0.25">
      <c r="B736" s="24"/>
      <c r="E736" s="24"/>
      <c r="G736" s="24"/>
      <c r="H736" s="24"/>
      <c r="J736" s="24"/>
      <c r="K736" s="24"/>
      <c r="M736" s="24"/>
      <c r="N736" s="24"/>
      <c r="P736" s="24"/>
    </row>
    <row r="737" spans="2:16" x14ac:dyDescent="0.25">
      <c r="B737" s="24"/>
      <c r="E737" s="24"/>
      <c r="G737" s="24"/>
      <c r="H737" s="24"/>
      <c r="J737" s="24"/>
      <c r="K737" s="24"/>
      <c r="M737" s="24"/>
      <c r="N737" s="24"/>
      <c r="P737" s="24"/>
    </row>
    <row r="738" spans="2:16" x14ac:dyDescent="0.25">
      <c r="B738" s="24"/>
      <c r="E738" s="24"/>
      <c r="G738" s="24"/>
      <c r="H738" s="24"/>
      <c r="J738" s="24"/>
      <c r="K738" s="24"/>
      <c r="M738" s="24"/>
      <c r="N738" s="24"/>
      <c r="P738" s="24"/>
    </row>
    <row r="739" spans="2:16" x14ac:dyDescent="0.25">
      <c r="B739" s="24"/>
      <c r="E739" s="24"/>
      <c r="G739" s="24"/>
      <c r="H739" s="24"/>
      <c r="J739" s="24"/>
      <c r="K739" s="24"/>
      <c r="M739" s="24"/>
      <c r="N739" s="24"/>
      <c r="P739" s="24"/>
    </row>
    <row r="740" spans="2:16" x14ac:dyDescent="0.25">
      <c r="B740" s="24"/>
      <c r="E740" s="24"/>
      <c r="G740" s="24"/>
      <c r="H740" s="24"/>
      <c r="J740" s="24"/>
      <c r="K740" s="24"/>
      <c r="M740" s="24"/>
      <c r="N740" s="24"/>
      <c r="P740" s="24"/>
    </row>
    <row r="741" spans="2:16" x14ac:dyDescent="0.25">
      <c r="B741" s="24"/>
      <c r="E741" s="24"/>
      <c r="G741" s="24"/>
      <c r="H741" s="24"/>
      <c r="J741" s="24"/>
      <c r="K741" s="24"/>
      <c r="M741" s="24"/>
      <c r="N741" s="24"/>
      <c r="P741" s="24"/>
    </row>
    <row r="742" spans="2:16" x14ac:dyDescent="0.25">
      <c r="B742" s="24"/>
      <c r="E742" s="24"/>
      <c r="G742" s="24"/>
      <c r="H742" s="24"/>
      <c r="J742" s="24"/>
      <c r="K742" s="24"/>
      <c r="M742" s="24"/>
      <c r="N742" s="24"/>
      <c r="P742" s="24"/>
    </row>
    <row r="743" spans="2:16" x14ac:dyDescent="0.25">
      <c r="B743" s="24"/>
      <c r="E743" s="24"/>
      <c r="G743" s="24"/>
      <c r="H743" s="24"/>
      <c r="J743" s="24"/>
      <c r="K743" s="24"/>
      <c r="M743" s="24"/>
      <c r="N743" s="24"/>
      <c r="P743" s="24"/>
    </row>
    <row r="744" spans="2:16" x14ac:dyDescent="0.25">
      <c r="B744" s="24"/>
      <c r="E744" s="24"/>
      <c r="G744" s="24"/>
      <c r="H744" s="24"/>
      <c r="J744" s="24"/>
      <c r="K744" s="24"/>
      <c r="M744" s="24"/>
      <c r="N744" s="24"/>
      <c r="P744" s="24"/>
    </row>
    <row r="745" spans="2:16" x14ac:dyDescent="0.25">
      <c r="B745" s="24"/>
      <c r="E745" s="24"/>
      <c r="G745" s="24"/>
      <c r="H745" s="24"/>
      <c r="J745" s="24"/>
      <c r="K745" s="24"/>
      <c r="M745" s="24"/>
      <c r="N745" s="24"/>
      <c r="P745" s="24"/>
    </row>
    <row r="746" spans="2:16" x14ac:dyDescent="0.25">
      <c r="B746" s="24"/>
      <c r="E746" s="24"/>
      <c r="G746" s="24"/>
      <c r="H746" s="24"/>
      <c r="J746" s="24"/>
      <c r="K746" s="24"/>
      <c r="M746" s="24"/>
      <c r="N746" s="24"/>
      <c r="P746" s="24"/>
    </row>
    <row r="747" spans="2:16" x14ac:dyDescent="0.25">
      <c r="B747" s="24"/>
      <c r="E747" s="24"/>
      <c r="G747" s="24"/>
      <c r="H747" s="24"/>
      <c r="J747" s="24"/>
      <c r="K747" s="24"/>
      <c r="M747" s="24"/>
      <c r="N747" s="24"/>
      <c r="P747" s="24"/>
    </row>
    <row r="748" spans="2:16" x14ac:dyDescent="0.25">
      <c r="B748" s="24"/>
      <c r="E748" s="24"/>
      <c r="G748" s="24"/>
      <c r="H748" s="24"/>
      <c r="J748" s="24"/>
      <c r="K748" s="24"/>
      <c r="M748" s="24"/>
      <c r="N748" s="24"/>
      <c r="P748" s="24"/>
    </row>
    <row r="749" spans="2:16" x14ac:dyDescent="0.25">
      <c r="B749" s="24"/>
      <c r="E749" s="24"/>
      <c r="G749" s="24"/>
      <c r="H749" s="24"/>
      <c r="J749" s="24"/>
      <c r="K749" s="24"/>
      <c r="M749" s="24"/>
      <c r="N749" s="24"/>
      <c r="P749" s="24"/>
    </row>
    <row r="750" spans="2:16" x14ac:dyDescent="0.25">
      <c r="B750" s="24"/>
      <c r="E750" s="24"/>
      <c r="G750" s="24"/>
      <c r="H750" s="24"/>
      <c r="J750" s="24"/>
      <c r="K750" s="24"/>
      <c r="M750" s="24"/>
      <c r="N750" s="24"/>
      <c r="P750" s="24"/>
    </row>
    <row r="751" spans="2:16" x14ac:dyDescent="0.25">
      <c r="B751" s="24"/>
      <c r="E751" s="24"/>
      <c r="G751" s="24"/>
      <c r="H751" s="24"/>
      <c r="J751" s="24"/>
      <c r="K751" s="24"/>
      <c r="M751" s="24"/>
      <c r="N751" s="24"/>
      <c r="P751" s="24"/>
    </row>
    <row r="752" spans="2:16" x14ac:dyDescent="0.25">
      <c r="B752" s="24"/>
      <c r="E752" s="24"/>
      <c r="G752" s="24"/>
      <c r="H752" s="24"/>
      <c r="J752" s="24"/>
      <c r="K752" s="24"/>
      <c r="M752" s="24"/>
      <c r="N752" s="24"/>
      <c r="P752" s="24"/>
    </row>
    <row r="753" spans="2:16" x14ac:dyDescent="0.25">
      <c r="B753" s="24"/>
      <c r="E753" s="24"/>
      <c r="G753" s="24"/>
      <c r="H753" s="24"/>
      <c r="J753" s="24"/>
      <c r="K753" s="24"/>
      <c r="M753" s="24"/>
      <c r="N753" s="24"/>
      <c r="P753" s="24"/>
    </row>
    <row r="754" spans="2:16" x14ac:dyDescent="0.25">
      <c r="B754" s="24"/>
      <c r="E754" s="24"/>
      <c r="G754" s="24"/>
      <c r="H754" s="24"/>
      <c r="J754" s="24"/>
      <c r="K754" s="24"/>
      <c r="M754" s="24"/>
      <c r="N754" s="24"/>
      <c r="P754" s="24"/>
    </row>
    <row r="755" spans="2:16" x14ac:dyDescent="0.25">
      <c r="B755" s="24"/>
      <c r="E755" s="24"/>
      <c r="G755" s="24"/>
      <c r="H755" s="24"/>
      <c r="J755" s="24"/>
      <c r="K755" s="24"/>
      <c r="M755" s="24"/>
      <c r="N755" s="24"/>
      <c r="P755" s="24"/>
    </row>
    <row r="756" spans="2:16" x14ac:dyDescent="0.25">
      <c r="B756" s="24"/>
      <c r="E756" s="24"/>
      <c r="G756" s="24"/>
      <c r="H756" s="24"/>
      <c r="J756" s="24"/>
      <c r="K756" s="24"/>
      <c r="M756" s="24"/>
      <c r="N756" s="24"/>
      <c r="P756" s="24"/>
    </row>
    <row r="757" spans="2:16" x14ac:dyDescent="0.25">
      <c r="B757" s="24"/>
      <c r="E757" s="24"/>
      <c r="G757" s="24"/>
      <c r="H757" s="24"/>
      <c r="J757" s="24"/>
      <c r="K757" s="24"/>
      <c r="M757" s="24"/>
      <c r="N757" s="24"/>
      <c r="P757" s="24"/>
    </row>
    <row r="758" spans="2:16" x14ac:dyDescent="0.25">
      <c r="B758" s="24"/>
      <c r="E758" s="24"/>
      <c r="G758" s="24"/>
      <c r="H758" s="24"/>
      <c r="J758" s="24"/>
      <c r="K758" s="24"/>
      <c r="M758" s="24"/>
      <c r="N758" s="24"/>
      <c r="P758" s="24"/>
    </row>
    <row r="759" spans="2:16" x14ac:dyDescent="0.25">
      <c r="B759" s="24"/>
      <c r="E759" s="24"/>
      <c r="G759" s="24"/>
      <c r="H759" s="24"/>
      <c r="J759" s="24"/>
      <c r="K759" s="24"/>
      <c r="M759" s="24"/>
      <c r="N759" s="24"/>
      <c r="P759" s="24"/>
    </row>
    <row r="760" spans="2:16" x14ac:dyDescent="0.25">
      <c r="B760" s="24"/>
      <c r="E760" s="24"/>
      <c r="G760" s="24"/>
      <c r="H760" s="24"/>
      <c r="J760" s="24"/>
      <c r="K760" s="24"/>
      <c r="M760" s="24"/>
      <c r="N760" s="24"/>
      <c r="P760" s="24"/>
    </row>
    <row r="761" spans="2:16" x14ac:dyDescent="0.25">
      <c r="B761" s="24"/>
      <c r="E761" s="24"/>
      <c r="G761" s="24"/>
      <c r="H761" s="24"/>
      <c r="J761" s="24"/>
      <c r="K761" s="24"/>
      <c r="M761" s="24"/>
      <c r="N761" s="24"/>
      <c r="P761" s="24"/>
    </row>
    <row r="762" spans="2:16" x14ac:dyDescent="0.25">
      <c r="B762" s="24"/>
      <c r="E762" s="24"/>
      <c r="G762" s="24"/>
      <c r="H762" s="24"/>
      <c r="J762" s="24"/>
      <c r="K762" s="24"/>
      <c r="M762" s="24"/>
      <c r="N762" s="24"/>
      <c r="P762" s="24"/>
    </row>
    <row r="763" spans="2:16" x14ac:dyDescent="0.25">
      <c r="B763" s="24"/>
      <c r="E763" s="24"/>
      <c r="G763" s="24"/>
      <c r="H763" s="24"/>
      <c r="J763" s="24"/>
      <c r="K763" s="24"/>
      <c r="M763" s="24"/>
      <c r="N763" s="24"/>
      <c r="P763" s="24"/>
    </row>
    <row r="764" spans="2:16" x14ac:dyDescent="0.25">
      <c r="B764" s="24"/>
      <c r="E764" s="24"/>
      <c r="G764" s="24"/>
      <c r="H764" s="24"/>
      <c r="J764" s="24"/>
      <c r="K764" s="24"/>
      <c r="M764" s="24"/>
      <c r="N764" s="24"/>
      <c r="P764" s="24"/>
    </row>
    <row r="765" spans="2:16" x14ac:dyDescent="0.25">
      <c r="B765" s="24"/>
      <c r="E765" s="24"/>
      <c r="G765" s="24"/>
      <c r="H765" s="24"/>
      <c r="J765" s="24"/>
      <c r="K765" s="24"/>
      <c r="M765" s="24"/>
      <c r="N765" s="24"/>
      <c r="P765" s="24"/>
    </row>
    <row r="766" spans="2:16" x14ac:dyDescent="0.25">
      <c r="B766" s="24"/>
      <c r="E766" s="24"/>
      <c r="G766" s="24"/>
      <c r="H766" s="24"/>
      <c r="J766" s="24"/>
      <c r="K766" s="24"/>
      <c r="M766" s="24"/>
      <c r="N766" s="24"/>
      <c r="P766" s="24"/>
    </row>
    <row r="767" spans="2:16" x14ac:dyDescent="0.25">
      <c r="B767" s="24"/>
      <c r="E767" s="24"/>
      <c r="G767" s="24"/>
      <c r="H767" s="24"/>
      <c r="J767" s="24"/>
      <c r="K767" s="24"/>
      <c r="M767" s="24"/>
      <c r="N767" s="24"/>
      <c r="P767" s="24"/>
    </row>
    <row r="768" spans="2:16" x14ac:dyDescent="0.25">
      <c r="B768" s="24"/>
      <c r="E768" s="24"/>
      <c r="G768" s="24"/>
      <c r="H768" s="24"/>
      <c r="J768" s="24"/>
      <c r="K768" s="24"/>
      <c r="M768" s="24"/>
      <c r="N768" s="24"/>
      <c r="P768" s="24"/>
    </row>
    <row r="769" spans="2:16" x14ac:dyDescent="0.25">
      <c r="B769" s="24"/>
      <c r="E769" s="24"/>
      <c r="G769" s="24"/>
      <c r="H769" s="24"/>
      <c r="J769" s="24"/>
      <c r="K769" s="24"/>
      <c r="M769" s="24"/>
      <c r="N769" s="24"/>
      <c r="P769" s="24"/>
    </row>
    <row r="770" spans="2:16" x14ac:dyDescent="0.25">
      <c r="B770" s="24"/>
      <c r="E770" s="24"/>
      <c r="G770" s="24"/>
      <c r="H770" s="24"/>
      <c r="J770" s="24"/>
      <c r="K770" s="24"/>
      <c r="M770" s="24"/>
      <c r="N770" s="24"/>
      <c r="P770" s="24"/>
    </row>
    <row r="771" spans="2:16" x14ac:dyDescent="0.25">
      <c r="B771" s="24"/>
      <c r="E771" s="24"/>
      <c r="G771" s="24"/>
      <c r="H771" s="24"/>
      <c r="J771" s="24"/>
      <c r="K771" s="24"/>
      <c r="M771" s="24"/>
      <c r="N771" s="24"/>
      <c r="P771" s="24"/>
    </row>
    <row r="772" spans="2:16" x14ac:dyDescent="0.25">
      <c r="B772" s="24"/>
      <c r="E772" s="24"/>
      <c r="G772" s="24"/>
      <c r="H772" s="24"/>
      <c r="J772" s="24"/>
      <c r="K772" s="24"/>
      <c r="M772" s="24"/>
      <c r="N772" s="24"/>
      <c r="P772" s="24"/>
    </row>
    <row r="773" spans="2:16" x14ac:dyDescent="0.25">
      <c r="B773" s="24"/>
      <c r="E773" s="24"/>
      <c r="G773" s="24"/>
      <c r="H773" s="24"/>
      <c r="J773" s="24"/>
      <c r="K773" s="24"/>
      <c r="M773" s="24"/>
      <c r="N773" s="24"/>
      <c r="P773" s="24"/>
    </row>
    <row r="774" spans="2:16" x14ac:dyDescent="0.25">
      <c r="B774" s="24"/>
      <c r="E774" s="24"/>
      <c r="G774" s="24"/>
      <c r="H774" s="24"/>
      <c r="J774" s="24"/>
      <c r="K774" s="24"/>
      <c r="M774" s="24"/>
      <c r="N774" s="24"/>
      <c r="P774" s="24"/>
    </row>
    <row r="775" spans="2:16" x14ac:dyDescent="0.25">
      <c r="B775" s="24"/>
      <c r="E775" s="24"/>
      <c r="G775" s="24"/>
      <c r="H775" s="24"/>
      <c r="J775" s="24"/>
      <c r="K775" s="24"/>
      <c r="M775" s="24"/>
      <c r="N775" s="24"/>
      <c r="P775" s="24"/>
    </row>
    <row r="776" spans="2:16" x14ac:dyDescent="0.25">
      <c r="B776" s="24"/>
      <c r="E776" s="24"/>
      <c r="G776" s="24"/>
      <c r="H776" s="24"/>
      <c r="J776" s="24"/>
      <c r="K776" s="24"/>
      <c r="M776" s="24"/>
      <c r="N776" s="24"/>
      <c r="P776" s="24"/>
    </row>
    <row r="777" spans="2:16" x14ac:dyDescent="0.25">
      <c r="B777" s="24"/>
      <c r="E777" s="24"/>
      <c r="G777" s="24"/>
      <c r="H777" s="24"/>
      <c r="J777" s="24"/>
      <c r="K777" s="24"/>
      <c r="M777" s="24"/>
      <c r="N777" s="24"/>
      <c r="P777" s="24"/>
    </row>
    <row r="778" spans="2:16" x14ac:dyDescent="0.25">
      <c r="B778" s="24"/>
      <c r="E778" s="24"/>
      <c r="G778" s="24"/>
      <c r="H778" s="24"/>
      <c r="J778" s="24"/>
      <c r="K778" s="24"/>
      <c r="M778" s="24"/>
      <c r="N778" s="24"/>
      <c r="P778" s="24"/>
    </row>
    <row r="779" spans="2:16" x14ac:dyDescent="0.25">
      <c r="B779" s="24"/>
      <c r="E779" s="24"/>
      <c r="G779" s="24"/>
      <c r="H779" s="24"/>
      <c r="J779" s="24"/>
      <c r="K779" s="24"/>
      <c r="M779" s="24"/>
      <c r="N779" s="24"/>
      <c r="P779" s="24"/>
    </row>
    <row r="780" spans="2:16" x14ac:dyDescent="0.25">
      <c r="B780" s="24"/>
      <c r="E780" s="24"/>
      <c r="G780" s="24"/>
      <c r="H780" s="24"/>
      <c r="J780" s="24"/>
      <c r="K780" s="24"/>
      <c r="M780" s="24"/>
      <c r="N780" s="24"/>
      <c r="P780" s="24"/>
    </row>
    <row r="781" spans="2:16" x14ac:dyDescent="0.25">
      <c r="B781" s="24"/>
      <c r="E781" s="24"/>
      <c r="G781" s="24"/>
      <c r="H781" s="24"/>
      <c r="J781" s="24"/>
      <c r="K781" s="24"/>
      <c r="M781" s="24"/>
      <c r="N781" s="24"/>
      <c r="P781" s="24"/>
    </row>
    <row r="782" spans="2:16" x14ac:dyDescent="0.25">
      <c r="B782" s="24"/>
      <c r="E782" s="24"/>
      <c r="G782" s="24"/>
      <c r="H782" s="24"/>
      <c r="J782" s="24"/>
      <c r="K782" s="24"/>
      <c r="M782" s="24"/>
      <c r="N782" s="24"/>
      <c r="P782" s="24"/>
    </row>
    <row r="783" spans="2:16" x14ac:dyDescent="0.25">
      <c r="B783" s="24"/>
      <c r="E783" s="24"/>
      <c r="G783" s="24"/>
      <c r="H783" s="24"/>
      <c r="J783" s="24"/>
      <c r="K783" s="24"/>
      <c r="M783" s="24"/>
      <c r="N783" s="24"/>
      <c r="P783" s="24"/>
    </row>
    <row r="784" spans="2:16" x14ac:dyDescent="0.25">
      <c r="B784" s="24"/>
      <c r="E784" s="24"/>
      <c r="G784" s="24"/>
      <c r="H784" s="24"/>
      <c r="J784" s="24"/>
      <c r="K784" s="24"/>
      <c r="M784" s="24"/>
      <c r="N784" s="24"/>
      <c r="P784" s="24"/>
    </row>
    <row r="785" spans="2:16" x14ac:dyDescent="0.25">
      <c r="B785" s="24"/>
      <c r="E785" s="24"/>
      <c r="G785" s="24"/>
      <c r="H785" s="24"/>
      <c r="J785" s="24"/>
      <c r="K785" s="24"/>
      <c r="M785" s="24"/>
      <c r="N785" s="24"/>
      <c r="P785" s="24"/>
    </row>
    <row r="786" spans="2:16" x14ac:dyDescent="0.25">
      <c r="B786" s="24"/>
      <c r="E786" s="24"/>
      <c r="G786" s="24"/>
      <c r="H786" s="24"/>
      <c r="J786" s="24"/>
      <c r="K786" s="24"/>
      <c r="M786" s="24"/>
      <c r="N786" s="24"/>
      <c r="P786" s="24"/>
    </row>
    <row r="787" spans="2:16" x14ac:dyDescent="0.25">
      <c r="B787" s="24"/>
      <c r="E787" s="24"/>
      <c r="G787" s="24"/>
      <c r="H787" s="24"/>
      <c r="J787" s="24"/>
      <c r="K787" s="24"/>
      <c r="M787" s="24"/>
      <c r="N787" s="24"/>
      <c r="P787" s="24"/>
    </row>
    <row r="788" spans="2:16" x14ac:dyDescent="0.25">
      <c r="B788" s="24"/>
      <c r="E788" s="24"/>
      <c r="G788" s="24"/>
      <c r="H788" s="24"/>
      <c r="J788" s="24"/>
      <c r="K788" s="24"/>
      <c r="M788" s="24"/>
      <c r="N788" s="24"/>
      <c r="P788" s="24"/>
    </row>
    <row r="789" spans="2:16" x14ac:dyDescent="0.25">
      <c r="B789" s="24"/>
      <c r="E789" s="24"/>
      <c r="G789" s="24"/>
      <c r="H789" s="24"/>
      <c r="J789" s="24"/>
      <c r="K789" s="24"/>
      <c r="M789" s="24"/>
      <c r="N789" s="24"/>
      <c r="P789" s="24"/>
    </row>
    <row r="790" spans="2:16" x14ac:dyDescent="0.25">
      <c r="B790" s="24"/>
      <c r="E790" s="24"/>
      <c r="G790" s="24"/>
      <c r="H790" s="24"/>
      <c r="J790" s="24"/>
      <c r="K790" s="24"/>
      <c r="M790" s="24"/>
      <c r="N790" s="24"/>
      <c r="P790" s="24"/>
    </row>
    <row r="791" spans="2:16" x14ac:dyDescent="0.25">
      <c r="B791" s="24"/>
      <c r="E791" s="24"/>
      <c r="G791" s="24"/>
      <c r="H791" s="24"/>
      <c r="J791" s="24"/>
      <c r="K791" s="24"/>
      <c r="M791" s="24"/>
      <c r="N791" s="24"/>
      <c r="P791" s="24"/>
    </row>
    <row r="792" spans="2:16" x14ac:dyDescent="0.25">
      <c r="B792" s="24"/>
      <c r="E792" s="24"/>
      <c r="G792" s="24"/>
      <c r="H792" s="24"/>
      <c r="J792" s="24"/>
      <c r="K792" s="24"/>
      <c r="M792" s="24"/>
      <c r="N792" s="24"/>
      <c r="P792" s="24"/>
    </row>
    <row r="793" spans="2:16" x14ac:dyDescent="0.25">
      <c r="B793" s="24"/>
      <c r="E793" s="24"/>
      <c r="G793" s="24"/>
      <c r="H793" s="24"/>
      <c r="J793" s="24"/>
      <c r="K793" s="24"/>
      <c r="M793" s="24"/>
      <c r="N793" s="24"/>
      <c r="P793" s="24"/>
    </row>
    <row r="794" spans="2:16" x14ac:dyDescent="0.25">
      <c r="B794" s="24"/>
      <c r="E794" s="24"/>
      <c r="G794" s="24"/>
      <c r="H794" s="24"/>
      <c r="J794" s="24"/>
      <c r="K794" s="24"/>
      <c r="M794" s="24"/>
      <c r="N794" s="24"/>
      <c r="P794" s="24"/>
    </row>
    <row r="795" spans="2:16" x14ac:dyDescent="0.25">
      <c r="B795" s="24"/>
      <c r="E795" s="24"/>
      <c r="G795" s="24"/>
      <c r="H795" s="24"/>
      <c r="J795" s="24"/>
      <c r="K795" s="24"/>
      <c r="M795" s="24"/>
      <c r="N795" s="24"/>
      <c r="P795" s="24"/>
    </row>
    <row r="796" spans="2:16" x14ac:dyDescent="0.25">
      <c r="B796" s="24"/>
      <c r="E796" s="24"/>
      <c r="G796" s="24"/>
      <c r="H796" s="24"/>
      <c r="J796" s="24"/>
      <c r="K796" s="24"/>
      <c r="M796" s="24"/>
      <c r="N796" s="24"/>
      <c r="P796" s="24"/>
    </row>
    <row r="797" spans="2:16" x14ac:dyDescent="0.25">
      <c r="B797" s="24"/>
      <c r="E797" s="24"/>
      <c r="G797" s="24"/>
      <c r="H797" s="24"/>
      <c r="J797" s="24"/>
      <c r="K797" s="24"/>
      <c r="M797" s="24"/>
      <c r="N797" s="24"/>
      <c r="P797" s="24"/>
    </row>
    <row r="798" spans="2:16" x14ac:dyDescent="0.25">
      <c r="B798" s="24"/>
      <c r="E798" s="24"/>
      <c r="G798" s="24"/>
      <c r="H798" s="24"/>
      <c r="J798" s="24"/>
      <c r="K798" s="24"/>
      <c r="M798" s="24"/>
      <c r="N798" s="24"/>
      <c r="P798" s="24"/>
    </row>
    <row r="799" spans="2:16" x14ac:dyDescent="0.25">
      <c r="B799" s="24"/>
      <c r="E799" s="24"/>
      <c r="G799" s="24"/>
      <c r="H799" s="24"/>
      <c r="J799" s="24"/>
      <c r="K799" s="24"/>
      <c r="M799" s="24"/>
      <c r="N799" s="24"/>
      <c r="P799" s="24"/>
    </row>
    <row r="800" spans="2:16" x14ac:dyDescent="0.25">
      <c r="B800" s="24"/>
      <c r="E800" s="24"/>
      <c r="G800" s="24"/>
      <c r="H800" s="24"/>
      <c r="J800" s="24"/>
      <c r="K800" s="24"/>
      <c r="M800" s="24"/>
      <c r="N800" s="24"/>
      <c r="P800" s="24"/>
    </row>
    <row r="801" spans="2:16" x14ac:dyDescent="0.25">
      <c r="B801" s="24"/>
      <c r="E801" s="24"/>
      <c r="G801" s="24"/>
      <c r="H801" s="24"/>
      <c r="J801" s="24"/>
      <c r="K801" s="24"/>
      <c r="M801" s="24"/>
      <c r="N801" s="24"/>
      <c r="P801" s="24"/>
    </row>
    <row r="802" spans="2:16" x14ac:dyDescent="0.25">
      <c r="B802" s="24"/>
      <c r="E802" s="24"/>
      <c r="G802" s="24"/>
      <c r="H802" s="24"/>
      <c r="J802" s="24"/>
      <c r="K802" s="24"/>
      <c r="M802" s="24"/>
      <c r="N802" s="24"/>
      <c r="P802" s="24"/>
    </row>
    <row r="803" spans="2:16" x14ac:dyDescent="0.25">
      <c r="B803" s="24"/>
      <c r="E803" s="24"/>
      <c r="G803" s="24"/>
      <c r="H803" s="24"/>
      <c r="J803" s="24"/>
      <c r="K803" s="24"/>
      <c r="M803" s="24"/>
      <c r="N803" s="24"/>
      <c r="P803" s="24"/>
    </row>
    <row r="804" spans="2:16" x14ac:dyDescent="0.25">
      <c r="B804" s="24"/>
      <c r="E804" s="24"/>
      <c r="G804" s="24"/>
      <c r="H804" s="24"/>
      <c r="J804" s="24"/>
      <c r="K804" s="24"/>
      <c r="M804" s="24"/>
      <c r="N804" s="24"/>
      <c r="P804" s="24"/>
    </row>
    <row r="805" spans="2:16" x14ac:dyDescent="0.25">
      <c r="B805" s="24"/>
      <c r="E805" s="24"/>
      <c r="G805" s="24"/>
      <c r="H805" s="24"/>
      <c r="J805" s="24"/>
      <c r="K805" s="24"/>
      <c r="M805" s="24"/>
      <c r="N805" s="24"/>
      <c r="P805" s="24"/>
    </row>
    <row r="806" spans="2:16" x14ac:dyDescent="0.25">
      <c r="B806" s="24"/>
      <c r="E806" s="24"/>
      <c r="G806" s="24"/>
      <c r="H806" s="24"/>
      <c r="J806" s="24"/>
      <c r="K806" s="24"/>
      <c r="M806" s="24"/>
      <c r="N806" s="24"/>
      <c r="P806" s="24"/>
    </row>
    <row r="807" spans="2:16" x14ac:dyDescent="0.25">
      <c r="B807" s="24"/>
      <c r="E807" s="24"/>
      <c r="G807" s="24"/>
      <c r="H807" s="24"/>
      <c r="J807" s="24"/>
      <c r="K807" s="24"/>
      <c r="M807" s="24"/>
      <c r="N807" s="24"/>
      <c r="P807" s="24"/>
    </row>
    <row r="808" spans="2:16" x14ac:dyDescent="0.25">
      <c r="B808" s="24"/>
      <c r="E808" s="24"/>
      <c r="G808" s="24"/>
      <c r="H808" s="24"/>
      <c r="J808" s="24"/>
      <c r="K808" s="24"/>
      <c r="M808" s="24"/>
      <c r="N808" s="24"/>
      <c r="P808" s="24"/>
    </row>
    <row r="809" spans="2:16" x14ac:dyDescent="0.25">
      <c r="B809" s="24"/>
      <c r="E809" s="24"/>
      <c r="G809" s="24"/>
      <c r="H809" s="24"/>
      <c r="J809" s="24"/>
      <c r="K809" s="24"/>
      <c r="M809" s="24"/>
      <c r="N809" s="24"/>
      <c r="P809" s="24"/>
    </row>
    <row r="810" spans="2:16" x14ac:dyDescent="0.25">
      <c r="B810" s="24"/>
      <c r="E810" s="24"/>
      <c r="G810" s="24"/>
      <c r="H810" s="24"/>
      <c r="J810" s="24"/>
      <c r="K810" s="24"/>
      <c r="M810" s="24"/>
      <c r="N810" s="24"/>
      <c r="P810" s="24"/>
    </row>
    <row r="811" spans="2:16" x14ac:dyDescent="0.25">
      <c r="B811" s="24"/>
      <c r="E811" s="24"/>
      <c r="G811" s="24"/>
      <c r="H811" s="24"/>
      <c r="J811" s="24"/>
      <c r="K811" s="24"/>
      <c r="M811" s="24"/>
      <c r="N811" s="24"/>
      <c r="P811" s="24"/>
    </row>
    <row r="812" spans="2:16" x14ac:dyDescent="0.25">
      <c r="B812" s="24"/>
      <c r="E812" s="24"/>
      <c r="G812" s="24"/>
      <c r="H812" s="24"/>
      <c r="J812" s="24"/>
      <c r="K812" s="24"/>
      <c r="M812" s="24"/>
      <c r="N812" s="24"/>
      <c r="P812" s="24"/>
    </row>
    <row r="813" spans="2:16" x14ac:dyDescent="0.25">
      <c r="B813" s="24"/>
      <c r="E813" s="24"/>
      <c r="G813" s="24"/>
      <c r="H813" s="24"/>
      <c r="J813" s="24"/>
      <c r="K813" s="24"/>
      <c r="M813" s="24"/>
      <c r="N813" s="24"/>
      <c r="P813" s="24"/>
    </row>
    <row r="814" spans="2:16" x14ac:dyDescent="0.25">
      <c r="B814" s="24"/>
      <c r="E814" s="24"/>
      <c r="G814" s="24"/>
      <c r="H814" s="24"/>
      <c r="J814" s="24"/>
      <c r="K814" s="24"/>
      <c r="M814" s="24"/>
      <c r="N814" s="24"/>
      <c r="P814" s="24"/>
    </row>
    <row r="815" spans="2:16" x14ac:dyDescent="0.25">
      <c r="B815" s="24"/>
      <c r="E815" s="24"/>
      <c r="G815" s="24"/>
      <c r="H815" s="24"/>
      <c r="J815" s="24"/>
      <c r="K815" s="24"/>
      <c r="M815" s="24"/>
      <c r="N815" s="24"/>
      <c r="P815" s="24"/>
    </row>
    <row r="816" spans="2:16" x14ac:dyDescent="0.25">
      <c r="B816" s="24"/>
      <c r="E816" s="24"/>
      <c r="G816" s="24"/>
      <c r="H816" s="24"/>
      <c r="J816" s="24"/>
      <c r="K816" s="24"/>
      <c r="M816" s="24"/>
      <c r="N816" s="24"/>
      <c r="P816" s="24"/>
    </row>
    <row r="817" spans="2:16" x14ac:dyDescent="0.25">
      <c r="B817" s="24"/>
      <c r="E817" s="24"/>
      <c r="G817" s="24"/>
      <c r="H817" s="24"/>
      <c r="J817" s="24"/>
      <c r="K817" s="24"/>
      <c r="M817" s="24"/>
      <c r="N817" s="24"/>
      <c r="P817" s="24"/>
    </row>
    <row r="818" spans="2:16" x14ac:dyDescent="0.25">
      <c r="B818" s="24"/>
      <c r="E818" s="24"/>
      <c r="G818" s="24"/>
      <c r="H818" s="24"/>
      <c r="J818" s="24"/>
      <c r="K818" s="24"/>
      <c r="M818" s="24"/>
      <c r="N818" s="24"/>
      <c r="P818" s="24"/>
    </row>
    <row r="819" spans="2:16" x14ac:dyDescent="0.25">
      <c r="B819" s="24"/>
      <c r="E819" s="24"/>
      <c r="G819" s="24"/>
      <c r="H819" s="24"/>
      <c r="J819" s="24"/>
      <c r="K819" s="24"/>
      <c r="M819" s="24"/>
      <c r="N819" s="24"/>
      <c r="P819" s="24"/>
    </row>
    <row r="820" spans="2:16" x14ac:dyDescent="0.25">
      <c r="B820" s="24"/>
      <c r="E820" s="24"/>
      <c r="G820" s="24"/>
      <c r="H820" s="24"/>
      <c r="J820" s="24"/>
      <c r="K820" s="24"/>
      <c r="M820" s="24"/>
      <c r="N820" s="24"/>
      <c r="P820" s="24"/>
    </row>
    <row r="821" spans="2:16" x14ac:dyDescent="0.25">
      <c r="B821" s="24"/>
      <c r="E821" s="24"/>
      <c r="G821" s="24"/>
      <c r="H821" s="24"/>
      <c r="J821" s="24"/>
      <c r="K821" s="24"/>
      <c r="M821" s="24"/>
      <c r="N821" s="24"/>
      <c r="P821" s="24"/>
    </row>
    <row r="822" spans="2:16" x14ac:dyDescent="0.25">
      <c r="B822" s="24"/>
      <c r="E822" s="24"/>
      <c r="G822" s="24"/>
      <c r="H822" s="24"/>
      <c r="J822" s="24"/>
      <c r="K822" s="24"/>
      <c r="M822" s="24"/>
      <c r="N822" s="24"/>
      <c r="P822" s="24"/>
    </row>
    <row r="823" spans="2:16" x14ac:dyDescent="0.25">
      <c r="B823" s="24"/>
      <c r="E823" s="24"/>
      <c r="G823" s="24"/>
      <c r="H823" s="24"/>
      <c r="J823" s="24"/>
      <c r="K823" s="24"/>
      <c r="M823" s="24"/>
      <c r="N823" s="24"/>
      <c r="P823" s="24"/>
    </row>
    <row r="824" spans="2:16" x14ac:dyDescent="0.25">
      <c r="B824" s="24"/>
      <c r="E824" s="24"/>
      <c r="G824" s="24"/>
      <c r="H824" s="24"/>
      <c r="J824" s="24"/>
      <c r="K824" s="24"/>
      <c r="M824" s="24"/>
      <c r="N824" s="24"/>
      <c r="P824" s="24"/>
    </row>
    <row r="825" spans="2:16" x14ac:dyDescent="0.25">
      <c r="B825" s="24"/>
      <c r="E825" s="24"/>
      <c r="G825" s="24"/>
      <c r="H825" s="24"/>
      <c r="J825" s="24"/>
      <c r="K825" s="24"/>
      <c r="M825" s="24"/>
      <c r="N825" s="24"/>
      <c r="P825" s="24"/>
    </row>
    <row r="826" spans="2:16" x14ac:dyDescent="0.25">
      <c r="B826" s="24"/>
      <c r="E826" s="24"/>
      <c r="G826" s="24"/>
      <c r="H826" s="24"/>
      <c r="J826" s="24"/>
      <c r="K826" s="24"/>
      <c r="M826" s="24"/>
      <c r="N826" s="24"/>
      <c r="P826" s="24"/>
    </row>
    <row r="827" spans="2:16" x14ac:dyDescent="0.25">
      <c r="B827" s="24"/>
      <c r="E827" s="24"/>
      <c r="G827" s="24"/>
      <c r="H827" s="24"/>
      <c r="J827" s="24"/>
      <c r="K827" s="24"/>
      <c r="M827" s="24"/>
      <c r="N827" s="24"/>
      <c r="P827" s="24"/>
    </row>
    <row r="828" spans="2:16" x14ac:dyDescent="0.25">
      <c r="B828" s="24"/>
      <c r="E828" s="24"/>
      <c r="G828" s="24"/>
      <c r="H828" s="24"/>
      <c r="J828" s="24"/>
      <c r="K828" s="24"/>
      <c r="M828" s="24"/>
      <c r="N828" s="24"/>
      <c r="P828" s="24"/>
    </row>
    <row r="829" spans="2:16" x14ac:dyDescent="0.25">
      <c r="B829" s="24"/>
      <c r="E829" s="24"/>
      <c r="G829" s="24"/>
      <c r="H829" s="24"/>
      <c r="J829" s="24"/>
      <c r="K829" s="24"/>
      <c r="M829" s="24"/>
      <c r="N829" s="24"/>
      <c r="P829" s="24"/>
    </row>
    <row r="830" spans="2:16" x14ac:dyDescent="0.25">
      <c r="B830" s="24"/>
      <c r="E830" s="24"/>
      <c r="G830" s="24"/>
      <c r="H830" s="24"/>
      <c r="J830" s="24"/>
      <c r="K830" s="24"/>
      <c r="M830" s="24"/>
      <c r="N830" s="24"/>
      <c r="P830" s="24"/>
    </row>
    <row r="831" spans="2:16" x14ac:dyDescent="0.25">
      <c r="B831" s="24"/>
      <c r="E831" s="24"/>
      <c r="G831" s="24"/>
      <c r="H831" s="24"/>
      <c r="J831" s="24"/>
      <c r="K831" s="24"/>
      <c r="M831" s="24"/>
      <c r="N831" s="24"/>
      <c r="P831" s="24"/>
    </row>
    <row r="832" spans="2:16" x14ac:dyDescent="0.25">
      <c r="B832" s="24"/>
      <c r="E832" s="24"/>
      <c r="G832" s="24"/>
      <c r="H832" s="24"/>
      <c r="J832" s="24"/>
      <c r="K832" s="24"/>
      <c r="M832" s="24"/>
      <c r="N832" s="24"/>
      <c r="P832" s="24"/>
    </row>
    <row r="833" spans="2:16" x14ac:dyDescent="0.25">
      <c r="B833" s="24"/>
      <c r="E833" s="24"/>
      <c r="G833" s="24"/>
      <c r="H833" s="24"/>
      <c r="J833" s="24"/>
      <c r="K833" s="24"/>
      <c r="M833" s="24"/>
      <c r="N833" s="24"/>
      <c r="P833" s="24"/>
    </row>
    <row r="834" spans="2:16" x14ac:dyDescent="0.25">
      <c r="B834" s="24"/>
      <c r="E834" s="24"/>
      <c r="G834" s="24"/>
      <c r="H834" s="24"/>
      <c r="J834" s="24"/>
      <c r="K834" s="24"/>
      <c r="M834" s="24"/>
      <c r="N834" s="24"/>
      <c r="P834" s="24"/>
    </row>
    <row r="835" spans="2:16" x14ac:dyDescent="0.25">
      <c r="B835" s="24"/>
      <c r="E835" s="24"/>
      <c r="G835" s="24"/>
      <c r="H835" s="24"/>
      <c r="J835" s="24"/>
      <c r="K835" s="24"/>
      <c r="M835" s="24"/>
      <c r="N835" s="24"/>
      <c r="P835" s="24"/>
    </row>
    <row r="836" spans="2:16" x14ac:dyDescent="0.25">
      <c r="B836" s="24"/>
      <c r="E836" s="24"/>
      <c r="G836" s="24"/>
      <c r="H836" s="24"/>
      <c r="J836" s="24"/>
      <c r="K836" s="24"/>
      <c r="M836" s="24"/>
      <c r="N836" s="24"/>
      <c r="P836" s="24"/>
    </row>
    <row r="837" spans="2:16" x14ac:dyDescent="0.25">
      <c r="B837" s="24"/>
      <c r="E837" s="24"/>
      <c r="G837" s="24"/>
      <c r="H837" s="24"/>
      <c r="J837" s="24"/>
      <c r="K837" s="24"/>
      <c r="M837" s="24"/>
      <c r="N837" s="24"/>
      <c r="P837" s="24"/>
    </row>
    <row r="838" spans="2:16" x14ac:dyDescent="0.25">
      <c r="B838" s="24"/>
      <c r="E838" s="24"/>
      <c r="G838" s="24"/>
      <c r="H838" s="24"/>
      <c r="J838" s="24"/>
      <c r="K838" s="24"/>
      <c r="M838" s="24"/>
      <c r="N838" s="24"/>
      <c r="P838" s="24"/>
    </row>
    <row r="839" spans="2:16" x14ac:dyDescent="0.25">
      <c r="B839" s="24"/>
      <c r="E839" s="24"/>
      <c r="G839" s="24"/>
      <c r="H839" s="24"/>
      <c r="J839" s="24"/>
      <c r="K839" s="24"/>
      <c r="M839" s="24"/>
      <c r="N839" s="24"/>
      <c r="P839" s="24"/>
    </row>
    <row r="840" spans="2:16" x14ac:dyDescent="0.25">
      <c r="B840" s="24"/>
      <c r="E840" s="24"/>
      <c r="G840" s="24"/>
      <c r="H840" s="24"/>
      <c r="J840" s="24"/>
      <c r="K840" s="24"/>
      <c r="M840" s="24"/>
      <c r="N840" s="24"/>
      <c r="P840" s="24"/>
    </row>
    <row r="841" spans="2:16" x14ac:dyDescent="0.25">
      <c r="B841" s="24"/>
      <c r="E841" s="24"/>
      <c r="G841" s="24"/>
      <c r="H841" s="24"/>
      <c r="J841" s="24"/>
      <c r="K841" s="24"/>
      <c r="M841" s="24"/>
      <c r="N841" s="24"/>
      <c r="P841" s="24"/>
    </row>
    <row r="842" spans="2:16" x14ac:dyDescent="0.25">
      <c r="B842" s="24"/>
      <c r="E842" s="24"/>
      <c r="G842" s="24"/>
      <c r="H842" s="24"/>
      <c r="J842" s="24"/>
      <c r="K842" s="24"/>
      <c r="M842" s="24"/>
      <c r="N842" s="24"/>
      <c r="P842" s="24"/>
    </row>
    <row r="843" spans="2:16" x14ac:dyDescent="0.25">
      <c r="B843" s="24"/>
      <c r="E843" s="24"/>
      <c r="G843" s="24"/>
      <c r="H843" s="24"/>
      <c r="J843" s="24"/>
      <c r="K843" s="24"/>
      <c r="M843" s="24"/>
      <c r="N843" s="24"/>
      <c r="P843" s="24"/>
    </row>
    <row r="844" spans="2:16" x14ac:dyDescent="0.25">
      <c r="B844" s="24"/>
      <c r="E844" s="24"/>
      <c r="G844" s="24"/>
      <c r="H844" s="24"/>
      <c r="J844" s="24"/>
      <c r="K844" s="24"/>
      <c r="M844" s="24"/>
      <c r="N844" s="24"/>
      <c r="P844" s="24"/>
    </row>
    <row r="845" spans="2:16" x14ac:dyDescent="0.25">
      <c r="B845" s="24"/>
      <c r="E845" s="24"/>
      <c r="G845" s="24"/>
      <c r="H845" s="24"/>
      <c r="J845" s="24"/>
      <c r="K845" s="24"/>
      <c r="M845" s="24"/>
      <c r="N845" s="24"/>
      <c r="P845" s="24"/>
    </row>
    <row r="846" spans="2:16" x14ac:dyDescent="0.25">
      <c r="B846" s="24"/>
      <c r="E846" s="24"/>
      <c r="G846" s="24"/>
      <c r="H846" s="24"/>
      <c r="J846" s="24"/>
      <c r="K846" s="24"/>
      <c r="M846" s="24"/>
      <c r="N846" s="24"/>
      <c r="P846" s="24"/>
    </row>
    <row r="847" spans="2:16" x14ac:dyDescent="0.25">
      <c r="B847" s="24"/>
      <c r="E847" s="24"/>
      <c r="G847" s="24"/>
      <c r="H847" s="24"/>
      <c r="J847" s="24"/>
      <c r="K847" s="24"/>
      <c r="M847" s="24"/>
      <c r="N847" s="24"/>
      <c r="P847" s="24"/>
    </row>
    <row r="848" spans="2:16" x14ac:dyDescent="0.25">
      <c r="B848" s="24"/>
      <c r="E848" s="24"/>
      <c r="G848" s="24"/>
      <c r="H848" s="24"/>
      <c r="J848" s="24"/>
      <c r="K848" s="24"/>
      <c r="M848" s="24"/>
      <c r="N848" s="24"/>
      <c r="P848" s="24"/>
    </row>
    <row r="849" spans="2:16" x14ac:dyDescent="0.25">
      <c r="B849" s="24"/>
      <c r="E849" s="24"/>
      <c r="G849" s="24"/>
      <c r="H849" s="24"/>
      <c r="J849" s="24"/>
      <c r="K849" s="24"/>
      <c r="M849" s="24"/>
      <c r="N849" s="24"/>
      <c r="P849" s="24"/>
    </row>
    <row r="850" spans="2:16" x14ac:dyDescent="0.25">
      <c r="B850" s="24"/>
      <c r="E850" s="24"/>
      <c r="G850" s="24"/>
      <c r="H850" s="24"/>
      <c r="J850" s="24"/>
      <c r="K850" s="24"/>
      <c r="M850" s="24"/>
      <c r="N850" s="24"/>
      <c r="P850" s="24"/>
    </row>
    <row r="851" spans="2:16" x14ac:dyDescent="0.25">
      <c r="B851" s="24"/>
      <c r="E851" s="24"/>
      <c r="G851" s="24"/>
      <c r="H851" s="24"/>
      <c r="J851" s="24"/>
      <c r="K851" s="24"/>
      <c r="M851" s="24"/>
      <c r="N851" s="24"/>
      <c r="P851" s="24"/>
    </row>
    <row r="852" spans="2:16" x14ac:dyDescent="0.25">
      <c r="B852" s="24"/>
      <c r="E852" s="24"/>
      <c r="G852" s="24"/>
      <c r="H852" s="24"/>
      <c r="J852" s="24"/>
      <c r="K852" s="24"/>
      <c r="M852" s="24"/>
      <c r="N852" s="24"/>
      <c r="P852" s="24"/>
    </row>
    <row r="853" spans="2:16" x14ac:dyDescent="0.25">
      <c r="B853" s="24"/>
      <c r="E853" s="24"/>
      <c r="G853" s="24"/>
      <c r="H853" s="24"/>
      <c r="J853" s="24"/>
      <c r="K853" s="24"/>
      <c r="M853" s="24"/>
      <c r="N853" s="24"/>
      <c r="P853" s="24"/>
    </row>
    <row r="854" spans="2:16" x14ac:dyDescent="0.25">
      <c r="B854" s="24"/>
      <c r="E854" s="24"/>
      <c r="G854" s="24"/>
      <c r="H854" s="24"/>
      <c r="J854" s="24"/>
      <c r="K854" s="24"/>
      <c r="M854" s="24"/>
      <c r="N854" s="24"/>
      <c r="P854" s="24"/>
    </row>
    <row r="855" spans="2:16" x14ac:dyDescent="0.25">
      <c r="B855" s="24"/>
      <c r="E855" s="24"/>
      <c r="G855" s="24"/>
      <c r="H855" s="24"/>
      <c r="J855" s="24"/>
      <c r="K855" s="24"/>
      <c r="M855" s="24"/>
      <c r="N855" s="24"/>
      <c r="P855" s="24"/>
    </row>
    <row r="856" spans="2:16" x14ac:dyDescent="0.25">
      <c r="B856" s="24"/>
      <c r="E856" s="24"/>
      <c r="G856" s="24"/>
      <c r="H856" s="24"/>
      <c r="J856" s="24"/>
      <c r="K856" s="24"/>
      <c r="M856" s="24"/>
      <c r="N856" s="24"/>
      <c r="P856" s="24"/>
    </row>
    <row r="857" spans="2:16" x14ac:dyDescent="0.25">
      <c r="B857" s="24"/>
      <c r="E857" s="24"/>
      <c r="G857" s="24"/>
      <c r="H857" s="24"/>
      <c r="J857" s="24"/>
      <c r="K857" s="24"/>
      <c r="M857" s="24"/>
      <c r="N857" s="24"/>
      <c r="P857" s="24"/>
    </row>
    <row r="858" spans="2:16" x14ac:dyDescent="0.25">
      <c r="B858" s="24"/>
      <c r="E858" s="24"/>
      <c r="G858" s="24"/>
      <c r="H858" s="24"/>
      <c r="J858" s="24"/>
      <c r="K858" s="24"/>
      <c r="M858" s="24"/>
      <c r="N858" s="24"/>
      <c r="P858" s="24"/>
    </row>
    <row r="859" spans="2:16" x14ac:dyDescent="0.25">
      <c r="B859" s="24"/>
      <c r="E859" s="24"/>
      <c r="G859" s="24"/>
      <c r="H859" s="24"/>
      <c r="J859" s="24"/>
      <c r="K859" s="24"/>
      <c r="M859" s="24"/>
      <c r="N859" s="24"/>
      <c r="P859" s="24"/>
    </row>
    <row r="860" spans="2:16" x14ac:dyDescent="0.25">
      <c r="B860" s="24"/>
      <c r="E860" s="24"/>
      <c r="G860" s="24"/>
      <c r="H860" s="24"/>
      <c r="J860" s="24"/>
      <c r="K860" s="24"/>
      <c r="M860" s="24"/>
      <c r="N860" s="24"/>
      <c r="P860" s="24"/>
    </row>
    <row r="861" spans="2:16" x14ac:dyDescent="0.25">
      <c r="B861" s="24"/>
      <c r="E861" s="24"/>
      <c r="G861" s="24"/>
      <c r="H861" s="24"/>
      <c r="J861" s="24"/>
      <c r="K861" s="24"/>
      <c r="M861" s="24"/>
      <c r="N861" s="24"/>
      <c r="P861" s="24"/>
    </row>
    <row r="862" spans="2:16" x14ac:dyDescent="0.25">
      <c r="B862" s="24"/>
      <c r="E862" s="24"/>
      <c r="G862" s="24"/>
      <c r="H862" s="24"/>
      <c r="J862" s="24"/>
      <c r="K862" s="24"/>
      <c r="M862" s="24"/>
      <c r="N862" s="24"/>
      <c r="P862" s="24"/>
    </row>
    <row r="863" spans="2:16" x14ac:dyDescent="0.25">
      <c r="B863" s="24"/>
      <c r="E863" s="24"/>
      <c r="G863" s="24"/>
      <c r="H863" s="24"/>
      <c r="J863" s="24"/>
      <c r="K863" s="24"/>
      <c r="M863" s="24"/>
      <c r="N863" s="24"/>
      <c r="P863" s="24"/>
    </row>
    <row r="864" spans="2:16" x14ac:dyDescent="0.25">
      <c r="B864" s="24"/>
      <c r="E864" s="24"/>
      <c r="G864" s="24"/>
      <c r="H864" s="24"/>
      <c r="J864" s="24"/>
      <c r="K864" s="24"/>
      <c r="M864" s="24"/>
      <c r="N864" s="24"/>
      <c r="P864" s="24"/>
    </row>
    <row r="865" spans="2:16" x14ac:dyDescent="0.25">
      <c r="B865" s="24"/>
      <c r="E865" s="24"/>
      <c r="G865" s="24"/>
      <c r="H865" s="24"/>
      <c r="J865" s="24"/>
      <c r="K865" s="24"/>
      <c r="M865" s="24"/>
      <c r="N865" s="24"/>
      <c r="P865" s="24"/>
    </row>
    <row r="866" spans="2:16" x14ac:dyDescent="0.25">
      <c r="B866" s="24"/>
      <c r="E866" s="24"/>
      <c r="G866" s="24"/>
      <c r="H866" s="24"/>
      <c r="J866" s="24"/>
      <c r="K866" s="24"/>
      <c r="M866" s="24"/>
      <c r="N866" s="24"/>
      <c r="P866" s="24"/>
    </row>
    <row r="867" spans="2:16" x14ac:dyDescent="0.25">
      <c r="B867" s="24"/>
      <c r="E867" s="24"/>
      <c r="G867" s="24"/>
      <c r="H867" s="24"/>
      <c r="J867" s="24"/>
      <c r="K867" s="24"/>
      <c r="M867" s="24"/>
      <c r="N867" s="24"/>
      <c r="P867" s="24"/>
    </row>
    <row r="868" spans="2:16" x14ac:dyDescent="0.25">
      <c r="B868" s="24"/>
      <c r="E868" s="24"/>
      <c r="G868" s="24"/>
      <c r="H868" s="24"/>
      <c r="J868" s="24"/>
      <c r="K868" s="24"/>
      <c r="M868" s="24"/>
      <c r="N868" s="24"/>
      <c r="P868" s="24"/>
    </row>
    <row r="869" spans="2:16" x14ac:dyDescent="0.25">
      <c r="B869" s="24"/>
      <c r="E869" s="24"/>
      <c r="G869" s="24"/>
      <c r="H869" s="24"/>
      <c r="J869" s="24"/>
      <c r="K869" s="24"/>
      <c r="M869" s="24"/>
      <c r="N869" s="24"/>
      <c r="P869" s="24"/>
    </row>
    <row r="870" spans="2:16" x14ac:dyDescent="0.25">
      <c r="B870" s="24"/>
      <c r="E870" s="24"/>
      <c r="G870" s="24"/>
      <c r="H870" s="24"/>
      <c r="J870" s="24"/>
      <c r="K870" s="24"/>
      <c r="M870" s="24"/>
      <c r="N870" s="24"/>
      <c r="P870" s="24"/>
    </row>
    <row r="871" spans="2:16" x14ac:dyDescent="0.25">
      <c r="B871" s="24"/>
      <c r="E871" s="24"/>
      <c r="G871" s="24"/>
      <c r="H871" s="24"/>
      <c r="J871" s="24"/>
      <c r="K871" s="24"/>
      <c r="M871" s="24"/>
      <c r="N871" s="24"/>
      <c r="P871" s="24"/>
    </row>
    <row r="872" spans="2:16" x14ac:dyDescent="0.25">
      <c r="B872" s="24"/>
      <c r="E872" s="24"/>
      <c r="G872" s="24"/>
      <c r="H872" s="24"/>
      <c r="J872" s="24"/>
      <c r="K872" s="24"/>
      <c r="M872" s="24"/>
      <c r="N872" s="24"/>
      <c r="P872" s="24"/>
    </row>
    <row r="873" spans="2:16" x14ac:dyDescent="0.25">
      <c r="B873" s="24"/>
      <c r="E873" s="24"/>
      <c r="G873" s="24"/>
      <c r="H873" s="24"/>
      <c r="J873" s="24"/>
      <c r="K873" s="24"/>
      <c r="M873" s="24"/>
      <c r="N873" s="24"/>
      <c r="P873" s="24"/>
    </row>
    <row r="874" spans="2:16" x14ac:dyDescent="0.25">
      <c r="B874" s="24"/>
      <c r="E874" s="24"/>
      <c r="G874" s="24"/>
      <c r="H874" s="24"/>
      <c r="J874" s="24"/>
      <c r="K874" s="24"/>
      <c r="M874" s="24"/>
      <c r="N874" s="24"/>
      <c r="P874" s="24"/>
    </row>
    <row r="875" spans="2:16" x14ac:dyDescent="0.25">
      <c r="B875" s="24"/>
      <c r="E875" s="24"/>
      <c r="G875" s="24"/>
      <c r="H875" s="24"/>
      <c r="J875" s="24"/>
      <c r="K875" s="24"/>
      <c r="M875" s="24"/>
      <c r="N875" s="24"/>
      <c r="P875" s="24"/>
    </row>
    <row r="876" spans="2:16" x14ac:dyDescent="0.25">
      <c r="B876" s="24"/>
      <c r="E876" s="24"/>
      <c r="G876" s="24"/>
      <c r="H876" s="24"/>
      <c r="J876" s="24"/>
      <c r="K876" s="24"/>
      <c r="M876" s="24"/>
      <c r="N876" s="24"/>
      <c r="P876" s="24"/>
    </row>
    <row r="877" spans="2:16" x14ac:dyDescent="0.25">
      <c r="B877" s="24"/>
      <c r="E877" s="24"/>
      <c r="G877" s="24"/>
      <c r="H877" s="24"/>
      <c r="J877" s="24"/>
      <c r="K877" s="24"/>
      <c r="M877" s="24"/>
      <c r="N877" s="24"/>
      <c r="P877" s="24"/>
    </row>
    <row r="878" spans="2:16" x14ac:dyDescent="0.25">
      <c r="B878" s="24"/>
      <c r="E878" s="24"/>
      <c r="G878" s="24"/>
      <c r="H878" s="24"/>
      <c r="J878" s="24"/>
      <c r="K878" s="24"/>
      <c r="M878" s="24"/>
      <c r="N878" s="24"/>
      <c r="P878" s="24"/>
    </row>
    <row r="879" spans="2:16" x14ac:dyDescent="0.25">
      <c r="B879" s="24"/>
      <c r="E879" s="24"/>
      <c r="G879" s="24"/>
      <c r="H879" s="24"/>
      <c r="J879" s="24"/>
      <c r="K879" s="24"/>
      <c r="M879" s="24"/>
      <c r="N879" s="24"/>
      <c r="P879" s="24"/>
    </row>
    <row r="880" spans="2:16" x14ac:dyDescent="0.25">
      <c r="B880" s="24"/>
      <c r="E880" s="24"/>
      <c r="G880" s="24"/>
      <c r="H880" s="24"/>
      <c r="J880" s="24"/>
      <c r="K880" s="24"/>
      <c r="M880" s="24"/>
      <c r="N880" s="24"/>
      <c r="P880" s="24"/>
    </row>
    <row r="881" spans="2:16" x14ac:dyDescent="0.25">
      <c r="B881" s="24"/>
      <c r="E881" s="24"/>
      <c r="G881" s="24"/>
      <c r="H881" s="24"/>
      <c r="J881" s="24"/>
      <c r="K881" s="24"/>
      <c r="M881" s="24"/>
      <c r="N881" s="24"/>
      <c r="P881" s="24"/>
    </row>
    <row r="882" spans="2:16" x14ac:dyDescent="0.25">
      <c r="B882" s="24"/>
      <c r="E882" s="24"/>
      <c r="G882" s="24"/>
      <c r="H882" s="24"/>
      <c r="J882" s="24"/>
      <c r="K882" s="24"/>
      <c r="M882" s="24"/>
      <c r="N882" s="24"/>
      <c r="P882" s="24"/>
    </row>
    <row r="883" spans="2:16" x14ac:dyDescent="0.25">
      <c r="B883" s="24"/>
      <c r="E883" s="24"/>
      <c r="G883" s="24"/>
      <c r="H883" s="24"/>
      <c r="J883" s="24"/>
      <c r="K883" s="24"/>
      <c r="M883" s="24"/>
      <c r="N883" s="24"/>
      <c r="P883" s="24"/>
    </row>
    <row r="884" spans="2:16" x14ac:dyDescent="0.25">
      <c r="B884" s="24"/>
      <c r="E884" s="24"/>
      <c r="G884" s="24"/>
      <c r="H884" s="24"/>
      <c r="J884" s="24"/>
      <c r="K884" s="24"/>
      <c r="M884" s="24"/>
      <c r="N884" s="24"/>
      <c r="P884" s="24"/>
    </row>
    <row r="885" spans="2:16" x14ac:dyDescent="0.25">
      <c r="B885" s="24"/>
      <c r="E885" s="24"/>
      <c r="G885" s="24"/>
      <c r="H885" s="24"/>
      <c r="J885" s="24"/>
      <c r="K885" s="24"/>
      <c r="M885" s="24"/>
      <c r="N885" s="24"/>
      <c r="P885" s="24"/>
    </row>
    <row r="886" spans="2:16" x14ac:dyDescent="0.25">
      <c r="B886" s="24"/>
      <c r="E886" s="24"/>
      <c r="G886" s="24"/>
      <c r="H886" s="24"/>
      <c r="J886" s="24"/>
      <c r="K886" s="24"/>
      <c r="M886" s="24"/>
      <c r="N886" s="24"/>
      <c r="P886" s="24"/>
    </row>
    <row r="887" spans="2:16" x14ac:dyDescent="0.25">
      <c r="B887" s="24"/>
      <c r="E887" s="24"/>
      <c r="G887" s="24"/>
      <c r="H887" s="24"/>
      <c r="J887" s="24"/>
      <c r="K887" s="24"/>
      <c r="M887" s="24"/>
      <c r="N887" s="24"/>
      <c r="P887" s="24"/>
    </row>
    <row r="888" spans="2:16" x14ac:dyDescent="0.25">
      <c r="B888" s="24"/>
      <c r="E888" s="24"/>
      <c r="G888" s="24"/>
      <c r="H888" s="24"/>
      <c r="J888" s="24"/>
      <c r="K888" s="24"/>
      <c r="M888" s="24"/>
      <c r="N888" s="24"/>
      <c r="P888" s="24"/>
    </row>
    <row r="889" spans="2:16" x14ac:dyDescent="0.25">
      <c r="B889" s="24"/>
      <c r="E889" s="24"/>
      <c r="G889" s="24"/>
      <c r="H889" s="24"/>
      <c r="J889" s="24"/>
      <c r="K889" s="24"/>
      <c r="M889" s="24"/>
      <c r="N889" s="24"/>
      <c r="P889" s="24"/>
    </row>
    <row r="890" spans="2:16" x14ac:dyDescent="0.25">
      <c r="B890" s="24"/>
      <c r="E890" s="24"/>
      <c r="G890" s="24"/>
      <c r="H890" s="24"/>
      <c r="J890" s="24"/>
      <c r="K890" s="24"/>
      <c r="M890" s="24"/>
      <c r="N890" s="24"/>
      <c r="P890" s="24"/>
    </row>
    <row r="891" spans="2:16" x14ac:dyDescent="0.25">
      <c r="B891" s="24"/>
      <c r="E891" s="24"/>
      <c r="G891" s="24"/>
      <c r="H891" s="24"/>
      <c r="J891" s="24"/>
      <c r="K891" s="24"/>
      <c r="M891" s="24"/>
      <c r="N891" s="24"/>
      <c r="P891" s="24"/>
    </row>
    <row r="892" spans="2:16" x14ac:dyDescent="0.25">
      <c r="B892" s="24"/>
      <c r="E892" s="24"/>
      <c r="G892" s="24"/>
      <c r="H892" s="24"/>
      <c r="J892" s="24"/>
      <c r="K892" s="24"/>
      <c r="M892" s="24"/>
      <c r="N892" s="24"/>
      <c r="P892" s="24"/>
    </row>
    <row r="893" spans="2:16" x14ac:dyDescent="0.25">
      <c r="B893" s="24"/>
      <c r="E893" s="24"/>
      <c r="G893" s="24"/>
      <c r="H893" s="24"/>
      <c r="J893" s="24"/>
      <c r="K893" s="24"/>
      <c r="M893" s="24"/>
      <c r="N893" s="24"/>
      <c r="P893" s="24"/>
    </row>
    <row r="894" spans="2:16" x14ac:dyDescent="0.25">
      <c r="B894" s="24"/>
      <c r="E894" s="24"/>
      <c r="G894" s="24"/>
      <c r="H894" s="24"/>
      <c r="J894" s="24"/>
      <c r="K894" s="24"/>
      <c r="M894" s="24"/>
      <c r="N894" s="24"/>
      <c r="P894" s="24"/>
    </row>
    <row r="895" spans="2:16" x14ac:dyDescent="0.25">
      <c r="B895" s="24"/>
      <c r="E895" s="24"/>
      <c r="G895" s="24"/>
      <c r="H895" s="24"/>
      <c r="J895" s="24"/>
      <c r="K895" s="24"/>
      <c r="M895" s="24"/>
      <c r="N895" s="24"/>
      <c r="P895" s="24"/>
    </row>
    <row r="896" spans="2:16" x14ac:dyDescent="0.25">
      <c r="B896" s="24"/>
      <c r="E896" s="24"/>
      <c r="G896" s="24"/>
      <c r="H896" s="24"/>
      <c r="J896" s="24"/>
      <c r="K896" s="24"/>
      <c r="M896" s="24"/>
      <c r="N896" s="24"/>
      <c r="P896" s="24"/>
    </row>
    <row r="897" spans="2:16" x14ac:dyDescent="0.25">
      <c r="B897" s="24"/>
      <c r="E897" s="24"/>
      <c r="G897" s="24"/>
      <c r="H897" s="24"/>
      <c r="J897" s="24"/>
      <c r="K897" s="24"/>
      <c r="M897" s="24"/>
      <c r="N897" s="24"/>
      <c r="P897" s="24"/>
    </row>
    <row r="898" spans="2:16" x14ac:dyDescent="0.25">
      <c r="B898" s="24"/>
      <c r="E898" s="24"/>
      <c r="G898" s="24"/>
      <c r="H898" s="24"/>
      <c r="J898" s="24"/>
      <c r="K898" s="24"/>
      <c r="M898" s="24"/>
      <c r="N898" s="24"/>
      <c r="P898" s="24"/>
    </row>
    <row r="899" spans="2:16" x14ac:dyDescent="0.25">
      <c r="B899" s="24"/>
      <c r="E899" s="24"/>
      <c r="G899" s="24"/>
      <c r="H899" s="24"/>
      <c r="J899" s="24"/>
      <c r="K899" s="24"/>
      <c r="M899" s="24"/>
      <c r="N899" s="24"/>
      <c r="P899" s="24"/>
    </row>
    <row r="900" spans="2:16" x14ac:dyDescent="0.25">
      <c r="B900" s="24"/>
      <c r="E900" s="24"/>
      <c r="G900" s="24"/>
      <c r="H900" s="24"/>
      <c r="J900" s="24"/>
      <c r="K900" s="24"/>
      <c r="M900" s="24"/>
      <c r="N900" s="24"/>
      <c r="P900" s="24"/>
    </row>
    <row r="901" spans="2:16" x14ac:dyDescent="0.25">
      <c r="B901" s="24"/>
      <c r="E901" s="24"/>
      <c r="G901" s="24"/>
      <c r="H901" s="24"/>
      <c r="J901" s="24"/>
      <c r="K901" s="24"/>
      <c r="M901" s="24"/>
      <c r="N901" s="24"/>
      <c r="P901" s="24"/>
    </row>
    <row r="902" spans="2:16" x14ac:dyDescent="0.25">
      <c r="B902" s="24"/>
      <c r="E902" s="24"/>
      <c r="G902" s="24"/>
      <c r="H902" s="24"/>
      <c r="J902" s="24"/>
      <c r="K902" s="24"/>
      <c r="M902" s="24"/>
      <c r="N902" s="24"/>
      <c r="P902" s="24"/>
    </row>
    <row r="903" spans="2:16" x14ac:dyDescent="0.25">
      <c r="B903" s="24"/>
      <c r="E903" s="24"/>
      <c r="G903" s="24"/>
      <c r="H903" s="24"/>
      <c r="J903" s="24"/>
      <c r="K903" s="24"/>
      <c r="M903" s="24"/>
      <c r="N903" s="24"/>
      <c r="P903" s="24"/>
    </row>
    <row r="904" spans="2:16" x14ac:dyDescent="0.25">
      <c r="B904" s="24"/>
      <c r="E904" s="24"/>
      <c r="G904" s="24"/>
      <c r="H904" s="24"/>
      <c r="J904" s="24"/>
      <c r="K904" s="24"/>
      <c r="M904" s="24"/>
      <c r="N904" s="24"/>
      <c r="P904" s="24"/>
    </row>
    <row r="905" spans="2:16" x14ac:dyDescent="0.25">
      <c r="B905" s="24"/>
      <c r="E905" s="24"/>
      <c r="G905" s="24"/>
      <c r="H905" s="24"/>
      <c r="J905" s="24"/>
      <c r="K905" s="24"/>
      <c r="M905" s="24"/>
      <c r="N905" s="24"/>
      <c r="P905" s="24"/>
    </row>
    <row r="906" spans="2:16" x14ac:dyDescent="0.25">
      <c r="B906" s="24"/>
      <c r="E906" s="24"/>
      <c r="G906" s="24"/>
      <c r="H906" s="24"/>
      <c r="J906" s="24"/>
      <c r="K906" s="24"/>
      <c r="M906" s="24"/>
      <c r="N906" s="24"/>
      <c r="P906" s="24"/>
    </row>
    <row r="907" spans="2:16" x14ac:dyDescent="0.25">
      <c r="B907" s="24"/>
      <c r="E907" s="24"/>
      <c r="G907" s="24"/>
      <c r="H907" s="24"/>
      <c r="J907" s="24"/>
      <c r="K907" s="24"/>
      <c r="M907" s="24"/>
      <c r="N907" s="24"/>
      <c r="P907" s="24"/>
    </row>
    <row r="908" spans="2:16" x14ac:dyDescent="0.25">
      <c r="B908" s="24"/>
      <c r="E908" s="24"/>
      <c r="G908" s="24"/>
      <c r="H908" s="24"/>
      <c r="J908" s="24"/>
      <c r="K908" s="24"/>
      <c r="M908" s="24"/>
      <c r="N908" s="24"/>
      <c r="P908" s="24"/>
    </row>
    <row r="909" spans="2:16" x14ac:dyDescent="0.25">
      <c r="B909" s="24"/>
      <c r="E909" s="24"/>
      <c r="G909" s="24"/>
      <c r="H909" s="24"/>
      <c r="J909" s="24"/>
      <c r="K909" s="24"/>
      <c r="M909" s="24"/>
      <c r="N909" s="24"/>
      <c r="P909" s="24"/>
    </row>
    <row r="910" spans="2:16" x14ac:dyDescent="0.25">
      <c r="B910" s="24"/>
      <c r="E910" s="24"/>
      <c r="G910" s="24"/>
      <c r="H910" s="24"/>
      <c r="J910" s="24"/>
      <c r="K910" s="24"/>
      <c r="M910" s="24"/>
      <c r="N910" s="24"/>
      <c r="P910" s="24"/>
    </row>
    <row r="911" spans="2:16" x14ac:dyDescent="0.25">
      <c r="B911" s="24"/>
      <c r="E911" s="24"/>
      <c r="G911" s="24"/>
      <c r="H911" s="24"/>
      <c r="J911" s="24"/>
      <c r="K911" s="24"/>
      <c r="M911" s="24"/>
      <c r="N911" s="24"/>
      <c r="P911" s="24"/>
    </row>
    <row r="912" spans="2:16" x14ac:dyDescent="0.25">
      <c r="B912" s="24"/>
      <c r="E912" s="24"/>
      <c r="G912" s="24"/>
      <c r="H912" s="24"/>
      <c r="J912" s="24"/>
      <c r="K912" s="24"/>
      <c r="M912" s="24"/>
      <c r="N912" s="24"/>
      <c r="P912" s="24"/>
    </row>
    <row r="913" spans="2:16" x14ac:dyDescent="0.25">
      <c r="B913" s="24"/>
      <c r="E913" s="24"/>
      <c r="G913" s="24"/>
      <c r="H913" s="24"/>
      <c r="J913" s="24"/>
      <c r="K913" s="24"/>
      <c r="M913" s="24"/>
      <c r="N913" s="24"/>
      <c r="P913" s="24"/>
    </row>
    <row r="914" spans="2:16" x14ac:dyDescent="0.25">
      <c r="B914" s="24"/>
      <c r="E914" s="24"/>
      <c r="G914" s="24"/>
      <c r="H914" s="24"/>
      <c r="J914" s="24"/>
      <c r="K914" s="24"/>
      <c r="M914" s="24"/>
      <c r="N914" s="24"/>
      <c r="P914" s="24"/>
    </row>
    <row r="915" spans="2:16" x14ac:dyDescent="0.25">
      <c r="B915" s="24"/>
      <c r="E915" s="24"/>
      <c r="G915" s="24"/>
      <c r="H915" s="24"/>
      <c r="J915" s="24"/>
      <c r="K915" s="24"/>
      <c r="M915" s="24"/>
      <c r="N915" s="24"/>
      <c r="P915" s="24"/>
    </row>
    <row r="916" spans="2:16" x14ac:dyDescent="0.25">
      <c r="B916" s="24"/>
      <c r="E916" s="24"/>
      <c r="G916" s="24"/>
      <c r="H916" s="24"/>
      <c r="J916" s="24"/>
      <c r="K916" s="24"/>
      <c r="M916" s="24"/>
      <c r="N916" s="24"/>
      <c r="P916" s="24"/>
    </row>
    <row r="917" spans="2:16" x14ac:dyDescent="0.25">
      <c r="B917" s="24"/>
      <c r="E917" s="24"/>
      <c r="G917" s="24"/>
      <c r="H917" s="24"/>
      <c r="J917" s="24"/>
      <c r="K917" s="24"/>
      <c r="M917" s="24"/>
      <c r="N917" s="24"/>
      <c r="P917" s="24"/>
    </row>
    <row r="918" spans="2:16" x14ac:dyDescent="0.25">
      <c r="B918" s="24"/>
      <c r="E918" s="24"/>
      <c r="G918" s="24"/>
      <c r="H918" s="24"/>
      <c r="J918" s="24"/>
      <c r="K918" s="24"/>
      <c r="M918" s="24"/>
      <c r="N918" s="24"/>
      <c r="P918" s="24"/>
    </row>
    <row r="919" spans="2:16" x14ac:dyDescent="0.25">
      <c r="B919" s="24"/>
      <c r="E919" s="24"/>
      <c r="G919" s="24"/>
      <c r="H919" s="24"/>
      <c r="J919" s="24"/>
      <c r="K919" s="24"/>
      <c r="M919" s="24"/>
      <c r="N919" s="24"/>
      <c r="P919" s="24"/>
    </row>
    <row r="920" spans="2:16" x14ac:dyDescent="0.25">
      <c r="B920" s="24"/>
      <c r="E920" s="24"/>
      <c r="G920" s="24"/>
      <c r="H920" s="24"/>
      <c r="J920" s="24"/>
      <c r="K920" s="24"/>
      <c r="M920" s="24"/>
      <c r="N920" s="24"/>
      <c r="P920" s="24"/>
    </row>
    <row r="921" spans="2:16" x14ac:dyDescent="0.25">
      <c r="B921" s="24"/>
      <c r="E921" s="24"/>
      <c r="G921" s="24"/>
      <c r="H921" s="24"/>
      <c r="J921" s="24"/>
      <c r="K921" s="24"/>
      <c r="M921" s="24"/>
      <c r="N921" s="24"/>
      <c r="P921" s="24"/>
    </row>
    <row r="922" spans="2:16" x14ac:dyDescent="0.25">
      <c r="B922" s="24"/>
      <c r="E922" s="24"/>
      <c r="G922" s="24"/>
      <c r="H922" s="24"/>
      <c r="J922" s="24"/>
      <c r="K922" s="24"/>
      <c r="M922" s="24"/>
      <c r="N922" s="24"/>
      <c r="P922" s="24"/>
    </row>
    <row r="923" spans="2:16" x14ac:dyDescent="0.25">
      <c r="B923" s="24"/>
      <c r="E923" s="24"/>
      <c r="G923" s="24"/>
      <c r="H923" s="24"/>
      <c r="J923" s="24"/>
      <c r="K923" s="24"/>
      <c r="M923" s="24"/>
      <c r="N923" s="24"/>
      <c r="P923" s="24"/>
    </row>
    <row r="924" spans="2:16" x14ac:dyDescent="0.25">
      <c r="B924" s="24"/>
      <c r="E924" s="24"/>
      <c r="G924" s="24"/>
      <c r="H924" s="24"/>
      <c r="J924" s="24"/>
      <c r="K924" s="24"/>
      <c r="M924" s="24"/>
      <c r="N924" s="24"/>
      <c r="P924" s="24"/>
    </row>
    <row r="925" spans="2:16" x14ac:dyDescent="0.25">
      <c r="B925" s="24"/>
      <c r="E925" s="24"/>
      <c r="G925" s="24"/>
      <c r="H925" s="24"/>
      <c r="J925" s="24"/>
      <c r="K925" s="24"/>
      <c r="M925" s="24"/>
      <c r="N925" s="24"/>
      <c r="P925" s="24"/>
    </row>
    <row r="926" spans="2:16" x14ac:dyDescent="0.25">
      <c r="B926" s="24"/>
      <c r="E926" s="24"/>
      <c r="G926" s="24"/>
      <c r="H926" s="24"/>
      <c r="J926" s="24"/>
      <c r="K926" s="24"/>
      <c r="M926" s="24"/>
      <c r="N926" s="24"/>
      <c r="P926" s="24"/>
    </row>
    <row r="927" spans="2:16" x14ac:dyDescent="0.25">
      <c r="B927" s="24"/>
      <c r="E927" s="24"/>
      <c r="G927" s="24"/>
      <c r="H927" s="24"/>
      <c r="J927" s="24"/>
      <c r="K927" s="24"/>
      <c r="M927" s="24"/>
      <c r="N927" s="24"/>
      <c r="P927" s="24"/>
    </row>
    <row r="928" spans="2:16" x14ac:dyDescent="0.25">
      <c r="B928" s="24"/>
      <c r="E928" s="24"/>
      <c r="G928" s="24"/>
      <c r="H928" s="24"/>
      <c r="J928" s="24"/>
      <c r="K928" s="24"/>
      <c r="M928" s="24"/>
      <c r="N928" s="24"/>
      <c r="P928" s="24"/>
    </row>
    <row r="929" spans="2:16" x14ac:dyDescent="0.25">
      <c r="B929" s="24"/>
      <c r="E929" s="24"/>
      <c r="G929" s="24"/>
      <c r="H929" s="24"/>
      <c r="J929" s="24"/>
      <c r="K929" s="24"/>
      <c r="M929" s="24"/>
      <c r="N929" s="24"/>
      <c r="P929" s="24"/>
    </row>
    <row r="930" spans="2:16" x14ac:dyDescent="0.25">
      <c r="B930" s="24"/>
      <c r="E930" s="24"/>
      <c r="G930" s="24"/>
      <c r="H930" s="24"/>
      <c r="J930" s="24"/>
      <c r="K930" s="24"/>
      <c r="M930" s="24"/>
      <c r="N930" s="24"/>
      <c r="P930" s="24"/>
    </row>
    <row r="931" spans="2:16" x14ac:dyDescent="0.25">
      <c r="B931" s="24"/>
      <c r="E931" s="24"/>
      <c r="G931" s="24"/>
      <c r="H931" s="24"/>
      <c r="J931" s="24"/>
      <c r="K931" s="24"/>
      <c r="M931" s="24"/>
      <c r="N931" s="24"/>
      <c r="P931" s="24"/>
    </row>
    <row r="932" spans="2:16" x14ac:dyDescent="0.25">
      <c r="B932" s="24"/>
      <c r="E932" s="24"/>
      <c r="G932" s="24"/>
      <c r="H932" s="24"/>
      <c r="J932" s="24"/>
      <c r="K932" s="24"/>
      <c r="M932" s="24"/>
      <c r="N932" s="24"/>
      <c r="P932" s="24"/>
    </row>
    <row r="933" spans="2:16" x14ac:dyDescent="0.25">
      <c r="B933" s="24"/>
      <c r="E933" s="24"/>
      <c r="G933" s="24"/>
      <c r="H933" s="24"/>
      <c r="J933" s="24"/>
      <c r="K933" s="24"/>
      <c r="M933" s="24"/>
      <c r="N933" s="24"/>
      <c r="P933" s="24"/>
    </row>
    <row r="934" spans="2:16" x14ac:dyDescent="0.25">
      <c r="B934" s="24"/>
      <c r="E934" s="24"/>
      <c r="G934" s="24"/>
      <c r="H934" s="24"/>
      <c r="J934" s="24"/>
      <c r="K934" s="24"/>
      <c r="M934" s="24"/>
      <c r="N934" s="24"/>
      <c r="P934" s="24"/>
    </row>
    <row r="935" spans="2:16" x14ac:dyDescent="0.25">
      <c r="B935" s="24"/>
      <c r="E935" s="24"/>
      <c r="G935" s="24"/>
      <c r="H935" s="24"/>
      <c r="J935" s="24"/>
      <c r="K935" s="24"/>
      <c r="M935" s="24"/>
      <c r="N935" s="24"/>
      <c r="P935" s="24"/>
    </row>
    <row r="936" spans="2:16" x14ac:dyDescent="0.25">
      <c r="B936" s="24"/>
      <c r="E936" s="24"/>
      <c r="G936" s="24"/>
      <c r="H936" s="24"/>
      <c r="J936" s="24"/>
      <c r="K936" s="24"/>
      <c r="M936" s="24"/>
      <c r="N936" s="24"/>
      <c r="P936" s="24"/>
    </row>
    <row r="937" spans="2:16" x14ac:dyDescent="0.25">
      <c r="B937" s="24"/>
      <c r="E937" s="24"/>
      <c r="G937" s="24"/>
      <c r="H937" s="24"/>
      <c r="J937" s="24"/>
      <c r="K937" s="24"/>
      <c r="M937" s="24"/>
      <c r="N937" s="24"/>
      <c r="P937" s="24"/>
    </row>
    <row r="938" spans="2:16" x14ac:dyDescent="0.25">
      <c r="B938" s="24"/>
      <c r="E938" s="24"/>
      <c r="G938" s="24"/>
      <c r="H938" s="24"/>
      <c r="J938" s="24"/>
      <c r="K938" s="24"/>
      <c r="M938" s="24"/>
      <c r="N938" s="24"/>
      <c r="P938" s="24"/>
    </row>
    <row r="939" spans="2:16" x14ac:dyDescent="0.25">
      <c r="B939" s="24"/>
      <c r="E939" s="24"/>
      <c r="G939" s="24"/>
      <c r="H939" s="24"/>
      <c r="J939" s="24"/>
      <c r="K939" s="24"/>
      <c r="M939" s="24"/>
      <c r="N939" s="24"/>
      <c r="P939" s="24"/>
    </row>
    <row r="940" spans="2:16" x14ac:dyDescent="0.25">
      <c r="B940" s="24"/>
      <c r="E940" s="24"/>
      <c r="G940" s="24"/>
      <c r="H940" s="24"/>
      <c r="J940" s="24"/>
      <c r="K940" s="24"/>
      <c r="M940" s="24"/>
      <c r="N940" s="24"/>
      <c r="P940" s="24"/>
    </row>
    <row r="941" spans="2:16" x14ac:dyDescent="0.25">
      <c r="B941" s="24"/>
      <c r="E941" s="24"/>
      <c r="G941" s="24"/>
      <c r="H941" s="24"/>
      <c r="J941" s="24"/>
      <c r="K941" s="24"/>
      <c r="M941" s="24"/>
      <c r="N941" s="24"/>
      <c r="P941" s="24"/>
    </row>
    <row r="942" spans="2:16" x14ac:dyDescent="0.25">
      <c r="B942" s="24"/>
      <c r="E942" s="24"/>
      <c r="G942" s="24"/>
      <c r="H942" s="24"/>
      <c r="J942" s="24"/>
      <c r="K942" s="24"/>
      <c r="M942" s="24"/>
      <c r="N942" s="24"/>
      <c r="P942" s="24"/>
    </row>
    <row r="943" spans="2:16" x14ac:dyDescent="0.25">
      <c r="B943" s="24"/>
      <c r="E943" s="24"/>
      <c r="G943" s="24"/>
      <c r="H943" s="24"/>
      <c r="J943" s="24"/>
      <c r="K943" s="24"/>
      <c r="M943" s="24"/>
      <c r="N943" s="24"/>
      <c r="P943" s="24"/>
    </row>
    <row r="944" spans="2:16" x14ac:dyDescent="0.25">
      <c r="B944" s="24"/>
      <c r="E944" s="24"/>
      <c r="G944" s="24"/>
      <c r="H944" s="24"/>
      <c r="J944" s="24"/>
      <c r="K944" s="24"/>
      <c r="M944" s="24"/>
      <c r="N944" s="24"/>
      <c r="P944" s="24"/>
    </row>
    <row r="945" spans="2:16" x14ac:dyDescent="0.25">
      <c r="B945" s="24"/>
      <c r="E945" s="24"/>
      <c r="G945" s="24"/>
      <c r="H945" s="24"/>
      <c r="J945" s="24"/>
      <c r="K945" s="24"/>
      <c r="M945" s="24"/>
      <c r="N945" s="24"/>
      <c r="P945" s="24"/>
    </row>
    <row r="946" spans="2:16" x14ac:dyDescent="0.25">
      <c r="B946" s="24"/>
      <c r="E946" s="24"/>
      <c r="G946" s="24"/>
      <c r="H946" s="24"/>
      <c r="J946" s="24"/>
      <c r="K946" s="24"/>
      <c r="M946" s="24"/>
      <c r="N946" s="24"/>
      <c r="P946" s="24"/>
    </row>
    <row r="947" spans="2:16" x14ac:dyDescent="0.25">
      <c r="B947" s="24"/>
      <c r="E947" s="24"/>
      <c r="G947" s="24"/>
      <c r="H947" s="24"/>
      <c r="J947" s="24"/>
      <c r="K947" s="24"/>
      <c r="M947" s="24"/>
      <c r="N947" s="24"/>
      <c r="P947" s="24"/>
    </row>
    <row r="948" spans="2:16" x14ac:dyDescent="0.25">
      <c r="B948" s="24"/>
      <c r="E948" s="24"/>
      <c r="G948" s="24"/>
      <c r="H948" s="24"/>
      <c r="J948" s="24"/>
      <c r="K948" s="24"/>
      <c r="M948" s="24"/>
      <c r="N948" s="24"/>
      <c r="P948" s="24"/>
    </row>
    <row r="949" spans="2:16" x14ac:dyDescent="0.25">
      <c r="B949" s="24"/>
      <c r="E949" s="24"/>
      <c r="G949" s="24"/>
      <c r="H949" s="24"/>
      <c r="J949" s="24"/>
      <c r="K949" s="24"/>
      <c r="M949" s="24"/>
      <c r="N949" s="24"/>
      <c r="P949" s="24"/>
    </row>
    <row r="950" spans="2:16" x14ac:dyDescent="0.25">
      <c r="B950" s="24"/>
      <c r="E950" s="24"/>
      <c r="G950" s="24"/>
      <c r="H950" s="24"/>
      <c r="J950" s="24"/>
      <c r="K950" s="24"/>
      <c r="M950" s="24"/>
      <c r="N950" s="24"/>
      <c r="P950" s="24"/>
    </row>
    <row r="951" spans="2:16" x14ac:dyDescent="0.25">
      <c r="B951" s="24"/>
      <c r="E951" s="24"/>
      <c r="G951" s="24"/>
      <c r="H951" s="24"/>
      <c r="J951" s="24"/>
      <c r="K951" s="24"/>
      <c r="M951" s="24"/>
      <c r="N951" s="24"/>
      <c r="P951" s="24"/>
    </row>
    <row r="952" spans="2:16" x14ac:dyDescent="0.25">
      <c r="B952" s="24"/>
      <c r="E952" s="24"/>
      <c r="G952" s="24"/>
      <c r="H952" s="24"/>
      <c r="J952" s="24"/>
      <c r="K952" s="24"/>
      <c r="M952" s="24"/>
      <c r="N952" s="24"/>
      <c r="P952" s="24"/>
    </row>
    <row r="953" spans="2:16" x14ac:dyDescent="0.25">
      <c r="B953" s="24"/>
      <c r="E953" s="24"/>
      <c r="G953" s="24"/>
      <c r="H953" s="24"/>
      <c r="J953" s="24"/>
      <c r="K953" s="24"/>
      <c r="M953" s="24"/>
      <c r="N953" s="24"/>
      <c r="P953" s="24"/>
    </row>
    <row r="954" spans="2:16" x14ac:dyDescent="0.25">
      <c r="B954" s="24"/>
      <c r="E954" s="24"/>
      <c r="G954" s="24"/>
      <c r="H954" s="24"/>
      <c r="J954" s="24"/>
      <c r="K954" s="24"/>
      <c r="M954" s="24"/>
      <c r="N954" s="24"/>
      <c r="P954" s="24"/>
    </row>
    <row r="955" spans="2:16" x14ac:dyDescent="0.25">
      <c r="B955" s="24"/>
      <c r="E955" s="24"/>
      <c r="G955" s="24"/>
      <c r="H955" s="24"/>
      <c r="J955" s="24"/>
      <c r="K955" s="24"/>
      <c r="M955" s="24"/>
      <c r="N955" s="24"/>
      <c r="P955" s="24"/>
    </row>
    <row r="956" spans="2:16" x14ac:dyDescent="0.25">
      <c r="B956" s="24"/>
      <c r="E956" s="24"/>
      <c r="G956" s="24"/>
      <c r="H956" s="24"/>
      <c r="J956" s="24"/>
      <c r="K956" s="24"/>
      <c r="M956" s="24"/>
      <c r="N956" s="24"/>
      <c r="P956" s="24"/>
    </row>
    <row r="957" spans="2:16" x14ac:dyDescent="0.25">
      <c r="B957" s="24"/>
      <c r="E957" s="24"/>
      <c r="G957" s="24"/>
      <c r="H957" s="24"/>
      <c r="J957" s="24"/>
      <c r="K957" s="24"/>
      <c r="M957" s="24"/>
      <c r="N957" s="24"/>
      <c r="P957" s="24"/>
    </row>
    <row r="958" spans="2:16" x14ac:dyDescent="0.25">
      <c r="B958" s="24"/>
      <c r="E958" s="24"/>
      <c r="G958" s="24"/>
      <c r="H958" s="24"/>
      <c r="J958" s="24"/>
      <c r="K958" s="24"/>
      <c r="M958" s="24"/>
      <c r="N958" s="24"/>
      <c r="P958" s="24"/>
    </row>
    <row r="959" spans="2:16" x14ac:dyDescent="0.25">
      <c r="B959" s="24"/>
      <c r="E959" s="24"/>
      <c r="G959" s="24"/>
      <c r="H959" s="24"/>
      <c r="J959" s="24"/>
      <c r="K959" s="24"/>
      <c r="M959" s="24"/>
      <c r="N959" s="24"/>
      <c r="P959" s="24"/>
    </row>
    <row r="960" spans="2:16" x14ac:dyDescent="0.25">
      <c r="B960" s="24"/>
      <c r="E960" s="24"/>
      <c r="G960" s="24"/>
      <c r="H960" s="24"/>
      <c r="J960" s="24"/>
      <c r="K960" s="24"/>
      <c r="M960" s="24"/>
      <c r="N960" s="24"/>
      <c r="P960" s="24"/>
    </row>
    <row r="961" spans="2:16" x14ac:dyDescent="0.25">
      <c r="B961" s="24"/>
      <c r="E961" s="24"/>
      <c r="G961" s="24"/>
      <c r="H961" s="24"/>
      <c r="J961" s="24"/>
      <c r="K961" s="24"/>
      <c r="M961" s="24"/>
      <c r="N961" s="24"/>
      <c r="P961" s="24"/>
    </row>
    <row r="962" spans="2:16" x14ac:dyDescent="0.25">
      <c r="B962" s="24"/>
      <c r="E962" s="24"/>
      <c r="G962" s="24"/>
      <c r="H962" s="24"/>
      <c r="J962" s="24"/>
      <c r="K962" s="24"/>
      <c r="M962" s="24"/>
      <c r="N962" s="24"/>
      <c r="P962" s="24"/>
    </row>
    <row r="963" spans="2:16" x14ac:dyDescent="0.25">
      <c r="B963" s="24"/>
      <c r="E963" s="24"/>
      <c r="G963" s="24"/>
      <c r="H963" s="24"/>
      <c r="J963" s="24"/>
      <c r="K963" s="24"/>
      <c r="M963" s="24"/>
      <c r="N963" s="24"/>
      <c r="P963" s="24"/>
    </row>
    <row r="964" spans="2:16" x14ac:dyDescent="0.25">
      <c r="B964" s="24"/>
      <c r="E964" s="24"/>
      <c r="G964" s="24"/>
      <c r="H964" s="24"/>
      <c r="J964" s="24"/>
      <c r="K964" s="24"/>
      <c r="M964" s="24"/>
      <c r="N964" s="24"/>
      <c r="P964" s="24"/>
    </row>
    <row r="965" spans="2:16" x14ac:dyDescent="0.25">
      <c r="B965" s="24"/>
      <c r="E965" s="24"/>
      <c r="G965" s="24"/>
      <c r="H965" s="24"/>
      <c r="J965" s="24"/>
      <c r="K965" s="24"/>
      <c r="M965" s="24"/>
      <c r="N965" s="24"/>
      <c r="P965" s="24"/>
    </row>
    <row r="966" spans="2:16" x14ac:dyDescent="0.25">
      <c r="B966" s="24"/>
      <c r="E966" s="24"/>
      <c r="G966" s="24"/>
      <c r="H966" s="24"/>
      <c r="J966" s="24"/>
      <c r="K966" s="24"/>
      <c r="M966" s="24"/>
      <c r="N966" s="24"/>
      <c r="P966" s="24"/>
    </row>
    <row r="967" spans="2:16" x14ac:dyDescent="0.25">
      <c r="B967" s="24"/>
      <c r="E967" s="24"/>
      <c r="G967" s="24"/>
      <c r="H967" s="24"/>
      <c r="J967" s="24"/>
      <c r="K967" s="24"/>
      <c r="M967" s="24"/>
      <c r="N967" s="24"/>
      <c r="P967" s="24"/>
    </row>
    <row r="968" spans="2:16" x14ac:dyDescent="0.25">
      <c r="B968" s="24"/>
      <c r="E968" s="24"/>
      <c r="G968" s="24"/>
      <c r="H968" s="24"/>
      <c r="J968" s="24"/>
      <c r="K968" s="24"/>
      <c r="M968" s="24"/>
      <c r="N968" s="24"/>
      <c r="P968" s="24"/>
    </row>
    <row r="969" spans="2:16" x14ac:dyDescent="0.25">
      <c r="B969" s="24"/>
      <c r="E969" s="24"/>
      <c r="G969" s="24"/>
      <c r="H969" s="24"/>
      <c r="J969" s="24"/>
      <c r="K969" s="24"/>
      <c r="M969" s="24"/>
      <c r="N969" s="24"/>
      <c r="P969" s="24"/>
    </row>
    <row r="970" spans="2:16" x14ac:dyDescent="0.25">
      <c r="B970" s="24"/>
      <c r="E970" s="24"/>
      <c r="G970" s="24"/>
      <c r="H970" s="24"/>
      <c r="J970" s="24"/>
      <c r="K970" s="24"/>
      <c r="M970" s="24"/>
      <c r="N970" s="24"/>
      <c r="P970" s="24"/>
    </row>
    <row r="971" spans="2:16" x14ac:dyDescent="0.25">
      <c r="B971" s="24"/>
      <c r="E971" s="24"/>
      <c r="G971" s="24"/>
      <c r="H971" s="24"/>
      <c r="J971" s="24"/>
      <c r="K971" s="24"/>
      <c r="M971" s="24"/>
      <c r="N971" s="24"/>
      <c r="P971" s="24"/>
    </row>
    <row r="972" spans="2:16" x14ac:dyDescent="0.25">
      <c r="B972" s="24"/>
      <c r="E972" s="24"/>
      <c r="G972" s="24"/>
      <c r="H972" s="24"/>
      <c r="J972" s="24"/>
      <c r="K972" s="24"/>
      <c r="M972" s="24"/>
      <c r="N972" s="24"/>
      <c r="P972" s="24"/>
    </row>
    <row r="973" spans="2:16" x14ac:dyDescent="0.25">
      <c r="B973" s="24"/>
      <c r="E973" s="24"/>
      <c r="G973" s="24"/>
      <c r="H973" s="24"/>
      <c r="J973" s="24"/>
      <c r="K973" s="24"/>
      <c r="M973" s="24"/>
      <c r="N973" s="24"/>
      <c r="P973" s="24"/>
    </row>
    <row r="974" spans="2:16" x14ac:dyDescent="0.25">
      <c r="B974" s="24"/>
      <c r="E974" s="24"/>
      <c r="G974" s="24"/>
      <c r="H974" s="24"/>
      <c r="J974" s="24"/>
      <c r="K974" s="24"/>
      <c r="M974" s="24"/>
      <c r="N974" s="24"/>
      <c r="P974" s="24"/>
    </row>
    <row r="975" spans="2:16" x14ac:dyDescent="0.25">
      <c r="B975" s="24"/>
      <c r="E975" s="24"/>
      <c r="G975" s="24"/>
      <c r="H975" s="24"/>
      <c r="J975" s="24"/>
      <c r="K975" s="24"/>
      <c r="M975" s="24"/>
      <c r="N975" s="24"/>
      <c r="P975" s="24"/>
    </row>
    <row r="976" spans="2:16" x14ac:dyDescent="0.25">
      <c r="B976" s="24"/>
      <c r="E976" s="24"/>
      <c r="G976" s="24"/>
      <c r="H976" s="24"/>
      <c r="J976" s="24"/>
      <c r="K976" s="24"/>
      <c r="M976" s="24"/>
      <c r="N976" s="24"/>
      <c r="P976" s="24"/>
    </row>
    <row r="977" spans="2:16" x14ac:dyDescent="0.25">
      <c r="B977" s="24"/>
      <c r="E977" s="24"/>
      <c r="G977" s="24"/>
      <c r="H977" s="24"/>
      <c r="J977" s="24"/>
      <c r="K977" s="24"/>
      <c r="M977" s="24"/>
      <c r="N977" s="24"/>
      <c r="P977" s="24"/>
    </row>
    <row r="978" spans="2:16" x14ac:dyDescent="0.25">
      <c r="B978" s="24"/>
      <c r="E978" s="24"/>
      <c r="G978" s="24"/>
      <c r="H978" s="24"/>
      <c r="J978" s="24"/>
      <c r="K978" s="24"/>
      <c r="M978" s="24"/>
      <c r="N978" s="24"/>
      <c r="P978" s="24"/>
    </row>
    <row r="979" spans="2:16" x14ac:dyDescent="0.25">
      <c r="B979" s="24"/>
      <c r="E979" s="24"/>
      <c r="G979" s="24"/>
      <c r="H979" s="24"/>
      <c r="J979" s="24"/>
      <c r="K979" s="24"/>
      <c r="M979" s="24"/>
      <c r="N979" s="24"/>
      <c r="P979" s="24"/>
    </row>
    <row r="980" spans="2:16" x14ac:dyDescent="0.25">
      <c r="B980" s="24"/>
      <c r="E980" s="24"/>
      <c r="G980" s="24"/>
      <c r="H980" s="24"/>
      <c r="J980" s="24"/>
      <c r="K980" s="24"/>
      <c r="M980" s="24"/>
      <c r="N980" s="24"/>
      <c r="P980" s="24"/>
    </row>
    <row r="981" spans="2:16" x14ac:dyDescent="0.25">
      <c r="B981" s="24"/>
      <c r="E981" s="24"/>
      <c r="G981" s="24"/>
      <c r="H981" s="24"/>
      <c r="J981" s="24"/>
      <c r="K981" s="24"/>
      <c r="M981" s="24"/>
      <c r="N981" s="24"/>
      <c r="P981" s="24"/>
    </row>
    <row r="982" spans="2:16" x14ac:dyDescent="0.25">
      <c r="B982" s="24"/>
      <c r="E982" s="24"/>
      <c r="G982" s="24"/>
      <c r="H982" s="24"/>
      <c r="J982" s="24"/>
      <c r="K982" s="24"/>
      <c r="M982" s="24"/>
      <c r="N982" s="24"/>
      <c r="P982" s="24"/>
    </row>
    <row r="983" spans="2:16" x14ac:dyDescent="0.25">
      <c r="B983" s="24"/>
      <c r="E983" s="24"/>
      <c r="G983" s="24"/>
      <c r="H983" s="24"/>
      <c r="J983" s="24"/>
      <c r="K983" s="24"/>
      <c r="M983" s="24"/>
      <c r="N983" s="24"/>
      <c r="P983" s="24"/>
    </row>
    <row r="984" spans="2:16" x14ac:dyDescent="0.25">
      <c r="B984" s="24"/>
      <c r="E984" s="24"/>
      <c r="G984" s="24"/>
      <c r="H984" s="24"/>
      <c r="J984" s="24"/>
      <c r="K984" s="24"/>
      <c r="M984" s="24"/>
      <c r="N984" s="24"/>
      <c r="P984" s="24"/>
    </row>
    <row r="985" spans="2:16" x14ac:dyDescent="0.25">
      <c r="B985" s="24"/>
      <c r="E985" s="24"/>
      <c r="G985" s="24"/>
      <c r="H985" s="24"/>
      <c r="J985" s="24"/>
      <c r="K985" s="24"/>
      <c r="M985" s="24"/>
      <c r="N985" s="24"/>
      <c r="P985" s="24"/>
    </row>
    <row r="986" spans="2:16" x14ac:dyDescent="0.25">
      <c r="B986" s="24"/>
      <c r="E986" s="24"/>
      <c r="G986" s="24"/>
      <c r="H986" s="24"/>
      <c r="J986" s="24"/>
      <c r="K986" s="24"/>
      <c r="M986" s="24"/>
      <c r="N986" s="24"/>
      <c r="P986" s="24"/>
    </row>
    <row r="987" spans="2:16" x14ac:dyDescent="0.25">
      <c r="B987" s="24"/>
      <c r="E987" s="24"/>
      <c r="G987" s="24"/>
      <c r="H987" s="24"/>
      <c r="J987" s="24"/>
      <c r="K987" s="24"/>
      <c r="M987" s="24"/>
      <c r="N987" s="24"/>
      <c r="P987" s="24"/>
    </row>
    <row r="988" spans="2:16" x14ac:dyDescent="0.25">
      <c r="B988" s="24"/>
      <c r="E988" s="24"/>
      <c r="G988" s="24"/>
      <c r="H988" s="24"/>
      <c r="J988" s="24"/>
      <c r="K988" s="24"/>
      <c r="M988" s="24"/>
      <c r="N988" s="24"/>
      <c r="P988" s="24"/>
    </row>
    <row r="989" spans="2:16" x14ac:dyDescent="0.25">
      <c r="B989" s="24"/>
      <c r="E989" s="24"/>
      <c r="G989" s="24"/>
      <c r="H989" s="24"/>
      <c r="J989" s="24"/>
      <c r="K989" s="24"/>
      <c r="M989" s="24"/>
      <c r="N989" s="24"/>
      <c r="P989" s="24"/>
    </row>
    <row r="990" spans="2:16" x14ac:dyDescent="0.25">
      <c r="B990" s="24"/>
      <c r="E990" s="24"/>
      <c r="G990" s="24"/>
      <c r="H990" s="24"/>
      <c r="J990" s="24"/>
      <c r="K990" s="24"/>
      <c r="M990" s="24"/>
      <c r="N990" s="24"/>
      <c r="P990" s="24"/>
    </row>
    <row r="991" spans="2:16" x14ac:dyDescent="0.25">
      <c r="B991" s="24"/>
      <c r="E991" s="24"/>
      <c r="G991" s="24"/>
      <c r="H991" s="24"/>
      <c r="J991" s="24"/>
      <c r="K991" s="24"/>
      <c r="M991" s="24"/>
      <c r="N991" s="24"/>
      <c r="P991" s="24"/>
    </row>
    <row r="992" spans="2:16" x14ac:dyDescent="0.25">
      <c r="B992" s="24"/>
      <c r="E992" s="24"/>
      <c r="G992" s="24"/>
      <c r="H992" s="24"/>
      <c r="J992" s="24"/>
      <c r="K992" s="24"/>
      <c r="M992" s="24"/>
      <c r="N992" s="24"/>
      <c r="P992" s="24"/>
    </row>
    <row r="993" spans="2:16" x14ac:dyDescent="0.25">
      <c r="B993" s="24"/>
      <c r="E993" s="24"/>
      <c r="G993" s="24"/>
      <c r="H993" s="24"/>
      <c r="J993" s="24"/>
      <c r="K993" s="24"/>
      <c r="M993" s="24"/>
      <c r="N993" s="24"/>
      <c r="P993" s="24"/>
    </row>
    <row r="994" spans="2:16" x14ac:dyDescent="0.25">
      <c r="B994" s="24"/>
      <c r="E994" s="24"/>
      <c r="G994" s="24"/>
      <c r="H994" s="24"/>
      <c r="J994" s="24"/>
      <c r="K994" s="24"/>
      <c r="M994" s="24"/>
      <c r="N994" s="24"/>
      <c r="P994" s="24"/>
    </row>
    <row r="995" spans="2:16" x14ac:dyDescent="0.25">
      <c r="B995" s="24"/>
      <c r="E995" s="24"/>
      <c r="G995" s="24"/>
      <c r="H995" s="24"/>
      <c r="J995" s="24"/>
      <c r="K995" s="24"/>
      <c r="M995" s="24"/>
      <c r="N995" s="24"/>
      <c r="P995" s="24"/>
    </row>
    <row r="996" spans="2:16" x14ac:dyDescent="0.25">
      <c r="B996" s="24"/>
      <c r="E996" s="24"/>
      <c r="G996" s="24"/>
      <c r="H996" s="24"/>
      <c r="J996" s="24"/>
      <c r="K996" s="24"/>
      <c r="M996" s="24"/>
      <c r="N996" s="24"/>
      <c r="P996" s="24"/>
    </row>
    <row r="997" spans="2:16" x14ac:dyDescent="0.25">
      <c r="B997" s="24"/>
      <c r="E997" s="24"/>
      <c r="G997" s="24"/>
      <c r="H997" s="24"/>
      <c r="J997" s="24"/>
      <c r="K997" s="24"/>
      <c r="M997" s="24"/>
      <c r="N997" s="24"/>
      <c r="P997" s="24"/>
    </row>
    <row r="998" spans="2:16" x14ac:dyDescent="0.25">
      <c r="B998" s="24"/>
      <c r="E998" s="24"/>
      <c r="G998" s="24"/>
      <c r="H998" s="24"/>
      <c r="J998" s="24"/>
      <c r="K998" s="24"/>
      <c r="M998" s="24"/>
      <c r="N998" s="24"/>
      <c r="P998" s="24"/>
    </row>
    <row r="999" spans="2:16" x14ac:dyDescent="0.25">
      <c r="B999" s="24"/>
      <c r="E999" s="24"/>
      <c r="G999" s="24"/>
      <c r="H999" s="24"/>
      <c r="J999" s="24"/>
      <c r="K999" s="24"/>
      <c r="M999" s="24"/>
      <c r="N999" s="24"/>
      <c r="P999" s="24"/>
    </row>
    <row r="1000" spans="2:16" x14ac:dyDescent="0.25">
      <c r="B1000" s="24"/>
      <c r="E1000" s="24"/>
      <c r="G1000" s="24"/>
      <c r="H1000" s="24"/>
      <c r="J1000" s="24"/>
      <c r="K1000" s="24"/>
      <c r="M1000" s="24"/>
      <c r="N1000" s="24"/>
      <c r="P1000" s="24"/>
    </row>
    <row r="1001" spans="2:16" x14ac:dyDescent="0.25">
      <c r="B1001" s="24"/>
      <c r="E1001" s="24"/>
      <c r="G1001" s="24"/>
      <c r="H1001" s="24"/>
      <c r="J1001" s="24"/>
      <c r="K1001" s="24"/>
      <c r="M1001" s="24"/>
      <c r="N1001" s="24"/>
      <c r="P1001" s="24"/>
    </row>
    <row r="1002" spans="2:16" x14ac:dyDescent="0.25">
      <c r="B1002" s="24"/>
      <c r="E1002" s="24"/>
      <c r="G1002" s="24"/>
      <c r="H1002" s="24"/>
      <c r="J1002" s="24"/>
      <c r="K1002" s="24"/>
      <c r="M1002" s="24"/>
      <c r="N1002" s="24"/>
      <c r="P1002" s="24"/>
    </row>
    <row r="1003" spans="2:16" x14ac:dyDescent="0.25">
      <c r="B1003" s="24"/>
      <c r="E1003" s="24"/>
      <c r="G1003" s="24"/>
      <c r="H1003" s="24"/>
      <c r="J1003" s="24"/>
      <c r="K1003" s="24"/>
      <c r="M1003" s="24"/>
      <c r="N1003" s="24"/>
      <c r="P1003" s="24"/>
    </row>
    <row r="1004" spans="2:16" x14ac:dyDescent="0.25">
      <c r="B1004" s="24"/>
      <c r="E1004" s="24"/>
      <c r="G1004" s="24"/>
      <c r="H1004" s="24"/>
      <c r="J1004" s="24"/>
      <c r="K1004" s="24"/>
      <c r="M1004" s="24"/>
      <c r="N1004" s="24"/>
      <c r="P1004" s="24"/>
    </row>
    <row r="1005" spans="2:16" x14ac:dyDescent="0.25">
      <c r="B1005" s="24"/>
      <c r="E1005" s="24"/>
      <c r="G1005" s="24"/>
      <c r="H1005" s="24"/>
      <c r="J1005" s="24"/>
      <c r="K1005" s="24"/>
      <c r="M1005" s="24"/>
      <c r="N1005" s="24"/>
      <c r="P1005" s="24"/>
    </row>
    <row r="1006" spans="2:16" x14ac:dyDescent="0.25">
      <c r="B1006" s="24"/>
      <c r="E1006" s="24"/>
      <c r="G1006" s="24"/>
      <c r="H1006" s="24"/>
      <c r="J1006" s="24"/>
      <c r="K1006" s="24"/>
      <c r="M1006" s="24"/>
      <c r="N1006" s="24"/>
      <c r="P1006" s="24"/>
    </row>
    <row r="1007" spans="2:16" x14ac:dyDescent="0.25">
      <c r="B1007" s="24"/>
      <c r="E1007" s="24"/>
      <c r="G1007" s="24"/>
      <c r="H1007" s="24"/>
      <c r="J1007" s="24"/>
      <c r="K1007" s="24"/>
      <c r="M1007" s="24"/>
      <c r="N1007" s="24"/>
      <c r="P1007" s="24"/>
    </row>
    <row r="1008" spans="2:16" x14ac:dyDescent="0.25">
      <c r="B1008" s="24"/>
      <c r="E1008" s="24"/>
      <c r="G1008" s="24"/>
      <c r="H1008" s="24"/>
      <c r="J1008" s="24"/>
      <c r="K1008" s="24"/>
      <c r="M1008" s="24"/>
      <c r="N1008" s="24"/>
      <c r="P1008" s="24"/>
    </row>
    <row r="1009" spans="2:16" x14ac:dyDescent="0.25">
      <c r="B1009" s="24"/>
      <c r="E1009" s="24"/>
      <c r="G1009" s="24"/>
      <c r="H1009" s="24"/>
      <c r="J1009" s="24"/>
      <c r="K1009" s="24"/>
      <c r="M1009" s="24"/>
      <c r="N1009" s="24"/>
      <c r="P1009" s="24"/>
    </row>
    <row r="1010" spans="2:16" x14ac:dyDescent="0.25">
      <c r="B1010" s="24"/>
      <c r="E1010" s="24"/>
      <c r="G1010" s="24"/>
      <c r="H1010" s="24"/>
      <c r="J1010" s="24"/>
      <c r="K1010" s="24"/>
      <c r="M1010" s="24"/>
      <c r="N1010" s="24"/>
      <c r="P1010" s="24"/>
    </row>
    <row r="1011" spans="2:16" x14ac:dyDescent="0.25">
      <c r="B1011" s="24"/>
      <c r="E1011" s="24"/>
      <c r="G1011" s="24"/>
      <c r="H1011" s="24"/>
      <c r="J1011" s="24"/>
      <c r="K1011" s="24"/>
      <c r="M1011" s="24"/>
      <c r="N1011" s="24"/>
      <c r="P1011" s="24"/>
    </row>
    <row r="1012" spans="2:16" x14ac:dyDescent="0.25">
      <c r="B1012" s="24"/>
      <c r="E1012" s="24"/>
      <c r="G1012" s="24"/>
      <c r="H1012" s="24"/>
      <c r="J1012" s="24"/>
      <c r="K1012" s="24"/>
      <c r="M1012" s="24"/>
      <c r="N1012" s="24"/>
      <c r="P1012" s="24"/>
    </row>
    <row r="1013" spans="2:16" x14ac:dyDescent="0.25">
      <c r="B1013" s="24"/>
      <c r="E1013" s="24"/>
      <c r="G1013" s="24"/>
      <c r="H1013" s="24"/>
      <c r="J1013" s="24"/>
      <c r="K1013" s="24"/>
      <c r="M1013" s="24"/>
      <c r="N1013" s="24"/>
      <c r="P1013" s="24"/>
    </row>
    <row r="1014" spans="2:16" x14ac:dyDescent="0.25">
      <c r="B1014" s="24"/>
      <c r="E1014" s="24"/>
      <c r="G1014" s="24"/>
      <c r="H1014" s="24"/>
      <c r="J1014" s="24"/>
      <c r="K1014" s="24"/>
      <c r="M1014" s="24"/>
      <c r="N1014" s="24"/>
      <c r="P1014" s="24"/>
    </row>
    <row r="1015" spans="2:16" x14ac:dyDescent="0.25">
      <c r="B1015" s="24"/>
      <c r="E1015" s="24"/>
      <c r="G1015" s="24"/>
      <c r="H1015" s="24"/>
      <c r="J1015" s="24"/>
      <c r="K1015" s="24"/>
      <c r="M1015" s="24"/>
      <c r="N1015" s="24"/>
      <c r="P1015" s="24"/>
    </row>
    <row r="1016" spans="2:16" x14ac:dyDescent="0.25">
      <c r="B1016" s="24"/>
      <c r="E1016" s="24"/>
      <c r="G1016" s="24"/>
      <c r="H1016" s="24"/>
      <c r="J1016" s="24"/>
      <c r="K1016" s="24"/>
      <c r="M1016" s="24"/>
      <c r="N1016" s="24"/>
      <c r="P1016" s="24"/>
    </row>
    <row r="1017" spans="2:16" x14ac:dyDescent="0.25">
      <c r="B1017" s="24"/>
      <c r="E1017" s="24"/>
      <c r="G1017" s="24"/>
      <c r="H1017" s="24"/>
      <c r="J1017" s="24"/>
      <c r="K1017" s="24"/>
      <c r="M1017" s="24"/>
      <c r="N1017" s="24"/>
      <c r="P1017" s="24"/>
    </row>
    <row r="1018" spans="2:16" x14ac:dyDescent="0.25">
      <c r="B1018" s="24"/>
      <c r="E1018" s="24"/>
      <c r="G1018" s="24"/>
      <c r="H1018" s="24"/>
      <c r="J1018" s="24"/>
      <c r="K1018" s="24"/>
      <c r="M1018" s="24"/>
      <c r="N1018" s="24"/>
      <c r="P1018" s="24"/>
    </row>
    <row r="1019" spans="2:16" x14ac:dyDescent="0.25">
      <c r="B1019" s="24"/>
      <c r="E1019" s="24"/>
      <c r="G1019" s="24"/>
      <c r="H1019" s="24"/>
      <c r="J1019" s="24"/>
      <c r="K1019" s="24"/>
      <c r="M1019" s="24"/>
      <c r="N1019" s="24"/>
      <c r="P1019" s="24"/>
    </row>
    <row r="1020" spans="2:16" x14ac:dyDescent="0.25">
      <c r="B1020" s="24"/>
      <c r="E1020" s="24"/>
      <c r="G1020" s="24"/>
      <c r="H1020" s="24"/>
      <c r="J1020" s="24"/>
      <c r="K1020" s="24"/>
      <c r="M1020" s="24"/>
      <c r="N1020" s="24"/>
      <c r="P1020" s="24"/>
    </row>
    <row r="1021" spans="2:16" x14ac:dyDescent="0.25">
      <c r="B1021" s="24"/>
      <c r="E1021" s="24"/>
      <c r="G1021" s="24"/>
      <c r="H1021" s="24"/>
      <c r="J1021" s="24"/>
      <c r="K1021" s="24"/>
      <c r="M1021" s="24"/>
      <c r="N1021" s="24"/>
      <c r="P1021" s="24"/>
    </row>
    <row r="1022" spans="2:16" x14ac:dyDescent="0.25">
      <c r="B1022" s="24"/>
      <c r="E1022" s="24"/>
      <c r="G1022" s="24"/>
      <c r="H1022" s="24"/>
      <c r="J1022" s="24"/>
      <c r="K1022" s="24"/>
      <c r="M1022" s="24"/>
      <c r="N1022" s="24"/>
      <c r="P1022" s="24"/>
    </row>
    <row r="1023" spans="2:16" x14ac:dyDescent="0.25">
      <c r="B1023" s="24"/>
      <c r="E1023" s="24"/>
      <c r="G1023" s="24"/>
      <c r="H1023" s="24"/>
      <c r="J1023" s="24"/>
      <c r="K1023" s="24"/>
      <c r="M1023" s="24"/>
      <c r="N1023" s="24"/>
      <c r="P1023" s="24"/>
    </row>
    <row r="1024" spans="2:16" x14ac:dyDescent="0.25">
      <c r="B1024" s="24"/>
      <c r="E1024" s="24"/>
      <c r="G1024" s="24"/>
      <c r="H1024" s="24"/>
      <c r="J1024" s="24"/>
      <c r="K1024" s="24"/>
      <c r="M1024" s="24"/>
      <c r="N1024" s="24"/>
      <c r="P1024" s="24"/>
    </row>
    <row r="1025" spans="2:16" x14ac:dyDescent="0.25">
      <c r="B1025" s="24"/>
      <c r="E1025" s="24"/>
      <c r="G1025" s="24"/>
      <c r="H1025" s="24"/>
      <c r="J1025" s="24"/>
      <c r="K1025" s="24"/>
      <c r="M1025" s="24"/>
      <c r="N1025" s="24"/>
      <c r="P1025" s="24"/>
    </row>
    <row r="1026" spans="2:16" x14ac:dyDescent="0.25">
      <c r="B1026" s="24"/>
      <c r="E1026" s="24"/>
      <c r="G1026" s="24"/>
      <c r="H1026" s="24"/>
      <c r="J1026" s="24"/>
      <c r="K1026" s="24"/>
      <c r="M1026" s="24"/>
      <c r="N1026" s="24"/>
      <c r="P1026" s="24"/>
    </row>
    <row r="1027" spans="2:16" x14ac:dyDescent="0.25">
      <c r="B1027" s="24"/>
      <c r="E1027" s="24"/>
      <c r="G1027" s="24"/>
      <c r="H1027" s="24"/>
      <c r="J1027" s="24"/>
      <c r="K1027" s="24"/>
      <c r="M1027" s="24"/>
      <c r="N1027" s="24"/>
      <c r="P1027" s="24"/>
    </row>
    <row r="1028" spans="2:16" x14ac:dyDescent="0.25">
      <c r="B1028" s="24"/>
      <c r="E1028" s="24"/>
      <c r="G1028" s="24"/>
      <c r="H1028" s="24"/>
      <c r="J1028" s="24"/>
      <c r="K1028" s="24"/>
      <c r="M1028" s="24"/>
      <c r="N1028" s="24"/>
      <c r="P1028" s="24"/>
    </row>
    <row r="1029" spans="2:16" x14ac:dyDescent="0.25">
      <c r="B1029" s="24"/>
      <c r="E1029" s="24"/>
      <c r="G1029" s="24"/>
      <c r="H1029" s="24"/>
      <c r="J1029" s="24"/>
      <c r="K1029" s="24"/>
      <c r="M1029" s="24"/>
      <c r="N1029" s="24"/>
      <c r="P1029" s="24"/>
    </row>
    <row r="1030" spans="2:16" x14ac:dyDescent="0.25">
      <c r="B1030" s="24"/>
      <c r="E1030" s="24"/>
      <c r="G1030" s="24"/>
      <c r="H1030" s="24"/>
      <c r="J1030" s="24"/>
      <c r="K1030" s="24"/>
      <c r="M1030" s="24"/>
      <c r="N1030" s="24"/>
      <c r="P1030" s="24"/>
    </row>
    <row r="1031" spans="2:16" x14ac:dyDescent="0.25">
      <c r="B1031" s="24"/>
      <c r="E1031" s="24"/>
      <c r="G1031" s="24"/>
      <c r="H1031" s="24"/>
      <c r="J1031" s="24"/>
      <c r="K1031" s="24"/>
      <c r="M1031" s="24"/>
      <c r="N1031" s="24"/>
      <c r="P1031" s="24"/>
    </row>
    <row r="1032" spans="2:16" x14ac:dyDescent="0.25">
      <c r="B1032" s="24"/>
      <c r="E1032" s="24"/>
      <c r="G1032" s="24"/>
      <c r="H1032" s="24"/>
      <c r="J1032" s="24"/>
      <c r="K1032" s="24"/>
      <c r="M1032" s="24"/>
      <c r="N1032" s="24"/>
      <c r="P1032" s="24"/>
    </row>
    <row r="1033" spans="2:16" x14ac:dyDescent="0.25">
      <c r="B1033" s="24"/>
      <c r="E1033" s="24"/>
      <c r="G1033" s="24"/>
      <c r="H1033" s="24"/>
      <c r="J1033" s="24"/>
      <c r="K1033" s="24"/>
      <c r="M1033" s="24"/>
      <c r="N1033" s="24"/>
      <c r="P1033" s="24"/>
    </row>
    <row r="1034" spans="2:16" x14ac:dyDescent="0.25">
      <c r="B1034" s="24"/>
      <c r="E1034" s="24"/>
      <c r="G1034" s="24"/>
      <c r="H1034" s="24"/>
      <c r="J1034" s="24"/>
      <c r="K1034" s="24"/>
      <c r="M1034" s="24"/>
      <c r="N1034" s="24"/>
      <c r="P1034" s="24"/>
    </row>
    <row r="1035" spans="2:16" x14ac:dyDescent="0.25">
      <c r="B1035" s="24"/>
      <c r="E1035" s="24"/>
      <c r="G1035" s="24"/>
      <c r="H1035" s="24"/>
      <c r="J1035" s="24"/>
      <c r="K1035" s="24"/>
      <c r="M1035" s="24"/>
      <c r="N1035" s="24"/>
      <c r="P1035" s="24"/>
    </row>
    <row r="1036" spans="2:16" x14ac:dyDescent="0.25">
      <c r="B1036" s="24"/>
      <c r="E1036" s="24"/>
      <c r="G1036" s="24"/>
      <c r="H1036" s="24"/>
      <c r="J1036" s="24"/>
      <c r="K1036" s="24"/>
      <c r="M1036" s="24"/>
      <c r="N1036" s="24"/>
      <c r="P1036" s="24"/>
    </row>
    <row r="1037" spans="2:16" x14ac:dyDescent="0.25">
      <c r="B1037" s="24"/>
      <c r="E1037" s="24"/>
      <c r="G1037" s="24"/>
      <c r="H1037" s="24"/>
      <c r="J1037" s="24"/>
      <c r="K1037" s="24"/>
      <c r="M1037" s="24"/>
      <c r="N1037" s="24"/>
      <c r="P1037" s="24"/>
    </row>
    <row r="1038" spans="2:16" x14ac:dyDescent="0.25">
      <c r="B1038" s="24"/>
      <c r="E1038" s="24"/>
      <c r="G1038" s="24"/>
      <c r="H1038" s="24"/>
      <c r="J1038" s="24"/>
      <c r="K1038" s="24"/>
      <c r="M1038" s="24"/>
      <c r="N1038" s="24"/>
      <c r="P1038" s="24"/>
    </row>
    <row r="1039" spans="2:16" x14ac:dyDescent="0.25">
      <c r="B1039" s="24"/>
      <c r="E1039" s="24"/>
      <c r="G1039" s="24"/>
      <c r="H1039" s="24"/>
      <c r="J1039" s="24"/>
      <c r="K1039" s="24"/>
      <c r="M1039" s="24"/>
      <c r="N1039" s="24"/>
      <c r="P1039" s="24"/>
    </row>
    <row r="1040" spans="2:16" x14ac:dyDescent="0.25">
      <c r="B1040" s="24"/>
      <c r="E1040" s="24"/>
      <c r="G1040" s="24"/>
      <c r="H1040" s="24"/>
      <c r="J1040" s="24"/>
      <c r="K1040" s="24"/>
      <c r="M1040" s="24"/>
      <c r="N1040" s="24"/>
      <c r="P1040" s="24"/>
    </row>
    <row r="1041" spans="2:16" x14ac:dyDescent="0.25">
      <c r="B1041" s="24"/>
      <c r="E1041" s="24"/>
      <c r="G1041" s="24"/>
      <c r="H1041" s="24"/>
      <c r="J1041" s="24"/>
      <c r="K1041" s="24"/>
      <c r="M1041" s="24"/>
      <c r="N1041" s="24"/>
      <c r="P1041" s="24"/>
    </row>
    <row r="1042" spans="2:16" x14ac:dyDescent="0.25">
      <c r="B1042" s="24"/>
      <c r="E1042" s="24"/>
      <c r="G1042" s="24"/>
      <c r="H1042" s="24"/>
      <c r="J1042" s="24"/>
      <c r="K1042" s="24"/>
      <c r="M1042" s="24"/>
      <c r="N1042" s="24"/>
      <c r="P1042" s="24"/>
    </row>
    <row r="1043" spans="2:16" x14ac:dyDescent="0.25">
      <c r="B1043" s="24"/>
      <c r="E1043" s="24"/>
      <c r="G1043" s="24"/>
      <c r="H1043" s="24"/>
      <c r="J1043" s="24"/>
      <c r="K1043" s="24"/>
      <c r="M1043" s="24"/>
      <c r="N1043" s="24"/>
      <c r="P1043" s="24"/>
    </row>
    <row r="1044" spans="2:16" x14ac:dyDescent="0.25">
      <c r="B1044" s="24"/>
      <c r="E1044" s="24"/>
      <c r="G1044" s="24"/>
      <c r="H1044" s="24"/>
      <c r="J1044" s="24"/>
      <c r="K1044" s="24"/>
      <c r="M1044" s="24"/>
      <c r="N1044" s="24"/>
      <c r="P1044" s="24"/>
    </row>
    <row r="1045" spans="2:16" x14ac:dyDescent="0.25">
      <c r="B1045" s="24"/>
      <c r="E1045" s="24"/>
      <c r="G1045" s="24"/>
      <c r="H1045" s="24"/>
      <c r="J1045" s="24"/>
      <c r="K1045" s="24"/>
      <c r="M1045" s="24"/>
      <c r="N1045" s="24"/>
      <c r="P1045" s="24"/>
    </row>
    <row r="1046" spans="2:16" x14ac:dyDescent="0.25">
      <c r="B1046" s="24"/>
      <c r="E1046" s="24"/>
      <c r="G1046" s="24"/>
      <c r="H1046" s="24"/>
      <c r="J1046" s="24"/>
      <c r="K1046" s="24"/>
      <c r="M1046" s="24"/>
      <c r="N1046" s="24"/>
      <c r="P1046" s="24"/>
    </row>
    <row r="1047" spans="2:16" x14ac:dyDescent="0.25">
      <c r="B1047" s="24"/>
      <c r="E1047" s="24"/>
      <c r="G1047" s="24"/>
      <c r="H1047" s="24"/>
      <c r="J1047" s="24"/>
      <c r="K1047" s="24"/>
      <c r="M1047" s="24"/>
      <c r="N1047" s="24"/>
      <c r="P1047" s="24"/>
    </row>
    <row r="1048" spans="2:16" x14ac:dyDescent="0.25">
      <c r="B1048" s="24"/>
      <c r="E1048" s="24"/>
      <c r="G1048" s="24"/>
      <c r="H1048" s="24"/>
      <c r="J1048" s="24"/>
      <c r="K1048" s="24"/>
      <c r="M1048" s="24"/>
      <c r="N1048" s="24"/>
      <c r="P1048" s="24"/>
    </row>
    <row r="1049" spans="2:16" x14ac:dyDescent="0.25">
      <c r="B1049" s="24"/>
      <c r="E1049" s="24"/>
      <c r="G1049" s="24"/>
      <c r="H1049" s="24"/>
      <c r="J1049" s="24"/>
      <c r="K1049" s="24"/>
      <c r="M1049" s="24"/>
      <c r="N1049" s="24"/>
      <c r="P1049" s="24"/>
    </row>
    <row r="1050" spans="2:16" x14ac:dyDescent="0.25">
      <c r="B1050" s="24"/>
      <c r="E1050" s="24"/>
      <c r="G1050" s="24"/>
      <c r="H1050" s="24"/>
      <c r="J1050" s="24"/>
      <c r="K1050" s="24"/>
      <c r="M1050" s="24"/>
      <c r="N1050" s="24"/>
      <c r="P1050" s="24"/>
    </row>
    <row r="1051" spans="2:16" x14ac:dyDescent="0.25">
      <c r="B1051" s="24"/>
      <c r="E1051" s="24"/>
      <c r="G1051" s="24"/>
      <c r="H1051" s="24"/>
      <c r="J1051" s="24"/>
      <c r="K1051" s="24"/>
      <c r="M1051" s="24"/>
      <c r="N1051" s="24"/>
      <c r="P1051" s="24"/>
    </row>
    <row r="1052" spans="2:16" x14ac:dyDescent="0.25">
      <c r="B1052" s="24"/>
      <c r="E1052" s="24"/>
      <c r="G1052" s="24"/>
      <c r="H1052" s="24"/>
      <c r="J1052" s="24"/>
      <c r="K1052" s="24"/>
      <c r="M1052" s="24"/>
      <c r="N1052" s="24"/>
      <c r="P1052" s="24"/>
    </row>
    <row r="1053" spans="2:16" x14ac:dyDescent="0.25">
      <c r="B1053" s="24"/>
      <c r="E1053" s="24"/>
      <c r="G1053" s="24"/>
      <c r="H1053" s="24"/>
      <c r="J1053" s="24"/>
      <c r="K1053" s="24"/>
      <c r="M1053" s="24"/>
      <c r="N1053" s="24"/>
      <c r="P1053" s="24"/>
    </row>
    <row r="1054" spans="2:16" x14ac:dyDescent="0.25">
      <c r="B1054" s="24"/>
      <c r="E1054" s="24"/>
      <c r="G1054" s="24"/>
      <c r="H1054" s="24"/>
      <c r="J1054" s="24"/>
      <c r="K1054" s="24"/>
      <c r="M1054" s="24"/>
      <c r="N1054" s="24"/>
      <c r="P1054" s="24"/>
    </row>
    <row r="1055" spans="2:16" x14ac:dyDescent="0.25">
      <c r="B1055" s="24"/>
      <c r="E1055" s="24"/>
      <c r="G1055" s="24"/>
      <c r="H1055" s="24"/>
      <c r="J1055" s="24"/>
      <c r="K1055" s="24"/>
      <c r="M1055" s="24"/>
      <c r="N1055" s="24"/>
      <c r="P1055" s="24"/>
    </row>
    <row r="1056" spans="2:16" x14ac:dyDescent="0.25">
      <c r="B1056" s="24"/>
      <c r="E1056" s="24"/>
      <c r="G1056" s="24"/>
      <c r="H1056" s="24"/>
      <c r="J1056" s="24"/>
      <c r="K1056" s="24"/>
      <c r="M1056" s="24"/>
      <c r="N1056" s="24"/>
      <c r="P1056" s="24"/>
    </row>
    <row r="1057" spans="2:16" x14ac:dyDescent="0.25">
      <c r="B1057" s="24"/>
      <c r="E1057" s="24"/>
      <c r="G1057" s="24"/>
      <c r="H1057" s="24"/>
      <c r="J1057" s="24"/>
      <c r="K1057" s="24"/>
      <c r="M1057" s="24"/>
      <c r="N1057" s="24"/>
      <c r="P1057" s="24"/>
    </row>
    <row r="1058" spans="2:16" x14ac:dyDescent="0.25">
      <c r="B1058" s="24"/>
      <c r="E1058" s="24"/>
      <c r="G1058" s="24"/>
      <c r="H1058" s="24"/>
      <c r="J1058" s="24"/>
      <c r="K1058" s="24"/>
      <c r="M1058" s="24"/>
      <c r="N1058" s="24"/>
      <c r="P1058" s="24"/>
    </row>
    <row r="1059" spans="2:16" x14ac:dyDescent="0.25">
      <c r="B1059" s="24"/>
      <c r="E1059" s="24"/>
      <c r="G1059" s="24"/>
      <c r="H1059" s="24"/>
      <c r="J1059" s="24"/>
      <c r="K1059" s="24"/>
      <c r="M1059" s="24"/>
      <c r="N1059" s="24"/>
      <c r="P1059" s="24"/>
    </row>
    <row r="1060" spans="2:16" x14ac:dyDescent="0.25">
      <c r="B1060" s="24"/>
      <c r="E1060" s="24"/>
      <c r="G1060" s="24"/>
      <c r="H1060" s="24"/>
      <c r="J1060" s="24"/>
      <c r="K1060" s="24"/>
      <c r="M1060" s="24"/>
      <c r="N1060" s="24"/>
      <c r="P1060" s="24"/>
    </row>
    <row r="1061" spans="2:16" x14ac:dyDescent="0.25">
      <c r="B1061" s="24"/>
      <c r="E1061" s="24"/>
      <c r="G1061" s="24"/>
      <c r="H1061" s="24"/>
      <c r="J1061" s="24"/>
      <c r="K1061" s="24"/>
      <c r="M1061" s="24"/>
      <c r="N1061" s="24"/>
      <c r="P1061" s="24"/>
    </row>
    <row r="1062" spans="2:16" x14ac:dyDescent="0.25">
      <c r="B1062" s="24"/>
      <c r="E1062" s="24"/>
      <c r="G1062" s="24"/>
      <c r="H1062" s="24"/>
      <c r="J1062" s="24"/>
      <c r="K1062" s="24"/>
      <c r="M1062" s="24"/>
      <c r="N1062" s="24"/>
      <c r="P1062" s="24"/>
    </row>
    <row r="1063" spans="2:16" x14ac:dyDescent="0.25">
      <c r="B1063" s="24"/>
      <c r="E1063" s="24"/>
      <c r="G1063" s="24"/>
      <c r="H1063" s="24"/>
      <c r="J1063" s="24"/>
      <c r="K1063" s="24"/>
      <c r="M1063" s="24"/>
      <c r="N1063" s="24"/>
      <c r="P1063" s="24"/>
    </row>
    <row r="1064" spans="2:16" x14ac:dyDescent="0.25">
      <c r="B1064" s="24"/>
      <c r="E1064" s="24"/>
      <c r="G1064" s="24"/>
      <c r="H1064" s="24"/>
      <c r="J1064" s="24"/>
      <c r="K1064" s="24"/>
      <c r="M1064" s="24"/>
      <c r="N1064" s="24"/>
      <c r="P1064" s="24"/>
    </row>
    <row r="1065" spans="2:16" x14ac:dyDescent="0.25">
      <c r="B1065" s="24"/>
      <c r="E1065" s="24"/>
      <c r="G1065" s="24"/>
      <c r="H1065" s="24"/>
      <c r="J1065" s="24"/>
      <c r="K1065" s="24"/>
      <c r="M1065" s="24"/>
      <c r="N1065" s="24"/>
      <c r="P1065" s="24"/>
    </row>
    <row r="1066" spans="2:16" x14ac:dyDescent="0.25">
      <c r="B1066" s="24"/>
      <c r="E1066" s="24"/>
      <c r="G1066" s="24"/>
      <c r="H1066" s="24"/>
      <c r="J1066" s="24"/>
      <c r="K1066" s="24"/>
      <c r="M1066" s="24"/>
      <c r="N1066" s="24"/>
      <c r="P1066" s="24"/>
    </row>
    <row r="1067" spans="2:16" x14ac:dyDescent="0.25">
      <c r="B1067" s="24"/>
      <c r="E1067" s="24"/>
      <c r="G1067" s="24"/>
      <c r="H1067" s="24"/>
      <c r="J1067" s="24"/>
      <c r="K1067" s="24"/>
      <c r="M1067" s="24"/>
      <c r="N1067" s="24"/>
      <c r="P1067" s="24"/>
    </row>
    <row r="1068" spans="2:16" x14ac:dyDescent="0.25">
      <c r="B1068" s="24"/>
      <c r="E1068" s="24"/>
      <c r="G1068" s="24"/>
      <c r="H1068" s="24"/>
      <c r="J1068" s="24"/>
      <c r="K1068" s="24"/>
      <c r="M1068" s="24"/>
      <c r="N1068" s="24"/>
      <c r="P1068" s="24"/>
    </row>
    <row r="1069" spans="2:16" x14ac:dyDescent="0.25">
      <c r="B1069" s="24"/>
      <c r="E1069" s="24"/>
      <c r="G1069" s="24"/>
      <c r="H1069" s="24"/>
      <c r="J1069" s="24"/>
      <c r="K1069" s="24"/>
      <c r="M1069" s="24"/>
      <c r="N1069" s="24"/>
      <c r="P1069" s="24"/>
    </row>
    <row r="1070" spans="2:16" x14ac:dyDescent="0.25">
      <c r="B1070" s="24"/>
      <c r="E1070" s="24"/>
      <c r="G1070" s="24"/>
      <c r="H1070" s="24"/>
      <c r="J1070" s="24"/>
      <c r="K1070" s="24"/>
      <c r="M1070" s="24"/>
      <c r="N1070" s="24"/>
      <c r="P1070" s="24"/>
    </row>
    <row r="1071" spans="2:16" x14ac:dyDescent="0.25">
      <c r="B1071" s="24"/>
      <c r="E1071" s="24"/>
      <c r="G1071" s="24"/>
      <c r="H1071" s="24"/>
      <c r="J1071" s="24"/>
      <c r="K1071" s="24"/>
      <c r="M1071" s="24"/>
      <c r="N1071" s="24"/>
      <c r="P1071" s="24"/>
    </row>
    <row r="1072" spans="2:16" x14ac:dyDescent="0.25">
      <c r="B1072" s="24"/>
      <c r="E1072" s="24"/>
      <c r="G1072" s="24"/>
      <c r="H1072" s="24"/>
      <c r="J1072" s="24"/>
      <c r="K1072" s="24"/>
      <c r="M1072" s="24"/>
      <c r="N1072" s="24"/>
      <c r="P1072" s="24"/>
    </row>
    <row r="1073" spans="2:16" x14ac:dyDescent="0.25">
      <c r="B1073" s="24"/>
      <c r="E1073" s="24"/>
      <c r="G1073" s="24"/>
      <c r="H1073" s="24"/>
      <c r="J1073" s="24"/>
      <c r="K1073" s="24"/>
      <c r="M1073" s="24"/>
      <c r="N1073" s="24"/>
      <c r="P1073" s="24"/>
    </row>
    <row r="1074" spans="2:16" x14ac:dyDescent="0.25">
      <c r="B1074" s="24"/>
      <c r="E1074" s="24"/>
      <c r="G1074" s="24"/>
      <c r="H1074" s="24"/>
      <c r="J1074" s="24"/>
      <c r="K1074" s="24"/>
      <c r="M1074" s="24"/>
      <c r="N1074" s="24"/>
      <c r="P1074" s="24"/>
    </row>
    <row r="1075" spans="2:16" x14ac:dyDescent="0.25">
      <c r="B1075" s="24"/>
      <c r="E1075" s="24"/>
      <c r="G1075" s="24"/>
      <c r="H1075" s="24"/>
      <c r="J1075" s="24"/>
      <c r="K1075" s="24"/>
      <c r="M1075" s="24"/>
      <c r="N1075" s="24"/>
      <c r="P1075" s="24"/>
    </row>
    <row r="1076" spans="2:16" x14ac:dyDescent="0.25">
      <c r="B1076" s="24"/>
      <c r="E1076" s="24"/>
      <c r="G1076" s="24"/>
      <c r="H1076" s="24"/>
      <c r="J1076" s="24"/>
      <c r="K1076" s="24"/>
      <c r="M1076" s="24"/>
      <c r="N1076" s="24"/>
      <c r="P1076" s="24"/>
    </row>
    <row r="1077" spans="2:16" x14ac:dyDescent="0.25">
      <c r="B1077" s="24"/>
      <c r="E1077" s="24"/>
      <c r="G1077" s="24"/>
      <c r="H1077" s="24"/>
      <c r="J1077" s="24"/>
      <c r="K1077" s="24"/>
      <c r="M1077" s="24"/>
      <c r="N1077" s="24"/>
      <c r="P1077" s="24"/>
    </row>
    <row r="1078" spans="2:16" x14ac:dyDescent="0.25">
      <c r="B1078" s="24"/>
      <c r="E1078" s="24"/>
      <c r="G1078" s="24"/>
      <c r="H1078" s="24"/>
      <c r="J1078" s="24"/>
      <c r="K1078" s="24"/>
      <c r="M1078" s="24"/>
      <c r="N1078" s="24"/>
      <c r="P1078" s="24"/>
    </row>
    <row r="1079" spans="2:16" x14ac:dyDescent="0.25">
      <c r="B1079" s="24"/>
      <c r="E1079" s="24"/>
      <c r="G1079" s="24"/>
      <c r="H1079" s="24"/>
      <c r="J1079" s="24"/>
      <c r="K1079" s="24"/>
      <c r="M1079" s="24"/>
      <c r="N1079" s="24"/>
      <c r="P1079" s="24"/>
    </row>
    <row r="1080" spans="2:16" x14ac:dyDescent="0.25">
      <c r="B1080" s="24"/>
      <c r="E1080" s="24"/>
      <c r="G1080" s="24"/>
      <c r="H1080" s="24"/>
      <c r="J1080" s="24"/>
      <c r="K1080" s="24"/>
      <c r="M1080" s="24"/>
      <c r="N1080" s="24"/>
      <c r="P1080" s="24"/>
    </row>
    <row r="1081" spans="2:16" x14ac:dyDescent="0.25">
      <c r="B1081" s="24"/>
      <c r="E1081" s="24"/>
      <c r="G1081" s="24"/>
      <c r="H1081" s="24"/>
      <c r="J1081" s="24"/>
      <c r="K1081" s="24"/>
      <c r="M1081" s="24"/>
      <c r="N1081" s="24"/>
      <c r="P1081" s="24"/>
    </row>
    <row r="1082" spans="2:16" x14ac:dyDescent="0.25">
      <c r="B1082" s="24"/>
      <c r="E1082" s="24"/>
      <c r="G1082" s="24"/>
      <c r="H1082" s="24"/>
      <c r="J1082" s="24"/>
      <c r="K1082" s="24"/>
      <c r="M1082" s="24"/>
      <c r="N1082" s="24"/>
      <c r="P1082" s="24"/>
    </row>
    <row r="1083" spans="2:16" x14ac:dyDescent="0.25">
      <c r="B1083" s="24"/>
      <c r="E1083" s="24"/>
      <c r="G1083" s="24"/>
      <c r="H1083" s="24"/>
      <c r="J1083" s="24"/>
      <c r="K1083" s="24"/>
      <c r="M1083" s="24"/>
      <c r="N1083" s="24"/>
      <c r="P1083" s="24"/>
    </row>
    <row r="1084" spans="2:16" x14ac:dyDescent="0.25">
      <c r="B1084" s="24"/>
      <c r="E1084" s="24"/>
      <c r="G1084" s="24"/>
      <c r="H1084" s="24"/>
      <c r="J1084" s="24"/>
      <c r="K1084" s="24"/>
      <c r="M1084" s="24"/>
      <c r="N1084" s="24"/>
      <c r="P1084" s="24"/>
    </row>
    <row r="1085" spans="2:16" x14ac:dyDescent="0.25">
      <c r="B1085" s="24"/>
      <c r="E1085" s="24"/>
      <c r="G1085" s="24"/>
      <c r="H1085" s="24"/>
      <c r="J1085" s="24"/>
      <c r="K1085" s="24"/>
      <c r="M1085" s="24"/>
      <c r="N1085" s="24"/>
      <c r="P1085" s="24"/>
    </row>
    <row r="1086" spans="2:16" x14ac:dyDescent="0.25">
      <c r="B1086" s="24"/>
      <c r="E1086" s="24"/>
      <c r="G1086" s="24"/>
      <c r="H1086" s="24"/>
      <c r="J1086" s="24"/>
      <c r="K1086" s="24"/>
      <c r="M1086" s="24"/>
      <c r="N1086" s="24"/>
      <c r="P1086" s="24"/>
    </row>
    <row r="1087" spans="2:16" x14ac:dyDescent="0.25">
      <c r="B1087" s="24"/>
      <c r="E1087" s="24"/>
      <c r="G1087" s="24"/>
      <c r="H1087" s="24"/>
      <c r="J1087" s="24"/>
      <c r="K1087" s="24"/>
      <c r="M1087" s="24"/>
      <c r="N1087" s="24"/>
      <c r="P1087" s="24"/>
    </row>
    <row r="1088" spans="2:16" x14ac:dyDescent="0.25">
      <c r="B1088" s="24"/>
      <c r="E1088" s="24"/>
      <c r="G1088" s="24"/>
      <c r="H1088" s="24"/>
      <c r="J1088" s="24"/>
      <c r="K1088" s="24"/>
      <c r="M1088" s="24"/>
      <c r="N1088" s="24"/>
      <c r="P1088" s="24"/>
    </row>
    <row r="1089" spans="2:16" x14ac:dyDescent="0.25">
      <c r="B1089" s="24"/>
      <c r="E1089" s="24"/>
      <c r="G1089" s="24"/>
      <c r="H1089" s="24"/>
      <c r="J1089" s="24"/>
      <c r="K1089" s="24"/>
      <c r="M1089" s="24"/>
      <c r="N1089" s="24"/>
      <c r="P1089" s="24"/>
    </row>
    <row r="1090" spans="2:16" x14ac:dyDescent="0.25">
      <c r="B1090" s="24"/>
      <c r="E1090" s="24"/>
      <c r="G1090" s="24"/>
      <c r="H1090" s="24"/>
      <c r="J1090" s="24"/>
      <c r="K1090" s="24"/>
      <c r="M1090" s="24"/>
      <c r="N1090" s="24"/>
      <c r="P1090" s="24"/>
    </row>
    <row r="1091" spans="2:16" x14ac:dyDescent="0.25">
      <c r="B1091" s="24"/>
      <c r="E1091" s="24"/>
      <c r="G1091" s="24"/>
      <c r="H1091" s="24"/>
      <c r="J1091" s="24"/>
      <c r="K1091" s="24"/>
      <c r="M1091" s="24"/>
      <c r="N1091" s="24"/>
      <c r="P1091" s="24"/>
    </row>
    <row r="1092" spans="2:16" x14ac:dyDescent="0.25">
      <c r="B1092" s="24"/>
      <c r="E1092" s="24"/>
      <c r="G1092" s="24"/>
      <c r="H1092" s="24"/>
      <c r="J1092" s="24"/>
      <c r="K1092" s="24"/>
      <c r="M1092" s="24"/>
      <c r="N1092" s="24"/>
      <c r="P1092" s="24"/>
    </row>
    <row r="1093" spans="2:16" x14ac:dyDescent="0.25">
      <c r="B1093" s="24"/>
      <c r="E1093" s="24"/>
      <c r="G1093" s="24"/>
      <c r="H1093" s="24"/>
      <c r="J1093" s="24"/>
      <c r="K1093" s="24"/>
      <c r="M1093" s="24"/>
      <c r="N1093" s="24"/>
      <c r="P1093" s="24"/>
    </row>
    <row r="1094" spans="2:16" x14ac:dyDescent="0.25">
      <c r="B1094" s="24"/>
      <c r="E1094" s="24"/>
      <c r="G1094" s="24"/>
      <c r="H1094" s="24"/>
      <c r="J1094" s="24"/>
      <c r="K1094" s="24"/>
      <c r="M1094" s="24"/>
      <c r="N1094" s="24"/>
      <c r="P1094" s="24"/>
    </row>
    <row r="1095" spans="2:16" x14ac:dyDescent="0.25">
      <c r="B1095" s="24"/>
      <c r="E1095" s="24"/>
      <c r="G1095" s="24"/>
      <c r="H1095" s="24"/>
      <c r="J1095" s="24"/>
      <c r="K1095" s="24"/>
      <c r="M1095" s="24"/>
      <c r="N1095" s="24"/>
      <c r="P1095" s="24"/>
    </row>
    <row r="1096" spans="2:16" x14ac:dyDescent="0.25">
      <c r="B1096" s="24"/>
      <c r="E1096" s="24"/>
      <c r="G1096" s="24"/>
      <c r="H1096" s="24"/>
      <c r="J1096" s="24"/>
      <c r="K1096" s="24"/>
      <c r="M1096" s="24"/>
      <c r="N1096" s="24"/>
      <c r="P1096" s="24"/>
    </row>
    <row r="1097" spans="2:16" x14ac:dyDescent="0.25">
      <c r="B1097" s="24"/>
      <c r="E1097" s="24"/>
      <c r="G1097" s="24"/>
      <c r="H1097" s="24"/>
      <c r="J1097" s="24"/>
      <c r="K1097" s="24"/>
      <c r="M1097" s="24"/>
      <c r="N1097" s="24"/>
      <c r="P1097" s="24"/>
    </row>
    <row r="1098" spans="2:16" x14ac:dyDescent="0.25">
      <c r="B1098" s="24"/>
      <c r="E1098" s="24"/>
      <c r="G1098" s="24"/>
      <c r="H1098" s="24"/>
      <c r="J1098" s="24"/>
      <c r="K1098" s="24"/>
      <c r="M1098" s="24"/>
      <c r="N1098" s="24"/>
      <c r="P1098" s="24"/>
    </row>
    <row r="1099" spans="2:16" x14ac:dyDescent="0.25">
      <c r="B1099" s="24"/>
      <c r="E1099" s="24"/>
      <c r="G1099" s="24"/>
      <c r="H1099" s="24"/>
      <c r="J1099" s="24"/>
      <c r="K1099" s="24"/>
      <c r="M1099" s="24"/>
      <c r="N1099" s="24"/>
      <c r="P1099" s="24"/>
    </row>
    <row r="1100" spans="2:16" x14ac:dyDescent="0.25">
      <c r="B1100" s="24"/>
      <c r="E1100" s="24"/>
      <c r="G1100" s="24"/>
      <c r="H1100" s="24"/>
      <c r="J1100" s="24"/>
      <c r="K1100" s="24"/>
      <c r="M1100" s="24"/>
      <c r="N1100" s="24"/>
      <c r="P1100" s="24"/>
    </row>
    <row r="1101" spans="2:16" x14ac:dyDescent="0.25">
      <c r="B1101" s="24"/>
      <c r="E1101" s="24"/>
      <c r="G1101" s="24"/>
      <c r="H1101" s="24"/>
      <c r="J1101" s="24"/>
      <c r="K1101" s="24"/>
      <c r="M1101" s="24"/>
      <c r="N1101" s="24"/>
      <c r="P1101" s="24"/>
    </row>
    <row r="1102" spans="2:16" x14ac:dyDescent="0.25">
      <c r="B1102" s="24"/>
      <c r="E1102" s="24"/>
      <c r="G1102" s="24"/>
      <c r="H1102" s="24"/>
      <c r="J1102" s="24"/>
      <c r="K1102" s="24"/>
      <c r="M1102" s="24"/>
      <c r="N1102" s="24"/>
      <c r="P1102" s="24"/>
    </row>
    <row r="1103" spans="2:16" x14ac:dyDescent="0.25">
      <c r="B1103" s="24"/>
      <c r="E1103" s="24"/>
      <c r="G1103" s="24"/>
      <c r="H1103" s="24"/>
      <c r="J1103" s="24"/>
      <c r="K1103" s="24"/>
      <c r="M1103" s="24"/>
      <c r="N1103" s="24"/>
      <c r="P1103" s="24"/>
    </row>
    <row r="1104" spans="2:16" x14ac:dyDescent="0.25">
      <c r="B1104" s="24"/>
      <c r="E1104" s="24"/>
      <c r="G1104" s="24"/>
      <c r="H1104" s="24"/>
      <c r="J1104" s="24"/>
      <c r="K1104" s="24"/>
      <c r="M1104" s="24"/>
      <c r="N1104" s="24"/>
      <c r="P1104" s="24"/>
    </row>
    <row r="1105" spans="2:16" x14ac:dyDescent="0.25">
      <c r="B1105" s="24"/>
      <c r="E1105" s="24"/>
      <c r="G1105" s="24"/>
      <c r="H1105" s="24"/>
      <c r="J1105" s="24"/>
      <c r="K1105" s="24"/>
      <c r="M1105" s="24"/>
      <c r="N1105" s="24"/>
      <c r="P1105" s="24"/>
    </row>
    <row r="1106" spans="2:16" x14ac:dyDescent="0.25">
      <c r="B1106" s="24"/>
      <c r="E1106" s="24"/>
      <c r="G1106" s="24"/>
      <c r="H1106" s="24"/>
      <c r="J1106" s="24"/>
      <c r="K1106" s="24"/>
      <c r="M1106" s="24"/>
      <c r="N1106" s="24"/>
      <c r="P1106" s="24"/>
    </row>
    <row r="1107" spans="2:16" x14ac:dyDescent="0.25">
      <c r="B1107" s="24"/>
      <c r="E1107" s="24"/>
      <c r="G1107" s="24"/>
      <c r="H1107" s="24"/>
      <c r="J1107" s="24"/>
      <c r="K1107" s="24"/>
      <c r="M1107" s="24"/>
      <c r="N1107" s="24"/>
      <c r="P1107" s="24"/>
    </row>
    <row r="1108" spans="2:16" x14ac:dyDescent="0.25">
      <c r="B1108" s="24"/>
      <c r="E1108" s="24"/>
      <c r="G1108" s="24"/>
      <c r="H1108" s="24"/>
      <c r="J1108" s="24"/>
      <c r="K1108" s="24"/>
      <c r="M1108" s="24"/>
      <c r="N1108" s="24"/>
      <c r="P1108" s="24"/>
    </row>
    <row r="1109" spans="2:16" x14ac:dyDescent="0.25">
      <c r="B1109" s="24"/>
      <c r="E1109" s="24"/>
      <c r="G1109" s="24"/>
      <c r="H1109" s="24"/>
      <c r="J1109" s="24"/>
      <c r="K1109" s="24"/>
      <c r="M1109" s="24"/>
      <c r="N1109" s="24"/>
      <c r="P1109" s="24"/>
    </row>
    <row r="1110" spans="2:16" x14ac:dyDescent="0.25">
      <c r="B1110" s="24"/>
      <c r="E1110" s="24"/>
      <c r="G1110" s="24"/>
      <c r="H1110" s="24"/>
      <c r="J1110" s="24"/>
      <c r="K1110" s="24"/>
      <c r="M1110" s="24"/>
      <c r="N1110" s="24"/>
      <c r="P1110" s="24"/>
    </row>
    <row r="1111" spans="2:16" x14ac:dyDescent="0.25">
      <c r="B1111" s="24"/>
      <c r="E1111" s="24"/>
      <c r="G1111" s="24"/>
      <c r="H1111" s="24"/>
      <c r="J1111" s="24"/>
      <c r="K1111" s="24"/>
      <c r="M1111" s="24"/>
      <c r="N1111" s="24"/>
      <c r="P1111" s="24"/>
    </row>
    <row r="1112" spans="2:16" x14ac:dyDescent="0.25">
      <c r="B1112" s="24"/>
      <c r="E1112" s="24"/>
      <c r="G1112" s="24"/>
      <c r="H1112" s="24"/>
      <c r="J1112" s="24"/>
      <c r="K1112" s="24"/>
      <c r="M1112" s="24"/>
      <c r="N1112" s="24"/>
      <c r="P1112" s="24"/>
    </row>
    <row r="1113" spans="2:16" x14ac:dyDescent="0.25">
      <c r="B1113" s="24"/>
      <c r="E1113" s="24"/>
      <c r="G1113" s="24"/>
      <c r="H1113" s="24"/>
      <c r="J1113" s="24"/>
      <c r="K1113" s="24"/>
      <c r="M1113" s="24"/>
      <c r="N1113" s="24"/>
      <c r="P1113" s="24"/>
    </row>
    <row r="1114" spans="2:16" x14ac:dyDescent="0.25">
      <c r="B1114" s="24"/>
      <c r="E1114" s="24"/>
      <c r="G1114" s="24"/>
      <c r="H1114" s="24"/>
      <c r="J1114" s="24"/>
      <c r="K1114" s="24"/>
      <c r="M1114" s="24"/>
      <c r="N1114" s="24"/>
      <c r="P1114" s="24"/>
    </row>
    <row r="1115" spans="2:16" x14ac:dyDescent="0.25">
      <c r="B1115" s="24"/>
      <c r="E1115" s="24"/>
      <c r="G1115" s="24"/>
      <c r="H1115" s="24"/>
      <c r="J1115" s="24"/>
      <c r="K1115" s="24"/>
      <c r="M1115" s="24"/>
      <c r="N1115" s="24"/>
      <c r="P1115" s="24"/>
    </row>
    <row r="1116" spans="2:16" x14ac:dyDescent="0.25">
      <c r="B1116" s="24"/>
      <c r="E1116" s="24"/>
      <c r="G1116" s="24"/>
      <c r="H1116" s="24"/>
      <c r="J1116" s="24"/>
      <c r="K1116" s="24"/>
      <c r="M1116" s="24"/>
      <c r="N1116" s="24"/>
      <c r="P1116" s="24"/>
    </row>
    <row r="1117" spans="2:16" x14ac:dyDescent="0.25">
      <c r="B1117" s="24"/>
      <c r="E1117" s="24"/>
      <c r="G1117" s="24"/>
      <c r="H1117" s="24"/>
      <c r="J1117" s="24"/>
      <c r="K1117" s="24"/>
      <c r="M1117" s="24"/>
      <c r="N1117" s="24"/>
      <c r="P1117" s="24"/>
    </row>
    <row r="1118" spans="2:16" x14ac:dyDescent="0.25">
      <c r="B1118" s="24"/>
      <c r="E1118" s="24"/>
      <c r="G1118" s="24"/>
      <c r="H1118" s="24"/>
      <c r="J1118" s="24"/>
      <c r="K1118" s="24"/>
      <c r="M1118" s="24"/>
      <c r="N1118" s="24"/>
      <c r="P1118" s="24"/>
    </row>
    <row r="1119" spans="2:16" x14ac:dyDescent="0.25">
      <c r="B1119" s="24"/>
      <c r="E1119" s="24"/>
      <c r="G1119" s="24"/>
      <c r="H1119" s="24"/>
      <c r="J1119" s="24"/>
      <c r="K1119" s="24"/>
      <c r="M1119" s="24"/>
      <c r="N1119" s="24"/>
      <c r="P1119" s="24"/>
    </row>
    <row r="1120" spans="2:16" x14ac:dyDescent="0.25">
      <c r="B1120" s="24"/>
      <c r="E1120" s="24"/>
      <c r="G1120" s="24"/>
      <c r="H1120" s="24"/>
      <c r="J1120" s="24"/>
      <c r="K1120" s="24"/>
      <c r="M1120" s="24"/>
      <c r="N1120" s="24"/>
      <c r="P1120" s="24"/>
    </row>
    <row r="1121" spans="2:16" x14ac:dyDescent="0.25">
      <c r="B1121" s="24"/>
      <c r="E1121" s="24"/>
      <c r="G1121" s="24"/>
      <c r="H1121" s="24"/>
      <c r="J1121" s="24"/>
      <c r="K1121" s="24"/>
      <c r="M1121" s="24"/>
      <c r="N1121" s="24"/>
      <c r="P1121" s="24"/>
    </row>
    <row r="1122" spans="2:16" x14ac:dyDescent="0.25">
      <c r="B1122" s="24"/>
      <c r="E1122" s="24"/>
      <c r="G1122" s="24"/>
      <c r="H1122" s="24"/>
      <c r="J1122" s="24"/>
      <c r="K1122" s="24"/>
      <c r="M1122" s="24"/>
      <c r="N1122" s="24"/>
      <c r="P1122" s="24"/>
    </row>
    <row r="1123" spans="2:16" x14ac:dyDescent="0.25">
      <c r="B1123" s="24"/>
      <c r="E1123" s="24"/>
      <c r="G1123" s="24"/>
      <c r="H1123" s="24"/>
      <c r="J1123" s="24"/>
      <c r="K1123" s="24"/>
      <c r="M1123" s="24"/>
      <c r="N1123" s="24"/>
      <c r="P1123" s="24"/>
    </row>
    <row r="1124" spans="2:16" x14ac:dyDescent="0.25">
      <c r="B1124" s="24"/>
      <c r="E1124" s="24"/>
      <c r="G1124" s="24"/>
      <c r="H1124" s="24"/>
      <c r="J1124" s="24"/>
      <c r="K1124" s="24"/>
      <c r="M1124" s="24"/>
      <c r="N1124" s="24"/>
      <c r="P1124" s="24"/>
    </row>
    <row r="1125" spans="2:16" x14ac:dyDescent="0.25">
      <c r="B1125" s="24"/>
      <c r="E1125" s="24"/>
      <c r="G1125" s="24"/>
      <c r="H1125" s="24"/>
      <c r="J1125" s="24"/>
      <c r="K1125" s="24"/>
      <c r="M1125" s="24"/>
      <c r="N1125" s="24"/>
      <c r="P1125" s="24"/>
    </row>
    <row r="1126" spans="2:16" x14ac:dyDescent="0.25">
      <c r="B1126" s="24"/>
      <c r="E1126" s="24"/>
      <c r="G1126" s="24"/>
      <c r="H1126" s="24"/>
      <c r="J1126" s="24"/>
      <c r="K1126" s="24"/>
      <c r="M1126" s="24"/>
      <c r="N1126" s="24"/>
      <c r="P1126" s="24"/>
    </row>
    <row r="1127" spans="2:16" x14ac:dyDescent="0.25">
      <c r="B1127" s="24"/>
      <c r="E1127" s="24"/>
      <c r="G1127" s="24"/>
      <c r="H1127" s="24"/>
      <c r="J1127" s="24"/>
      <c r="K1127" s="24"/>
      <c r="M1127" s="24"/>
      <c r="N1127" s="24"/>
      <c r="P1127" s="24"/>
    </row>
    <row r="1128" spans="2:16" x14ac:dyDescent="0.25">
      <c r="B1128" s="24"/>
      <c r="E1128" s="24"/>
      <c r="G1128" s="24"/>
      <c r="H1128" s="24"/>
      <c r="J1128" s="24"/>
      <c r="K1128" s="24"/>
      <c r="M1128" s="24"/>
      <c r="N1128" s="24"/>
      <c r="P1128" s="24"/>
    </row>
    <row r="1129" spans="2:16" x14ac:dyDescent="0.25">
      <c r="B1129" s="24"/>
      <c r="E1129" s="24"/>
      <c r="G1129" s="24"/>
      <c r="H1129" s="24"/>
      <c r="J1129" s="24"/>
      <c r="K1129" s="24"/>
      <c r="M1129" s="24"/>
      <c r="N1129" s="24"/>
      <c r="P1129" s="24"/>
    </row>
    <row r="1130" spans="2:16" x14ac:dyDescent="0.25">
      <c r="B1130" s="24"/>
      <c r="E1130" s="24"/>
      <c r="G1130" s="24"/>
      <c r="H1130" s="24"/>
      <c r="J1130" s="24"/>
      <c r="K1130" s="24"/>
      <c r="M1130" s="24"/>
      <c r="N1130" s="24"/>
      <c r="P1130" s="24"/>
    </row>
    <row r="1131" spans="2:16" x14ac:dyDescent="0.25">
      <c r="B1131" s="24"/>
      <c r="E1131" s="24"/>
      <c r="G1131" s="24"/>
      <c r="H1131" s="24"/>
      <c r="J1131" s="24"/>
      <c r="K1131" s="24"/>
      <c r="M1131" s="24"/>
      <c r="N1131" s="24"/>
      <c r="P1131" s="24"/>
    </row>
    <row r="1132" spans="2:16" x14ac:dyDescent="0.25">
      <c r="B1132" s="24"/>
      <c r="E1132" s="24"/>
      <c r="G1132" s="24"/>
      <c r="H1132" s="24"/>
      <c r="J1132" s="24"/>
      <c r="K1132" s="24"/>
      <c r="M1132" s="24"/>
      <c r="N1132" s="24"/>
      <c r="P1132" s="24"/>
    </row>
    <row r="1133" spans="2:16" x14ac:dyDescent="0.25">
      <c r="B1133" s="24"/>
      <c r="E1133" s="24"/>
      <c r="G1133" s="24"/>
      <c r="H1133" s="24"/>
      <c r="J1133" s="24"/>
      <c r="K1133" s="24"/>
      <c r="M1133" s="24"/>
      <c r="N1133" s="24"/>
      <c r="P1133" s="24"/>
    </row>
    <row r="1134" spans="2:16" x14ac:dyDescent="0.25">
      <c r="B1134" s="24"/>
      <c r="E1134" s="24"/>
      <c r="G1134" s="24"/>
      <c r="H1134" s="24"/>
      <c r="J1134" s="24"/>
      <c r="K1134" s="24"/>
      <c r="M1134" s="24"/>
      <c r="N1134" s="24"/>
      <c r="P1134" s="24"/>
    </row>
    <row r="1135" spans="2:16" x14ac:dyDescent="0.25">
      <c r="B1135" s="24"/>
      <c r="E1135" s="24"/>
      <c r="G1135" s="24"/>
      <c r="H1135" s="24"/>
      <c r="J1135" s="24"/>
      <c r="K1135" s="24"/>
      <c r="M1135" s="24"/>
      <c r="N1135" s="24"/>
      <c r="P1135" s="24"/>
    </row>
    <row r="1136" spans="2:16" x14ac:dyDescent="0.25">
      <c r="B1136" s="24"/>
      <c r="E1136" s="24"/>
      <c r="G1136" s="24"/>
      <c r="H1136" s="24"/>
      <c r="J1136" s="24"/>
      <c r="K1136" s="24"/>
      <c r="M1136" s="24"/>
      <c r="N1136" s="24"/>
      <c r="P1136" s="24"/>
    </row>
    <row r="1137" spans="2:16" x14ac:dyDescent="0.25">
      <c r="B1137" s="24"/>
      <c r="E1137" s="24"/>
      <c r="G1137" s="24"/>
      <c r="H1137" s="24"/>
      <c r="J1137" s="24"/>
      <c r="K1137" s="24"/>
      <c r="M1137" s="24"/>
      <c r="N1137" s="24"/>
      <c r="P1137" s="24"/>
    </row>
    <row r="1138" spans="2:16" x14ac:dyDescent="0.25">
      <c r="B1138" s="24"/>
      <c r="E1138" s="24"/>
      <c r="G1138" s="24"/>
      <c r="H1138" s="24"/>
      <c r="J1138" s="24"/>
      <c r="K1138" s="24"/>
      <c r="M1138" s="24"/>
      <c r="N1138" s="24"/>
      <c r="P1138" s="24"/>
    </row>
    <row r="1139" spans="2:16" x14ac:dyDescent="0.25">
      <c r="B1139" s="24"/>
      <c r="E1139" s="24"/>
      <c r="G1139" s="24"/>
      <c r="H1139" s="24"/>
      <c r="J1139" s="24"/>
      <c r="K1139" s="24"/>
      <c r="M1139" s="24"/>
      <c r="N1139" s="24"/>
      <c r="P1139" s="24"/>
    </row>
    <row r="1140" spans="2:16" x14ac:dyDescent="0.25">
      <c r="B1140" s="24"/>
      <c r="E1140" s="24"/>
      <c r="G1140" s="24"/>
      <c r="H1140" s="24"/>
      <c r="J1140" s="24"/>
      <c r="K1140" s="24"/>
      <c r="M1140" s="24"/>
      <c r="N1140" s="24"/>
      <c r="P1140" s="24"/>
    </row>
    <row r="1141" spans="2:16" x14ac:dyDescent="0.25">
      <c r="B1141" s="24"/>
      <c r="E1141" s="24"/>
      <c r="G1141" s="24"/>
      <c r="H1141" s="24"/>
      <c r="J1141" s="24"/>
      <c r="K1141" s="24"/>
      <c r="M1141" s="24"/>
      <c r="N1141" s="24"/>
      <c r="P1141" s="24"/>
    </row>
    <row r="1142" spans="2:16" x14ac:dyDescent="0.25">
      <c r="B1142" s="24"/>
      <c r="E1142" s="24"/>
      <c r="G1142" s="24"/>
      <c r="H1142" s="24"/>
      <c r="J1142" s="24"/>
      <c r="K1142" s="24"/>
      <c r="M1142" s="24"/>
      <c r="N1142" s="24"/>
      <c r="P1142" s="24"/>
    </row>
    <row r="1143" spans="2:16" x14ac:dyDescent="0.25">
      <c r="B1143" s="24"/>
      <c r="E1143" s="24"/>
      <c r="G1143" s="24"/>
      <c r="H1143" s="24"/>
      <c r="J1143" s="24"/>
      <c r="K1143" s="24"/>
      <c r="M1143" s="24"/>
      <c r="N1143" s="24"/>
      <c r="P1143" s="24"/>
    </row>
    <row r="1144" spans="2:16" x14ac:dyDescent="0.25">
      <c r="B1144" s="24"/>
      <c r="E1144" s="24"/>
      <c r="G1144" s="24"/>
      <c r="H1144" s="24"/>
      <c r="J1144" s="24"/>
      <c r="K1144" s="24"/>
      <c r="M1144" s="24"/>
      <c r="N1144" s="24"/>
      <c r="P1144" s="24"/>
    </row>
    <row r="1145" spans="2:16" x14ac:dyDescent="0.25">
      <c r="B1145" s="24"/>
      <c r="E1145" s="24"/>
      <c r="G1145" s="24"/>
      <c r="H1145" s="24"/>
      <c r="J1145" s="24"/>
      <c r="K1145" s="24"/>
      <c r="M1145" s="24"/>
      <c r="N1145" s="24"/>
      <c r="P1145" s="24"/>
    </row>
    <row r="1146" spans="2:16" x14ac:dyDescent="0.25">
      <c r="B1146" s="24"/>
      <c r="E1146" s="24"/>
      <c r="G1146" s="24"/>
      <c r="H1146" s="24"/>
      <c r="J1146" s="24"/>
      <c r="K1146" s="24"/>
      <c r="M1146" s="24"/>
      <c r="N1146" s="24"/>
      <c r="P1146" s="24"/>
    </row>
    <row r="1147" spans="2:16" x14ac:dyDescent="0.25">
      <c r="B1147" s="24"/>
      <c r="E1147" s="24"/>
      <c r="G1147" s="24"/>
      <c r="H1147" s="24"/>
      <c r="J1147" s="24"/>
      <c r="K1147" s="24"/>
      <c r="M1147" s="24"/>
      <c r="N1147" s="24"/>
      <c r="P1147" s="24"/>
    </row>
    <row r="1148" spans="2:16" x14ac:dyDescent="0.25">
      <c r="B1148" s="24"/>
      <c r="E1148" s="24"/>
      <c r="G1148" s="24"/>
      <c r="H1148" s="24"/>
      <c r="J1148" s="24"/>
      <c r="K1148" s="24"/>
      <c r="M1148" s="24"/>
      <c r="N1148" s="24"/>
      <c r="P1148" s="24"/>
    </row>
    <row r="1149" spans="2:16" x14ac:dyDescent="0.25">
      <c r="B1149" s="24"/>
      <c r="E1149" s="24"/>
      <c r="G1149" s="24"/>
      <c r="H1149" s="24"/>
      <c r="J1149" s="24"/>
      <c r="K1149" s="24"/>
      <c r="M1149" s="24"/>
      <c r="N1149" s="24"/>
      <c r="P1149" s="24"/>
    </row>
    <row r="1150" spans="2:16" x14ac:dyDescent="0.25">
      <c r="B1150" s="24"/>
      <c r="E1150" s="24"/>
      <c r="G1150" s="24"/>
      <c r="H1150" s="24"/>
      <c r="J1150" s="24"/>
      <c r="K1150" s="24"/>
      <c r="M1150" s="24"/>
      <c r="N1150" s="24"/>
      <c r="P1150" s="24"/>
    </row>
    <row r="1151" spans="2:16" x14ac:dyDescent="0.25">
      <c r="B1151" s="24"/>
      <c r="E1151" s="24"/>
      <c r="G1151" s="24"/>
      <c r="H1151" s="24"/>
      <c r="J1151" s="24"/>
      <c r="K1151" s="24"/>
      <c r="M1151" s="24"/>
      <c r="N1151" s="24"/>
      <c r="P1151" s="24"/>
    </row>
    <row r="1152" spans="2:16" x14ac:dyDescent="0.25">
      <c r="B1152" s="24"/>
      <c r="E1152" s="24"/>
      <c r="G1152" s="24"/>
      <c r="H1152" s="24"/>
      <c r="J1152" s="24"/>
      <c r="K1152" s="24"/>
      <c r="M1152" s="24"/>
      <c r="N1152" s="24"/>
      <c r="P1152" s="24"/>
    </row>
    <row r="1153" spans="2:16" x14ac:dyDescent="0.25">
      <c r="B1153" s="24"/>
      <c r="E1153" s="24"/>
      <c r="G1153" s="24"/>
      <c r="H1153" s="24"/>
      <c r="J1153" s="24"/>
      <c r="K1153" s="24"/>
      <c r="M1153" s="24"/>
      <c r="N1153" s="24"/>
      <c r="P1153" s="24"/>
    </row>
    <row r="1154" spans="2:16" x14ac:dyDescent="0.25">
      <c r="B1154" s="24"/>
      <c r="E1154" s="24"/>
      <c r="G1154" s="24"/>
      <c r="H1154" s="24"/>
      <c r="J1154" s="24"/>
      <c r="K1154" s="24"/>
      <c r="M1154" s="24"/>
      <c r="N1154" s="24"/>
      <c r="P1154" s="24"/>
    </row>
    <row r="1155" spans="2:16" x14ac:dyDescent="0.25">
      <c r="B1155" s="24"/>
      <c r="E1155" s="24"/>
      <c r="G1155" s="24"/>
      <c r="H1155" s="24"/>
      <c r="J1155" s="24"/>
      <c r="K1155" s="24"/>
      <c r="M1155" s="24"/>
      <c r="N1155" s="24"/>
      <c r="P1155" s="24"/>
    </row>
    <row r="1156" spans="2:16" x14ac:dyDescent="0.25">
      <c r="B1156" s="24"/>
      <c r="E1156" s="24"/>
      <c r="G1156" s="24"/>
      <c r="H1156" s="24"/>
      <c r="J1156" s="24"/>
      <c r="K1156" s="24"/>
      <c r="M1156" s="24"/>
      <c r="N1156" s="24"/>
      <c r="P1156" s="24"/>
    </row>
    <row r="1157" spans="2:16" x14ac:dyDescent="0.25">
      <c r="B1157" s="24"/>
      <c r="E1157" s="24"/>
      <c r="G1157" s="24"/>
      <c r="H1157" s="24"/>
      <c r="J1157" s="24"/>
      <c r="K1157" s="24"/>
      <c r="M1157" s="24"/>
      <c r="N1157" s="24"/>
      <c r="P1157" s="24"/>
    </row>
    <row r="1158" spans="2:16" x14ac:dyDescent="0.25">
      <c r="B1158" s="24"/>
      <c r="E1158" s="24"/>
      <c r="G1158" s="24"/>
      <c r="H1158" s="24"/>
      <c r="J1158" s="24"/>
      <c r="K1158" s="24"/>
      <c r="M1158" s="24"/>
      <c r="N1158" s="24"/>
      <c r="P1158" s="24"/>
    </row>
    <row r="1159" spans="2:16" x14ac:dyDescent="0.25">
      <c r="B1159" s="24"/>
      <c r="E1159" s="24"/>
      <c r="G1159" s="24"/>
      <c r="H1159" s="24"/>
      <c r="J1159" s="24"/>
      <c r="K1159" s="24"/>
      <c r="M1159" s="24"/>
      <c r="N1159" s="24"/>
      <c r="P1159" s="24"/>
    </row>
    <row r="1160" spans="2:16" x14ac:dyDescent="0.25">
      <c r="B1160" s="24"/>
      <c r="E1160" s="24"/>
      <c r="G1160" s="24"/>
      <c r="H1160" s="24"/>
      <c r="J1160" s="24"/>
      <c r="K1160" s="24"/>
      <c r="M1160" s="24"/>
      <c r="N1160" s="24"/>
      <c r="P1160" s="24"/>
    </row>
    <row r="1161" spans="2:16" x14ac:dyDescent="0.25">
      <c r="B1161" s="24"/>
      <c r="E1161" s="24"/>
      <c r="G1161" s="24"/>
      <c r="H1161" s="24"/>
      <c r="J1161" s="24"/>
      <c r="K1161" s="24"/>
      <c r="M1161" s="24"/>
      <c r="N1161" s="24"/>
      <c r="P1161" s="24"/>
    </row>
    <row r="1162" spans="2:16" x14ac:dyDescent="0.25">
      <c r="B1162" s="24"/>
      <c r="E1162" s="24"/>
      <c r="G1162" s="24"/>
      <c r="H1162" s="24"/>
      <c r="J1162" s="24"/>
      <c r="K1162" s="24"/>
      <c r="M1162" s="24"/>
      <c r="N1162" s="24"/>
      <c r="P1162" s="24"/>
    </row>
    <row r="1163" spans="2:16" x14ac:dyDescent="0.25">
      <c r="B1163" s="24"/>
      <c r="E1163" s="24"/>
      <c r="G1163" s="24"/>
      <c r="H1163" s="24"/>
      <c r="J1163" s="24"/>
      <c r="K1163" s="24"/>
      <c r="M1163" s="24"/>
      <c r="N1163" s="24"/>
      <c r="P1163" s="24"/>
    </row>
    <row r="1164" spans="2:16" x14ac:dyDescent="0.25">
      <c r="B1164" s="24"/>
      <c r="E1164" s="24"/>
      <c r="G1164" s="24"/>
      <c r="H1164" s="24"/>
      <c r="J1164" s="24"/>
      <c r="K1164" s="24"/>
      <c r="M1164" s="24"/>
      <c r="N1164" s="24"/>
      <c r="P1164" s="24"/>
    </row>
    <row r="1165" spans="2:16" x14ac:dyDescent="0.25">
      <c r="B1165" s="24"/>
      <c r="E1165" s="24"/>
      <c r="G1165" s="24"/>
      <c r="H1165" s="24"/>
      <c r="J1165" s="24"/>
      <c r="K1165" s="24"/>
      <c r="M1165" s="24"/>
      <c r="N1165" s="24"/>
      <c r="P1165" s="24"/>
    </row>
    <row r="1166" spans="2:16" x14ac:dyDescent="0.25">
      <c r="B1166" s="24"/>
      <c r="E1166" s="24"/>
      <c r="G1166" s="24"/>
      <c r="H1166" s="24"/>
      <c r="J1166" s="24"/>
      <c r="K1166" s="24"/>
      <c r="M1166" s="24"/>
      <c r="N1166" s="24"/>
      <c r="P1166" s="24"/>
    </row>
    <row r="1167" spans="2:16" x14ac:dyDescent="0.25">
      <c r="B1167" s="24"/>
      <c r="E1167" s="24"/>
      <c r="G1167" s="24"/>
      <c r="H1167" s="24"/>
      <c r="J1167" s="24"/>
      <c r="K1167" s="24"/>
      <c r="M1167" s="24"/>
      <c r="N1167" s="24"/>
      <c r="P1167" s="24"/>
    </row>
    <row r="1168" spans="2:16" x14ac:dyDescent="0.25">
      <c r="B1168" s="24"/>
      <c r="E1168" s="24"/>
      <c r="G1168" s="24"/>
      <c r="H1168" s="24"/>
      <c r="J1168" s="24"/>
      <c r="K1168" s="24"/>
      <c r="M1168" s="24"/>
      <c r="N1168" s="24"/>
      <c r="P1168" s="24"/>
    </row>
    <row r="1169" spans="2:16" x14ac:dyDescent="0.25">
      <c r="B1169" s="24"/>
      <c r="E1169" s="24"/>
      <c r="G1169" s="24"/>
      <c r="H1169" s="24"/>
      <c r="J1169" s="24"/>
      <c r="K1169" s="24"/>
      <c r="M1169" s="24"/>
      <c r="N1169" s="24"/>
      <c r="P1169" s="24"/>
    </row>
    <row r="1170" spans="2:16" x14ac:dyDescent="0.25">
      <c r="B1170" s="24"/>
      <c r="E1170" s="24"/>
      <c r="G1170" s="24"/>
      <c r="H1170" s="24"/>
      <c r="J1170" s="24"/>
      <c r="K1170" s="24"/>
      <c r="M1170" s="24"/>
      <c r="N1170" s="24"/>
      <c r="P1170" s="24"/>
    </row>
    <row r="1171" spans="2:16" x14ac:dyDescent="0.25">
      <c r="B1171" s="24"/>
      <c r="E1171" s="24"/>
      <c r="G1171" s="24"/>
      <c r="H1171" s="24"/>
      <c r="J1171" s="24"/>
      <c r="K1171" s="24"/>
      <c r="M1171" s="24"/>
      <c r="N1171" s="24"/>
      <c r="P1171" s="24"/>
    </row>
    <row r="1172" spans="2:16" x14ac:dyDescent="0.25">
      <c r="B1172" s="24"/>
      <c r="E1172" s="24"/>
      <c r="G1172" s="24"/>
      <c r="H1172" s="24"/>
      <c r="J1172" s="24"/>
      <c r="K1172" s="24"/>
      <c r="M1172" s="24"/>
      <c r="N1172" s="24"/>
      <c r="P1172" s="24"/>
    </row>
    <row r="1173" spans="2:16" x14ac:dyDescent="0.25">
      <c r="B1173" s="24"/>
      <c r="E1173" s="24"/>
      <c r="G1173" s="24"/>
      <c r="H1173" s="24"/>
      <c r="J1173" s="24"/>
      <c r="K1173" s="24"/>
      <c r="M1173" s="24"/>
      <c r="N1173" s="24"/>
      <c r="P1173" s="24"/>
    </row>
    <row r="1174" spans="2:16" x14ac:dyDescent="0.25">
      <c r="B1174" s="24"/>
      <c r="E1174" s="24"/>
      <c r="G1174" s="24"/>
      <c r="H1174" s="24"/>
      <c r="J1174" s="24"/>
      <c r="K1174" s="24"/>
      <c r="M1174" s="24"/>
      <c r="N1174" s="24"/>
      <c r="P1174" s="24"/>
    </row>
    <row r="1175" spans="2:16" x14ac:dyDescent="0.25">
      <c r="B1175" s="24"/>
      <c r="E1175" s="24"/>
      <c r="G1175" s="24"/>
      <c r="H1175" s="24"/>
      <c r="J1175" s="24"/>
      <c r="K1175" s="24"/>
      <c r="M1175" s="24"/>
      <c r="N1175" s="24"/>
      <c r="P1175" s="24"/>
    </row>
    <row r="1176" spans="2:16" x14ac:dyDescent="0.25">
      <c r="B1176" s="24"/>
      <c r="E1176" s="24"/>
      <c r="G1176" s="24"/>
      <c r="H1176" s="24"/>
      <c r="J1176" s="24"/>
      <c r="K1176" s="24"/>
      <c r="M1176" s="24"/>
      <c r="N1176" s="24"/>
      <c r="P1176" s="24"/>
    </row>
    <row r="1177" spans="2:16" x14ac:dyDescent="0.25">
      <c r="B1177" s="24"/>
      <c r="E1177" s="24"/>
      <c r="G1177" s="24"/>
      <c r="H1177" s="24"/>
      <c r="J1177" s="24"/>
      <c r="K1177" s="24"/>
      <c r="M1177" s="24"/>
      <c r="N1177" s="24"/>
      <c r="P1177" s="24"/>
    </row>
    <row r="1178" spans="2:16" x14ac:dyDescent="0.25">
      <c r="B1178" s="24"/>
      <c r="E1178" s="24"/>
      <c r="G1178" s="24"/>
      <c r="H1178" s="24"/>
      <c r="J1178" s="24"/>
      <c r="K1178" s="24"/>
      <c r="M1178" s="24"/>
      <c r="N1178" s="24"/>
      <c r="P1178" s="24"/>
    </row>
    <row r="1179" spans="2:16" x14ac:dyDescent="0.25">
      <c r="B1179" s="24"/>
      <c r="E1179" s="24"/>
      <c r="G1179" s="24"/>
      <c r="H1179" s="24"/>
      <c r="J1179" s="24"/>
      <c r="K1179" s="24"/>
      <c r="M1179" s="24"/>
      <c r="N1179" s="24"/>
      <c r="P1179" s="24"/>
    </row>
    <row r="1180" spans="2:16" x14ac:dyDescent="0.25">
      <c r="B1180" s="24"/>
      <c r="E1180" s="24"/>
      <c r="G1180" s="24"/>
      <c r="H1180" s="24"/>
      <c r="J1180" s="24"/>
      <c r="K1180" s="24"/>
      <c r="M1180" s="24"/>
      <c r="N1180" s="24"/>
      <c r="P1180" s="24"/>
    </row>
    <row r="1181" spans="2:16" x14ac:dyDescent="0.25">
      <c r="B1181" s="24"/>
      <c r="E1181" s="24"/>
      <c r="G1181" s="24"/>
      <c r="H1181" s="24"/>
      <c r="J1181" s="24"/>
      <c r="K1181" s="24"/>
      <c r="M1181" s="24"/>
      <c r="N1181" s="24"/>
      <c r="P1181" s="24"/>
    </row>
    <row r="1182" spans="2:16" x14ac:dyDescent="0.25">
      <c r="B1182" s="24"/>
      <c r="E1182" s="24"/>
      <c r="G1182" s="24"/>
      <c r="H1182" s="24"/>
      <c r="J1182" s="24"/>
      <c r="K1182" s="24"/>
      <c r="M1182" s="24"/>
      <c r="N1182" s="24"/>
      <c r="P1182" s="24"/>
    </row>
    <row r="1183" spans="2:16" x14ac:dyDescent="0.25">
      <c r="B1183" s="24"/>
      <c r="E1183" s="24"/>
      <c r="G1183" s="24"/>
      <c r="H1183" s="24"/>
      <c r="J1183" s="24"/>
      <c r="K1183" s="24"/>
      <c r="M1183" s="24"/>
      <c r="N1183" s="24"/>
      <c r="P1183" s="24"/>
    </row>
    <row r="1184" spans="2:16" x14ac:dyDescent="0.25">
      <c r="B1184" s="24"/>
      <c r="E1184" s="24"/>
      <c r="G1184" s="24"/>
      <c r="H1184" s="24"/>
      <c r="J1184" s="24"/>
      <c r="K1184" s="24"/>
      <c r="M1184" s="24"/>
      <c r="N1184" s="24"/>
      <c r="P1184" s="24"/>
    </row>
    <row r="1185" spans="2:16" x14ac:dyDescent="0.25">
      <c r="B1185" s="24"/>
      <c r="E1185" s="24"/>
      <c r="G1185" s="24"/>
      <c r="H1185" s="24"/>
      <c r="J1185" s="24"/>
      <c r="K1185" s="24"/>
      <c r="M1185" s="24"/>
      <c r="N1185" s="24"/>
      <c r="P1185" s="24"/>
    </row>
    <row r="1186" spans="2:16" x14ac:dyDescent="0.25">
      <c r="B1186" s="24"/>
      <c r="E1186" s="24"/>
      <c r="G1186" s="24"/>
      <c r="H1186" s="24"/>
      <c r="J1186" s="24"/>
      <c r="K1186" s="24"/>
      <c r="M1186" s="24"/>
      <c r="N1186" s="24"/>
      <c r="P1186" s="24"/>
    </row>
    <row r="1187" spans="2:16" x14ac:dyDescent="0.25">
      <c r="B1187" s="24"/>
      <c r="E1187" s="24"/>
      <c r="G1187" s="24"/>
      <c r="H1187" s="24"/>
      <c r="J1187" s="24"/>
      <c r="K1187" s="24"/>
      <c r="M1187" s="24"/>
      <c r="N1187" s="24"/>
      <c r="P1187" s="24"/>
    </row>
    <row r="1188" spans="2:16" x14ac:dyDescent="0.25">
      <c r="B1188" s="24"/>
      <c r="E1188" s="24"/>
      <c r="G1188" s="24"/>
      <c r="H1188" s="24"/>
      <c r="J1188" s="24"/>
      <c r="K1188" s="24"/>
      <c r="M1188" s="24"/>
      <c r="N1188" s="24"/>
      <c r="P1188" s="24"/>
    </row>
    <row r="1189" spans="2:16" x14ac:dyDescent="0.25">
      <c r="B1189" s="24"/>
      <c r="E1189" s="24"/>
      <c r="G1189" s="24"/>
      <c r="H1189" s="24"/>
      <c r="J1189" s="24"/>
      <c r="K1189" s="24"/>
      <c r="M1189" s="24"/>
      <c r="N1189" s="24"/>
      <c r="P1189" s="24"/>
    </row>
    <row r="1190" spans="2:16" x14ac:dyDescent="0.25">
      <c r="B1190" s="24"/>
      <c r="E1190" s="24"/>
      <c r="G1190" s="24"/>
      <c r="H1190" s="24"/>
      <c r="J1190" s="24"/>
      <c r="K1190" s="24"/>
      <c r="M1190" s="24"/>
      <c r="N1190" s="24"/>
      <c r="P1190" s="24"/>
    </row>
    <row r="1191" spans="2:16" x14ac:dyDescent="0.25">
      <c r="B1191" s="24"/>
      <c r="E1191" s="24"/>
      <c r="G1191" s="24"/>
      <c r="H1191" s="24"/>
      <c r="J1191" s="24"/>
      <c r="K1191" s="24"/>
      <c r="M1191" s="24"/>
      <c r="N1191" s="24"/>
      <c r="P1191" s="24"/>
    </row>
    <row r="1192" spans="2:16" x14ac:dyDescent="0.25">
      <c r="B1192" s="24"/>
      <c r="E1192" s="24"/>
      <c r="G1192" s="24"/>
      <c r="H1192" s="24"/>
      <c r="J1192" s="24"/>
      <c r="K1192" s="24"/>
      <c r="M1192" s="24"/>
      <c r="N1192" s="24"/>
      <c r="P1192" s="24"/>
    </row>
    <row r="1193" spans="2:16" x14ac:dyDescent="0.25">
      <c r="B1193" s="24"/>
      <c r="E1193" s="24"/>
      <c r="G1193" s="24"/>
      <c r="H1193" s="24"/>
      <c r="J1193" s="24"/>
      <c r="K1193" s="24"/>
      <c r="M1193" s="24"/>
      <c r="N1193" s="24"/>
      <c r="P1193" s="24"/>
    </row>
    <row r="1194" spans="2:16" x14ac:dyDescent="0.25">
      <c r="B1194" s="24"/>
      <c r="E1194" s="24"/>
      <c r="G1194" s="24"/>
      <c r="H1194" s="24"/>
      <c r="J1194" s="24"/>
      <c r="K1194" s="24"/>
      <c r="M1194" s="24"/>
      <c r="N1194" s="24"/>
      <c r="P1194" s="24"/>
    </row>
    <row r="1195" spans="2:16" x14ac:dyDescent="0.25">
      <c r="B1195" s="24"/>
      <c r="E1195" s="24"/>
      <c r="G1195" s="24"/>
      <c r="H1195" s="24"/>
      <c r="J1195" s="24"/>
      <c r="K1195" s="24"/>
      <c r="M1195" s="24"/>
      <c r="N1195" s="24"/>
      <c r="P1195" s="24"/>
    </row>
    <row r="1196" spans="2:16" x14ac:dyDescent="0.25">
      <c r="B1196" s="24"/>
      <c r="E1196" s="24"/>
      <c r="G1196" s="24"/>
      <c r="H1196" s="24"/>
      <c r="J1196" s="24"/>
      <c r="K1196" s="24"/>
      <c r="M1196" s="24"/>
      <c r="N1196" s="24"/>
      <c r="P1196" s="24"/>
    </row>
    <row r="1197" spans="2:16" x14ac:dyDescent="0.25">
      <c r="B1197" s="24"/>
      <c r="E1197" s="24"/>
      <c r="G1197" s="24"/>
      <c r="H1197" s="24"/>
      <c r="J1197" s="24"/>
      <c r="K1197" s="24"/>
      <c r="M1197" s="24"/>
      <c r="N1197" s="24"/>
      <c r="P1197" s="24"/>
    </row>
    <row r="1198" spans="2:16" x14ac:dyDescent="0.25">
      <c r="B1198" s="24"/>
      <c r="E1198" s="24"/>
      <c r="G1198" s="24"/>
      <c r="H1198" s="24"/>
      <c r="J1198" s="24"/>
      <c r="K1198" s="24"/>
      <c r="M1198" s="24"/>
      <c r="N1198" s="24"/>
      <c r="P1198" s="24"/>
    </row>
    <row r="1199" spans="2:16" x14ac:dyDescent="0.25">
      <c r="B1199" s="24"/>
      <c r="E1199" s="24"/>
      <c r="G1199" s="24"/>
      <c r="H1199" s="24"/>
      <c r="J1199" s="24"/>
      <c r="K1199" s="24"/>
      <c r="M1199" s="24"/>
      <c r="N1199" s="24"/>
      <c r="P1199" s="24"/>
    </row>
    <row r="1200" spans="2:16" x14ac:dyDescent="0.25">
      <c r="B1200" s="24"/>
      <c r="E1200" s="24"/>
      <c r="G1200" s="24"/>
      <c r="H1200" s="24"/>
      <c r="J1200" s="24"/>
      <c r="K1200" s="24"/>
      <c r="M1200" s="24"/>
      <c r="N1200" s="24"/>
      <c r="P1200" s="24"/>
    </row>
    <row r="1201" spans="2:16" x14ac:dyDescent="0.25">
      <c r="B1201" s="24"/>
      <c r="E1201" s="24"/>
      <c r="G1201" s="24"/>
      <c r="H1201" s="24"/>
      <c r="J1201" s="24"/>
      <c r="K1201" s="24"/>
      <c r="M1201" s="24"/>
      <c r="N1201" s="24"/>
      <c r="P1201" s="24"/>
    </row>
    <row r="1202" spans="2:16" x14ac:dyDescent="0.25">
      <c r="B1202" s="24"/>
      <c r="E1202" s="24"/>
      <c r="G1202" s="24"/>
      <c r="H1202" s="24"/>
      <c r="J1202" s="24"/>
      <c r="K1202" s="24"/>
      <c r="M1202" s="24"/>
      <c r="N1202" s="24"/>
      <c r="P1202" s="24"/>
    </row>
    <row r="1203" spans="2:16" x14ac:dyDescent="0.25">
      <c r="B1203" s="24"/>
      <c r="E1203" s="24"/>
      <c r="G1203" s="24"/>
      <c r="H1203" s="24"/>
      <c r="J1203" s="24"/>
      <c r="K1203" s="24"/>
      <c r="M1203" s="24"/>
      <c r="N1203" s="24"/>
      <c r="P1203" s="24"/>
    </row>
    <row r="1204" spans="2:16" x14ac:dyDescent="0.25">
      <c r="B1204" s="24"/>
      <c r="E1204" s="24"/>
      <c r="G1204" s="24"/>
      <c r="H1204" s="24"/>
      <c r="J1204" s="24"/>
      <c r="K1204" s="24"/>
      <c r="M1204" s="24"/>
      <c r="N1204" s="24"/>
      <c r="P1204" s="24"/>
    </row>
    <row r="1205" spans="2:16" x14ac:dyDescent="0.25">
      <c r="B1205" s="24"/>
      <c r="E1205" s="24"/>
      <c r="G1205" s="24"/>
      <c r="H1205" s="24"/>
      <c r="J1205" s="24"/>
      <c r="K1205" s="24"/>
      <c r="M1205" s="24"/>
      <c r="N1205" s="24"/>
      <c r="P1205" s="24"/>
    </row>
    <row r="1206" spans="2:16" x14ac:dyDescent="0.25">
      <c r="B1206" s="24"/>
      <c r="E1206" s="24"/>
      <c r="G1206" s="24"/>
      <c r="H1206" s="24"/>
      <c r="J1206" s="24"/>
      <c r="K1206" s="24"/>
      <c r="M1206" s="24"/>
      <c r="N1206" s="24"/>
      <c r="P1206" s="24"/>
    </row>
    <row r="1207" spans="2:16" x14ac:dyDescent="0.25">
      <c r="B1207" s="24"/>
      <c r="E1207" s="24"/>
      <c r="G1207" s="24"/>
      <c r="H1207" s="24"/>
      <c r="J1207" s="24"/>
      <c r="K1207" s="24"/>
      <c r="M1207" s="24"/>
      <c r="N1207" s="24"/>
      <c r="P1207" s="24"/>
    </row>
    <row r="1208" spans="2:16" x14ac:dyDescent="0.25">
      <c r="B1208" s="24"/>
      <c r="E1208" s="24"/>
      <c r="G1208" s="24"/>
      <c r="H1208" s="24"/>
      <c r="J1208" s="24"/>
      <c r="K1208" s="24"/>
      <c r="M1208" s="24"/>
      <c r="N1208" s="24"/>
      <c r="P1208" s="24"/>
    </row>
    <row r="1209" spans="2:16" x14ac:dyDescent="0.25">
      <c r="B1209" s="24"/>
      <c r="E1209" s="24"/>
      <c r="G1209" s="24"/>
      <c r="H1209" s="24"/>
      <c r="J1209" s="24"/>
      <c r="K1209" s="24"/>
      <c r="M1209" s="24"/>
      <c r="N1209" s="24"/>
      <c r="P1209" s="24"/>
    </row>
    <row r="1210" spans="2:16" x14ac:dyDescent="0.25">
      <c r="B1210" s="24"/>
      <c r="E1210" s="24"/>
      <c r="G1210" s="24"/>
      <c r="H1210" s="24"/>
      <c r="J1210" s="24"/>
      <c r="K1210" s="24"/>
      <c r="M1210" s="24"/>
      <c r="N1210" s="24"/>
      <c r="P1210" s="24"/>
    </row>
    <row r="1211" spans="2:16" x14ac:dyDescent="0.25">
      <c r="B1211" s="24"/>
      <c r="E1211" s="24"/>
      <c r="G1211" s="24"/>
      <c r="H1211" s="24"/>
      <c r="J1211" s="24"/>
      <c r="K1211" s="24"/>
      <c r="M1211" s="24"/>
      <c r="N1211" s="24"/>
      <c r="P1211" s="24"/>
    </row>
    <row r="1212" spans="2:16" x14ac:dyDescent="0.25">
      <c r="B1212" s="24"/>
      <c r="E1212" s="24"/>
      <c r="G1212" s="24"/>
      <c r="H1212" s="24"/>
      <c r="J1212" s="24"/>
      <c r="K1212" s="24"/>
      <c r="M1212" s="24"/>
      <c r="N1212" s="24"/>
      <c r="P1212" s="24"/>
    </row>
    <row r="1213" spans="2:16" x14ac:dyDescent="0.25">
      <c r="B1213" s="24"/>
      <c r="E1213" s="24"/>
      <c r="G1213" s="24"/>
      <c r="H1213" s="24"/>
      <c r="J1213" s="24"/>
      <c r="K1213" s="24"/>
      <c r="M1213" s="24"/>
      <c r="N1213" s="24"/>
      <c r="P1213" s="24"/>
    </row>
    <row r="1214" spans="2:16" x14ac:dyDescent="0.25">
      <c r="B1214" s="24"/>
      <c r="E1214" s="24"/>
      <c r="G1214" s="24"/>
      <c r="H1214" s="24"/>
      <c r="J1214" s="24"/>
      <c r="K1214" s="24"/>
      <c r="M1214" s="24"/>
      <c r="N1214" s="24"/>
      <c r="P1214" s="24"/>
    </row>
    <row r="1215" spans="2:16" x14ac:dyDescent="0.25">
      <c r="B1215" s="24"/>
      <c r="E1215" s="24"/>
      <c r="G1215" s="24"/>
      <c r="H1215" s="24"/>
      <c r="J1215" s="24"/>
      <c r="K1215" s="24"/>
      <c r="M1215" s="24"/>
      <c r="N1215" s="24"/>
      <c r="P1215" s="24"/>
    </row>
    <row r="1216" spans="2:16" x14ac:dyDescent="0.25">
      <c r="B1216" s="24"/>
      <c r="E1216" s="24"/>
      <c r="G1216" s="24"/>
      <c r="H1216" s="24"/>
      <c r="J1216" s="24"/>
      <c r="K1216" s="24"/>
      <c r="M1216" s="24"/>
      <c r="N1216" s="24"/>
      <c r="P1216" s="24"/>
    </row>
    <row r="1217" spans="2:16" x14ac:dyDescent="0.25">
      <c r="B1217" s="24"/>
      <c r="E1217" s="24"/>
      <c r="G1217" s="24"/>
      <c r="H1217" s="24"/>
      <c r="J1217" s="24"/>
      <c r="K1217" s="24"/>
      <c r="M1217" s="24"/>
      <c r="N1217" s="24"/>
      <c r="P1217" s="24"/>
    </row>
    <row r="1218" spans="2:16" x14ac:dyDescent="0.25">
      <c r="B1218" s="24"/>
      <c r="E1218" s="24"/>
      <c r="G1218" s="24"/>
      <c r="H1218" s="24"/>
      <c r="J1218" s="24"/>
      <c r="K1218" s="24"/>
      <c r="M1218" s="24"/>
      <c r="N1218" s="24"/>
      <c r="P1218" s="24"/>
    </row>
    <row r="1219" spans="2:16" x14ac:dyDescent="0.25">
      <c r="B1219" s="24"/>
      <c r="E1219" s="24"/>
      <c r="G1219" s="24"/>
      <c r="H1219" s="24"/>
      <c r="J1219" s="24"/>
      <c r="K1219" s="24"/>
      <c r="M1219" s="24"/>
      <c r="N1219" s="24"/>
      <c r="P1219" s="24"/>
    </row>
    <row r="1220" spans="2:16" x14ac:dyDescent="0.25">
      <c r="B1220" s="24"/>
      <c r="E1220" s="24"/>
      <c r="G1220" s="24"/>
      <c r="H1220" s="24"/>
      <c r="J1220" s="24"/>
      <c r="K1220" s="24"/>
      <c r="M1220" s="24"/>
      <c r="N1220" s="24"/>
      <c r="P1220" s="24"/>
    </row>
    <row r="1221" spans="2:16" x14ac:dyDescent="0.25">
      <c r="B1221" s="24"/>
      <c r="E1221" s="24"/>
      <c r="G1221" s="24"/>
      <c r="H1221" s="24"/>
      <c r="J1221" s="24"/>
      <c r="K1221" s="24"/>
      <c r="M1221" s="24"/>
      <c r="N1221" s="24"/>
      <c r="P1221" s="24"/>
    </row>
    <row r="1222" spans="2:16" x14ac:dyDescent="0.25">
      <c r="B1222" s="24"/>
      <c r="E1222" s="24"/>
      <c r="G1222" s="24"/>
      <c r="H1222" s="24"/>
      <c r="J1222" s="24"/>
      <c r="K1222" s="24"/>
      <c r="M1222" s="24"/>
      <c r="N1222" s="24"/>
      <c r="P1222" s="24"/>
    </row>
    <row r="1223" spans="2:16" x14ac:dyDescent="0.25">
      <c r="B1223" s="24"/>
      <c r="E1223" s="24"/>
      <c r="G1223" s="24"/>
      <c r="H1223" s="24"/>
      <c r="J1223" s="24"/>
      <c r="K1223" s="24"/>
      <c r="M1223" s="24"/>
      <c r="N1223" s="24"/>
      <c r="P1223" s="24"/>
    </row>
    <row r="1224" spans="2:16" x14ac:dyDescent="0.25">
      <c r="B1224" s="24"/>
      <c r="E1224" s="24"/>
      <c r="G1224" s="24"/>
      <c r="H1224" s="24"/>
      <c r="J1224" s="24"/>
      <c r="K1224" s="24"/>
      <c r="M1224" s="24"/>
      <c r="N1224" s="24"/>
      <c r="P1224" s="24"/>
    </row>
    <row r="1225" spans="2:16" x14ac:dyDescent="0.25">
      <c r="B1225" s="24"/>
      <c r="E1225" s="24"/>
      <c r="G1225" s="24"/>
      <c r="H1225" s="24"/>
      <c r="J1225" s="24"/>
      <c r="K1225" s="24"/>
      <c r="M1225" s="24"/>
      <c r="N1225" s="24"/>
      <c r="P1225" s="24"/>
    </row>
    <row r="1226" spans="2:16" x14ac:dyDescent="0.25">
      <c r="B1226" s="24"/>
      <c r="E1226" s="24"/>
      <c r="G1226" s="24"/>
      <c r="H1226" s="24"/>
      <c r="J1226" s="24"/>
      <c r="K1226" s="24"/>
      <c r="M1226" s="24"/>
      <c r="N1226" s="24"/>
      <c r="P1226" s="24"/>
    </row>
    <row r="1227" spans="2:16" x14ac:dyDescent="0.25">
      <c r="B1227" s="24"/>
      <c r="E1227" s="24"/>
      <c r="G1227" s="24"/>
      <c r="H1227" s="24"/>
      <c r="J1227" s="24"/>
      <c r="K1227" s="24"/>
      <c r="M1227" s="24"/>
      <c r="N1227" s="24"/>
      <c r="P1227" s="24"/>
    </row>
    <row r="1228" spans="2:16" x14ac:dyDescent="0.25">
      <c r="B1228" s="24"/>
      <c r="E1228" s="24"/>
      <c r="G1228" s="24"/>
      <c r="H1228" s="24"/>
      <c r="J1228" s="24"/>
      <c r="K1228" s="24"/>
      <c r="M1228" s="24"/>
      <c r="N1228" s="24"/>
      <c r="P1228" s="24"/>
    </row>
    <row r="1229" spans="2:16" x14ac:dyDescent="0.25">
      <c r="B1229" s="24"/>
      <c r="E1229" s="24"/>
      <c r="G1229" s="24"/>
      <c r="H1229" s="24"/>
      <c r="J1229" s="24"/>
      <c r="K1229" s="24"/>
      <c r="M1229" s="24"/>
      <c r="N1229" s="24"/>
      <c r="P1229" s="24"/>
    </row>
    <row r="1230" spans="2:16" x14ac:dyDescent="0.25">
      <c r="B1230" s="24"/>
      <c r="E1230" s="24"/>
      <c r="G1230" s="24"/>
      <c r="H1230" s="24"/>
      <c r="J1230" s="24"/>
      <c r="K1230" s="24"/>
      <c r="M1230" s="24"/>
      <c r="N1230" s="24"/>
      <c r="P1230" s="24"/>
    </row>
    <row r="1231" spans="2:16" x14ac:dyDescent="0.25">
      <c r="B1231" s="24"/>
      <c r="E1231" s="24"/>
      <c r="G1231" s="24"/>
      <c r="H1231" s="24"/>
      <c r="J1231" s="24"/>
      <c r="K1231" s="24"/>
      <c r="M1231" s="24"/>
      <c r="N1231" s="24"/>
      <c r="P1231" s="24"/>
    </row>
    <row r="1232" spans="2:16" x14ac:dyDescent="0.25">
      <c r="B1232" s="24"/>
      <c r="E1232" s="24"/>
      <c r="G1232" s="24"/>
      <c r="H1232" s="24"/>
      <c r="J1232" s="24"/>
      <c r="K1232" s="24"/>
      <c r="M1232" s="24"/>
      <c r="N1232" s="24"/>
      <c r="P1232" s="24"/>
    </row>
    <row r="1233" spans="2:16" x14ac:dyDescent="0.25">
      <c r="B1233" s="24"/>
      <c r="E1233" s="24"/>
      <c r="G1233" s="24"/>
      <c r="H1233" s="24"/>
      <c r="J1233" s="24"/>
      <c r="K1233" s="24"/>
      <c r="M1233" s="24"/>
      <c r="N1233" s="24"/>
      <c r="P1233" s="24"/>
    </row>
    <row r="1234" spans="2:16" x14ac:dyDescent="0.25">
      <c r="B1234" s="24"/>
      <c r="E1234" s="24"/>
      <c r="G1234" s="24"/>
      <c r="H1234" s="24"/>
      <c r="J1234" s="24"/>
      <c r="K1234" s="24"/>
      <c r="M1234" s="24"/>
      <c r="N1234" s="24"/>
      <c r="P1234" s="24"/>
    </row>
    <row r="1235" spans="2:16" x14ac:dyDescent="0.25">
      <c r="B1235" s="24"/>
      <c r="E1235" s="24"/>
      <c r="G1235" s="24"/>
      <c r="H1235" s="24"/>
      <c r="J1235" s="24"/>
      <c r="K1235" s="24"/>
      <c r="M1235" s="24"/>
      <c r="N1235" s="24"/>
      <c r="P1235" s="24"/>
    </row>
    <row r="1236" spans="2:16" x14ac:dyDescent="0.25">
      <c r="B1236" s="24"/>
      <c r="E1236" s="24"/>
      <c r="G1236" s="24"/>
      <c r="H1236" s="24"/>
      <c r="J1236" s="24"/>
      <c r="K1236" s="24"/>
      <c r="M1236" s="24"/>
      <c r="N1236" s="24"/>
      <c r="P1236" s="24"/>
    </row>
    <row r="1237" spans="2:16" x14ac:dyDescent="0.25">
      <c r="B1237" s="24"/>
      <c r="E1237" s="24"/>
      <c r="G1237" s="24"/>
      <c r="H1237" s="24"/>
      <c r="J1237" s="24"/>
      <c r="K1237" s="24"/>
      <c r="M1237" s="24"/>
      <c r="N1237" s="24"/>
      <c r="P1237" s="24"/>
    </row>
    <row r="1238" spans="2:16" x14ac:dyDescent="0.25">
      <c r="B1238" s="24"/>
      <c r="E1238" s="24"/>
      <c r="G1238" s="24"/>
      <c r="H1238" s="24"/>
      <c r="J1238" s="24"/>
      <c r="K1238" s="24"/>
      <c r="M1238" s="24"/>
      <c r="N1238" s="24"/>
      <c r="P1238" s="24"/>
    </row>
    <row r="1239" spans="2:16" x14ac:dyDescent="0.25">
      <c r="B1239" s="24"/>
      <c r="E1239" s="24"/>
      <c r="G1239" s="24"/>
      <c r="H1239" s="24"/>
      <c r="J1239" s="24"/>
      <c r="K1239" s="24"/>
      <c r="M1239" s="24"/>
      <c r="N1239" s="24"/>
      <c r="P1239" s="24"/>
    </row>
    <row r="1240" spans="2:16" x14ac:dyDescent="0.25">
      <c r="B1240" s="24"/>
      <c r="E1240" s="24"/>
      <c r="G1240" s="24"/>
      <c r="H1240" s="24"/>
      <c r="J1240" s="24"/>
      <c r="K1240" s="24"/>
      <c r="M1240" s="24"/>
      <c r="N1240" s="24"/>
      <c r="P1240" s="24"/>
    </row>
    <row r="1241" spans="2:16" x14ac:dyDescent="0.25">
      <c r="B1241" s="24"/>
      <c r="E1241" s="24"/>
      <c r="G1241" s="24"/>
      <c r="H1241" s="24"/>
      <c r="J1241" s="24"/>
      <c r="K1241" s="24"/>
      <c r="M1241" s="24"/>
      <c r="N1241" s="24"/>
      <c r="P1241" s="24"/>
    </row>
    <row r="1242" spans="2:16" x14ac:dyDescent="0.25">
      <c r="B1242" s="24"/>
      <c r="E1242" s="24"/>
      <c r="G1242" s="24"/>
      <c r="H1242" s="24"/>
      <c r="J1242" s="24"/>
      <c r="K1242" s="24"/>
      <c r="M1242" s="24"/>
      <c r="N1242" s="24"/>
      <c r="P1242" s="24"/>
    </row>
    <row r="1243" spans="2:16" x14ac:dyDescent="0.25">
      <c r="B1243" s="24"/>
      <c r="E1243" s="24"/>
      <c r="G1243" s="24"/>
      <c r="H1243" s="24"/>
      <c r="J1243" s="24"/>
      <c r="K1243" s="24"/>
      <c r="M1243" s="24"/>
      <c r="N1243" s="24"/>
      <c r="P1243" s="24"/>
    </row>
    <row r="1244" spans="2:16" x14ac:dyDescent="0.25">
      <c r="B1244" s="24"/>
      <c r="E1244" s="24"/>
      <c r="G1244" s="24"/>
      <c r="H1244" s="24"/>
      <c r="J1244" s="24"/>
      <c r="K1244" s="24"/>
      <c r="M1244" s="24"/>
      <c r="N1244" s="24"/>
      <c r="P1244" s="24"/>
    </row>
    <row r="1245" spans="2:16" x14ac:dyDescent="0.25">
      <c r="B1245" s="24"/>
      <c r="E1245" s="24"/>
      <c r="G1245" s="24"/>
      <c r="H1245" s="24"/>
      <c r="J1245" s="24"/>
      <c r="K1245" s="24"/>
      <c r="M1245" s="24"/>
      <c r="N1245" s="24"/>
      <c r="P1245" s="24"/>
    </row>
    <row r="1246" spans="2:16" x14ac:dyDescent="0.25">
      <c r="B1246" s="24"/>
      <c r="E1246" s="24"/>
      <c r="G1246" s="24"/>
      <c r="H1246" s="24"/>
      <c r="J1246" s="24"/>
      <c r="K1246" s="24"/>
      <c r="M1246" s="24"/>
      <c r="N1246" s="24"/>
      <c r="P1246" s="24"/>
    </row>
    <row r="1247" spans="2:16" x14ac:dyDescent="0.25">
      <c r="B1247" s="24"/>
      <c r="E1247" s="24"/>
      <c r="G1247" s="24"/>
      <c r="H1247" s="24"/>
      <c r="J1247" s="24"/>
      <c r="K1247" s="24"/>
      <c r="M1247" s="24"/>
      <c r="N1247" s="24"/>
      <c r="P1247" s="24"/>
    </row>
    <row r="1248" spans="2:16" x14ac:dyDescent="0.25">
      <c r="B1248" s="24"/>
      <c r="E1248" s="24"/>
      <c r="G1248" s="24"/>
      <c r="H1248" s="24"/>
      <c r="J1248" s="24"/>
      <c r="K1248" s="24"/>
      <c r="M1248" s="24"/>
      <c r="N1248" s="24"/>
      <c r="P1248" s="24"/>
    </row>
    <row r="1249" spans="2:16" x14ac:dyDescent="0.25">
      <c r="B1249" s="24"/>
      <c r="E1249" s="24"/>
      <c r="G1249" s="24"/>
      <c r="H1249" s="24"/>
      <c r="J1249" s="24"/>
      <c r="K1249" s="24"/>
      <c r="M1249" s="24"/>
      <c r="N1249" s="24"/>
      <c r="P1249" s="24"/>
    </row>
    <row r="1250" spans="2:16" x14ac:dyDescent="0.25">
      <c r="B1250" s="24"/>
      <c r="E1250" s="24"/>
      <c r="G1250" s="24"/>
      <c r="H1250" s="24"/>
      <c r="J1250" s="24"/>
      <c r="K1250" s="24"/>
      <c r="M1250" s="24"/>
      <c r="N1250" s="24"/>
      <c r="P1250" s="24"/>
    </row>
    <row r="1251" spans="2:16" x14ac:dyDescent="0.25">
      <c r="B1251" s="24"/>
      <c r="E1251" s="24"/>
      <c r="G1251" s="24"/>
      <c r="H1251" s="24"/>
      <c r="J1251" s="24"/>
      <c r="K1251" s="24"/>
      <c r="M1251" s="24"/>
      <c r="N1251" s="24"/>
      <c r="P1251" s="24"/>
    </row>
    <row r="1252" spans="2:16" x14ac:dyDescent="0.25">
      <c r="B1252" s="24"/>
      <c r="E1252" s="24"/>
      <c r="G1252" s="24"/>
      <c r="H1252" s="24"/>
      <c r="J1252" s="24"/>
      <c r="K1252" s="24"/>
      <c r="M1252" s="24"/>
      <c r="N1252" s="24"/>
      <c r="P1252" s="24"/>
    </row>
    <row r="1253" spans="2:16" x14ac:dyDescent="0.25">
      <c r="B1253" s="24"/>
      <c r="E1253" s="24"/>
      <c r="G1253" s="24"/>
      <c r="H1253" s="24"/>
      <c r="J1253" s="24"/>
      <c r="K1253" s="24"/>
      <c r="M1253" s="24"/>
      <c r="N1253" s="24"/>
      <c r="P1253" s="24"/>
    </row>
    <row r="1254" spans="2:16" x14ac:dyDescent="0.25">
      <c r="B1254" s="24"/>
      <c r="E1254" s="24"/>
      <c r="G1254" s="24"/>
      <c r="H1254" s="24"/>
      <c r="J1254" s="24"/>
      <c r="K1254" s="24"/>
      <c r="M1254" s="24"/>
      <c r="N1254" s="24"/>
      <c r="P1254" s="24"/>
    </row>
    <row r="1255" spans="2:16" x14ac:dyDescent="0.25">
      <c r="B1255" s="24"/>
      <c r="E1255" s="24"/>
      <c r="G1255" s="24"/>
      <c r="H1255" s="24"/>
      <c r="J1255" s="24"/>
      <c r="K1255" s="24"/>
      <c r="M1255" s="24"/>
      <c r="N1255" s="24"/>
      <c r="P1255" s="24"/>
    </row>
    <row r="1256" spans="2:16" x14ac:dyDescent="0.25">
      <c r="B1256" s="24"/>
      <c r="E1256" s="24"/>
      <c r="G1256" s="24"/>
      <c r="H1256" s="24"/>
      <c r="J1256" s="24"/>
      <c r="K1256" s="24"/>
      <c r="M1256" s="24"/>
      <c r="N1256" s="24"/>
      <c r="P1256" s="24"/>
    </row>
    <row r="1257" spans="2:16" x14ac:dyDescent="0.25">
      <c r="B1257" s="24"/>
      <c r="E1257" s="24"/>
      <c r="G1257" s="24"/>
      <c r="H1257" s="24"/>
      <c r="J1257" s="24"/>
      <c r="K1257" s="24"/>
      <c r="M1257" s="24"/>
      <c r="N1257" s="24"/>
      <c r="P1257" s="24"/>
    </row>
    <row r="1258" spans="2:16" x14ac:dyDescent="0.25">
      <c r="B1258" s="24"/>
      <c r="E1258" s="24"/>
      <c r="G1258" s="24"/>
      <c r="H1258" s="24"/>
      <c r="J1258" s="24"/>
      <c r="K1258" s="24"/>
      <c r="M1258" s="24"/>
      <c r="N1258" s="24"/>
      <c r="P1258" s="24"/>
    </row>
    <row r="1259" spans="2:16" x14ac:dyDescent="0.25">
      <c r="B1259" s="24"/>
      <c r="E1259" s="24"/>
      <c r="G1259" s="24"/>
      <c r="H1259" s="24"/>
      <c r="J1259" s="24"/>
      <c r="K1259" s="24"/>
      <c r="M1259" s="24"/>
      <c r="N1259" s="24"/>
      <c r="P1259" s="24"/>
    </row>
    <row r="1260" spans="2:16" x14ac:dyDescent="0.25">
      <c r="B1260" s="24"/>
      <c r="E1260" s="24"/>
      <c r="G1260" s="24"/>
      <c r="H1260" s="24"/>
      <c r="J1260" s="24"/>
      <c r="K1260" s="24"/>
      <c r="M1260" s="24"/>
      <c r="N1260" s="24"/>
      <c r="P1260" s="24"/>
    </row>
    <row r="1261" spans="2:16" x14ac:dyDescent="0.25">
      <c r="B1261" s="24"/>
      <c r="E1261" s="24"/>
      <c r="G1261" s="24"/>
      <c r="H1261" s="24"/>
      <c r="J1261" s="24"/>
      <c r="K1261" s="24"/>
      <c r="M1261" s="24"/>
      <c r="N1261" s="24"/>
      <c r="P1261" s="24"/>
    </row>
    <row r="1262" spans="2:16" x14ac:dyDescent="0.25">
      <c r="B1262" s="24"/>
      <c r="E1262" s="24"/>
      <c r="G1262" s="24"/>
      <c r="H1262" s="24"/>
      <c r="J1262" s="24"/>
      <c r="K1262" s="24"/>
      <c r="M1262" s="24"/>
      <c r="N1262" s="24"/>
      <c r="P1262" s="24"/>
    </row>
    <row r="1263" spans="2:16" x14ac:dyDescent="0.25">
      <c r="B1263" s="24"/>
      <c r="E1263" s="24"/>
      <c r="G1263" s="24"/>
      <c r="H1263" s="24"/>
      <c r="J1263" s="24"/>
      <c r="K1263" s="24"/>
      <c r="M1263" s="24"/>
      <c r="N1263" s="24"/>
      <c r="P1263" s="24"/>
    </row>
    <row r="1264" spans="2:16" x14ac:dyDescent="0.25">
      <c r="B1264" s="24"/>
      <c r="E1264" s="24"/>
      <c r="G1264" s="24"/>
      <c r="H1264" s="24"/>
      <c r="J1264" s="24"/>
      <c r="K1264" s="24"/>
      <c r="M1264" s="24"/>
      <c r="N1264" s="24"/>
      <c r="P1264" s="24"/>
    </row>
    <row r="1265" spans="2:16" x14ac:dyDescent="0.25">
      <c r="B1265" s="24"/>
      <c r="E1265" s="24"/>
      <c r="G1265" s="24"/>
      <c r="H1265" s="24"/>
      <c r="J1265" s="24"/>
      <c r="K1265" s="24"/>
      <c r="M1265" s="24"/>
      <c r="N1265" s="24"/>
      <c r="P1265" s="24"/>
    </row>
    <row r="1266" spans="2:16" x14ac:dyDescent="0.25">
      <c r="B1266" s="24"/>
      <c r="E1266" s="24"/>
      <c r="G1266" s="24"/>
      <c r="H1266" s="24"/>
      <c r="J1266" s="24"/>
      <c r="K1266" s="24"/>
      <c r="M1266" s="24"/>
      <c r="N1266" s="24"/>
      <c r="P1266" s="24"/>
    </row>
    <row r="1267" spans="2:16" x14ac:dyDescent="0.25">
      <c r="B1267" s="24"/>
      <c r="E1267" s="24"/>
      <c r="G1267" s="24"/>
      <c r="H1267" s="24"/>
      <c r="J1267" s="24"/>
      <c r="K1267" s="24"/>
      <c r="M1267" s="24"/>
      <c r="N1267" s="24"/>
      <c r="P1267" s="24"/>
    </row>
    <row r="1268" spans="2:16" x14ac:dyDescent="0.25">
      <c r="B1268" s="24"/>
      <c r="E1268" s="24"/>
      <c r="G1268" s="24"/>
      <c r="H1268" s="24"/>
      <c r="J1268" s="24"/>
      <c r="K1268" s="24"/>
      <c r="M1268" s="24"/>
      <c r="N1268" s="24"/>
      <c r="P1268" s="24"/>
    </row>
    <row r="1269" spans="2:16" x14ac:dyDescent="0.25">
      <c r="B1269" s="24"/>
      <c r="E1269" s="24"/>
      <c r="G1269" s="24"/>
      <c r="H1269" s="24"/>
      <c r="J1269" s="24"/>
      <c r="K1269" s="24"/>
      <c r="M1269" s="24"/>
      <c r="N1269" s="24"/>
      <c r="P1269" s="24"/>
    </row>
    <row r="1270" spans="2:16" x14ac:dyDescent="0.25">
      <c r="B1270" s="24"/>
      <c r="E1270" s="24"/>
      <c r="G1270" s="24"/>
      <c r="H1270" s="24"/>
      <c r="J1270" s="24"/>
      <c r="K1270" s="24"/>
      <c r="M1270" s="24"/>
      <c r="N1270" s="24"/>
      <c r="P1270" s="24"/>
    </row>
    <row r="1271" spans="2:16" x14ac:dyDescent="0.25">
      <c r="B1271" s="24"/>
      <c r="E1271" s="24"/>
      <c r="G1271" s="24"/>
      <c r="H1271" s="24"/>
      <c r="J1271" s="24"/>
      <c r="K1271" s="24"/>
      <c r="M1271" s="24"/>
      <c r="N1271" s="24"/>
      <c r="P1271" s="24"/>
    </row>
    <row r="1272" spans="2:16" x14ac:dyDescent="0.25">
      <c r="B1272" s="24"/>
      <c r="E1272" s="24"/>
      <c r="G1272" s="24"/>
      <c r="H1272" s="24"/>
      <c r="J1272" s="24"/>
      <c r="K1272" s="24"/>
      <c r="M1272" s="24"/>
      <c r="N1272" s="24"/>
      <c r="P1272" s="24"/>
    </row>
    <row r="1273" spans="2:16" x14ac:dyDescent="0.25">
      <c r="B1273" s="24"/>
      <c r="E1273" s="24"/>
      <c r="G1273" s="24"/>
      <c r="H1273" s="24"/>
      <c r="J1273" s="24"/>
      <c r="K1273" s="24"/>
      <c r="M1273" s="24"/>
      <c r="N1273" s="24"/>
      <c r="P1273" s="24"/>
    </row>
    <row r="1274" spans="2:16" x14ac:dyDescent="0.25">
      <c r="B1274" s="24"/>
      <c r="E1274" s="24"/>
      <c r="G1274" s="24"/>
      <c r="H1274" s="24"/>
      <c r="J1274" s="24"/>
      <c r="K1274" s="24"/>
      <c r="M1274" s="24"/>
      <c r="N1274" s="24"/>
      <c r="P1274" s="24"/>
    </row>
    <row r="1275" spans="2:16" x14ac:dyDescent="0.25">
      <c r="B1275" s="24"/>
      <c r="E1275" s="24"/>
      <c r="G1275" s="24"/>
      <c r="H1275" s="24"/>
      <c r="J1275" s="24"/>
      <c r="K1275" s="24"/>
      <c r="M1275" s="24"/>
      <c r="N1275" s="24"/>
      <c r="P1275" s="24"/>
    </row>
    <row r="1276" spans="2:16" x14ac:dyDescent="0.25">
      <c r="B1276" s="24"/>
      <c r="E1276" s="24"/>
      <c r="G1276" s="24"/>
      <c r="H1276" s="24"/>
      <c r="J1276" s="24"/>
      <c r="K1276" s="24"/>
      <c r="M1276" s="24"/>
      <c r="N1276" s="24"/>
      <c r="P1276" s="24"/>
    </row>
    <row r="1277" spans="2:16" x14ac:dyDescent="0.25">
      <c r="B1277" s="24"/>
      <c r="E1277" s="24"/>
      <c r="G1277" s="24"/>
      <c r="H1277" s="24"/>
      <c r="J1277" s="24"/>
      <c r="K1277" s="24"/>
      <c r="M1277" s="24"/>
      <c r="N1277" s="24"/>
      <c r="P1277" s="24"/>
    </row>
    <row r="1278" spans="2:16" x14ac:dyDescent="0.25">
      <c r="B1278" s="24"/>
      <c r="E1278" s="24"/>
      <c r="G1278" s="24"/>
      <c r="H1278" s="24"/>
      <c r="J1278" s="24"/>
      <c r="K1278" s="24"/>
      <c r="M1278" s="24"/>
      <c r="N1278" s="24"/>
      <c r="P1278" s="24"/>
    </row>
    <row r="1279" spans="2:16" x14ac:dyDescent="0.25">
      <c r="B1279" s="24"/>
      <c r="E1279" s="24"/>
      <c r="G1279" s="24"/>
      <c r="H1279" s="24"/>
      <c r="J1279" s="24"/>
      <c r="K1279" s="24"/>
      <c r="M1279" s="24"/>
      <c r="N1279" s="24"/>
      <c r="P1279" s="24"/>
    </row>
    <row r="1280" spans="2:16" x14ac:dyDescent="0.25">
      <c r="B1280" s="24"/>
      <c r="E1280" s="24"/>
      <c r="G1280" s="24"/>
      <c r="H1280" s="24"/>
      <c r="J1280" s="24"/>
      <c r="K1280" s="24"/>
      <c r="M1280" s="24"/>
      <c r="N1280" s="24"/>
      <c r="P1280" s="24"/>
    </row>
    <row r="1281" spans="2:16" x14ac:dyDescent="0.25">
      <c r="B1281" s="24"/>
      <c r="E1281" s="24"/>
      <c r="G1281" s="24"/>
      <c r="H1281" s="24"/>
      <c r="J1281" s="24"/>
      <c r="K1281" s="24"/>
      <c r="M1281" s="24"/>
      <c r="N1281" s="24"/>
      <c r="P1281" s="24"/>
    </row>
    <row r="1282" spans="2:16" x14ac:dyDescent="0.25">
      <c r="B1282" s="24"/>
      <c r="E1282" s="24"/>
      <c r="G1282" s="24"/>
      <c r="H1282" s="24"/>
      <c r="J1282" s="24"/>
      <c r="K1282" s="24"/>
      <c r="M1282" s="24"/>
      <c r="N1282" s="24"/>
      <c r="P1282" s="24"/>
    </row>
    <row r="1283" spans="2:16" x14ac:dyDescent="0.25">
      <c r="B1283" s="24"/>
      <c r="E1283" s="24"/>
      <c r="G1283" s="24"/>
      <c r="H1283" s="24"/>
      <c r="J1283" s="24"/>
      <c r="K1283" s="24"/>
      <c r="M1283" s="24"/>
      <c r="N1283" s="24"/>
      <c r="P1283" s="24"/>
    </row>
    <row r="1284" spans="2:16" x14ac:dyDescent="0.25">
      <c r="B1284" s="24"/>
      <c r="E1284" s="24"/>
      <c r="G1284" s="24"/>
      <c r="H1284" s="24"/>
      <c r="J1284" s="24"/>
      <c r="K1284" s="24"/>
      <c r="M1284" s="24"/>
      <c r="N1284" s="24"/>
      <c r="P1284" s="24"/>
    </row>
    <row r="1285" spans="2:16" x14ac:dyDescent="0.25">
      <c r="B1285" s="24"/>
      <c r="E1285" s="24"/>
      <c r="G1285" s="24"/>
      <c r="H1285" s="24"/>
      <c r="J1285" s="24"/>
      <c r="K1285" s="24"/>
      <c r="M1285" s="24"/>
      <c r="N1285" s="24"/>
      <c r="P1285" s="24"/>
    </row>
    <row r="1286" spans="2:16" x14ac:dyDescent="0.25">
      <c r="B1286" s="24"/>
      <c r="E1286" s="24"/>
      <c r="G1286" s="24"/>
      <c r="H1286" s="24"/>
      <c r="J1286" s="24"/>
      <c r="K1286" s="24"/>
      <c r="M1286" s="24"/>
      <c r="N1286" s="24"/>
      <c r="P1286" s="24"/>
    </row>
    <row r="1287" spans="2:16" x14ac:dyDescent="0.25">
      <c r="B1287" s="24"/>
      <c r="E1287" s="24"/>
      <c r="G1287" s="24"/>
      <c r="H1287" s="24"/>
      <c r="J1287" s="24"/>
      <c r="K1287" s="24"/>
      <c r="M1287" s="24"/>
      <c r="N1287" s="24"/>
      <c r="P1287" s="24"/>
    </row>
    <row r="1288" spans="2:16" x14ac:dyDescent="0.25">
      <c r="B1288" s="24"/>
      <c r="E1288" s="24"/>
      <c r="G1288" s="24"/>
      <c r="H1288" s="24"/>
      <c r="J1288" s="24"/>
      <c r="K1288" s="24"/>
      <c r="M1288" s="24"/>
      <c r="N1288" s="24"/>
      <c r="P1288" s="24"/>
    </row>
    <row r="1289" spans="2:16" x14ac:dyDescent="0.25">
      <c r="B1289" s="24"/>
      <c r="E1289" s="24"/>
      <c r="G1289" s="24"/>
      <c r="H1289" s="24"/>
      <c r="J1289" s="24"/>
      <c r="K1289" s="24"/>
      <c r="M1289" s="24"/>
      <c r="N1289" s="24"/>
      <c r="P1289" s="24"/>
    </row>
    <row r="1290" spans="2:16" x14ac:dyDescent="0.25">
      <c r="B1290" s="24"/>
      <c r="E1290" s="24"/>
      <c r="G1290" s="24"/>
      <c r="H1290" s="24"/>
      <c r="J1290" s="24"/>
      <c r="K1290" s="24"/>
      <c r="M1290" s="24"/>
      <c r="N1290" s="24"/>
      <c r="P1290" s="24"/>
    </row>
    <row r="1291" spans="2:16" x14ac:dyDescent="0.25">
      <c r="B1291" s="24"/>
      <c r="E1291" s="24"/>
      <c r="G1291" s="24"/>
      <c r="H1291" s="24"/>
      <c r="J1291" s="24"/>
      <c r="K1291" s="24"/>
      <c r="M1291" s="24"/>
      <c r="N1291" s="24"/>
      <c r="P1291" s="24"/>
    </row>
    <row r="1292" spans="2:16" x14ac:dyDescent="0.25">
      <c r="B1292" s="24"/>
      <c r="E1292" s="24"/>
      <c r="G1292" s="24"/>
      <c r="H1292" s="24"/>
      <c r="J1292" s="24"/>
      <c r="K1292" s="24"/>
      <c r="M1292" s="24"/>
      <c r="N1292" s="24"/>
      <c r="P1292" s="24"/>
    </row>
    <row r="1293" spans="2:16" x14ac:dyDescent="0.25">
      <c r="B1293" s="24"/>
      <c r="E1293" s="24"/>
      <c r="G1293" s="24"/>
      <c r="H1293" s="24"/>
      <c r="J1293" s="24"/>
      <c r="K1293" s="24"/>
      <c r="M1293" s="24"/>
      <c r="N1293" s="24"/>
      <c r="P1293" s="24"/>
    </row>
    <row r="1294" spans="2:16" x14ac:dyDescent="0.25">
      <c r="B1294" s="24"/>
      <c r="E1294" s="24"/>
      <c r="G1294" s="24"/>
      <c r="H1294" s="24"/>
      <c r="J1294" s="24"/>
      <c r="K1294" s="24"/>
      <c r="M1294" s="24"/>
      <c r="N1294" s="24"/>
      <c r="P1294" s="24"/>
    </row>
    <row r="1295" spans="2:16" x14ac:dyDescent="0.25">
      <c r="B1295" s="24"/>
      <c r="E1295" s="24"/>
      <c r="G1295" s="24"/>
      <c r="H1295" s="24"/>
      <c r="J1295" s="24"/>
      <c r="K1295" s="24"/>
      <c r="M1295" s="24"/>
      <c r="N1295" s="24"/>
      <c r="P1295" s="24"/>
    </row>
    <row r="1296" spans="2:16" x14ac:dyDescent="0.25">
      <c r="B1296" s="24"/>
      <c r="E1296" s="24"/>
      <c r="G1296" s="24"/>
      <c r="H1296" s="24"/>
      <c r="J1296" s="24"/>
      <c r="K1296" s="24"/>
      <c r="M1296" s="24"/>
      <c r="N1296" s="24"/>
      <c r="P1296" s="24"/>
    </row>
    <row r="1297" spans="2:16" x14ac:dyDescent="0.25">
      <c r="B1297" s="24"/>
      <c r="E1297" s="24"/>
      <c r="G1297" s="24"/>
      <c r="H1297" s="24"/>
      <c r="J1297" s="24"/>
      <c r="K1297" s="24"/>
      <c r="M1297" s="24"/>
      <c r="N1297" s="24"/>
      <c r="P1297" s="24"/>
    </row>
    <row r="1298" spans="2:16" x14ac:dyDescent="0.25">
      <c r="B1298" s="24"/>
      <c r="E1298" s="24"/>
      <c r="G1298" s="24"/>
      <c r="H1298" s="24"/>
      <c r="J1298" s="24"/>
      <c r="K1298" s="24"/>
      <c r="M1298" s="24"/>
      <c r="N1298" s="24"/>
      <c r="P1298" s="24"/>
    </row>
    <row r="1299" spans="2:16" x14ac:dyDescent="0.25">
      <c r="B1299" s="24"/>
      <c r="E1299" s="24"/>
      <c r="G1299" s="24"/>
      <c r="H1299" s="24"/>
      <c r="J1299" s="24"/>
      <c r="K1299" s="24"/>
      <c r="M1299" s="24"/>
      <c r="N1299" s="24"/>
      <c r="P1299" s="24"/>
    </row>
    <row r="1300" spans="2:16" x14ac:dyDescent="0.25">
      <c r="B1300" s="24"/>
      <c r="E1300" s="24"/>
      <c r="G1300" s="24"/>
      <c r="H1300" s="24"/>
      <c r="J1300" s="24"/>
      <c r="K1300" s="24"/>
      <c r="M1300" s="24"/>
      <c r="N1300" s="24"/>
      <c r="P1300" s="24"/>
    </row>
    <row r="1301" spans="2:16" x14ac:dyDescent="0.25">
      <c r="B1301" s="24"/>
      <c r="E1301" s="24"/>
      <c r="G1301" s="24"/>
      <c r="H1301" s="24"/>
      <c r="J1301" s="24"/>
      <c r="K1301" s="24"/>
      <c r="M1301" s="24"/>
      <c r="N1301" s="24"/>
      <c r="P1301" s="24"/>
    </row>
    <row r="1302" spans="2:16" x14ac:dyDescent="0.25">
      <c r="B1302" s="24"/>
      <c r="E1302" s="24"/>
      <c r="G1302" s="24"/>
      <c r="H1302" s="24"/>
      <c r="J1302" s="24"/>
      <c r="K1302" s="24"/>
      <c r="M1302" s="24"/>
      <c r="N1302" s="24"/>
      <c r="P1302" s="24"/>
    </row>
    <row r="1303" spans="2:16" x14ac:dyDescent="0.25">
      <c r="B1303" s="24"/>
      <c r="E1303" s="24"/>
      <c r="G1303" s="24"/>
      <c r="H1303" s="24"/>
      <c r="J1303" s="24"/>
      <c r="K1303" s="24"/>
      <c r="M1303" s="24"/>
      <c r="N1303" s="24"/>
      <c r="P1303" s="24"/>
    </row>
    <row r="1304" spans="2:16" x14ac:dyDescent="0.25">
      <c r="B1304" s="24"/>
      <c r="E1304" s="24"/>
      <c r="G1304" s="24"/>
      <c r="H1304" s="24"/>
      <c r="J1304" s="24"/>
      <c r="K1304" s="24"/>
      <c r="M1304" s="24"/>
      <c r="N1304" s="24"/>
      <c r="P1304" s="24"/>
    </row>
    <row r="1305" spans="2:16" x14ac:dyDescent="0.25">
      <c r="B1305" s="24"/>
      <c r="E1305" s="24"/>
      <c r="G1305" s="24"/>
      <c r="H1305" s="24"/>
      <c r="J1305" s="24"/>
      <c r="K1305" s="24"/>
      <c r="M1305" s="24"/>
      <c r="N1305" s="24"/>
      <c r="P1305" s="24"/>
    </row>
    <row r="1306" spans="2:16" x14ac:dyDescent="0.25">
      <c r="B1306" s="24"/>
      <c r="E1306" s="24"/>
      <c r="G1306" s="24"/>
      <c r="H1306" s="24"/>
      <c r="J1306" s="24"/>
      <c r="K1306" s="24"/>
      <c r="M1306" s="24"/>
      <c r="N1306" s="24"/>
      <c r="P1306" s="24"/>
    </row>
    <row r="1307" spans="2:16" x14ac:dyDescent="0.25">
      <c r="B1307" s="24"/>
      <c r="E1307" s="24"/>
      <c r="G1307" s="24"/>
      <c r="H1307" s="24"/>
      <c r="J1307" s="24"/>
      <c r="K1307" s="24"/>
      <c r="M1307" s="24"/>
      <c r="N1307" s="24"/>
      <c r="P1307" s="24"/>
    </row>
    <row r="1308" spans="2:16" x14ac:dyDescent="0.25">
      <c r="B1308" s="24"/>
      <c r="E1308" s="24"/>
      <c r="G1308" s="24"/>
      <c r="H1308" s="24"/>
      <c r="J1308" s="24"/>
      <c r="K1308" s="24"/>
      <c r="M1308" s="24"/>
      <c r="N1308" s="24"/>
      <c r="P1308" s="24"/>
    </row>
    <row r="1309" spans="2:16" x14ac:dyDescent="0.25">
      <c r="B1309" s="24"/>
      <c r="E1309" s="24"/>
      <c r="G1309" s="24"/>
      <c r="H1309" s="24"/>
      <c r="J1309" s="24"/>
      <c r="K1309" s="24"/>
      <c r="M1309" s="24"/>
      <c r="N1309" s="24"/>
      <c r="P1309" s="24"/>
    </row>
    <row r="1310" spans="2:16" x14ac:dyDescent="0.25">
      <c r="B1310" s="24"/>
      <c r="E1310" s="24"/>
      <c r="G1310" s="24"/>
      <c r="H1310" s="24"/>
      <c r="J1310" s="24"/>
      <c r="K1310" s="24"/>
      <c r="M1310" s="24"/>
      <c r="N1310" s="24"/>
      <c r="P1310" s="24"/>
    </row>
    <row r="1311" spans="2:16" x14ac:dyDescent="0.25">
      <c r="B1311" s="24"/>
      <c r="E1311" s="24"/>
      <c r="G1311" s="24"/>
      <c r="H1311" s="24"/>
      <c r="J1311" s="24"/>
      <c r="K1311" s="24"/>
      <c r="M1311" s="24"/>
      <c r="N1311" s="24"/>
      <c r="P1311" s="24"/>
    </row>
    <row r="1312" spans="2:16" x14ac:dyDescent="0.25">
      <c r="B1312" s="24"/>
      <c r="E1312" s="24"/>
      <c r="G1312" s="24"/>
      <c r="H1312" s="24"/>
      <c r="J1312" s="24"/>
      <c r="K1312" s="24"/>
      <c r="M1312" s="24"/>
      <c r="N1312" s="24"/>
      <c r="P1312" s="24"/>
    </row>
    <row r="1313" spans="2:16" x14ac:dyDescent="0.25">
      <c r="B1313" s="24"/>
      <c r="E1313" s="24"/>
      <c r="G1313" s="24"/>
      <c r="H1313" s="24"/>
      <c r="J1313" s="24"/>
      <c r="K1313" s="24"/>
      <c r="M1313" s="24"/>
      <c r="N1313" s="24"/>
      <c r="P1313" s="24"/>
    </row>
    <row r="1314" spans="2:16" x14ac:dyDescent="0.25">
      <c r="B1314" s="24"/>
      <c r="E1314" s="24"/>
      <c r="G1314" s="24"/>
      <c r="H1314" s="24"/>
      <c r="J1314" s="24"/>
      <c r="K1314" s="24"/>
      <c r="M1314" s="24"/>
      <c r="N1314" s="24"/>
      <c r="P1314" s="24"/>
    </row>
    <row r="1315" spans="2:16" x14ac:dyDescent="0.25">
      <c r="B1315" s="24"/>
      <c r="E1315" s="24"/>
      <c r="G1315" s="24"/>
      <c r="H1315" s="24"/>
      <c r="J1315" s="24"/>
      <c r="K1315" s="24"/>
      <c r="M1315" s="24"/>
      <c r="N1315" s="24"/>
      <c r="P1315" s="24"/>
    </row>
    <row r="1316" spans="2:16" x14ac:dyDescent="0.25">
      <c r="B1316" s="24"/>
      <c r="E1316" s="24"/>
      <c r="G1316" s="24"/>
      <c r="H1316" s="24"/>
      <c r="J1316" s="24"/>
      <c r="K1316" s="24"/>
      <c r="M1316" s="24"/>
      <c r="N1316" s="24"/>
      <c r="P1316" s="24"/>
    </row>
    <row r="1317" spans="2:16" x14ac:dyDescent="0.25">
      <c r="B1317" s="24"/>
      <c r="E1317" s="24"/>
      <c r="G1317" s="24"/>
      <c r="H1317" s="24"/>
      <c r="J1317" s="24"/>
      <c r="K1317" s="24"/>
      <c r="M1317" s="24"/>
      <c r="N1317" s="24"/>
      <c r="P1317" s="24"/>
    </row>
    <row r="1318" spans="2:16" x14ac:dyDescent="0.25">
      <c r="B1318" s="24"/>
      <c r="E1318" s="24"/>
      <c r="G1318" s="24"/>
      <c r="H1318" s="24"/>
      <c r="J1318" s="24"/>
      <c r="K1318" s="24"/>
      <c r="M1318" s="24"/>
      <c r="N1318" s="24"/>
      <c r="P1318" s="24"/>
    </row>
    <row r="1319" spans="2:16" x14ac:dyDescent="0.25">
      <c r="B1319" s="24"/>
      <c r="E1319" s="24"/>
      <c r="G1319" s="24"/>
      <c r="H1319" s="24"/>
      <c r="J1319" s="24"/>
      <c r="K1319" s="24"/>
      <c r="M1319" s="24"/>
      <c r="N1319" s="24"/>
      <c r="P1319" s="24"/>
    </row>
    <row r="1320" spans="2:16" x14ac:dyDescent="0.25">
      <c r="B1320" s="24"/>
      <c r="E1320" s="24"/>
      <c r="G1320" s="24"/>
      <c r="H1320" s="24"/>
      <c r="J1320" s="24"/>
      <c r="K1320" s="24"/>
      <c r="M1320" s="24"/>
      <c r="N1320" s="24"/>
      <c r="P1320" s="24"/>
    </row>
    <row r="1321" spans="2:16" x14ac:dyDescent="0.25">
      <c r="B1321" s="24"/>
      <c r="E1321" s="24"/>
      <c r="G1321" s="24"/>
      <c r="H1321" s="24"/>
      <c r="J1321" s="24"/>
      <c r="K1321" s="24"/>
      <c r="M1321" s="24"/>
      <c r="N1321" s="24"/>
      <c r="P1321" s="24"/>
    </row>
    <row r="1322" spans="2:16" x14ac:dyDescent="0.25">
      <c r="B1322" s="24"/>
      <c r="E1322" s="24"/>
      <c r="G1322" s="24"/>
      <c r="H1322" s="24"/>
      <c r="J1322" s="24"/>
      <c r="K1322" s="24"/>
      <c r="M1322" s="24"/>
      <c r="N1322" s="24"/>
      <c r="P1322" s="24"/>
    </row>
    <row r="1323" spans="2:16" x14ac:dyDescent="0.25">
      <c r="B1323" s="24"/>
      <c r="E1323" s="24"/>
      <c r="G1323" s="24"/>
      <c r="H1323" s="24"/>
      <c r="J1323" s="24"/>
      <c r="K1323" s="24"/>
      <c r="M1323" s="24"/>
      <c r="N1323" s="24"/>
      <c r="P1323" s="24"/>
    </row>
    <row r="1324" spans="2:16" x14ac:dyDescent="0.25">
      <c r="B1324" s="24"/>
      <c r="E1324" s="24"/>
      <c r="G1324" s="24"/>
      <c r="H1324" s="24"/>
      <c r="J1324" s="24"/>
      <c r="K1324" s="24"/>
      <c r="M1324" s="24"/>
      <c r="N1324" s="24"/>
      <c r="P1324" s="24"/>
    </row>
    <row r="1325" spans="2:16" x14ac:dyDescent="0.25">
      <c r="B1325" s="24"/>
      <c r="E1325" s="24"/>
      <c r="G1325" s="24"/>
      <c r="H1325" s="24"/>
      <c r="J1325" s="24"/>
      <c r="K1325" s="24"/>
      <c r="M1325" s="24"/>
      <c r="N1325" s="24"/>
      <c r="P1325" s="24"/>
    </row>
    <row r="1326" spans="2:16" x14ac:dyDescent="0.25">
      <c r="B1326" s="24"/>
      <c r="E1326" s="24"/>
      <c r="G1326" s="24"/>
      <c r="H1326" s="24"/>
      <c r="J1326" s="24"/>
      <c r="K1326" s="24"/>
      <c r="M1326" s="24"/>
      <c r="N1326" s="24"/>
      <c r="P1326" s="24"/>
    </row>
    <row r="1327" spans="2:16" x14ac:dyDescent="0.25">
      <c r="B1327" s="24"/>
      <c r="E1327" s="24"/>
      <c r="G1327" s="24"/>
      <c r="H1327" s="24"/>
      <c r="J1327" s="24"/>
      <c r="K1327" s="24"/>
      <c r="M1327" s="24"/>
      <c r="N1327" s="24"/>
      <c r="P1327" s="24"/>
    </row>
    <row r="1328" spans="2:16" x14ac:dyDescent="0.25">
      <c r="B1328" s="24"/>
      <c r="E1328" s="24"/>
      <c r="G1328" s="24"/>
      <c r="H1328" s="24"/>
      <c r="J1328" s="24"/>
      <c r="K1328" s="24"/>
      <c r="M1328" s="24"/>
      <c r="N1328" s="24"/>
      <c r="P1328" s="24"/>
    </row>
    <row r="1329" spans="2:16" x14ac:dyDescent="0.25">
      <c r="B1329" s="24"/>
      <c r="E1329" s="24"/>
      <c r="G1329" s="24"/>
      <c r="H1329" s="24"/>
      <c r="J1329" s="24"/>
      <c r="K1329" s="24"/>
      <c r="M1329" s="24"/>
      <c r="N1329" s="24"/>
      <c r="P1329" s="24"/>
    </row>
    <row r="1330" spans="2:16" x14ac:dyDescent="0.25">
      <c r="B1330" s="24"/>
      <c r="E1330" s="24"/>
      <c r="G1330" s="24"/>
      <c r="H1330" s="24"/>
      <c r="J1330" s="24"/>
      <c r="K1330" s="24"/>
      <c r="M1330" s="24"/>
      <c r="N1330" s="24"/>
      <c r="P1330" s="24"/>
    </row>
    <row r="1331" spans="2:16" x14ac:dyDescent="0.25">
      <c r="B1331" s="24"/>
      <c r="E1331" s="24"/>
      <c r="G1331" s="24"/>
      <c r="H1331" s="24"/>
      <c r="J1331" s="24"/>
      <c r="K1331" s="24"/>
      <c r="M1331" s="24"/>
      <c r="N1331" s="24"/>
      <c r="P1331" s="24"/>
    </row>
    <row r="1332" spans="2:16" x14ac:dyDescent="0.25">
      <c r="B1332" s="24"/>
      <c r="E1332" s="24"/>
      <c r="G1332" s="24"/>
      <c r="H1332" s="24"/>
      <c r="J1332" s="24"/>
      <c r="K1332" s="24"/>
      <c r="M1332" s="24"/>
      <c r="N1332" s="24"/>
      <c r="P1332" s="24"/>
    </row>
    <row r="1333" spans="2:16" x14ac:dyDescent="0.25">
      <c r="B1333" s="24"/>
      <c r="E1333" s="24"/>
      <c r="G1333" s="24"/>
      <c r="H1333" s="24"/>
      <c r="J1333" s="24"/>
      <c r="K1333" s="24"/>
      <c r="M1333" s="24"/>
      <c r="N1333" s="24"/>
      <c r="P1333" s="24"/>
    </row>
    <row r="1334" spans="2:16" x14ac:dyDescent="0.25">
      <c r="B1334" s="24"/>
      <c r="E1334" s="24"/>
      <c r="G1334" s="24"/>
      <c r="H1334" s="24"/>
      <c r="J1334" s="24"/>
      <c r="K1334" s="24"/>
      <c r="M1334" s="24"/>
      <c r="N1334" s="24"/>
      <c r="P1334" s="24"/>
    </row>
    <row r="1335" spans="2:16" x14ac:dyDescent="0.25">
      <c r="B1335" s="24"/>
      <c r="E1335" s="24"/>
      <c r="G1335" s="24"/>
      <c r="H1335" s="24"/>
      <c r="J1335" s="24"/>
      <c r="K1335" s="24"/>
      <c r="M1335" s="24"/>
      <c r="N1335" s="24"/>
      <c r="P1335" s="24"/>
    </row>
    <row r="1336" spans="2:16" x14ac:dyDescent="0.25">
      <c r="B1336" s="24"/>
      <c r="E1336" s="24"/>
      <c r="G1336" s="24"/>
      <c r="H1336" s="24"/>
      <c r="J1336" s="24"/>
      <c r="K1336" s="24"/>
      <c r="M1336" s="24"/>
      <c r="N1336" s="24"/>
      <c r="P1336" s="24"/>
    </row>
    <row r="1337" spans="2:16" x14ac:dyDescent="0.25">
      <c r="B1337" s="24"/>
      <c r="E1337" s="24"/>
      <c r="G1337" s="24"/>
      <c r="H1337" s="24"/>
      <c r="J1337" s="24"/>
      <c r="K1337" s="24"/>
      <c r="M1337" s="24"/>
      <c r="N1337" s="24"/>
      <c r="P1337" s="24"/>
    </row>
    <row r="1338" spans="2:16" x14ac:dyDescent="0.25">
      <c r="B1338" s="24"/>
      <c r="E1338" s="24"/>
      <c r="G1338" s="24"/>
      <c r="H1338" s="24"/>
      <c r="J1338" s="24"/>
      <c r="K1338" s="24"/>
      <c r="M1338" s="24"/>
      <c r="N1338" s="24"/>
      <c r="P1338" s="24"/>
    </row>
    <row r="1339" spans="2:16" x14ac:dyDescent="0.25">
      <c r="B1339" s="24"/>
      <c r="E1339" s="24"/>
      <c r="G1339" s="24"/>
      <c r="H1339" s="24"/>
      <c r="J1339" s="24"/>
      <c r="K1339" s="24"/>
      <c r="M1339" s="24"/>
      <c r="N1339" s="24"/>
      <c r="P1339" s="24"/>
    </row>
    <row r="1340" spans="2:16" x14ac:dyDescent="0.25">
      <c r="B1340" s="24"/>
      <c r="E1340" s="24"/>
      <c r="G1340" s="24"/>
      <c r="H1340" s="24"/>
      <c r="J1340" s="24"/>
      <c r="K1340" s="24"/>
      <c r="M1340" s="24"/>
      <c r="N1340" s="24"/>
      <c r="P1340" s="24"/>
    </row>
    <row r="1341" spans="2:16" x14ac:dyDescent="0.25">
      <c r="B1341" s="24"/>
      <c r="E1341" s="24"/>
      <c r="G1341" s="24"/>
      <c r="H1341" s="24"/>
      <c r="J1341" s="24"/>
      <c r="K1341" s="24"/>
      <c r="M1341" s="24"/>
      <c r="N1341" s="24"/>
      <c r="P1341" s="24"/>
    </row>
    <row r="1342" spans="2:16" x14ac:dyDescent="0.25">
      <c r="B1342" s="24"/>
      <c r="E1342" s="24"/>
      <c r="G1342" s="24"/>
      <c r="H1342" s="24"/>
      <c r="J1342" s="24"/>
      <c r="K1342" s="24"/>
      <c r="M1342" s="24"/>
      <c r="N1342" s="24"/>
      <c r="P1342" s="24"/>
    </row>
    <row r="1343" spans="2:16" x14ac:dyDescent="0.25">
      <c r="B1343" s="24"/>
      <c r="E1343" s="24"/>
      <c r="G1343" s="24"/>
      <c r="H1343" s="24"/>
      <c r="J1343" s="24"/>
      <c r="K1343" s="24"/>
      <c r="M1343" s="24"/>
      <c r="N1343" s="24"/>
      <c r="P1343" s="24"/>
    </row>
    <row r="1344" spans="2:16" x14ac:dyDescent="0.25">
      <c r="B1344" s="24"/>
      <c r="E1344" s="24"/>
      <c r="G1344" s="24"/>
      <c r="H1344" s="24"/>
      <c r="J1344" s="24"/>
      <c r="K1344" s="24"/>
      <c r="M1344" s="24"/>
      <c r="N1344" s="24"/>
      <c r="P1344" s="24"/>
    </row>
    <row r="1345" spans="2:16" x14ac:dyDescent="0.25">
      <c r="B1345" s="24"/>
      <c r="E1345" s="24"/>
      <c r="G1345" s="24"/>
      <c r="H1345" s="24"/>
      <c r="J1345" s="24"/>
      <c r="K1345" s="24"/>
      <c r="M1345" s="24"/>
      <c r="N1345" s="24"/>
      <c r="P1345" s="24"/>
    </row>
    <row r="1346" spans="2:16" x14ac:dyDescent="0.25">
      <c r="B1346" s="24"/>
      <c r="E1346" s="24"/>
      <c r="G1346" s="24"/>
      <c r="H1346" s="24"/>
      <c r="J1346" s="24"/>
      <c r="K1346" s="24"/>
      <c r="M1346" s="24"/>
      <c r="N1346" s="24"/>
      <c r="P1346" s="24"/>
    </row>
    <row r="1347" spans="2:16" x14ac:dyDescent="0.25">
      <c r="B1347" s="24"/>
      <c r="E1347" s="24"/>
      <c r="G1347" s="24"/>
      <c r="H1347" s="24"/>
      <c r="J1347" s="24"/>
      <c r="K1347" s="24"/>
      <c r="M1347" s="24"/>
      <c r="N1347" s="24"/>
      <c r="P1347" s="24"/>
    </row>
    <row r="1348" spans="2:16" x14ac:dyDescent="0.25">
      <c r="B1348" s="24"/>
      <c r="E1348" s="24"/>
      <c r="G1348" s="24"/>
      <c r="H1348" s="24"/>
      <c r="J1348" s="24"/>
      <c r="K1348" s="24"/>
      <c r="M1348" s="24"/>
      <c r="N1348" s="24"/>
      <c r="P1348" s="24"/>
    </row>
    <row r="1349" spans="2:16" x14ac:dyDescent="0.25">
      <c r="B1349" s="24"/>
      <c r="E1349" s="24"/>
      <c r="G1349" s="24"/>
      <c r="H1349" s="24"/>
      <c r="J1349" s="24"/>
      <c r="K1349" s="24"/>
      <c r="M1349" s="24"/>
      <c r="N1349" s="24"/>
      <c r="P1349" s="24"/>
    </row>
    <row r="1350" spans="2:16" x14ac:dyDescent="0.25">
      <c r="B1350" s="24"/>
      <c r="E1350" s="24"/>
      <c r="G1350" s="24"/>
      <c r="H1350" s="24"/>
      <c r="J1350" s="24"/>
      <c r="K1350" s="24"/>
      <c r="M1350" s="24"/>
      <c r="N1350" s="24"/>
      <c r="P1350" s="24"/>
    </row>
    <row r="1351" spans="2:16" x14ac:dyDescent="0.25">
      <c r="B1351" s="24"/>
      <c r="E1351" s="24"/>
      <c r="G1351" s="24"/>
      <c r="H1351" s="24"/>
      <c r="J1351" s="24"/>
      <c r="K1351" s="24"/>
      <c r="M1351" s="24"/>
      <c r="N1351" s="24"/>
      <c r="P1351" s="24"/>
    </row>
    <row r="1352" spans="2:16" x14ac:dyDescent="0.25">
      <c r="B1352" s="24"/>
      <c r="E1352" s="24"/>
      <c r="G1352" s="24"/>
      <c r="H1352" s="24"/>
      <c r="J1352" s="24"/>
      <c r="K1352" s="24"/>
      <c r="M1352" s="24"/>
      <c r="N1352" s="24"/>
      <c r="P1352" s="24"/>
    </row>
    <row r="1353" spans="2:16" x14ac:dyDescent="0.25">
      <c r="B1353" s="24"/>
      <c r="E1353" s="24"/>
      <c r="G1353" s="24"/>
      <c r="H1353" s="24"/>
      <c r="J1353" s="24"/>
      <c r="K1353" s="24"/>
      <c r="M1353" s="24"/>
      <c r="N1353" s="24"/>
      <c r="P1353" s="24"/>
    </row>
    <row r="1354" spans="2:16" x14ac:dyDescent="0.25">
      <c r="B1354" s="24"/>
      <c r="E1354" s="24"/>
      <c r="G1354" s="24"/>
      <c r="H1354" s="24"/>
      <c r="J1354" s="24"/>
      <c r="K1354" s="24"/>
      <c r="M1354" s="24"/>
      <c r="N1354" s="24"/>
      <c r="P1354" s="24"/>
    </row>
    <row r="1355" spans="2:16" x14ac:dyDescent="0.25">
      <c r="B1355" s="24"/>
      <c r="E1355" s="24"/>
      <c r="G1355" s="24"/>
      <c r="H1355" s="24"/>
      <c r="J1355" s="24"/>
      <c r="K1355" s="24"/>
      <c r="M1355" s="24"/>
      <c r="N1355" s="24"/>
      <c r="P1355" s="24"/>
    </row>
    <row r="1356" spans="2:16" x14ac:dyDescent="0.25">
      <c r="B1356" s="24"/>
      <c r="E1356" s="24"/>
      <c r="G1356" s="24"/>
      <c r="H1356" s="24"/>
      <c r="J1356" s="24"/>
      <c r="K1356" s="24"/>
      <c r="M1356" s="24"/>
      <c r="N1356" s="24"/>
      <c r="P1356" s="24"/>
    </row>
    <row r="1357" spans="2:16" x14ac:dyDescent="0.25">
      <c r="B1357" s="24"/>
      <c r="E1357" s="24"/>
      <c r="G1357" s="24"/>
      <c r="H1357" s="24"/>
      <c r="J1357" s="24"/>
      <c r="K1357" s="24"/>
      <c r="M1357" s="24"/>
      <c r="N1357" s="24"/>
      <c r="P1357" s="24"/>
    </row>
    <row r="1358" spans="2:16" x14ac:dyDescent="0.25">
      <c r="B1358" s="24"/>
      <c r="E1358" s="24"/>
      <c r="G1358" s="24"/>
      <c r="H1358" s="24"/>
      <c r="J1358" s="24"/>
      <c r="K1358" s="24"/>
      <c r="M1358" s="24"/>
      <c r="N1358" s="24"/>
      <c r="P1358" s="24"/>
    </row>
    <row r="1359" spans="2:16" x14ac:dyDescent="0.25">
      <c r="B1359" s="24"/>
      <c r="E1359" s="24"/>
      <c r="G1359" s="24"/>
      <c r="H1359" s="24"/>
      <c r="J1359" s="24"/>
      <c r="K1359" s="24"/>
      <c r="M1359" s="24"/>
      <c r="N1359" s="24"/>
      <c r="P1359" s="24"/>
    </row>
    <row r="1360" spans="2:16" x14ac:dyDescent="0.25">
      <c r="B1360" s="24"/>
      <c r="E1360" s="24"/>
      <c r="G1360" s="24"/>
      <c r="H1360" s="24"/>
      <c r="J1360" s="24"/>
      <c r="K1360" s="24"/>
      <c r="M1360" s="24"/>
      <c r="N1360" s="24"/>
      <c r="P1360" s="24"/>
    </row>
    <row r="1361" spans="2:16" x14ac:dyDescent="0.25">
      <c r="B1361" s="24"/>
      <c r="E1361" s="24"/>
      <c r="G1361" s="24"/>
      <c r="H1361" s="24"/>
      <c r="J1361" s="24"/>
      <c r="K1361" s="24"/>
      <c r="M1361" s="24"/>
      <c r="N1361" s="24"/>
      <c r="P1361" s="24"/>
    </row>
    <row r="1362" spans="2:16" x14ac:dyDescent="0.25">
      <c r="B1362" s="24"/>
      <c r="E1362" s="24"/>
      <c r="G1362" s="24"/>
      <c r="H1362" s="24"/>
      <c r="J1362" s="24"/>
      <c r="K1362" s="24"/>
      <c r="M1362" s="24"/>
      <c r="N1362" s="24"/>
      <c r="P1362" s="24"/>
    </row>
    <row r="1363" spans="2:16" x14ac:dyDescent="0.25">
      <c r="B1363" s="24"/>
      <c r="E1363" s="24"/>
      <c r="G1363" s="24"/>
      <c r="H1363" s="24"/>
      <c r="J1363" s="24"/>
      <c r="K1363" s="24"/>
      <c r="M1363" s="24"/>
      <c r="N1363" s="24"/>
      <c r="P1363" s="24"/>
    </row>
    <row r="1364" spans="2:16" x14ac:dyDescent="0.25">
      <c r="B1364" s="24"/>
      <c r="E1364" s="24"/>
      <c r="G1364" s="24"/>
      <c r="H1364" s="24"/>
      <c r="J1364" s="24"/>
      <c r="K1364" s="24"/>
      <c r="M1364" s="24"/>
      <c r="N1364" s="24"/>
      <c r="P1364" s="24"/>
    </row>
    <row r="1365" spans="2:16" x14ac:dyDescent="0.25">
      <c r="B1365" s="24"/>
      <c r="E1365" s="24"/>
      <c r="G1365" s="24"/>
      <c r="H1365" s="24"/>
      <c r="J1365" s="24"/>
      <c r="K1365" s="24"/>
      <c r="M1365" s="24"/>
      <c r="N1365" s="24"/>
      <c r="P1365" s="24"/>
    </row>
    <row r="1366" spans="2:16" x14ac:dyDescent="0.25">
      <c r="B1366" s="24"/>
      <c r="E1366" s="24"/>
      <c r="G1366" s="24"/>
      <c r="H1366" s="24"/>
      <c r="J1366" s="24"/>
      <c r="K1366" s="24"/>
      <c r="M1366" s="24"/>
      <c r="N1366" s="24"/>
      <c r="P1366" s="24"/>
    </row>
    <row r="1367" spans="2:16" x14ac:dyDescent="0.25">
      <c r="B1367" s="24"/>
      <c r="E1367" s="24"/>
      <c r="G1367" s="24"/>
      <c r="H1367" s="24"/>
      <c r="J1367" s="24"/>
      <c r="K1367" s="24"/>
      <c r="M1367" s="24"/>
      <c r="N1367" s="24"/>
      <c r="P1367" s="24"/>
    </row>
    <row r="1368" spans="2:16" x14ac:dyDescent="0.25">
      <c r="B1368" s="24"/>
      <c r="E1368" s="24"/>
      <c r="G1368" s="24"/>
      <c r="H1368" s="24"/>
      <c r="J1368" s="24"/>
      <c r="K1368" s="24"/>
      <c r="M1368" s="24"/>
      <c r="N1368" s="24"/>
      <c r="P1368" s="24"/>
    </row>
    <row r="1369" spans="2:16" x14ac:dyDescent="0.25">
      <c r="B1369" s="24"/>
      <c r="E1369" s="24"/>
      <c r="G1369" s="24"/>
      <c r="H1369" s="24"/>
      <c r="J1369" s="24"/>
      <c r="K1369" s="24"/>
      <c r="M1369" s="24"/>
      <c r="N1369" s="24"/>
      <c r="P1369" s="24"/>
    </row>
    <row r="1370" spans="2:16" x14ac:dyDescent="0.25">
      <c r="B1370" s="24"/>
      <c r="E1370" s="24"/>
      <c r="G1370" s="24"/>
      <c r="H1370" s="24"/>
      <c r="J1370" s="24"/>
      <c r="K1370" s="24"/>
      <c r="M1370" s="24"/>
      <c r="N1370" s="24"/>
      <c r="P1370" s="24"/>
    </row>
    <row r="1371" spans="2:16" x14ac:dyDescent="0.25">
      <c r="B1371" s="24"/>
      <c r="E1371" s="24"/>
      <c r="G1371" s="24"/>
      <c r="H1371" s="24"/>
      <c r="J1371" s="24"/>
      <c r="K1371" s="24"/>
      <c r="M1371" s="24"/>
      <c r="N1371" s="24"/>
      <c r="P1371" s="24"/>
    </row>
    <row r="1372" spans="2:16" x14ac:dyDescent="0.25">
      <c r="B1372" s="24"/>
      <c r="E1372" s="24"/>
      <c r="G1372" s="24"/>
      <c r="H1372" s="24"/>
      <c r="J1372" s="24"/>
      <c r="K1372" s="24"/>
      <c r="M1372" s="24"/>
      <c r="N1372" s="24"/>
      <c r="P1372" s="24"/>
    </row>
    <row r="1373" spans="2:16" x14ac:dyDescent="0.25">
      <c r="B1373" s="24"/>
      <c r="E1373" s="24"/>
      <c r="G1373" s="24"/>
      <c r="H1373" s="24"/>
      <c r="J1373" s="24"/>
      <c r="K1373" s="24"/>
      <c r="M1373" s="24"/>
      <c r="N1373" s="24"/>
      <c r="P1373" s="24"/>
    </row>
    <row r="1374" spans="2:16" x14ac:dyDescent="0.25">
      <c r="B1374" s="24"/>
      <c r="E1374" s="24"/>
      <c r="G1374" s="24"/>
      <c r="H1374" s="24"/>
      <c r="J1374" s="24"/>
      <c r="K1374" s="24"/>
      <c r="M1374" s="24"/>
      <c r="N1374" s="24"/>
      <c r="P1374" s="24"/>
    </row>
    <row r="1375" spans="2:16" x14ac:dyDescent="0.25">
      <c r="B1375" s="24"/>
      <c r="E1375" s="24"/>
      <c r="G1375" s="24"/>
      <c r="H1375" s="24"/>
      <c r="J1375" s="24"/>
      <c r="K1375" s="24"/>
      <c r="M1375" s="24"/>
      <c r="N1375" s="24"/>
      <c r="P1375" s="24"/>
    </row>
    <row r="1376" spans="2:16" x14ac:dyDescent="0.25">
      <c r="B1376" s="24"/>
      <c r="E1376" s="24"/>
      <c r="G1376" s="24"/>
      <c r="H1376" s="24"/>
      <c r="J1376" s="24"/>
      <c r="K1376" s="24"/>
      <c r="M1376" s="24"/>
      <c r="N1376" s="24"/>
      <c r="P1376" s="24"/>
    </row>
    <row r="1377" spans="2:16" x14ac:dyDescent="0.25">
      <c r="B1377" s="24"/>
      <c r="E1377" s="24"/>
      <c r="G1377" s="24"/>
      <c r="H1377" s="24"/>
      <c r="J1377" s="24"/>
      <c r="K1377" s="24"/>
      <c r="M1377" s="24"/>
      <c r="N1377" s="24"/>
      <c r="P1377" s="24"/>
    </row>
    <row r="1378" spans="2:16" x14ac:dyDescent="0.25">
      <c r="B1378" s="24"/>
      <c r="E1378" s="24"/>
      <c r="G1378" s="24"/>
      <c r="H1378" s="24"/>
      <c r="J1378" s="24"/>
      <c r="K1378" s="24"/>
      <c r="M1378" s="24"/>
      <c r="N1378" s="24"/>
      <c r="P1378" s="24"/>
    </row>
    <row r="1379" spans="2:16" x14ac:dyDescent="0.25">
      <c r="B1379" s="24"/>
      <c r="E1379" s="24"/>
      <c r="G1379" s="24"/>
      <c r="H1379" s="24"/>
      <c r="J1379" s="24"/>
      <c r="K1379" s="24"/>
      <c r="M1379" s="24"/>
      <c r="N1379" s="24"/>
      <c r="P1379" s="24"/>
    </row>
    <row r="1380" spans="2:16" x14ac:dyDescent="0.25">
      <c r="B1380" s="24"/>
      <c r="E1380" s="24"/>
      <c r="G1380" s="24"/>
      <c r="H1380" s="24"/>
      <c r="J1380" s="24"/>
      <c r="K1380" s="24"/>
      <c r="M1380" s="24"/>
      <c r="N1380" s="24"/>
      <c r="P1380" s="24"/>
    </row>
    <row r="1381" spans="2:16" x14ac:dyDescent="0.25">
      <c r="B1381" s="24"/>
      <c r="E1381" s="24"/>
      <c r="G1381" s="24"/>
      <c r="H1381" s="24"/>
      <c r="J1381" s="24"/>
      <c r="K1381" s="24"/>
      <c r="M1381" s="24"/>
      <c r="N1381" s="24"/>
      <c r="P1381" s="24"/>
    </row>
    <row r="1382" spans="2:16" x14ac:dyDescent="0.25">
      <c r="B1382" s="24"/>
      <c r="E1382" s="24"/>
      <c r="G1382" s="24"/>
      <c r="H1382" s="24"/>
      <c r="J1382" s="24"/>
      <c r="K1382" s="24"/>
      <c r="M1382" s="24"/>
      <c r="N1382" s="24"/>
      <c r="P1382" s="24"/>
    </row>
    <row r="1383" spans="2:16" x14ac:dyDescent="0.25">
      <c r="B1383" s="24"/>
      <c r="E1383" s="24"/>
      <c r="G1383" s="24"/>
      <c r="H1383" s="24"/>
      <c r="J1383" s="24"/>
      <c r="K1383" s="24"/>
      <c r="M1383" s="24"/>
      <c r="N1383" s="24"/>
      <c r="P1383" s="24"/>
    </row>
    <row r="1384" spans="2:16" x14ac:dyDescent="0.25">
      <c r="B1384" s="24"/>
      <c r="E1384" s="24"/>
      <c r="G1384" s="24"/>
      <c r="H1384" s="24"/>
      <c r="J1384" s="24"/>
      <c r="K1384" s="24"/>
      <c r="M1384" s="24"/>
      <c r="N1384" s="24"/>
      <c r="P1384" s="24"/>
    </row>
    <row r="1385" spans="2:16" x14ac:dyDescent="0.25">
      <c r="B1385" s="24"/>
      <c r="E1385" s="24"/>
      <c r="G1385" s="24"/>
      <c r="H1385" s="24"/>
      <c r="J1385" s="24"/>
      <c r="K1385" s="24"/>
      <c r="M1385" s="24"/>
      <c r="N1385" s="24"/>
      <c r="P1385" s="24"/>
    </row>
    <row r="1386" spans="2:16" x14ac:dyDescent="0.25">
      <c r="B1386" s="24"/>
      <c r="E1386" s="24"/>
      <c r="G1386" s="24"/>
      <c r="H1386" s="24"/>
      <c r="J1386" s="24"/>
      <c r="K1386" s="24"/>
      <c r="M1386" s="24"/>
      <c r="N1386" s="24"/>
      <c r="P1386" s="24"/>
    </row>
    <row r="1387" spans="2:16" x14ac:dyDescent="0.25">
      <c r="B1387" s="24"/>
      <c r="E1387" s="24"/>
      <c r="G1387" s="24"/>
      <c r="H1387" s="24"/>
      <c r="J1387" s="24"/>
      <c r="K1387" s="24"/>
      <c r="M1387" s="24"/>
      <c r="N1387" s="24"/>
      <c r="P1387" s="24"/>
    </row>
    <row r="1388" spans="2:16" x14ac:dyDescent="0.25">
      <c r="B1388" s="24"/>
      <c r="E1388" s="24"/>
      <c r="G1388" s="24"/>
      <c r="H1388" s="24"/>
      <c r="J1388" s="24"/>
      <c r="K1388" s="24"/>
      <c r="M1388" s="24"/>
      <c r="N1388" s="24"/>
      <c r="P1388" s="24"/>
    </row>
    <row r="1389" spans="2:16" x14ac:dyDescent="0.25">
      <c r="B1389" s="24"/>
      <c r="E1389" s="24"/>
      <c r="G1389" s="24"/>
      <c r="H1389" s="24"/>
      <c r="J1389" s="24"/>
      <c r="K1389" s="24"/>
      <c r="M1389" s="24"/>
      <c r="N1389" s="24"/>
      <c r="P1389" s="24"/>
    </row>
    <row r="1390" spans="2:16" x14ac:dyDescent="0.25">
      <c r="B1390" s="24"/>
      <c r="E1390" s="24"/>
      <c r="G1390" s="24"/>
      <c r="H1390" s="24"/>
      <c r="J1390" s="24"/>
      <c r="K1390" s="24"/>
      <c r="M1390" s="24"/>
      <c r="N1390" s="24"/>
      <c r="P1390" s="24"/>
    </row>
    <row r="1391" spans="2:16" x14ac:dyDescent="0.25">
      <c r="B1391" s="24"/>
      <c r="E1391" s="24"/>
      <c r="G1391" s="24"/>
      <c r="H1391" s="24"/>
      <c r="J1391" s="24"/>
      <c r="K1391" s="24"/>
      <c r="M1391" s="24"/>
      <c r="N1391" s="24"/>
      <c r="P1391" s="24"/>
    </row>
    <row r="1392" spans="2:16" x14ac:dyDescent="0.25">
      <c r="B1392" s="24"/>
      <c r="E1392" s="24"/>
      <c r="G1392" s="24"/>
      <c r="H1392" s="24"/>
      <c r="J1392" s="24"/>
      <c r="K1392" s="24"/>
      <c r="M1392" s="24"/>
      <c r="N1392" s="24"/>
      <c r="P1392" s="24"/>
    </row>
    <row r="1393" spans="2:16" x14ac:dyDescent="0.25">
      <c r="B1393" s="24"/>
      <c r="E1393" s="24"/>
      <c r="G1393" s="24"/>
      <c r="H1393" s="24"/>
      <c r="J1393" s="24"/>
      <c r="K1393" s="24"/>
      <c r="M1393" s="24"/>
      <c r="N1393" s="24"/>
      <c r="P1393" s="24"/>
    </row>
    <row r="1394" spans="2:16" x14ac:dyDescent="0.25">
      <c r="B1394" s="24"/>
      <c r="E1394" s="24"/>
      <c r="G1394" s="24"/>
      <c r="H1394" s="24"/>
      <c r="J1394" s="24"/>
      <c r="K1394" s="24"/>
      <c r="M1394" s="24"/>
      <c r="N1394" s="24"/>
      <c r="P1394" s="24"/>
    </row>
    <row r="1395" spans="2:16" x14ac:dyDescent="0.25">
      <c r="B1395" s="24"/>
      <c r="E1395" s="24"/>
      <c r="G1395" s="24"/>
      <c r="H1395" s="24"/>
      <c r="J1395" s="24"/>
      <c r="K1395" s="24"/>
      <c r="M1395" s="24"/>
      <c r="N1395" s="24"/>
      <c r="P1395" s="24"/>
    </row>
    <row r="1396" spans="2:16" x14ac:dyDescent="0.25">
      <c r="B1396" s="24"/>
      <c r="E1396" s="24"/>
      <c r="G1396" s="24"/>
      <c r="H1396" s="24"/>
      <c r="J1396" s="24"/>
      <c r="K1396" s="24"/>
      <c r="M1396" s="24"/>
      <c r="N1396" s="24"/>
      <c r="P1396" s="24"/>
    </row>
    <row r="1397" spans="2:16" x14ac:dyDescent="0.25">
      <c r="B1397" s="24"/>
      <c r="E1397" s="24"/>
      <c r="G1397" s="24"/>
      <c r="H1397" s="24"/>
      <c r="J1397" s="24"/>
      <c r="K1397" s="24"/>
      <c r="M1397" s="24"/>
      <c r="N1397" s="24"/>
      <c r="P1397" s="24"/>
    </row>
    <row r="1398" spans="2:16" x14ac:dyDescent="0.25">
      <c r="B1398" s="24"/>
      <c r="E1398" s="24"/>
      <c r="G1398" s="24"/>
      <c r="H1398" s="24"/>
      <c r="J1398" s="24"/>
      <c r="K1398" s="24"/>
      <c r="M1398" s="24"/>
      <c r="N1398" s="24"/>
      <c r="P1398" s="24"/>
    </row>
    <row r="1399" spans="2:16" x14ac:dyDescent="0.25">
      <c r="B1399" s="24"/>
      <c r="E1399" s="24"/>
      <c r="G1399" s="24"/>
      <c r="H1399" s="24"/>
      <c r="J1399" s="24"/>
      <c r="K1399" s="24"/>
      <c r="M1399" s="24"/>
      <c r="N1399" s="24"/>
      <c r="P1399" s="24"/>
    </row>
    <row r="1400" spans="2:16" x14ac:dyDescent="0.25">
      <c r="B1400" s="24"/>
      <c r="E1400" s="24"/>
      <c r="G1400" s="24"/>
      <c r="H1400" s="24"/>
      <c r="J1400" s="24"/>
      <c r="K1400" s="24"/>
      <c r="M1400" s="24"/>
      <c r="N1400" s="24"/>
      <c r="P1400" s="24"/>
    </row>
    <row r="1401" spans="2:16" x14ac:dyDescent="0.25">
      <c r="B1401" s="24"/>
      <c r="E1401" s="24"/>
      <c r="G1401" s="24"/>
      <c r="H1401" s="24"/>
      <c r="J1401" s="24"/>
      <c r="K1401" s="24"/>
      <c r="M1401" s="24"/>
      <c r="N1401" s="24"/>
      <c r="P1401" s="24"/>
    </row>
    <row r="1402" spans="2:16" x14ac:dyDescent="0.25">
      <c r="B1402" s="24"/>
      <c r="E1402" s="24"/>
      <c r="G1402" s="24"/>
      <c r="H1402" s="24"/>
      <c r="J1402" s="24"/>
      <c r="K1402" s="24"/>
      <c r="M1402" s="24"/>
      <c r="N1402" s="24"/>
      <c r="P1402" s="24"/>
    </row>
    <row r="1403" spans="2:16" x14ac:dyDescent="0.25">
      <c r="B1403" s="24"/>
      <c r="E1403" s="24"/>
      <c r="G1403" s="24"/>
      <c r="H1403" s="24"/>
      <c r="J1403" s="24"/>
      <c r="K1403" s="24"/>
      <c r="M1403" s="24"/>
      <c r="N1403" s="24"/>
      <c r="P1403" s="24"/>
    </row>
    <row r="1404" spans="2:16" x14ac:dyDescent="0.25">
      <c r="B1404" s="24"/>
      <c r="E1404" s="24"/>
      <c r="G1404" s="24"/>
      <c r="H1404" s="24"/>
      <c r="J1404" s="24"/>
      <c r="K1404" s="24"/>
      <c r="M1404" s="24"/>
      <c r="N1404" s="24"/>
      <c r="P1404" s="24"/>
    </row>
    <row r="1405" spans="2:16" x14ac:dyDescent="0.25">
      <c r="B1405" s="24"/>
      <c r="E1405" s="24"/>
      <c r="G1405" s="24"/>
      <c r="H1405" s="24"/>
      <c r="J1405" s="24"/>
      <c r="K1405" s="24"/>
      <c r="M1405" s="24"/>
      <c r="N1405" s="24"/>
      <c r="P1405" s="24"/>
    </row>
    <row r="1406" spans="2:16" x14ac:dyDescent="0.25">
      <c r="B1406" s="24"/>
      <c r="E1406" s="24"/>
      <c r="G1406" s="24"/>
      <c r="H1406" s="24"/>
      <c r="J1406" s="24"/>
      <c r="K1406" s="24"/>
      <c r="M1406" s="24"/>
      <c r="N1406" s="24"/>
      <c r="P1406" s="24"/>
    </row>
    <row r="1407" spans="2:16" x14ac:dyDescent="0.25">
      <c r="B1407" s="24"/>
      <c r="E1407" s="24"/>
      <c r="G1407" s="24"/>
      <c r="H1407" s="24"/>
      <c r="J1407" s="24"/>
      <c r="K1407" s="24"/>
      <c r="M1407" s="24"/>
      <c r="N1407" s="24"/>
      <c r="P1407" s="24"/>
    </row>
    <row r="1408" spans="2:16" x14ac:dyDescent="0.25">
      <c r="B1408" s="24"/>
      <c r="E1408" s="24"/>
      <c r="G1408" s="24"/>
      <c r="H1408" s="24"/>
      <c r="J1408" s="24"/>
      <c r="K1408" s="24"/>
      <c r="M1408" s="24"/>
      <c r="N1408" s="24"/>
      <c r="P1408" s="24"/>
    </row>
    <row r="1409" spans="2:16" x14ac:dyDescent="0.25">
      <c r="B1409" s="24"/>
      <c r="E1409" s="24"/>
      <c r="G1409" s="24"/>
      <c r="H1409" s="24"/>
      <c r="J1409" s="24"/>
      <c r="K1409" s="24"/>
      <c r="M1409" s="24"/>
      <c r="N1409" s="24"/>
      <c r="P1409" s="24"/>
    </row>
    <row r="1410" spans="2:16" x14ac:dyDescent="0.25">
      <c r="B1410" s="24"/>
      <c r="E1410" s="24"/>
      <c r="G1410" s="24"/>
      <c r="H1410" s="24"/>
      <c r="J1410" s="24"/>
      <c r="K1410" s="24"/>
      <c r="M1410" s="24"/>
      <c r="N1410" s="24"/>
      <c r="P1410" s="24"/>
    </row>
    <row r="1411" spans="2:16" x14ac:dyDescent="0.25">
      <c r="B1411" s="24"/>
      <c r="E1411" s="24"/>
      <c r="G1411" s="24"/>
      <c r="H1411" s="24"/>
      <c r="J1411" s="24"/>
      <c r="K1411" s="24"/>
      <c r="M1411" s="24"/>
      <c r="N1411" s="24"/>
      <c r="P1411" s="24"/>
    </row>
    <row r="1412" spans="2:16" x14ac:dyDescent="0.25">
      <c r="B1412" s="24"/>
      <c r="E1412" s="24"/>
      <c r="G1412" s="24"/>
      <c r="H1412" s="24"/>
      <c r="J1412" s="24"/>
      <c r="K1412" s="24"/>
      <c r="M1412" s="24"/>
      <c r="N1412" s="24"/>
      <c r="P1412" s="24"/>
    </row>
    <row r="1413" spans="2:16" x14ac:dyDescent="0.25">
      <c r="B1413" s="24"/>
      <c r="E1413" s="24"/>
      <c r="G1413" s="24"/>
      <c r="H1413" s="24"/>
      <c r="J1413" s="24"/>
      <c r="K1413" s="24"/>
      <c r="M1413" s="24"/>
      <c r="N1413" s="24"/>
      <c r="P1413" s="24"/>
    </row>
    <row r="1414" spans="2:16" x14ac:dyDescent="0.25">
      <c r="B1414" s="24"/>
      <c r="E1414" s="24"/>
      <c r="G1414" s="24"/>
      <c r="H1414" s="24"/>
      <c r="J1414" s="24"/>
      <c r="K1414" s="24"/>
      <c r="M1414" s="24"/>
      <c r="N1414" s="24"/>
      <c r="P1414" s="24"/>
    </row>
    <row r="1415" spans="2:16" x14ac:dyDescent="0.25">
      <c r="B1415" s="24"/>
      <c r="E1415" s="24"/>
      <c r="G1415" s="24"/>
      <c r="H1415" s="24"/>
      <c r="J1415" s="24"/>
      <c r="K1415" s="24"/>
      <c r="M1415" s="24"/>
      <c r="N1415" s="24"/>
      <c r="P1415" s="24"/>
    </row>
    <row r="1416" spans="2:16" x14ac:dyDescent="0.25">
      <c r="B1416" s="24"/>
      <c r="E1416" s="24"/>
      <c r="G1416" s="24"/>
      <c r="H1416" s="24"/>
      <c r="J1416" s="24"/>
      <c r="K1416" s="24"/>
      <c r="M1416" s="24"/>
      <c r="N1416" s="24"/>
      <c r="P1416" s="24"/>
    </row>
    <row r="1417" spans="2:16" x14ac:dyDescent="0.25">
      <c r="B1417" s="24"/>
      <c r="E1417" s="24"/>
      <c r="G1417" s="24"/>
      <c r="H1417" s="24"/>
      <c r="J1417" s="24"/>
      <c r="K1417" s="24"/>
      <c r="M1417" s="24"/>
      <c r="N1417" s="24"/>
      <c r="P1417" s="24"/>
    </row>
    <row r="1418" spans="2:16" x14ac:dyDescent="0.25">
      <c r="B1418" s="24"/>
      <c r="E1418" s="24"/>
      <c r="G1418" s="24"/>
      <c r="H1418" s="24"/>
      <c r="J1418" s="24"/>
      <c r="K1418" s="24"/>
      <c r="M1418" s="24"/>
      <c r="N1418" s="24"/>
      <c r="P1418" s="24"/>
    </row>
    <row r="1419" spans="2:16" x14ac:dyDescent="0.25">
      <c r="B1419" s="24"/>
      <c r="E1419" s="24"/>
      <c r="G1419" s="24"/>
      <c r="H1419" s="24"/>
      <c r="J1419" s="24"/>
      <c r="K1419" s="24"/>
      <c r="M1419" s="24"/>
      <c r="N1419" s="24"/>
      <c r="P1419" s="24"/>
    </row>
    <row r="1420" spans="2:16" x14ac:dyDescent="0.25">
      <c r="B1420" s="24"/>
      <c r="E1420" s="24"/>
      <c r="G1420" s="24"/>
      <c r="H1420" s="24"/>
      <c r="J1420" s="24"/>
      <c r="K1420" s="24"/>
      <c r="M1420" s="24"/>
      <c r="N1420" s="24"/>
      <c r="P1420" s="24"/>
    </row>
    <row r="1421" spans="2:16" x14ac:dyDescent="0.25">
      <c r="B1421" s="24"/>
      <c r="E1421" s="24"/>
      <c r="G1421" s="24"/>
      <c r="H1421" s="24"/>
      <c r="J1421" s="24"/>
      <c r="K1421" s="24"/>
      <c r="M1421" s="24"/>
      <c r="N1421" s="24"/>
      <c r="P1421" s="24"/>
    </row>
    <row r="1422" spans="2:16" x14ac:dyDescent="0.25">
      <c r="B1422" s="24"/>
      <c r="E1422" s="24"/>
      <c r="G1422" s="24"/>
      <c r="H1422" s="24"/>
      <c r="J1422" s="24"/>
      <c r="K1422" s="24"/>
      <c r="M1422" s="24"/>
      <c r="N1422" s="24"/>
      <c r="P1422" s="24"/>
    </row>
    <row r="1423" spans="2:16" x14ac:dyDescent="0.25">
      <c r="B1423" s="24"/>
      <c r="E1423" s="24"/>
      <c r="G1423" s="24"/>
      <c r="H1423" s="24"/>
      <c r="J1423" s="24"/>
      <c r="K1423" s="24"/>
      <c r="M1423" s="24"/>
      <c r="N1423" s="24"/>
      <c r="P1423" s="24"/>
    </row>
    <row r="1424" spans="2:16" x14ac:dyDescent="0.25">
      <c r="B1424" s="24"/>
      <c r="E1424" s="24"/>
      <c r="G1424" s="24"/>
      <c r="H1424" s="24"/>
      <c r="J1424" s="24"/>
      <c r="K1424" s="24"/>
      <c r="M1424" s="24"/>
      <c r="N1424" s="24"/>
      <c r="P1424" s="24"/>
    </row>
    <row r="1425" spans="2:16" x14ac:dyDescent="0.25">
      <c r="B1425" s="24"/>
      <c r="E1425" s="24"/>
      <c r="G1425" s="24"/>
      <c r="H1425" s="24"/>
      <c r="J1425" s="24"/>
      <c r="K1425" s="24"/>
      <c r="M1425" s="24"/>
      <c r="N1425" s="24"/>
      <c r="P1425" s="24"/>
    </row>
    <row r="1426" spans="2:16" x14ac:dyDescent="0.25">
      <c r="B1426" s="24"/>
      <c r="E1426" s="24"/>
      <c r="G1426" s="24"/>
      <c r="H1426" s="24"/>
      <c r="J1426" s="24"/>
      <c r="K1426" s="24"/>
      <c r="M1426" s="24"/>
      <c r="N1426" s="24"/>
      <c r="P1426" s="24"/>
    </row>
    <row r="1427" spans="2:16" x14ac:dyDescent="0.25">
      <c r="B1427" s="24"/>
      <c r="E1427" s="24"/>
      <c r="G1427" s="24"/>
      <c r="H1427" s="24"/>
      <c r="J1427" s="24"/>
      <c r="K1427" s="24"/>
      <c r="M1427" s="24"/>
      <c r="N1427" s="24"/>
      <c r="P1427" s="24"/>
    </row>
    <row r="1428" spans="2:16" x14ac:dyDescent="0.25">
      <c r="B1428" s="24"/>
      <c r="E1428" s="24"/>
      <c r="G1428" s="24"/>
      <c r="H1428" s="24"/>
      <c r="J1428" s="24"/>
      <c r="K1428" s="24"/>
      <c r="M1428" s="24"/>
      <c r="N1428" s="24"/>
      <c r="P1428" s="24"/>
    </row>
    <row r="1429" spans="2:16" x14ac:dyDescent="0.25">
      <c r="B1429" s="24"/>
      <c r="E1429" s="24"/>
      <c r="G1429" s="24"/>
      <c r="H1429" s="24"/>
      <c r="J1429" s="24"/>
      <c r="K1429" s="24"/>
      <c r="M1429" s="24"/>
      <c r="N1429" s="24"/>
      <c r="P1429" s="24"/>
    </row>
    <row r="1430" spans="2:16" x14ac:dyDescent="0.25">
      <c r="B1430" s="24"/>
      <c r="E1430" s="24"/>
      <c r="G1430" s="24"/>
      <c r="H1430" s="24"/>
      <c r="J1430" s="24"/>
      <c r="K1430" s="24"/>
      <c r="M1430" s="24"/>
      <c r="N1430" s="24"/>
      <c r="P1430" s="24"/>
    </row>
    <row r="1431" spans="2:16" x14ac:dyDescent="0.25">
      <c r="B1431" s="24"/>
      <c r="E1431" s="24"/>
      <c r="G1431" s="24"/>
      <c r="H1431" s="24"/>
      <c r="J1431" s="24"/>
      <c r="K1431" s="24"/>
      <c r="M1431" s="24"/>
      <c r="N1431" s="24"/>
      <c r="P1431" s="24"/>
    </row>
    <row r="1432" spans="2:16" x14ac:dyDescent="0.25">
      <c r="B1432" s="24"/>
      <c r="E1432" s="24"/>
      <c r="G1432" s="24"/>
      <c r="H1432" s="24"/>
      <c r="J1432" s="24"/>
      <c r="K1432" s="24"/>
      <c r="M1432" s="24"/>
      <c r="N1432" s="24"/>
      <c r="P1432" s="24"/>
    </row>
    <row r="1433" spans="2:16" x14ac:dyDescent="0.25">
      <c r="B1433" s="24"/>
      <c r="E1433" s="24"/>
      <c r="G1433" s="24"/>
      <c r="H1433" s="24"/>
      <c r="J1433" s="24"/>
      <c r="K1433" s="24"/>
      <c r="M1433" s="24"/>
      <c r="N1433" s="24"/>
      <c r="P1433" s="24"/>
    </row>
    <row r="1434" spans="2:16" x14ac:dyDescent="0.25">
      <c r="B1434" s="24"/>
      <c r="E1434" s="24"/>
      <c r="G1434" s="24"/>
      <c r="H1434" s="24"/>
      <c r="J1434" s="24"/>
      <c r="K1434" s="24"/>
      <c r="M1434" s="24"/>
      <c r="N1434" s="24"/>
      <c r="P1434" s="24"/>
    </row>
    <row r="1435" spans="2:16" x14ac:dyDescent="0.25">
      <c r="B1435" s="24"/>
      <c r="E1435" s="24"/>
      <c r="G1435" s="24"/>
      <c r="H1435" s="24"/>
      <c r="J1435" s="24"/>
      <c r="K1435" s="24"/>
      <c r="M1435" s="24"/>
      <c r="N1435" s="24"/>
      <c r="P1435" s="24"/>
    </row>
    <row r="1436" spans="2:16" x14ac:dyDescent="0.25">
      <c r="B1436" s="24"/>
      <c r="E1436" s="24"/>
      <c r="G1436" s="24"/>
      <c r="H1436" s="24"/>
      <c r="J1436" s="24"/>
      <c r="K1436" s="24"/>
      <c r="M1436" s="24"/>
      <c r="N1436" s="24"/>
      <c r="P1436" s="24"/>
    </row>
    <row r="1437" spans="2:16" x14ac:dyDescent="0.25">
      <c r="B1437" s="24"/>
      <c r="E1437" s="24"/>
      <c r="G1437" s="24"/>
      <c r="H1437" s="24"/>
      <c r="J1437" s="24"/>
      <c r="K1437" s="24"/>
      <c r="M1437" s="24"/>
      <c r="N1437" s="24"/>
      <c r="P1437" s="24"/>
    </row>
    <row r="1438" spans="2:16" x14ac:dyDescent="0.25">
      <c r="B1438" s="24"/>
      <c r="E1438" s="24"/>
      <c r="G1438" s="24"/>
      <c r="H1438" s="24"/>
      <c r="J1438" s="24"/>
      <c r="K1438" s="24"/>
      <c r="M1438" s="24"/>
      <c r="N1438" s="24"/>
      <c r="P1438" s="24"/>
    </row>
    <row r="1439" spans="2:16" x14ac:dyDescent="0.25">
      <c r="B1439" s="24"/>
      <c r="E1439" s="24"/>
      <c r="G1439" s="24"/>
      <c r="H1439" s="24"/>
      <c r="J1439" s="24"/>
      <c r="K1439" s="24"/>
      <c r="M1439" s="24"/>
      <c r="N1439" s="24"/>
      <c r="P1439" s="24"/>
    </row>
    <row r="1440" spans="2:16" x14ac:dyDescent="0.25">
      <c r="B1440" s="24"/>
      <c r="E1440" s="24"/>
      <c r="G1440" s="24"/>
      <c r="H1440" s="24"/>
      <c r="J1440" s="24"/>
      <c r="K1440" s="24"/>
      <c r="M1440" s="24"/>
      <c r="N1440" s="24"/>
      <c r="P1440" s="24"/>
    </row>
    <row r="1441" spans="2:16" x14ac:dyDescent="0.25">
      <c r="B1441" s="24"/>
      <c r="E1441" s="24"/>
      <c r="G1441" s="24"/>
      <c r="H1441" s="24"/>
      <c r="J1441" s="24"/>
      <c r="K1441" s="24"/>
      <c r="M1441" s="24"/>
      <c r="N1441" s="24"/>
      <c r="P1441" s="24"/>
    </row>
    <row r="1442" spans="2:16" x14ac:dyDescent="0.25">
      <c r="B1442" s="24"/>
      <c r="E1442" s="24"/>
      <c r="G1442" s="24"/>
      <c r="H1442" s="24"/>
      <c r="J1442" s="24"/>
      <c r="K1442" s="24"/>
      <c r="M1442" s="24"/>
      <c r="N1442" s="24"/>
      <c r="P1442" s="24"/>
    </row>
    <row r="1443" spans="2:16" x14ac:dyDescent="0.25">
      <c r="B1443" s="24"/>
      <c r="E1443" s="24"/>
      <c r="G1443" s="24"/>
      <c r="H1443" s="24"/>
      <c r="J1443" s="24"/>
      <c r="K1443" s="24"/>
      <c r="M1443" s="24"/>
      <c r="N1443" s="24"/>
      <c r="P1443" s="24"/>
    </row>
    <row r="1444" spans="2:16" x14ac:dyDescent="0.25">
      <c r="B1444" s="24"/>
      <c r="E1444" s="24"/>
      <c r="G1444" s="24"/>
      <c r="H1444" s="24"/>
      <c r="J1444" s="24"/>
      <c r="K1444" s="24"/>
      <c r="M1444" s="24"/>
      <c r="N1444" s="24"/>
      <c r="P1444" s="24"/>
    </row>
    <row r="1445" spans="2:16" x14ac:dyDescent="0.25">
      <c r="B1445" s="24"/>
      <c r="E1445" s="24"/>
      <c r="G1445" s="24"/>
      <c r="H1445" s="24"/>
      <c r="J1445" s="24"/>
      <c r="K1445" s="24"/>
      <c r="M1445" s="24"/>
      <c r="N1445" s="24"/>
      <c r="P1445" s="24"/>
    </row>
    <row r="1446" spans="2:16" x14ac:dyDescent="0.25">
      <c r="B1446" s="24"/>
      <c r="E1446" s="24"/>
      <c r="G1446" s="24"/>
      <c r="H1446" s="24"/>
      <c r="J1446" s="24"/>
      <c r="K1446" s="24"/>
      <c r="M1446" s="24"/>
      <c r="N1446" s="24"/>
      <c r="P1446" s="24"/>
    </row>
    <row r="1447" spans="2:16" x14ac:dyDescent="0.25">
      <c r="B1447" s="24"/>
      <c r="E1447" s="24"/>
      <c r="G1447" s="24"/>
      <c r="H1447" s="24"/>
      <c r="J1447" s="24"/>
      <c r="K1447" s="24"/>
      <c r="M1447" s="24"/>
      <c r="N1447" s="24"/>
      <c r="P1447" s="24"/>
    </row>
    <row r="1448" spans="2:16" x14ac:dyDescent="0.25">
      <c r="B1448" s="24"/>
      <c r="E1448" s="24"/>
      <c r="G1448" s="24"/>
      <c r="H1448" s="24"/>
      <c r="J1448" s="24"/>
      <c r="K1448" s="24"/>
      <c r="M1448" s="24"/>
      <c r="N1448" s="24"/>
      <c r="P1448" s="24"/>
    </row>
    <row r="1449" spans="2:16" x14ac:dyDescent="0.25">
      <c r="B1449" s="24"/>
      <c r="E1449" s="24"/>
      <c r="G1449" s="24"/>
      <c r="H1449" s="24"/>
      <c r="J1449" s="24"/>
      <c r="K1449" s="24"/>
      <c r="M1449" s="24"/>
      <c r="N1449" s="24"/>
      <c r="P1449" s="24"/>
    </row>
    <row r="1450" spans="2:16" x14ac:dyDescent="0.25">
      <c r="B1450" s="24"/>
      <c r="E1450" s="24"/>
      <c r="G1450" s="24"/>
      <c r="H1450" s="24"/>
      <c r="J1450" s="24"/>
      <c r="K1450" s="24"/>
      <c r="M1450" s="24"/>
      <c r="N1450" s="24"/>
      <c r="P1450" s="24"/>
    </row>
    <row r="1451" spans="2:16" x14ac:dyDescent="0.25">
      <c r="B1451" s="24"/>
      <c r="E1451" s="24"/>
      <c r="G1451" s="24"/>
      <c r="H1451" s="24"/>
      <c r="J1451" s="24"/>
      <c r="K1451" s="24"/>
      <c r="M1451" s="24"/>
      <c r="N1451" s="24"/>
      <c r="P1451" s="24"/>
    </row>
    <row r="1452" spans="2:16" x14ac:dyDescent="0.25">
      <c r="B1452" s="24"/>
      <c r="E1452" s="24"/>
      <c r="G1452" s="24"/>
      <c r="H1452" s="24"/>
      <c r="J1452" s="24"/>
      <c r="K1452" s="24"/>
      <c r="M1452" s="24"/>
      <c r="N1452" s="24"/>
      <c r="P1452" s="24"/>
    </row>
    <row r="1453" spans="2:16" x14ac:dyDescent="0.25">
      <c r="B1453" s="24"/>
      <c r="E1453" s="24"/>
      <c r="G1453" s="24"/>
      <c r="H1453" s="24"/>
      <c r="J1453" s="24"/>
      <c r="K1453" s="24"/>
      <c r="M1453" s="24"/>
      <c r="N1453" s="24"/>
      <c r="P1453" s="24"/>
    </row>
    <row r="1454" spans="2:16" x14ac:dyDescent="0.25">
      <c r="B1454" s="24"/>
      <c r="E1454" s="24"/>
      <c r="G1454" s="24"/>
      <c r="H1454" s="24"/>
      <c r="J1454" s="24"/>
      <c r="K1454" s="24"/>
      <c r="M1454" s="24"/>
      <c r="N1454" s="24"/>
      <c r="P1454" s="24"/>
    </row>
    <row r="1455" spans="2:16" x14ac:dyDescent="0.25">
      <c r="B1455" s="24"/>
      <c r="E1455" s="24"/>
      <c r="G1455" s="24"/>
      <c r="H1455" s="24"/>
      <c r="J1455" s="24"/>
      <c r="K1455" s="24"/>
      <c r="M1455" s="24"/>
      <c r="N1455" s="24"/>
      <c r="P1455" s="24"/>
    </row>
    <row r="1456" spans="2:16" x14ac:dyDescent="0.25">
      <c r="B1456" s="24"/>
      <c r="E1456" s="24"/>
      <c r="G1456" s="24"/>
      <c r="H1456" s="24"/>
      <c r="J1456" s="24"/>
      <c r="K1456" s="24"/>
      <c r="M1456" s="24"/>
      <c r="N1456" s="24"/>
      <c r="P1456" s="24"/>
    </row>
    <row r="1457" spans="2:16" x14ac:dyDescent="0.25">
      <c r="B1457" s="24"/>
      <c r="E1457" s="24"/>
      <c r="G1457" s="24"/>
      <c r="H1457" s="24"/>
      <c r="J1457" s="24"/>
      <c r="K1457" s="24"/>
      <c r="M1457" s="24"/>
      <c r="N1457" s="24"/>
      <c r="P1457" s="24"/>
    </row>
    <row r="1458" spans="2:16" x14ac:dyDescent="0.25">
      <c r="B1458" s="24"/>
      <c r="E1458" s="24"/>
      <c r="G1458" s="24"/>
      <c r="H1458" s="24"/>
      <c r="J1458" s="24"/>
      <c r="K1458" s="24"/>
      <c r="M1458" s="24"/>
      <c r="N1458" s="24"/>
      <c r="P1458" s="24"/>
    </row>
    <row r="1459" spans="2:16" x14ac:dyDescent="0.25">
      <c r="B1459" s="24"/>
      <c r="E1459" s="24"/>
      <c r="G1459" s="24"/>
      <c r="H1459" s="24"/>
      <c r="J1459" s="24"/>
      <c r="K1459" s="24"/>
      <c r="M1459" s="24"/>
      <c r="N1459" s="24"/>
      <c r="P1459" s="24"/>
    </row>
    <row r="1460" spans="2:16" x14ac:dyDescent="0.25">
      <c r="B1460" s="24"/>
      <c r="E1460" s="24"/>
      <c r="G1460" s="24"/>
      <c r="H1460" s="24"/>
      <c r="J1460" s="24"/>
      <c r="K1460" s="24"/>
      <c r="M1460" s="24"/>
      <c r="N1460" s="24"/>
      <c r="P1460" s="24"/>
    </row>
    <row r="1461" spans="2:16" x14ac:dyDescent="0.25">
      <c r="B1461" s="24"/>
      <c r="E1461" s="24"/>
      <c r="G1461" s="24"/>
      <c r="H1461" s="24"/>
      <c r="J1461" s="24"/>
      <c r="K1461" s="24"/>
      <c r="M1461" s="24"/>
      <c r="N1461" s="24"/>
      <c r="P1461" s="24"/>
    </row>
    <row r="1462" spans="2:16" x14ac:dyDescent="0.25">
      <c r="B1462" s="24"/>
      <c r="E1462" s="24"/>
      <c r="G1462" s="24"/>
      <c r="H1462" s="24"/>
      <c r="J1462" s="24"/>
      <c r="K1462" s="24"/>
      <c r="M1462" s="24"/>
      <c r="N1462" s="24"/>
      <c r="P1462" s="24"/>
    </row>
    <row r="1463" spans="2:16" x14ac:dyDescent="0.25">
      <c r="B1463" s="24"/>
      <c r="E1463" s="24"/>
      <c r="G1463" s="24"/>
      <c r="H1463" s="24"/>
      <c r="J1463" s="24"/>
      <c r="K1463" s="24"/>
      <c r="M1463" s="24"/>
      <c r="N1463" s="24"/>
      <c r="P1463" s="24"/>
    </row>
    <row r="1464" spans="2:16" x14ac:dyDescent="0.25">
      <c r="B1464" s="24"/>
      <c r="E1464" s="24"/>
      <c r="G1464" s="24"/>
      <c r="H1464" s="24"/>
      <c r="J1464" s="24"/>
      <c r="K1464" s="24"/>
      <c r="M1464" s="24"/>
      <c r="N1464" s="24"/>
      <c r="P1464" s="24"/>
    </row>
    <row r="1465" spans="2:16" x14ac:dyDescent="0.25">
      <c r="B1465" s="24"/>
      <c r="E1465" s="24"/>
      <c r="G1465" s="24"/>
      <c r="H1465" s="24"/>
      <c r="J1465" s="24"/>
      <c r="K1465" s="24"/>
      <c r="M1465" s="24"/>
      <c r="N1465" s="24"/>
      <c r="P1465" s="24"/>
    </row>
    <row r="1466" spans="2:16" x14ac:dyDescent="0.25">
      <c r="B1466" s="24"/>
      <c r="E1466" s="24"/>
      <c r="G1466" s="24"/>
      <c r="H1466" s="24"/>
      <c r="J1466" s="24"/>
      <c r="K1466" s="24"/>
      <c r="M1466" s="24"/>
      <c r="N1466" s="24"/>
      <c r="P1466" s="24"/>
    </row>
    <row r="1467" spans="2:16" x14ac:dyDescent="0.25">
      <c r="B1467" s="24"/>
      <c r="E1467" s="24"/>
      <c r="G1467" s="24"/>
      <c r="H1467" s="24"/>
      <c r="J1467" s="24"/>
      <c r="K1467" s="24"/>
      <c r="M1467" s="24"/>
      <c r="N1467" s="24"/>
      <c r="P1467" s="24"/>
    </row>
    <row r="1468" spans="2:16" x14ac:dyDescent="0.25">
      <c r="B1468" s="24"/>
      <c r="E1468" s="24"/>
      <c r="G1468" s="24"/>
      <c r="H1468" s="24"/>
      <c r="J1468" s="24"/>
      <c r="K1468" s="24"/>
      <c r="M1468" s="24"/>
      <c r="N1468" s="24"/>
      <c r="P1468" s="24"/>
    </row>
    <row r="1469" spans="2:16" x14ac:dyDescent="0.25">
      <c r="B1469" s="24"/>
      <c r="E1469" s="24"/>
      <c r="G1469" s="24"/>
      <c r="H1469" s="24"/>
      <c r="J1469" s="24"/>
      <c r="K1469" s="24"/>
      <c r="M1469" s="24"/>
      <c r="N1469" s="24"/>
      <c r="P1469" s="24"/>
    </row>
    <row r="1470" spans="2:16" x14ac:dyDescent="0.25">
      <c r="B1470" s="24"/>
      <c r="E1470" s="24"/>
      <c r="G1470" s="24"/>
      <c r="H1470" s="24"/>
      <c r="J1470" s="24"/>
      <c r="K1470" s="24"/>
      <c r="M1470" s="24"/>
      <c r="N1470" s="24"/>
      <c r="P1470" s="24"/>
    </row>
    <row r="1471" spans="2:16" x14ac:dyDescent="0.25">
      <c r="B1471" s="24"/>
      <c r="E1471" s="24"/>
      <c r="G1471" s="24"/>
      <c r="H1471" s="24"/>
      <c r="J1471" s="24"/>
      <c r="K1471" s="24"/>
      <c r="M1471" s="24"/>
      <c r="N1471" s="24"/>
      <c r="P1471" s="24"/>
    </row>
    <row r="1472" spans="2:16" x14ac:dyDescent="0.25">
      <c r="B1472" s="24"/>
      <c r="E1472" s="24"/>
      <c r="G1472" s="24"/>
      <c r="H1472" s="24"/>
      <c r="J1472" s="24"/>
      <c r="K1472" s="24"/>
      <c r="M1472" s="24"/>
      <c r="N1472" s="24"/>
      <c r="P1472" s="24"/>
    </row>
    <row r="1473" spans="2:16" x14ac:dyDescent="0.25">
      <c r="B1473" s="24"/>
      <c r="E1473" s="24"/>
      <c r="G1473" s="24"/>
      <c r="H1473" s="24"/>
      <c r="J1473" s="24"/>
      <c r="K1473" s="24"/>
      <c r="M1473" s="24"/>
      <c r="N1473" s="24"/>
      <c r="P1473" s="24"/>
    </row>
    <row r="1474" spans="2:16" x14ac:dyDescent="0.25">
      <c r="B1474" s="24"/>
      <c r="E1474" s="24"/>
      <c r="G1474" s="24"/>
      <c r="H1474" s="24"/>
      <c r="J1474" s="24"/>
      <c r="K1474" s="24"/>
      <c r="M1474" s="24"/>
      <c r="N1474" s="24"/>
      <c r="P1474" s="24"/>
    </row>
    <row r="1475" spans="2:16" x14ac:dyDescent="0.25">
      <c r="B1475" s="24"/>
      <c r="E1475" s="24"/>
      <c r="G1475" s="24"/>
      <c r="H1475" s="24"/>
      <c r="J1475" s="24"/>
      <c r="K1475" s="24"/>
      <c r="M1475" s="24"/>
      <c r="N1475" s="24"/>
      <c r="P1475" s="24"/>
    </row>
    <row r="1476" spans="2:16" x14ac:dyDescent="0.25">
      <c r="B1476" s="24"/>
      <c r="E1476" s="24"/>
      <c r="G1476" s="24"/>
      <c r="H1476" s="24"/>
      <c r="J1476" s="24"/>
      <c r="K1476" s="24"/>
      <c r="M1476" s="24"/>
      <c r="N1476" s="24"/>
      <c r="P1476" s="24"/>
    </row>
    <row r="1477" spans="2:16" x14ac:dyDescent="0.25">
      <c r="B1477" s="24"/>
      <c r="E1477" s="24"/>
      <c r="G1477" s="24"/>
      <c r="H1477" s="24"/>
      <c r="J1477" s="24"/>
      <c r="K1477" s="24"/>
      <c r="M1477" s="24"/>
      <c r="N1477" s="24"/>
      <c r="P1477" s="24"/>
    </row>
    <row r="1478" spans="2:16" x14ac:dyDescent="0.25">
      <c r="B1478" s="24"/>
      <c r="E1478" s="24"/>
      <c r="G1478" s="24"/>
      <c r="H1478" s="24"/>
      <c r="J1478" s="24"/>
      <c r="K1478" s="24"/>
      <c r="M1478" s="24"/>
      <c r="N1478" s="24"/>
      <c r="P1478" s="24"/>
    </row>
    <row r="1479" spans="2:16" x14ac:dyDescent="0.25">
      <c r="B1479" s="24"/>
      <c r="E1479" s="24"/>
      <c r="G1479" s="24"/>
      <c r="H1479" s="24"/>
      <c r="J1479" s="24"/>
      <c r="K1479" s="24"/>
      <c r="M1479" s="24"/>
      <c r="N1479" s="24"/>
      <c r="P1479" s="24"/>
    </row>
    <row r="1480" spans="2:16" x14ac:dyDescent="0.25">
      <c r="B1480" s="24"/>
      <c r="E1480" s="24"/>
      <c r="G1480" s="24"/>
      <c r="H1480" s="24"/>
      <c r="J1480" s="24"/>
      <c r="K1480" s="24"/>
      <c r="M1480" s="24"/>
      <c r="N1480" s="24"/>
      <c r="P1480" s="24"/>
    </row>
    <row r="1481" spans="2:16" x14ac:dyDescent="0.25">
      <c r="B1481" s="24"/>
      <c r="E1481" s="24"/>
      <c r="G1481" s="24"/>
      <c r="H1481" s="24"/>
      <c r="J1481" s="24"/>
      <c r="K1481" s="24"/>
      <c r="M1481" s="24"/>
      <c r="N1481" s="24"/>
      <c r="P1481" s="24"/>
    </row>
    <row r="1482" spans="2:16" x14ac:dyDescent="0.25">
      <c r="B1482" s="24"/>
      <c r="E1482" s="24"/>
      <c r="G1482" s="24"/>
      <c r="H1482" s="24"/>
      <c r="J1482" s="24"/>
      <c r="K1482" s="24"/>
      <c r="M1482" s="24"/>
      <c r="N1482" s="24"/>
      <c r="P1482" s="24"/>
    </row>
    <row r="1483" spans="2:16" x14ac:dyDescent="0.25">
      <c r="B1483" s="24"/>
      <c r="E1483" s="24"/>
      <c r="G1483" s="24"/>
      <c r="H1483" s="24"/>
      <c r="J1483" s="24"/>
      <c r="K1483" s="24"/>
      <c r="M1483" s="24"/>
      <c r="N1483" s="24"/>
      <c r="P1483" s="24"/>
    </row>
    <row r="1484" spans="2:16" x14ac:dyDescent="0.25">
      <c r="B1484" s="24"/>
      <c r="E1484" s="24"/>
      <c r="G1484" s="24"/>
      <c r="H1484" s="24"/>
      <c r="J1484" s="24"/>
      <c r="K1484" s="24"/>
      <c r="M1484" s="24"/>
      <c r="N1484" s="24"/>
      <c r="P1484" s="24"/>
    </row>
    <row r="1485" spans="2:16" x14ac:dyDescent="0.25">
      <c r="B1485" s="24"/>
      <c r="E1485" s="24"/>
      <c r="G1485" s="24"/>
      <c r="H1485" s="24"/>
      <c r="J1485" s="24"/>
      <c r="K1485" s="24"/>
      <c r="M1485" s="24"/>
      <c r="N1485" s="24"/>
      <c r="P1485" s="24"/>
    </row>
    <row r="1486" spans="2:16" x14ac:dyDescent="0.25">
      <c r="B1486" s="24"/>
      <c r="E1486" s="24"/>
      <c r="G1486" s="24"/>
      <c r="H1486" s="24"/>
      <c r="J1486" s="24"/>
      <c r="K1486" s="24"/>
      <c r="M1486" s="24"/>
      <c r="N1486" s="24"/>
      <c r="P1486" s="24"/>
    </row>
    <row r="1487" spans="2:16" x14ac:dyDescent="0.25">
      <c r="B1487" s="24"/>
      <c r="E1487" s="24"/>
      <c r="G1487" s="24"/>
      <c r="H1487" s="24"/>
      <c r="J1487" s="24"/>
      <c r="K1487" s="24"/>
      <c r="M1487" s="24"/>
      <c r="N1487" s="24"/>
      <c r="P1487" s="24"/>
    </row>
    <row r="1488" spans="2:16" x14ac:dyDescent="0.25">
      <c r="B1488" s="24"/>
      <c r="E1488" s="24"/>
      <c r="G1488" s="24"/>
      <c r="H1488" s="24"/>
      <c r="J1488" s="24"/>
      <c r="K1488" s="24"/>
      <c r="M1488" s="24"/>
      <c r="N1488" s="24"/>
      <c r="P1488" s="24"/>
    </row>
    <row r="1489" spans="2:16" x14ac:dyDescent="0.25">
      <c r="B1489" s="24"/>
      <c r="E1489" s="24"/>
      <c r="G1489" s="24"/>
      <c r="H1489" s="24"/>
      <c r="J1489" s="24"/>
      <c r="K1489" s="24"/>
      <c r="M1489" s="24"/>
      <c r="N1489" s="24"/>
      <c r="P1489" s="24"/>
    </row>
    <row r="1490" spans="2:16" x14ac:dyDescent="0.25">
      <c r="B1490" s="24"/>
      <c r="E1490" s="24"/>
      <c r="G1490" s="24"/>
      <c r="H1490" s="24"/>
      <c r="J1490" s="24"/>
      <c r="K1490" s="24"/>
      <c r="M1490" s="24"/>
      <c r="N1490" s="24"/>
      <c r="P1490" s="24"/>
    </row>
    <row r="1491" spans="2:16" x14ac:dyDescent="0.25">
      <c r="B1491" s="24"/>
      <c r="E1491" s="24"/>
      <c r="G1491" s="24"/>
      <c r="H1491" s="24"/>
      <c r="J1491" s="24"/>
      <c r="K1491" s="24"/>
      <c r="M1491" s="24"/>
      <c r="N1491" s="24"/>
      <c r="P1491" s="24"/>
    </row>
    <row r="1492" spans="2:16" x14ac:dyDescent="0.25">
      <c r="B1492" s="24"/>
      <c r="E1492" s="24"/>
      <c r="G1492" s="24"/>
      <c r="H1492" s="24"/>
      <c r="J1492" s="24"/>
      <c r="K1492" s="24"/>
      <c r="M1492" s="24"/>
      <c r="N1492" s="24"/>
      <c r="P1492" s="24"/>
    </row>
    <row r="1493" spans="2:16" x14ac:dyDescent="0.25">
      <c r="B1493" s="24"/>
      <c r="E1493" s="24"/>
      <c r="G1493" s="24"/>
      <c r="H1493" s="24"/>
      <c r="J1493" s="24"/>
      <c r="K1493" s="24"/>
      <c r="M1493" s="24"/>
      <c r="N1493" s="24"/>
      <c r="P1493" s="24"/>
    </row>
    <row r="1494" spans="2:16" x14ac:dyDescent="0.25">
      <c r="B1494" s="24"/>
      <c r="E1494" s="24"/>
      <c r="G1494" s="24"/>
      <c r="H1494" s="24"/>
      <c r="J1494" s="24"/>
      <c r="K1494" s="24"/>
      <c r="M1494" s="24"/>
      <c r="N1494" s="24"/>
      <c r="P1494" s="24"/>
    </row>
    <row r="1495" spans="2:16" x14ac:dyDescent="0.25">
      <c r="B1495" s="24"/>
      <c r="E1495" s="24"/>
      <c r="G1495" s="24"/>
      <c r="H1495" s="24"/>
      <c r="J1495" s="24"/>
      <c r="K1495" s="24"/>
      <c r="M1495" s="24"/>
      <c r="N1495" s="24"/>
      <c r="P1495" s="24"/>
    </row>
    <row r="1496" spans="2:16" x14ac:dyDescent="0.25">
      <c r="B1496" s="24"/>
      <c r="E1496" s="24"/>
      <c r="G1496" s="24"/>
      <c r="H1496" s="24"/>
      <c r="J1496" s="24"/>
      <c r="K1496" s="24"/>
      <c r="M1496" s="24"/>
      <c r="N1496" s="24"/>
      <c r="P1496" s="24"/>
    </row>
    <row r="1497" spans="2:16" x14ac:dyDescent="0.25">
      <c r="B1497" s="24"/>
      <c r="E1497" s="24"/>
      <c r="G1497" s="24"/>
      <c r="H1497" s="24"/>
      <c r="J1497" s="24"/>
      <c r="K1497" s="24"/>
      <c r="M1497" s="24"/>
      <c r="N1497" s="24"/>
      <c r="P1497" s="24"/>
    </row>
    <row r="1498" spans="2:16" x14ac:dyDescent="0.25">
      <c r="B1498" s="24"/>
      <c r="E1498" s="24"/>
      <c r="G1498" s="24"/>
      <c r="H1498" s="24"/>
      <c r="J1498" s="24"/>
      <c r="K1498" s="24"/>
      <c r="M1498" s="24"/>
      <c r="N1498" s="24"/>
      <c r="P1498" s="24"/>
    </row>
    <row r="1499" spans="2:16" x14ac:dyDescent="0.25">
      <c r="B1499" s="24"/>
      <c r="E1499" s="24"/>
      <c r="G1499" s="24"/>
      <c r="H1499" s="24"/>
      <c r="J1499" s="24"/>
      <c r="K1499" s="24"/>
      <c r="M1499" s="24"/>
      <c r="N1499" s="24"/>
      <c r="P1499" s="24"/>
    </row>
    <row r="1500" spans="2:16" x14ac:dyDescent="0.25">
      <c r="B1500" s="24"/>
      <c r="E1500" s="24"/>
      <c r="G1500" s="24"/>
      <c r="H1500" s="24"/>
      <c r="J1500" s="24"/>
      <c r="K1500" s="24"/>
      <c r="M1500" s="24"/>
      <c r="N1500" s="24"/>
      <c r="P1500" s="24"/>
    </row>
    <row r="1501" spans="2:16" x14ac:dyDescent="0.25">
      <c r="B1501" s="24"/>
      <c r="E1501" s="24"/>
      <c r="G1501" s="24"/>
      <c r="H1501" s="24"/>
      <c r="J1501" s="24"/>
      <c r="K1501" s="24"/>
      <c r="M1501" s="24"/>
      <c r="N1501" s="24"/>
      <c r="P1501" s="24"/>
    </row>
    <row r="1502" spans="2:16" x14ac:dyDescent="0.25">
      <c r="B1502" s="24"/>
      <c r="E1502" s="24"/>
      <c r="G1502" s="24"/>
      <c r="H1502" s="24"/>
      <c r="J1502" s="24"/>
      <c r="K1502" s="24"/>
      <c r="M1502" s="24"/>
      <c r="N1502" s="24"/>
      <c r="P1502" s="24"/>
    </row>
    <row r="1503" spans="2:16" x14ac:dyDescent="0.25">
      <c r="B1503" s="24"/>
      <c r="E1503" s="24"/>
      <c r="G1503" s="24"/>
      <c r="H1503" s="24"/>
      <c r="J1503" s="24"/>
      <c r="K1503" s="24"/>
      <c r="M1503" s="24"/>
      <c r="N1503" s="24"/>
      <c r="P1503" s="24"/>
    </row>
    <row r="1504" spans="2:16" x14ac:dyDescent="0.25">
      <c r="B1504" s="24"/>
      <c r="E1504" s="24"/>
      <c r="G1504" s="24"/>
      <c r="H1504" s="24"/>
      <c r="J1504" s="24"/>
      <c r="K1504" s="24"/>
      <c r="M1504" s="24"/>
      <c r="N1504" s="24"/>
      <c r="P1504" s="24"/>
    </row>
    <row r="1505" spans="2:16" x14ac:dyDescent="0.25">
      <c r="B1505" s="24"/>
      <c r="E1505" s="24"/>
      <c r="G1505" s="24"/>
      <c r="H1505" s="24"/>
      <c r="J1505" s="24"/>
      <c r="K1505" s="24"/>
      <c r="M1505" s="24"/>
      <c r="N1505" s="24"/>
      <c r="P1505" s="24"/>
    </row>
    <row r="1506" spans="2:16" x14ac:dyDescent="0.25">
      <c r="B1506" s="24"/>
      <c r="E1506" s="24"/>
      <c r="G1506" s="24"/>
      <c r="H1506" s="24"/>
      <c r="J1506" s="24"/>
      <c r="K1506" s="24"/>
      <c r="M1506" s="24"/>
      <c r="N1506" s="24"/>
      <c r="P1506" s="24"/>
    </row>
    <row r="1507" spans="2:16" x14ac:dyDescent="0.25">
      <c r="B1507" s="24"/>
      <c r="E1507" s="24"/>
      <c r="G1507" s="24"/>
      <c r="H1507" s="24"/>
      <c r="J1507" s="24"/>
      <c r="K1507" s="24"/>
      <c r="M1507" s="24"/>
      <c r="N1507" s="24"/>
      <c r="P1507" s="24"/>
    </row>
    <row r="1508" spans="2:16" x14ac:dyDescent="0.25">
      <c r="B1508" s="24"/>
      <c r="E1508" s="24"/>
      <c r="G1508" s="24"/>
      <c r="H1508" s="24"/>
      <c r="J1508" s="24"/>
      <c r="K1508" s="24"/>
      <c r="M1508" s="24"/>
      <c r="N1508" s="24"/>
      <c r="P1508" s="24"/>
    </row>
    <row r="1509" spans="2:16" x14ac:dyDescent="0.25">
      <c r="B1509" s="24"/>
      <c r="E1509" s="24"/>
      <c r="G1509" s="24"/>
      <c r="H1509" s="24"/>
      <c r="J1509" s="24"/>
      <c r="K1509" s="24"/>
      <c r="M1509" s="24"/>
      <c r="N1509" s="24"/>
      <c r="P1509" s="24"/>
    </row>
    <row r="1510" spans="2:16" x14ac:dyDescent="0.25">
      <c r="B1510" s="24"/>
      <c r="E1510" s="24"/>
      <c r="G1510" s="24"/>
      <c r="H1510" s="24"/>
      <c r="J1510" s="24"/>
      <c r="K1510" s="24"/>
      <c r="M1510" s="24"/>
      <c r="N1510" s="24"/>
      <c r="P1510" s="24"/>
    </row>
    <row r="1511" spans="2:16" x14ac:dyDescent="0.25">
      <c r="B1511" s="24"/>
      <c r="E1511" s="24"/>
      <c r="G1511" s="24"/>
      <c r="H1511" s="24"/>
      <c r="J1511" s="24"/>
      <c r="K1511" s="24"/>
      <c r="M1511" s="24"/>
      <c r="N1511" s="24"/>
      <c r="P1511" s="24"/>
    </row>
    <row r="1512" spans="2:16" x14ac:dyDescent="0.25">
      <c r="B1512" s="24"/>
      <c r="E1512" s="24"/>
      <c r="G1512" s="24"/>
      <c r="H1512" s="24"/>
      <c r="J1512" s="24"/>
      <c r="K1512" s="24"/>
      <c r="M1512" s="24"/>
      <c r="N1512" s="24"/>
      <c r="P1512" s="24"/>
    </row>
    <row r="1513" spans="2:16" x14ac:dyDescent="0.25">
      <c r="B1513" s="24"/>
      <c r="E1513" s="24"/>
      <c r="G1513" s="24"/>
      <c r="H1513" s="24"/>
      <c r="J1513" s="24"/>
      <c r="K1513" s="24"/>
      <c r="M1513" s="24"/>
      <c r="N1513" s="24"/>
      <c r="P1513" s="24"/>
    </row>
    <row r="1514" spans="2:16" x14ac:dyDescent="0.25">
      <c r="B1514" s="24"/>
      <c r="E1514" s="24"/>
      <c r="G1514" s="24"/>
      <c r="H1514" s="24"/>
      <c r="J1514" s="24"/>
      <c r="K1514" s="24"/>
      <c r="M1514" s="24"/>
      <c r="N1514" s="24"/>
      <c r="P1514" s="24"/>
    </row>
    <row r="1515" spans="2:16" x14ac:dyDescent="0.25">
      <c r="B1515" s="24"/>
      <c r="E1515" s="24"/>
      <c r="G1515" s="24"/>
      <c r="H1515" s="24"/>
      <c r="J1515" s="24"/>
      <c r="K1515" s="24"/>
      <c r="M1515" s="24"/>
      <c r="N1515" s="24"/>
      <c r="P1515" s="24"/>
    </row>
    <row r="1516" spans="2:16" x14ac:dyDescent="0.25">
      <c r="B1516" s="24"/>
      <c r="E1516" s="24"/>
      <c r="G1516" s="24"/>
      <c r="H1516" s="24"/>
      <c r="J1516" s="24"/>
      <c r="K1516" s="24"/>
      <c r="M1516" s="24"/>
      <c r="N1516" s="24"/>
      <c r="P1516" s="24"/>
    </row>
    <row r="1517" spans="2:16" x14ac:dyDescent="0.25">
      <c r="B1517" s="24"/>
      <c r="E1517" s="24"/>
      <c r="G1517" s="24"/>
      <c r="H1517" s="24"/>
      <c r="J1517" s="24"/>
      <c r="K1517" s="24"/>
      <c r="M1517" s="24"/>
      <c r="N1517" s="24"/>
      <c r="P1517" s="24"/>
    </row>
    <row r="1518" spans="2:16" x14ac:dyDescent="0.25">
      <c r="B1518" s="24"/>
      <c r="E1518" s="24"/>
      <c r="G1518" s="24"/>
      <c r="H1518" s="24"/>
      <c r="J1518" s="24"/>
      <c r="K1518" s="24"/>
      <c r="M1518" s="24"/>
      <c r="N1518" s="24"/>
      <c r="P1518" s="24"/>
    </row>
    <row r="1519" spans="2:16" x14ac:dyDescent="0.25">
      <c r="B1519" s="24"/>
      <c r="E1519" s="24"/>
      <c r="G1519" s="24"/>
      <c r="H1519" s="24"/>
      <c r="J1519" s="24"/>
      <c r="K1519" s="24"/>
      <c r="M1519" s="24"/>
      <c r="N1519" s="24"/>
      <c r="P1519" s="24"/>
    </row>
    <row r="1520" spans="2:16" x14ac:dyDescent="0.25">
      <c r="B1520" s="24"/>
      <c r="E1520" s="24"/>
      <c r="G1520" s="24"/>
      <c r="H1520" s="24"/>
      <c r="J1520" s="24"/>
      <c r="K1520" s="24"/>
      <c r="M1520" s="24"/>
      <c r="N1520" s="24"/>
      <c r="P1520" s="24"/>
    </row>
    <row r="1521" spans="2:16" x14ac:dyDescent="0.25">
      <c r="B1521" s="24"/>
      <c r="E1521" s="24"/>
      <c r="G1521" s="24"/>
      <c r="H1521" s="24"/>
      <c r="J1521" s="24"/>
      <c r="K1521" s="24"/>
      <c r="M1521" s="24"/>
      <c r="N1521" s="24"/>
      <c r="P1521" s="24"/>
    </row>
    <row r="1522" spans="2:16" x14ac:dyDescent="0.25">
      <c r="B1522" s="24"/>
      <c r="E1522" s="24"/>
      <c r="G1522" s="24"/>
      <c r="H1522" s="24"/>
      <c r="J1522" s="24"/>
      <c r="K1522" s="24"/>
      <c r="M1522" s="24"/>
      <c r="N1522" s="24"/>
      <c r="P1522" s="24"/>
    </row>
    <row r="1523" spans="2:16" x14ac:dyDescent="0.25">
      <c r="B1523" s="24"/>
      <c r="E1523" s="24"/>
      <c r="G1523" s="24"/>
      <c r="H1523" s="24"/>
      <c r="J1523" s="24"/>
      <c r="K1523" s="24"/>
      <c r="M1523" s="24"/>
      <c r="N1523" s="24"/>
      <c r="P1523" s="24"/>
    </row>
    <row r="1524" spans="2:16" x14ac:dyDescent="0.25">
      <c r="B1524" s="24"/>
      <c r="E1524" s="24"/>
      <c r="G1524" s="24"/>
      <c r="H1524" s="24"/>
      <c r="J1524" s="24"/>
      <c r="K1524" s="24"/>
      <c r="M1524" s="24"/>
      <c r="N1524" s="24"/>
      <c r="P1524" s="24"/>
    </row>
    <row r="1525" spans="2:16" x14ac:dyDescent="0.25">
      <c r="B1525" s="24"/>
      <c r="E1525" s="24"/>
      <c r="G1525" s="24"/>
      <c r="H1525" s="24"/>
      <c r="J1525" s="24"/>
      <c r="K1525" s="24"/>
      <c r="M1525" s="24"/>
      <c r="N1525" s="24"/>
      <c r="P1525" s="24"/>
    </row>
    <row r="1526" spans="2:16" x14ac:dyDescent="0.25">
      <c r="B1526" s="24"/>
      <c r="E1526" s="24"/>
      <c r="G1526" s="24"/>
      <c r="H1526" s="24"/>
      <c r="J1526" s="24"/>
      <c r="K1526" s="24"/>
      <c r="M1526" s="24"/>
      <c r="N1526" s="24"/>
      <c r="P1526" s="24"/>
    </row>
    <row r="1527" spans="2:16" x14ac:dyDescent="0.25">
      <c r="B1527" s="24"/>
      <c r="E1527" s="24"/>
      <c r="G1527" s="24"/>
      <c r="H1527" s="24"/>
      <c r="J1527" s="24"/>
      <c r="K1527" s="24"/>
      <c r="M1527" s="24"/>
      <c r="N1527" s="24"/>
      <c r="P1527" s="24"/>
    </row>
    <row r="1528" spans="2:16" x14ac:dyDescent="0.25">
      <c r="B1528" s="24"/>
      <c r="E1528" s="24"/>
      <c r="G1528" s="24"/>
      <c r="H1528" s="24"/>
      <c r="J1528" s="24"/>
      <c r="K1528" s="24"/>
      <c r="M1528" s="24"/>
      <c r="N1528" s="24"/>
      <c r="P1528" s="24"/>
    </row>
    <row r="1529" spans="2:16" x14ac:dyDescent="0.25">
      <c r="B1529" s="24"/>
      <c r="E1529" s="24"/>
      <c r="G1529" s="24"/>
      <c r="H1529" s="24"/>
      <c r="J1529" s="24"/>
      <c r="K1529" s="24"/>
      <c r="M1529" s="24"/>
      <c r="N1529" s="24"/>
      <c r="P1529" s="24"/>
    </row>
    <row r="1530" spans="2:16" x14ac:dyDescent="0.25">
      <c r="B1530" s="24"/>
      <c r="E1530" s="24"/>
      <c r="G1530" s="24"/>
      <c r="H1530" s="24"/>
      <c r="J1530" s="24"/>
      <c r="K1530" s="24"/>
      <c r="M1530" s="24"/>
      <c r="N1530" s="24"/>
      <c r="P1530" s="24"/>
    </row>
    <row r="1531" spans="2:16" x14ac:dyDescent="0.25">
      <c r="B1531" s="24"/>
      <c r="E1531" s="24"/>
      <c r="G1531" s="24"/>
      <c r="H1531" s="24"/>
      <c r="J1531" s="24"/>
      <c r="K1531" s="24"/>
      <c r="M1531" s="24"/>
      <c r="N1531" s="24"/>
      <c r="P1531" s="24"/>
    </row>
    <row r="1532" spans="2:16" x14ac:dyDescent="0.25">
      <c r="B1532" s="24"/>
      <c r="E1532" s="24"/>
      <c r="G1532" s="24"/>
      <c r="H1532" s="24"/>
      <c r="J1532" s="24"/>
      <c r="K1532" s="24"/>
      <c r="M1532" s="24"/>
      <c r="N1532" s="24"/>
      <c r="P1532" s="24"/>
    </row>
    <row r="1533" spans="2:16" x14ac:dyDescent="0.25">
      <c r="B1533" s="24"/>
      <c r="E1533" s="24"/>
      <c r="G1533" s="24"/>
      <c r="H1533" s="24"/>
      <c r="J1533" s="24"/>
      <c r="K1533" s="24"/>
      <c r="M1533" s="24"/>
      <c r="N1533" s="24"/>
      <c r="P1533" s="24"/>
    </row>
    <row r="1534" spans="2:16" x14ac:dyDescent="0.25">
      <c r="B1534" s="24"/>
      <c r="E1534" s="24"/>
      <c r="G1534" s="24"/>
      <c r="H1534" s="24"/>
      <c r="J1534" s="24"/>
      <c r="K1534" s="24"/>
      <c r="M1534" s="24"/>
      <c r="N1534" s="24"/>
      <c r="P1534" s="24"/>
    </row>
    <row r="1535" spans="2:16" x14ac:dyDescent="0.25">
      <c r="B1535" s="24"/>
      <c r="E1535" s="24"/>
      <c r="G1535" s="24"/>
      <c r="H1535" s="24"/>
      <c r="J1535" s="24"/>
      <c r="K1535" s="24"/>
      <c r="M1535" s="24"/>
      <c r="N1535" s="24"/>
      <c r="P1535" s="24"/>
    </row>
    <row r="1536" spans="2:16" x14ac:dyDescent="0.25">
      <c r="B1536" s="24"/>
      <c r="E1536" s="24"/>
      <c r="G1536" s="24"/>
      <c r="H1536" s="24"/>
      <c r="J1536" s="24"/>
      <c r="K1536" s="24"/>
      <c r="M1536" s="24"/>
      <c r="N1536" s="24"/>
      <c r="P1536" s="24"/>
    </row>
    <row r="1537" spans="2:16" x14ac:dyDescent="0.25">
      <c r="B1537" s="24"/>
      <c r="E1537" s="24"/>
      <c r="G1537" s="24"/>
      <c r="H1537" s="24"/>
      <c r="J1537" s="24"/>
      <c r="K1537" s="24"/>
      <c r="M1537" s="24"/>
      <c r="N1537" s="24"/>
      <c r="P1537" s="24"/>
    </row>
    <row r="1538" spans="2:16" x14ac:dyDescent="0.25">
      <c r="B1538" s="24"/>
      <c r="E1538" s="24"/>
      <c r="G1538" s="24"/>
      <c r="H1538" s="24"/>
      <c r="J1538" s="24"/>
      <c r="K1538" s="24"/>
      <c r="M1538" s="24"/>
      <c r="N1538" s="24"/>
      <c r="P1538" s="24"/>
    </row>
    <row r="1539" spans="2:16" x14ac:dyDescent="0.25">
      <c r="B1539" s="24"/>
      <c r="E1539" s="24"/>
      <c r="G1539" s="24"/>
      <c r="H1539" s="24"/>
      <c r="J1539" s="24"/>
      <c r="K1539" s="24"/>
      <c r="M1539" s="24"/>
      <c r="N1539" s="24"/>
      <c r="P1539" s="24"/>
    </row>
    <row r="1540" spans="2:16" x14ac:dyDescent="0.25">
      <c r="B1540" s="24"/>
      <c r="E1540" s="24"/>
      <c r="G1540" s="24"/>
      <c r="H1540" s="24"/>
      <c r="J1540" s="24"/>
      <c r="K1540" s="24"/>
      <c r="M1540" s="24"/>
      <c r="N1540" s="24"/>
      <c r="P1540" s="24"/>
    </row>
    <row r="1541" spans="2:16" x14ac:dyDescent="0.25">
      <c r="B1541" s="24"/>
      <c r="E1541" s="24"/>
      <c r="G1541" s="24"/>
      <c r="H1541" s="24"/>
      <c r="J1541" s="24"/>
      <c r="K1541" s="24"/>
      <c r="M1541" s="24"/>
      <c r="N1541" s="24"/>
      <c r="P1541" s="24"/>
    </row>
    <row r="1542" spans="2:16" x14ac:dyDescent="0.25">
      <c r="B1542" s="24"/>
      <c r="E1542" s="24"/>
      <c r="G1542" s="24"/>
      <c r="H1542" s="24"/>
      <c r="J1542" s="24"/>
      <c r="K1542" s="24"/>
      <c r="M1542" s="24"/>
      <c r="N1542" s="24"/>
      <c r="P1542" s="24"/>
    </row>
    <row r="1543" spans="2:16" x14ac:dyDescent="0.25">
      <c r="B1543" s="24"/>
      <c r="E1543" s="24"/>
      <c r="G1543" s="24"/>
      <c r="H1543" s="24"/>
      <c r="J1543" s="24"/>
      <c r="K1543" s="24"/>
      <c r="M1543" s="24"/>
      <c r="N1543" s="24"/>
      <c r="P1543" s="24"/>
    </row>
    <row r="1544" spans="2:16" x14ac:dyDescent="0.25">
      <c r="B1544" s="24"/>
      <c r="E1544" s="24"/>
      <c r="G1544" s="24"/>
      <c r="H1544" s="24"/>
      <c r="J1544" s="24"/>
      <c r="K1544" s="24"/>
      <c r="M1544" s="24"/>
      <c r="N1544" s="24"/>
      <c r="P1544" s="24"/>
    </row>
    <row r="1545" spans="2:16" x14ac:dyDescent="0.25">
      <c r="B1545" s="24"/>
      <c r="E1545" s="24"/>
      <c r="G1545" s="24"/>
      <c r="H1545" s="24"/>
      <c r="J1545" s="24"/>
      <c r="K1545" s="24"/>
      <c r="M1545" s="24"/>
      <c r="N1545" s="24"/>
      <c r="P1545" s="24"/>
    </row>
    <row r="1546" spans="2:16" x14ac:dyDescent="0.25">
      <c r="B1546" s="24"/>
      <c r="E1546" s="24"/>
      <c r="G1546" s="24"/>
      <c r="H1546" s="24"/>
      <c r="J1546" s="24"/>
      <c r="K1546" s="24"/>
      <c r="M1546" s="24"/>
      <c r="N1546" s="24"/>
      <c r="P1546" s="24"/>
    </row>
    <row r="1547" spans="2:16" x14ac:dyDescent="0.25">
      <c r="B1547" s="24"/>
      <c r="E1547" s="24"/>
      <c r="G1547" s="24"/>
      <c r="H1547" s="24"/>
      <c r="J1547" s="24"/>
      <c r="K1547" s="24"/>
      <c r="M1547" s="24"/>
      <c r="N1547" s="24"/>
      <c r="P1547" s="24"/>
    </row>
    <row r="1548" spans="2:16" x14ac:dyDescent="0.25">
      <c r="B1548" s="24"/>
      <c r="E1548" s="24"/>
      <c r="G1548" s="24"/>
      <c r="H1548" s="24"/>
      <c r="J1548" s="24"/>
      <c r="K1548" s="24"/>
      <c r="M1548" s="24"/>
      <c r="N1548" s="24"/>
      <c r="P1548" s="24"/>
    </row>
    <row r="1549" spans="2:16" x14ac:dyDescent="0.25">
      <c r="B1549" s="24"/>
      <c r="E1549" s="24"/>
      <c r="G1549" s="24"/>
      <c r="H1549" s="24"/>
      <c r="J1549" s="24"/>
      <c r="K1549" s="24"/>
      <c r="M1549" s="24"/>
      <c r="N1549" s="24"/>
      <c r="P1549" s="24"/>
    </row>
    <row r="1550" spans="2:16" x14ac:dyDescent="0.25">
      <c r="B1550" s="24"/>
      <c r="E1550" s="24"/>
      <c r="G1550" s="24"/>
      <c r="H1550" s="24"/>
      <c r="J1550" s="24"/>
      <c r="K1550" s="24"/>
      <c r="M1550" s="24"/>
      <c r="N1550" s="24"/>
      <c r="P1550" s="24"/>
    </row>
    <row r="1551" spans="2:16" x14ac:dyDescent="0.25">
      <c r="B1551" s="24"/>
      <c r="E1551" s="24"/>
      <c r="G1551" s="24"/>
      <c r="H1551" s="24"/>
      <c r="J1551" s="24"/>
      <c r="K1551" s="24"/>
      <c r="M1551" s="24"/>
      <c r="N1551" s="24"/>
      <c r="P1551" s="24"/>
    </row>
    <row r="1552" spans="2:16" x14ac:dyDescent="0.25">
      <c r="B1552" s="24"/>
      <c r="E1552" s="24"/>
      <c r="G1552" s="24"/>
      <c r="H1552" s="24"/>
      <c r="J1552" s="24"/>
      <c r="K1552" s="24"/>
      <c r="M1552" s="24"/>
      <c r="N1552" s="24"/>
      <c r="P1552" s="24"/>
    </row>
    <row r="1553" spans="2:16" x14ac:dyDescent="0.25">
      <c r="B1553" s="24"/>
      <c r="E1553" s="24"/>
      <c r="G1553" s="24"/>
      <c r="H1553" s="24"/>
      <c r="J1553" s="24"/>
      <c r="K1553" s="24"/>
      <c r="M1553" s="24"/>
      <c r="N1553" s="24"/>
      <c r="P1553" s="24"/>
    </row>
    <row r="1554" spans="2:16" x14ac:dyDescent="0.25">
      <c r="B1554" s="24"/>
      <c r="E1554" s="24"/>
      <c r="G1554" s="24"/>
      <c r="H1554" s="24"/>
      <c r="J1554" s="24"/>
      <c r="K1554" s="24"/>
      <c r="M1554" s="24"/>
      <c r="N1554" s="24"/>
      <c r="P1554" s="24"/>
    </row>
    <row r="1555" spans="2:16" x14ac:dyDescent="0.25">
      <c r="B1555" s="24"/>
      <c r="E1555" s="24"/>
      <c r="G1555" s="24"/>
      <c r="H1555" s="24"/>
      <c r="J1555" s="24"/>
      <c r="K1555" s="24"/>
      <c r="M1555" s="24"/>
      <c r="N1555" s="24"/>
      <c r="P1555" s="24"/>
    </row>
    <row r="1556" spans="2:16" x14ac:dyDescent="0.25">
      <c r="B1556" s="24"/>
      <c r="E1556" s="24"/>
      <c r="G1556" s="24"/>
      <c r="H1556" s="24"/>
      <c r="J1556" s="24"/>
      <c r="K1556" s="24"/>
      <c r="M1556" s="24"/>
      <c r="N1556" s="24"/>
      <c r="P1556" s="24"/>
    </row>
    <row r="1557" spans="2:16" x14ac:dyDescent="0.25">
      <c r="B1557" s="24"/>
      <c r="E1557" s="24"/>
      <c r="G1557" s="24"/>
      <c r="H1557" s="24"/>
      <c r="J1557" s="24"/>
      <c r="K1557" s="24"/>
      <c r="M1557" s="24"/>
      <c r="N1557" s="24"/>
      <c r="P1557" s="24"/>
    </row>
    <row r="1558" spans="2:16" x14ac:dyDescent="0.25">
      <c r="B1558" s="24"/>
      <c r="E1558" s="24"/>
      <c r="G1558" s="24"/>
      <c r="H1558" s="24"/>
      <c r="J1558" s="24"/>
      <c r="K1558" s="24"/>
      <c r="M1558" s="24"/>
      <c r="N1558" s="24"/>
      <c r="P1558" s="24"/>
    </row>
    <row r="1559" spans="2:16" x14ac:dyDescent="0.25">
      <c r="B1559" s="24"/>
      <c r="E1559" s="24"/>
      <c r="G1559" s="24"/>
      <c r="H1559" s="24"/>
      <c r="J1559" s="24"/>
      <c r="K1559" s="24"/>
      <c r="M1559" s="24"/>
      <c r="N1559" s="24"/>
      <c r="P1559" s="24"/>
    </row>
    <row r="1560" spans="2:16" x14ac:dyDescent="0.25">
      <c r="B1560" s="24"/>
      <c r="E1560" s="24"/>
      <c r="G1560" s="24"/>
      <c r="H1560" s="24"/>
      <c r="J1560" s="24"/>
      <c r="K1560" s="24"/>
      <c r="M1560" s="24"/>
      <c r="N1560" s="24"/>
      <c r="P1560" s="24"/>
    </row>
    <row r="1561" spans="2:16" x14ac:dyDescent="0.25">
      <c r="B1561" s="24"/>
      <c r="E1561" s="24"/>
      <c r="G1561" s="24"/>
      <c r="H1561" s="24"/>
      <c r="J1561" s="24"/>
      <c r="K1561" s="24"/>
      <c r="M1561" s="24"/>
      <c r="N1561" s="24"/>
      <c r="P1561" s="24"/>
    </row>
    <row r="1562" spans="2:16" x14ac:dyDescent="0.25">
      <c r="B1562" s="24"/>
      <c r="E1562" s="24"/>
      <c r="G1562" s="24"/>
      <c r="H1562" s="24"/>
      <c r="J1562" s="24"/>
      <c r="K1562" s="24"/>
      <c r="M1562" s="24"/>
      <c r="N1562" s="24"/>
      <c r="P1562" s="24"/>
    </row>
    <row r="1563" spans="2:16" x14ac:dyDescent="0.25">
      <c r="B1563" s="24"/>
      <c r="E1563" s="24"/>
      <c r="G1563" s="24"/>
      <c r="H1563" s="24"/>
      <c r="J1563" s="24"/>
      <c r="K1563" s="24"/>
      <c r="M1563" s="24"/>
      <c r="N1563" s="24"/>
      <c r="P1563" s="24"/>
    </row>
    <row r="1564" spans="2:16" x14ac:dyDescent="0.25">
      <c r="B1564" s="24"/>
      <c r="E1564" s="24"/>
      <c r="G1564" s="24"/>
      <c r="H1564" s="24"/>
      <c r="J1564" s="24"/>
      <c r="K1564" s="24"/>
      <c r="M1564" s="24"/>
      <c r="N1564" s="24"/>
      <c r="P1564" s="24"/>
    </row>
    <row r="1565" spans="2:16" x14ac:dyDescent="0.25">
      <c r="B1565" s="24"/>
      <c r="E1565" s="24"/>
      <c r="G1565" s="24"/>
      <c r="H1565" s="24"/>
      <c r="J1565" s="24"/>
      <c r="K1565" s="24"/>
      <c r="M1565" s="24"/>
      <c r="N1565" s="24"/>
      <c r="P1565" s="24"/>
    </row>
    <row r="1566" spans="2:16" x14ac:dyDescent="0.25">
      <c r="B1566" s="24"/>
      <c r="E1566" s="24"/>
      <c r="G1566" s="24"/>
      <c r="H1566" s="24"/>
      <c r="J1566" s="24"/>
      <c r="K1566" s="24"/>
      <c r="M1566" s="24"/>
      <c r="N1566" s="24"/>
      <c r="P1566" s="24"/>
    </row>
    <row r="1567" spans="2:16" x14ac:dyDescent="0.25">
      <c r="B1567" s="24"/>
      <c r="E1567" s="24"/>
      <c r="G1567" s="24"/>
      <c r="H1567" s="24"/>
      <c r="J1567" s="24"/>
      <c r="K1567" s="24"/>
      <c r="M1567" s="24"/>
      <c r="N1567" s="24"/>
      <c r="P1567" s="24"/>
    </row>
    <row r="1568" spans="2:16" x14ac:dyDescent="0.25">
      <c r="B1568" s="24"/>
      <c r="E1568" s="24"/>
      <c r="G1568" s="24"/>
      <c r="H1568" s="24"/>
      <c r="J1568" s="24"/>
      <c r="K1568" s="24"/>
      <c r="M1568" s="24"/>
      <c r="N1568" s="24"/>
      <c r="P1568" s="24"/>
    </row>
    <row r="1569" spans="2:16" x14ac:dyDescent="0.25">
      <c r="B1569" s="24"/>
      <c r="E1569" s="24"/>
      <c r="G1569" s="24"/>
      <c r="H1569" s="24"/>
      <c r="J1569" s="24"/>
      <c r="K1569" s="24"/>
      <c r="M1569" s="24"/>
      <c r="N1569" s="24"/>
      <c r="P1569" s="24"/>
    </row>
    <row r="1570" spans="2:16" x14ac:dyDescent="0.25">
      <c r="B1570" s="24"/>
      <c r="E1570" s="24"/>
      <c r="G1570" s="24"/>
      <c r="H1570" s="24"/>
      <c r="J1570" s="24"/>
      <c r="K1570" s="24"/>
      <c r="M1570" s="24"/>
      <c r="N1570" s="24"/>
      <c r="P1570" s="24"/>
    </row>
    <row r="1571" spans="2:16" x14ac:dyDescent="0.25">
      <c r="B1571" s="24"/>
      <c r="E1571" s="24"/>
      <c r="G1571" s="24"/>
      <c r="H1571" s="24"/>
      <c r="J1571" s="24"/>
      <c r="K1571" s="24"/>
      <c r="M1571" s="24"/>
      <c r="N1571" s="24"/>
      <c r="P1571" s="24"/>
    </row>
    <row r="1572" spans="2:16" x14ac:dyDescent="0.25">
      <c r="B1572" s="24"/>
      <c r="E1572" s="24"/>
      <c r="G1572" s="24"/>
      <c r="H1572" s="24"/>
      <c r="J1572" s="24"/>
      <c r="K1572" s="24"/>
      <c r="M1572" s="24"/>
      <c r="N1572" s="24"/>
      <c r="P1572" s="24"/>
    </row>
    <row r="1573" spans="2:16" x14ac:dyDescent="0.25">
      <c r="B1573" s="24"/>
      <c r="E1573" s="24"/>
      <c r="G1573" s="24"/>
      <c r="H1573" s="24"/>
      <c r="J1573" s="24"/>
      <c r="K1573" s="24"/>
      <c r="M1573" s="24"/>
      <c r="N1573" s="24"/>
      <c r="P1573" s="24"/>
    </row>
    <row r="1574" spans="2:16" x14ac:dyDescent="0.25">
      <c r="B1574" s="24"/>
      <c r="E1574" s="24"/>
      <c r="G1574" s="24"/>
      <c r="H1574" s="24"/>
      <c r="J1574" s="24"/>
      <c r="K1574" s="24"/>
      <c r="M1574" s="24"/>
      <c r="N1574" s="24"/>
      <c r="P1574" s="24"/>
    </row>
    <row r="1575" spans="2:16" x14ac:dyDescent="0.25">
      <c r="B1575" s="24"/>
      <c r="E1575" s="24"/>
      <c r="G1575" s="24"/>
      <c r="H1575" s="24"/>
      <c r="J1575" s="24"/>
      <c r="K1575" s="24"/>
      <c r="M1575" s="24"/>
      <c r="N1575" s="24"/>
      <c r="P1575" s="24"/>
    </row>
    <row r="1576" spans="2:16" x14ac:dyDescent="0.25">
      <c r="B1576" s="24"/>
      <c r="E1576" s="24"/>
      <c r="G1576" s="24"/>
      <c r="H1576" s="24"/>
      <c r="J1576" s="24"/>
      <c r="K1576" s="24"/>
      <c r="M1576" s="24"/>
      <c r="N1576" s="24"/>
      <c r="P1576" s="24"/>
    </row>
    <row r="1577" spans="2:16" x14ac:dyDescent="0.25">
      <c r="B1577" s="24"/>
      <c r="E1577" s="24"/>
      <c r="G1577" s="24"/>
      <c r="H1577" s="24"/>
      <c r="J1577" s="24"/>
      <c r="K1577" s="24"/>
      <c r="M1577" s="24"/>
      <c r="N1577" s="24"/>
      <c r="P1577" s="24"/>
    </row>
    <row r="1578" spans="2:16" x14ac:dyDescent="0.25">
      <c r="B1578" s="24"/>
      <c r="E1578" s="24"/>
      <c r="G1578" s="24"/>
      <c r="H1578" s="24"/>
      <c r="J1578" s="24"/>
      <c r="K1578" s="24"/>
      <c r="M1578" s="24"/>
      <c r="N1578" s="24"/>
      <c r="P1578" s="24"/>
    </row>
    <row r="1579" spans="2:16" x14ac:dyDescent="0.25">
      <c r="B1579" s="24"/>
      <c r="E1579" s="24"/>
      <c r="G1579" s="24"/>
      <c r="H1579" s="24"/>
      <c r="J1579" s="24"/>
      <c r="K1579" s="24"/>
      <c r="M1579" s="24"/>
      <c r="N1579" s="24"/>
      <c r="P1579" s="24"/>
    </row>
    <row r="1580" spans="2:16" x14ac:dyDescent="0.25">
      <c r="B1580" s="24"/>
      <c r="E1580" s="24"/>
      <c r="G1580" s="24"/>
      <c r="H1580" s="24"/>
      <c r="J1580" s="24"/>
      <c r="K1580" s="24"/>
      <c r="M1580" s="24"/>
      <c r="N1580" s="24"/>
      <c r="P1580" s="24"/>
    </row>
    <row r="1581" spans="2:16" x14ac:dyDescent="0.25">
      <c r="B1581" s="24"/>
      <c r="E1581" s="24"/>
      <c r="G1581" s="24"/>
      <c r="H1581" s="24"/>
      <c r="J1581" s="24"/>
      <c r="K1581" s="24"/>
      <c r="M1581" s="24"/>
      <c r="N1581" s="24"/>
      <c r="P1581" s="24"/>
    </row>
    <row r="1582" spans="2:16" x14ac:dyDescent="0.25">
      <c r="B1582" s="24"/>
      <c r="E1582" s="24"/>
      <c r="G1582" s="24"/>
      <c r="H1582" s="24"/>
      <c r="J1582" s="24"/>
      <c r="K1582" s="24"/>
      <c r="M1582" s="24"/>
      <c r="N1582" s="24"/>
      <c r="P1582" s="24"/>
    </row>
    <row r="1583" spans="2:16" x14ac:dyDescent="0.25">
      <c r="B1583" s="24"/>
      <c r="E1583" s="24"/>
      <c r="G1583" s="24"/>
      <c r="H1583" s="24"/>
      <c r="J1583" s="24"/>
      <c r="K1583" s="24"/>
      <c r="M1583" s="24"/>
      <c r="N1583" s="24"/>
      <c r="P1583" s="24"/>
    </row>
    <row r="1584" spans="2:16" x14ac:dyDescent="0.25">
      <c r="B1584" s="24"/>
      <c r="E1584" s="24"/>
      <c r="G1584" s="24"/>
      <c r="H1584" s="24"/>
      <c r="J1584" s="24"/>
      <c r="K1584" s="24"/>
      <c r="M1584" s="24"/>
      <c r="N1584" s="24"/>
      <c r="P1584" s="24"/>
    </row>
    <row r="1585" spans="2:16" x14ac:dyDescent="0.25">
      <c r="B1585" s="24"/>
      <c r="E1585" s="24"/>
      <c r="G1585" s="24"/>
      <c r="H1585" s="24"/>
      <c r="J1585" s="24"/>
      <c r="K1585" s="24"/>
      <c r="M1585" s="24"/>
      <c r="N1585" s="24"/>
      <c r="P1585" s="24"/>
    </row>
    <row r="1586" spans="2:16" x14ac:dyDescent="0.25">
      <c r="B1586" s="24"/>
      <c r="E1586" s="24"/>
      <c r="G1586" s="24"/>
      <c r="H1586" s="24"/>
      <c r="J1586" s="24"/>
      <c r="K1586" s="24"/>
      <c r="M1586" s="24"/>
      <c r="N1586" s="24"/>
      <c r="P1586" s="24"/>
    </row>
    <row r="1587" spans="2:16" x14ac:dyDescent="0.25">
      <c r="B1587" s="24"/>
      <c r="E1587" s="24"/>
      <c r="G1587" s="24"/>
      <c r="H1587" s="24"/>
      <c r="J1587" s="24"/>
      <c r="K1587" s="24"/>
      <c r="M1587" s="24"/>
      <c r="N1587" s="24"/>
      <c r="P1587" s="24"/>
    </row>
    <row r="1588" spans="2:16" x14ac:dyDescent="0.25">
      <c r="B1588" s="24"/>
      <c r="E1588" s="24"/>
      <c r="G1588" s="24"/>
      <c r="H1588" s="24"/>
      <c r="J1588" s="24"/>
      <c r="K1588" s="24"/>
      <c r="M1588" s="24"/>
      <c r="N1588" s="24"/>
      <c r="P1588" s="24"/>
    </row>
    <row r="1589" spans="2:16" x14ac:dyDescent="0.25">
      <c r="B1589" s="24"/>
      <c r="E1589" s="24"/>
      <c r="G1589" s="24"/>
      <c r="H1589" s="24"/>
      <c r="J1589" s="24"/>
      <c r="K1589" s="24"/>
      <c r="M1589" s="24"/>
      <c r="N1589" s="24"/>
      <c r="P1589" s="24"/>
    </row>
    <row r="1590" spans="2:16" x14ac:dyDescent="0.25">
      <c r="B1590" s="24"/>
      <c r="E1590" s="24"/>
      <c r="G1590" s="24"/>
      <c r="H1590" s="24"/>
      <c r="J1590" s="24"/>
      <c r="K1590" s="24"/>
      <c r="M1590" s="24"/>
      <c r="N1590" s="24"/>
      <c r="P1590" s="24"/>
    </row>
    <row r="1591" spans="2:16" x14ac:dyDescent="0.25">
      <c r="B1591" s="24"/>
      <c r="E1591" s="24"/>
      <c r="G1591" s="24"/>
      <c r="H1591" s="24"/>
      <c r="J1591" s="24"/>
      <c r="K1591" s="24"/>
      <c r="M1591" s="24"/>
      <c r="N1591" s="24"/>
      <c r="P1591" s="24"/>
    </row>
    <row r="1592" spans="2:16" x14ac:dyDescent="0.25">
      <c r="B1592" s="24"/>
      <c r="E1592" s="24"/>
      <c r="G1592" s="24"/>
      <c r="H1592" s="24"/>
      <c r="J1592" s="24"/>
      <c r="K1592" s="24"/>
      <c r="M1592" s="24"/>
      <c r="N1592" s="24"/>
      <c r="P1592" s="24"/>
    </row>
    <row r="1593" spans="2:16" x14ac:dyDescent="0.25">
      <c r="B1593" s="24"/>
      <c r="E1593" s="24"/>
      <c r="G1593" s="24"/>
      <c r="H1593" s="24"/>
      <c r="J1593" s="24"/>
      <c r="K1593" s="24"/>
      <c r="M1593" s="24"/>
      <c r="N1593" s="24"/>
      <c r="P1593" s="24"/>
    </row>
    <row r="1594" spans="2:16" x14ac:dyDescent="0.25">
      <c r="B1594" s="24"/>
      <c r="E1594" s="24"/>
      <c r="G1594" s="24"/>
      <c r="H1594" s="24"/>
      <c r="J1594" s="24"/>
      <c r="K1594" s="24"/>
      <c r="M1594" s="24"/>
      <c r="N1594" s="24"/>
      <c r="P1594" s="24"/>
    </row>
    <row r="1595" spans="2:16" x14ac:dyDescent="0.25">
      <c r="B1595" s="24"/>
      <c r="E1595" s="24"/>
      <c r="G1595" s="24"/>
      <c r="H1595" s="24"/>
      <c r="J1595" s="24"/>
      <c r="K1595" s="24"/>
      <c r="M1595" s="24"/>
      <c r="N1595" s="24"/>
      <c r="P1595" s="24"/>
    </row>
    <row r="1596" spans="2:16" x14ac:dyDescent="0.25">
      <c r="B1596" s="24"/>
      <c r="E1596" s="24"/>
      <c r="G1596" s="24"/>
      <c r="H1596" s="24"/>
      <c r="J1596" s="24"/>
      <c r="K1596" s="24"/>
      <c r="M1596" s="24"/>
      <c r="N1596" s="24"/>
      <c r="P1596" s="24"/>
    </row>
    <row r="1597" spans="2:16" x14ac:dyDescent="0.25">
      <c r="B1597" s="24"/>
      <c r="E1597" s="24"/>
      <c r="G1597" s="24"/>
      <c r="H1597" s="24"/>
      <c r="J1597" s="24"/>
      <c r="K1597" s="24"/>
      <c r="M1597" s="24"/>
      <c r="N1597" s="24"/>
      <c r="P1597" s="24"/>
    </row>
    <row r="1598" spans="2:16" x14ac:dyDescent="0.25">
      <c r="B1598" s="24"/>
      <c r="E1598" s="24"/>
      <c r="G1598" s="24"/>
      <c r="H1598" s="24"/>
      <c r="J1598" s="24"/>
      <c r="K1598" s="24"/>
      <c r="M1598" s="24"/>
      <c r="N1598" s="24"/>
      <c r="P1598" s="24"/>
    </row>
    <row r="1599" spans="2:16" x14ac:dyDescent="0.25">
      <c r="B1599" s="24"/>
      <c r="E1599" s="24"/>
      <c r="G1599" s="24"/>
      <c r="H1599" s="24"/>
      <c r="J1599" s="24"/>
      <c r="K1599" s="24"/>
      <c r="M1599" s="24"/>
      <c r="N1599" s="24"/>
      <c r="P1599" s="24"/>
    </row>
    <row r="1600" spans="2:16" x14ac:dyDescent="0.25">
      <c r="B1600" s="24"/>
      <c r="E1600" s="24"/>
      <c r="G1600" s="24"/>
      <c r="H1600" s="24"/>
      <c r="J1600" s="24"/>
      <c r="K1600" s="24"/>
      <c r="M1600" s="24"/>
      <c r="N1600" s="24"/>
      <c r="P1600" s="24"/>
    </row>
    <row r="1601" spans="2:16" x14ac:dyDescent="0.25">
      <c r="B1601" s="24"/>
      <c r="E1601" s="24"/>
      <c r="G1601" s="24"/>
      <c r="H1601" s="24"/>
      <c r="J1601" s="24"/>
      <c r="K1601" s="24"/>
      <c r="M1601" s="24"/>
      <c r="N1601" s="24"/>
      <c r="P1601" s="24"/>
    </row>
    <row r="1602" spans="2:16" x14ac:dyDescent="0.25">
      <c r="B1602" s="24"/>
      <c r="E1602" s="24"/>
      <c r="G1602" s="24"/>
      <c r="H1602" s="24"/>
      <c r="J1602" s="24"/>
      <c r="K1602" s="24"/>
      <c r="M1602" s="24"/>
      <c r="N1602" s="24"/>
      <c r="P1602" s="24"/>
    </row>
    <row r="1603" spans="2:16" x14ac:dyDescent="0.25">
      <c r="B1603" s="24"/>
      <c r="E1603" s="24"/>
      <c r="G1603" s="24"/>
      <c r="H1603" s="24"/>
      <c r="J1603" s="24"/>
      <c r="K1603" s="24"/>
      <c r="M1603" s="24"/>
      <c r="N1603" s="24"/>
      <c r="P1603" s="24"/>
    </row>
    <row r="1604" spans="2:16" x14ac:dyDescent="0.25">
      <c r="B1604" s="24"/>
      <c r="E1604" s="24"/>
      <c r="G1604" s="24"/>
      <c r="H1604" s="24"/>
      <c r="J1604" s="24"/>
      <c r="K1604" s="24"/>
      <c r="M1604" s="24"/>
      <c r="N1604" s="24"/>
      <c r="P1604" s="24"/>
    </row>
    <row r="1605" spans="2:16" x14ac:dyDescent="0.25">
      <c r="B1605" s="24"/>
      <c r="E1605" s="24"/>
      <c r="G1605" s="24"/>
      <c r="H1605" s="24"/>
      <c r="J1605" s="24"/>
      <c r="K1605" s="24"/>
      <c r="M1605" s="24"/>
      <c r="N1605" s="24"/>
      <c r="P1605" s="24"/>
    </row>
    <row r="1606" spans="2:16" x14ac:dyDescent="0.25">
      <c r="B1606" s="24"/>
      <c r="E1606" s="24"/>
      <c r="G1606" s="24"/>
      <c r="H1606" s="24"/>
      <c r="J1606" s="24"/>
      <c r="K1606" s="24"/>
      <c r="M1606" s="24"/>
      <c r="N1606" s="24"/>
      <c r="P1606" s="24"/>
    </row>
    <row r="1607" spans="2:16" x14ac:dyDescent="0.25">
      <c r="B1607" s="24"/>
      <c r="E1607" s="24"/>
      <c r="G1607" s="24"/>
      <c r="H1607" s="24"/>
      <c r="J1607" s="24"/>
      <c r="K1607" s="24"/>
      <c r="M1607" s="24"/>
      <c r="N1607" s="24"/>
      <c r="P1607" s="24"/>
    </row>
    <row r="1608" spans="2:16" x14ac:dyDescent="0.25">
      <c r="B1608" s="24"/>
      <c r="E1608" s="24"/>
      <c r="G1608" s="24"/>
      <c r="H1608" s="24"/>
      <c r="J1608" s="24"/>
      <c r="K1608" s="24"/>
      <c r="M1608" s="24"/>
      <c r="N1608" s="24"/>
      <c r="P1608" s="24"/>
    </row>
    <row r="1609" spans="2:16" x14ac:dyDescent="0.25">
      <c r="B1609" s="24"/>
      <c r="E1609" s="24"/>
      <c r="G1609" s="24"/>
      <c r="H1609" s="24"/>
      <c r="J1609" s="24"/>
      <c r="K1609" s="24"/>
      <c r="M1609" s="24"/>
      <c r="N1609" s="24"/>
      <c r="P1609" s="24"/>
    </row>
    <row r="1610" spans="2:16" x14ac:dyDescent="0.25">
      <c r="B1610" s="24"/>
      <c r="E1610" s="24"/>
      <c r="G1610" s="24"/>
      <c r="H1610" s="24"/>
      <c r="J1610" s="24"/>
      <c r="K1610" s="24"/>
      <c r="M1610" s="24"/>
      <c r="N1610" s="24"/>
      <c r="P1610" s="24"/>
    </row>
    <row r="1611" spans="2:16" x14ac:dyDescent="0.25">
      <c r="B1611" s="24"/>
      <c r="E1611" s="24"/>
      <c r="G1611" s="24"/>
      <c r="H1611" s="24"/>
      <c r="J1611" s="24"/>
      <c r="K1611" s="24"/>
      <c r="M1611" s="24"/>
      <c r="N1611" s="24"/>
      <c r="P1611" s="24"/>
    </row>
    <row r="1612" spans="2:16" x14ac:dyDescent="0.25">
      <c r="B1612" s="24"/>
      <c r="E1612" s="24"/>
      <c r="G1612" s="24"/>
      <c r="H1612" s="24"/>
      <c r="J1612" s="24"/>
      <c r="K1612" s="24"/>
      <c r="M1612" s="24"/>
      <c r="N1612" s="24"/>
      <c r="P1612" s="24"/>
    </row>
    <row r="1613" spans="2:16" x14ac:dyDescent="0.25">
      <c r="B1613" s="24"/>
      <c r="E1613" s="24"/>
      <c r="G1613" s="24"/>
      <c r="H1613" s="24"/>
      <c r="J1613" s="24"/>
      <c r="K1613" s="24"/>
      <c r="M1613" s="24"/>
      <c r="N1613" s="24"/>
      <c r="P1613" s="24"/>
    </row>
    <row r="1614" spans="2:16" x14ac:dyDescent="0.25">
      <c r="B1614" s="24"/>
      <c r="E1614" s="24"/>
      <c r="G1614" s="24"/>
      <c r="H1614" s="24"/>
      <c r="J1614" s="24"/>
      <c r="K1614" s="24"/>
      <c r="M1614" s="24"/>
      <c r="N1614" s="24"/>
      <c r="P1614" s="24"/>
    </row>
    <row r="1615" spans="2:16" x14ac:dyDescent="0.25">
      <c r="B1615" s="24"/>
      <c r="E1615" s="24"/>
      <c r="G1615" s="24"/>
      <c r="H1615" s="24"/>
      <c r="J1615" s="24"/>
      <c r="K1615" s="24"/>
      <c r="M1615" s="24"/>
      <c r="N1615" s="24"/>
      <c r="P1615" s="24"/>
    </row>
    <row r="1616" spans="2:16" x14ac:dyDescent="0.25">
      <c r="B1616" s="24"/>
      <c r="E1616" s="24"/>
      <c r="G1616" s="24"/>
      <c r="H1616" s="24"/>
      <c r="J1616" s="24"/>
      <c r="K1616" s="24"/>
      <c r="M1616" s="24"/>
      <c r="N1616" s="24"/>
      <c r="P1616" s="24"/>
    </row>
    <row r="1617" spans="2:16" x14ac:dyDescent="0.25">
      <c r="B1617" s="24"/>
      <c r="E1617" s="24"/>
      <c r="G1617" s="24"/>
      <c r="H1617" s="24"/>
      <c r="J1617" s="24"/>
      <c r="K1617" s="24"/>
      <c r="M1617" s="24"/>
      <c r="N1617" s="24"/>
      <c r="P1617" s="24"/>
    </row>
    <row r="1618" spans="2:16" x14ac:dyDescent="0.25">
      <c r="B1618" s="24"/>
      <c r="E1618" s="24"/>
      <c r="G1618" s="24"/>
      <c r="H1618" s="24"/>
      <c r="J1618" s="24"/>
      <c r="K1618" s="24"/>
      <c r="M1618" s="24"/>
      <c r="N1618" s="24"/>
      <c r="P1618" s="24"/>
    </row>
    <row r="1619" spans="2:16" x14ac:dyDescent="0.25">
      <c r="B1619" s="24"/>
      <c r="E1619" s="24"/>
      <c r="G1619" s="24"/>
      <c r="H1619" s="24"/>
      <c r="J1619" s="24"/>
      <c r="K1619" s="24"/>
      <c r="M1619" s="24"/>
      <c r="N1619" s="24"/>
      <c r="P1619" s="24"/>
    </row>
    <row r="1620" spans="2:16" x14ac:dyDescent="0.25">
      <c r="B1620" s="24"/>
      <c r="E1620" s="24"/>
      <c r="G1620" s="24"/>
      <c r="H1620" s="24"/>
      <c r="J1620" s="24"/>
      <c r="K1620" s="24"/>
      <c r="M1620" s="24"/>
      <c r="N1620" s="24"/>
      <c r="P1620" s="24"/>
    </row>
    <row r="1621" spans="2:16" x14ac:dyDescent="0.25">
      <c r="B1621" s="24"/>
      <c r="E1621" s="24"/>
      <c r="G1621" s="24"/>
      <c r="H1621" s="24"/>
      <c r="J1621" s="24"/>
      <c r="K1621" s="24"/>
      <c r="M1621" s="24"/>
      <c r="N1621" s="24"/>
      <c r="P1621" s="24"/>
    </row>
    <row r="1622" spans="2:16" x14ac:dyDescent="0.25">
      <c r="B1622" s="24"/>
      <c r="E1622" s="24"/>
      <c r="G1622" s="24"/>
      <c r="H1622" s="24"/>
      <c r="J1622" s="24"/>
      <c r="K1622" s="24"/>
      <c r="M1622" s="24"/>
      <c r="N1622" s="24"/>
      <c r="P1622" s="24"/>
    </row>
    <row r="1623" spans="2:16" x14ac:dyDescent="0.25">
      <c r="B1623" s="24"/>
      <c r="E1623" s="24"/>
      <c r="G1623" s="24"/>
      <c r="H1623" s="24"/>
      <c r="J1623" s="24"/>
      <c r="K1623" s="24"/>
      <c r="M1623" s="24"/>
      <c r="N1623" s="24"/>
      <c r="P1623" s="24"/>
    </row>
    <row r="1624" spans="2:16" x14ac:dyDescent="0.25">
      <c r="B1624" s="24"/>
      <c r="E1624" s="24"/>
      <c r="G1624" s="24"/>
      <c r="H1624" s="24"/>
      <c r="J1624" s="24"/>
      <c r="K1624" s="24"/>
      <c r="M1624" s="24"/>
      <c r="N1624" s="24"/>
      <c r="P1624" s="24"/>
    </row>
    <row r="1625" spans="2:16" x14ac:dyDescent="0.25">
      <c r="B1625" s="24"/>
      <c r="E1625" s="24"/>
      <c r="G1625" s="24"/>
      <c r="H1625" s="24"/>
      <c r="J1625" s="24"/>
      <c r="K1625" s="24"/>
      <c r="M1625" s="24"/>
      <c r="N1625" s="24"/>
      <c r="P1625" s="24"/>
    </row>
    <row r="1626" spans="2:16" x14ac:dyDescent="0.25">
      <c r="B1626" s="24"/>
      <c r="E1626" s="24"/>
      <c r="G1626" s="24"/>
      <c r="H1626" s="24"/>
      <c r="J1626" s="24"/>
      <c r="K1626" s="24"/>
      <c r="M1626" s="24"/>
      <c r="N1626" s="24"/>
      <c r="P1626" s="24"/>
    </row>
    <row r="1627" spans="2:16" x14ac:dyDescent="0.25">
      <c r="B1627" s="24"/>
      <c r="E1627" s="24"/>
      <c r="G1627" s="24"/>
      <c r="H1627" s="24"/>
      <c r="J1627" s="24"/>
      <c r="K1627" s="24"/>
      <c r="M1627" s="24"/>
      <c r="N1627" s="24"/>
      <c r="P1627" s="24"/>
    </row>
    <row r="1628" spans="2:16" x14ac:dyDescent="0.25">
      <c r="B1628" s="24"/>
      <c r="E1628" s="24"/>
      <c r="G1628" s="24"/>
      <c r="H1628" s="24"/>
      <c r="J1628" s="24"/>
      <c r="K1628" s="24"/>
      <c r="M1628" s="24"/>
      <c r="N1628" s="24"/>
      <c r="P1628" s="24"/>
    </row>
    <row r="1629" spans="2:16" x14ac:dyDescent="0.25">
      <c r="B1629" s="24"/>
      <c r="E1629" s="24"/>
      <c r="G1629" s="24"/>
      <c r="H1629" s="24"/>
      <c r="J1629" s="24"/>
      <c r="K1629" s="24"/>
      <c r="M1629" s="24"/>
      <c r="N1629" s="24"/>
      <c r="P1629" s="24"/>
    </row>
    <row r="1630" spans="2:16" x14ac:dyDescent="0.25">
      <c r="B1630" s="24"/>
      <c r="E1630" s="24"/>
      <c r="G1630" s="24"/>
      <c r="H1630" s="24"/>
      <c r="J1630" s="24"/>
      <c r="K1630" s="24"/>
      <c r="M1630" s="24"/>
      <c r="N1630" s="24"/>
      <c r="P1630" s="24"/>
    </row>
    <row r="1631" spans="2:16" x14ac:dyDescent="0.25">
      <c r="B1631" s="24"/>
      <c r="E1631" s="24"/>
      <c r="G1631" s="24"/>
      <c r="H1631" s="24"/>
      <c r="J1631" s="24"/>
      <c r="K1631" s="24"/>
      <c r="M1631" s="24"/>
      <c r="N1631" s="24"/>
      <c r="P1631" s="24"/>
    </row>
    <row r="1632" spans="2:16" x14ac:dyDescent="0.25">
      <c r="B1632" s="24"/>
      <c r="E1632" s="24"/>
      <c r="G1632" s="24"/>
      <c r="H1632" s="24"/>
      <c r="J1632" s="24"/>
      <c r="K1632" s="24"/>
      <c r="M1632" s="24"/>
      <c r="N1632" s="24"/>
      <c r="P1632" s="24"/>
    </row>
    <row r="1633" spans="2:16" x14ac:dyDescent="0.25">
      <c r="B1633" s="24"/>
      <c r="E1633" s="24"/>
      <c r="G1633" s="24"/>
      <c r="H1633" s="24"/>
      <c r="J1633" s="24"/>
      <c r="K1633" s="24"/>
      <c r="M1633" s="24"/>
      <c r="N1633" s="24"/>
      <c r="P1633" s="24"/>
    </row>
    <row r="1634" spans="2:16" x14ac:dyDescent="0.25">
      <c r="B1634" s="24"/>
      <c r="E1634" s="24"/>
      <c r="G1634" s="24"/>
      <c r="H1634" s="24"/>
      <c r="J1634" s="24"/>
      <c r="K1634" s="24"/>
      <c r="M1634" s="24"/>
      <c r="N1634" s="24"/>
      <c r="P1634" s="24"/>
    </row>
    <row r="1635" spans="2:16" x14ac:dyDescent="0.25">
      <c r="B1635" s="24"/>
      <c r="E1635" s="24"/>
      <c r="G1635" s="24"/>
      <c r="H1635" s="24"/>
      <c r="J1635" s="24"/>
      <c r="K1635" s="24"/>
      <c r="M1635" s="24"/>
      <c r="N1635" s="24"/>
      <c r="P1635" s="24"/>
    </row>
    <row r="1636" spans="2:16" x14ac:dyDescent="0.25">
      <c r="B1636" s="24"/>
      <c r="E1636" s="24"/>
      <c r="G1636" s="24"/>
      <c r="H1636" s="24"/>
      <c r="J1636" s="24"/>
      <c r="K1636" s="24"/>
      <c r="M1636" s="24"/>
      <c r="N1636" s="24"/>
      <c r="P1636" s="24"/>
    </row>
    <row r="1637" spans="2:16" x14ac:dyDescent="0.25">
      <c r="B1637" s="24"/>
      <c r="E1637" s="24"/>
      <c r="G1637" s="24"/>
      <c r="H1637" s="24"/>
      <c r="J1637" s="24"/>
      <c r="K1637" s="24"/>
      <c r="M1637" s="24"/>
      <c r="N1637" s="24"/>
      <c r="P1637" s="24"/>
    </row>
    <row r="1638" spans="2:16" x14ac:dyDescent="0.25">
      <c r="B1638" s="24"/>
      <c r="E1638" s="24"/>
      <c r="G1638" s="24"/>
      <c r="H1638" s="24"/>
      <c r="J1638" s="24"/>
      <c r="K1638" s="24"/>
      <c r="M1638" s="24"/>
      <c r="N1638" s="24"/>
      <c r="P1638" s="24"/>
    </row>
    <row r="1639" spans="2:16" x14ac:dyDescent="0.25">
      <c r="B1639" s="24"/>
      <c r="E1639" s="24"/>
      <c r="G1639" s="24"/>
      <c r="H1639" s="24"/>
      <c r="J1639" s="24"/>
      <c r="K1639" s="24"/>
      <c r="M1639" s="24"/>
      <c r="N1639" s="24"/>
      <c r="P1639" s="24"/>
    </row>
    <row r="1640" spans="2:16" x14ac:dyDescent="0.25">
      <c r="B1640" s="24"/>
      <c r="E1640" s="24"/>
      <c r="G1640" s="24"/>
      <c r="H1640" s="24"/>
      <c r="J1640" s="24"/>
      <c r="K1640" s="24"/>
      <c r="M1640" s="24"/>
      <c r="N1640" s="24"/>
      <c r="P1640" s="24"/>
    </row>
    <row r="1641" spans="2:16" x14ac:dyDescent="0.25">
      <c r="B1641" s="24"/>
      <c r="E1641" s="24"/>
      <c r="G1641" s="24"/>
      <c r="H1641" s="24"/>
      <c r="J1641" s="24"/>
      <c r="K1641" s="24"/>
      <c r="M1641" s="24"/>
      <c r="N1641" s="24"/>
      <c r="P1641" s="24"/>
    </row>
    <row r="1642" spans="2:16" x14ac:dyDescent="0.25">
      <c r="B1642" s="24"/>
      <c r="E1642" s="24"/>
      <c r="G1642" s="24"/>
      <c r="H1642" s="24"/>
      <c r="J1642" s="24"/>
      <c r="K1642" s="24"/>
      <c r="M1642" s="24"/>
      <c r="N1642" s="24"/>
      <c r="P1642" s="24"/>
    </row>
    <row r="1643" spans="2:16" x14ac:dyDescent="0.25">
      <c r="B1643" s="24"/>
      <c r="E1643" s="24"/>
      <c r="G1643" s="24"/>
      <c r="H1643" s="24"/>
      <c r="J1643" s="24"/>
      <c r="K1643" s="24"/>
      <c r="M1643" s="24"/>
      <c r="N1643" s="24"/>
      <c r="P1643" s="24"/>
    </row>
    <row r="1644" spans="2:16" x14ac:dyDescent="0.25">
      <c r="B1644" s="24"/>
      <c r="E1644" s="24"/>
      <c r="G1644" s="24"/>
      <c r="H1644" s="24"/>
      <c r="J1644" s="24"/>
      <c r="K1644" s="24"/>
      <c r="M1644" s="24"/>
      <c r="N1644" s="24"/>
      <c r="P1644" s="24"/>
    </row>
    <row r="1645" spans="2:16" x14ac:dyDescent="0.25">
      <c r="B1645" s="24"/>
      <c r="E1645" s="24"/>
      <c r="G1645" s="24"/>
      <c r="H1645" s="24"/>
      <c r="J1645" s="24"/>
      <c r="K1645" s="24"/>
      <c r="M1645" s="24"/>
      <c r="N1645" s="24"/>
      <c r="P1645" s="24"/>
    </row>
    <row r="1646" spans="2:16" x14ac:dyDescent="0.25">
      <c r="B1646" s="24"/>
      <c r="E1646" s="24"/>
      <c r="G1646" s="24"/>
      <c r="H1646" s="24"/>
      <c r="J1646" s="24"/>
      <c r="K1646" s="24"/>
      <c r="M1646" s="24"/>
      <c r="N1646" s="24"/>
      <c r="P1646" s="24"/>
    </row>
    <row r="1647" spans="2:16" x14ac:dyDescent="0.25">
      <c r="B1647" s="24"/>
      <c r="E1647" s="24"/>
      <c r="G1647" s="24"/>
      <c r="H1647" s="24"/>
      <c r="J1647" s="24"/>
      <c r="K1647" s="24"/>
      <c r="M1647" s="24"/>
      <c r="N1647" s="24"/>
      <c r="P1647" s="24"/>
    </row>
    <row r="1648" spans="2:16" x14ac:dyDescent="0.25">
      <c r="B1648" s="24"/>
      <c r="E1648" s="24"/>
      <c r="G1648" s="24"/>
      <c r="H1648" s="24"/>
      <c r="J1648" s="24"/>
      <c r="K1648" s="24"/>
      <c r="M1648" s="24"/>
      <c r="N1648" s="24"/>
      <c r="P1648" s="24"/>
    </row>
    <row r="1649" spans="2:16" x14ac:dyDescent="0.25">
      <c r="B1649" s="24"/>
      <c r="E1649" s="24"/>
      <c r="G1649" s="24"/>
      <c r="H1649" s="24"/>
      <c r="J1649" s="24"/>
      <c r="K1649" s="24"/>
      <c r="M1649" s="24"/>
      <c r="N1649" s="24"/>
      <c r="P1649" s="24"/>
    </row>
    <row r="1650" spans="2:16" x14ac:dyDescent="0.25">
      <c r="B1650" s="24"/>
      <c r="E1650" s="24"/>
      <c r="G1650" s="24"/>
      <c r="H1650" s="24"/>
      <c r="J1650" s="24"/>
      <c r="K1650" s="24"/>
      <c r="M1650" s="24"/>
      <c r="N1650" s="24"/>
      <c r="P1650" s="24"/>
    </row>
    <row r="1651" spans="2:16" x14ac:dyDescent="0.25">
      <c r="B1651" s="24"/>
      <c r="E1651" s="24"/>
      <c r="G1651" s="24"/>
      <c r="H1651" s="24"/>
      <c r="J1651" s="24"/>
      <c r="K1651" s="24"/>
      <c r="M1651" s="24"/>
      <c r="N1651" s="24"/>
      <c r="P1651" s="24"/>
    </row>
    <row r="1652" spans="2:16" x14ac:dyDescent="0.25">
      <c r="B1652" s="24"/>
      <c r="E1652" s="24"/>
      <c r="G1652" s="24"/>
      <c r="H1652" s="24"/>
      <c r="J1652" s="24"/>
      <c r="K1652" s="24"/>
      <c r="M1652" s="24"/>
      <c r="N1652" s="24"/>
      <c r="P1652" s="24"/>
    </row>
    <row r="1653" spans="2:16" x14ac:dyDescent="0.25">
      <c r="B1653" s="24"/>
      <c r="E1653" s="24"/>
      <c r="G1653" s="24"/>
      <c r="H1653" s="24"/>
      <c r="J1653" s="24"/>
      <c r="K1653" s="24"/>
      <c r="M1653" s="24"/>
      <c r="N1653" s="24"/>
      <c r="P1653" s="24"/>
    </row>
    <row r="1654" spans="2:16" x14ac:dyDescent="0.25">
      <c r="B1654" s="24"/>
      <c r="E1654" s="24"/>
      <c r="G1654" s="24"/>
      <c r="H1654" s="24"/>
      <c r="J1654" s="24"/>
      <c r="K1654" s="24"/>
      <c r="M1654" s="24"/>
      <c r="N1654" s="24"/>
      <c r="P1654" s="24"/>
    </row>
    <row r="1655" spans="2:16" x14ac:dyDescent="0.25">
      <c r="B1655" s="24"/>
      <c r="E1655" s="24"/>
      <c r="G1655" s="24"/>
      <c r="H1655" s="24"/>
      <c r="J1655" s="24"/>
      <c r="K1655" s="24"/>
      <c r="M1655" s="24"/>
      <c r="N1655" s="24"/>
      <c r="P1655" s="24"/>
    </row>
    <row r="1656" spans="2:16" x14ac:dyDescent="0.25">
      <c r="B1656" s="24"/>
      <c r="E1656" s="24"/>
      <c r="G1656" s="24"/>
      <c r="H1656" s="24"/>
      <c r="J1656" s="24"/>
      <c r="K1656" s="24"/>
      <c r="M1656" s="24"/>
      <c r="N1656" s="24"/>
      <c r="P1656" s="24"/>
    </row>
    <row r="1657" spans="2:16" x14ac:dyDescent="0.25">
      <c r="B1657" s="24"/>
      <c r="E1657" s="24"/>
      <c r="G1657" s="24"/>
      <c r="H1657" s="24"/>
      <c r="J1657" s="24"/>
      <c r="K1657" s="24"/>
      <c r="M1657" s="24"/>
      <c r="N1657" s="24"/>
      <c r="P1657" s="24"/>
    </row>
    <row r="1658" spans="2:16" x14ac:dyDescent="0.25">
      <c r="B1658" s="24"/>
      <c r="E1658" s="24"/>
      <c r="G1658" s="24"/>
      <c r="H1658" s="24"/>
      <c r="J1658" s="24"/>
      <c r="K1658" s="24"/>
      <c r="M1658" s="24"/>
      <c r="N1658" s="24"/>
      <c r="P1658" s="24"/>
    </row>
    <row r="1659" spans="2:16" x14ac:dyDescent="0.25">
      <c r="B1659" s="24"/>
      <c r="E1659" s="24"/>
      <c r="G1659" s="24"/>
      <c r="H1659" s="24"/>
      <c r="J1659" s="24"/>
      <c r="K1659" s="24"/>
      <c r="M1659" s="24"/>
      <c r="N1659" s="24"/>
      <c r="P1659" s="24"/>
    </row>
    <row r="1660" spans="2:16" x14ac:dyDescent="0.25">
      <c r="B1660" s="24"/>
      <c r="E1660" s="24"/>
      <c r="G1660" s="24"/>
      <c r="H1660" s="24"/>
      <c r="J1660" s="24"/>
      <c r="K1660" s="24"/>
      <c r="M1660" s="24"/>
      <c r="N1660" s="24"/>
      <c r="P1660" s="24"/>
    </row>
    <row r="1661" spans="2:16" x14ac:dyDescent="0.25">
      <c r="B1661" s="24"/>
      <c r="E1661" s="24"/>
      <c r="G1661" s="24"/>
      <c r="H1661" s="24"/>
      <c r="J1661" s="24"/>
      <c r="K1661" s="24"/>
      <c r="M1661" s="24"/>
      <c r="N1661" s="24"/>
      <c r="P1661" s="24"/>
    </row>
    <row r="1662" spans="2:16" x14ac:dyDescent="0.25">
      <c r="B1662" s="24"/>
      <c r="E1662" s="24"/>
      <c r="G1662" s="24"/>
      <c r="H1662" s="24"/>
      <c r="J1662" s="24"/>
      <c r="K1662" s="24"/>
      <c r="M1662" s="24"/>
      <c r="N1662" s="24"/>
      <c r="P1662" s="24"/>
    </row>
    <row r="1663" spans="2:16" x14ac:dyDescent="0.25">
      <c r="B1663" s="24"/>
      <c r="E1663" s="24"/>
      <c r="G1663" s="24"/>
      <c r="H1663" s="24"/>
      <c r="J1663" s="24"/>
      <c r="K1663" s="24"/>
      <c r="M1663" s="24"/>
      <c r="N1663" s="24"/>
      <c r="P1663" s="24"/>
    </row>
    <row r="1664" spans="2:16" x14ac:dyDescent="0.25">
      <c r="B1664" s="24"/>
      <c r="E1664" s="24"/>
      <c r="G1664" s="24"/>
      <c r="H1664" s="24"/>
      <c r="J1664" s="24"/>
      <c r="K1664" s="24"/>
      <c r="M1664" s="24"/>
      <c r="N1664" s="24"/>
      <c r="P1664" s="24"/>
    </row>
    <row r="1665" spans="2:16" x14ac:dyDescent="0.25">
      <c r="B1665" s="24"/>
      <c r="E1665" s="24"/>
      <c r="G1665" s="24"/>
      <c r="H1665" s="24"/>
      <c r="J1665" s="24"/>
      <c r="K1665" s="24"/>
      <c r="M1665" s="24"/>
      <c r="N1665" s="24"/>
      <c r="P1665" s="24"/>
    </row>
    <row r="1666" spans="2:16" x14ac:dyDescent="0.25">
      <c r="B1666" s="24"/>
      <c r="E1666" s="24"/>
      <c r="G1666" s="24"/>
      <c r="H1666" s="24"/>
      <c r="J1666" s="24"/>
      <c r="K1666" s="24"/>
      <c r="M1666" s="24"/>
      <c r="N1666" s="24"/>
      <c r="P1666" s="24"/>
    </row>
    <row r="1667" spans="2:16" x14ac:dyDescent="0.25">
      <c r="B1667" s="24"/>
      <c r="E1667" s="24"/>
      <c r="G1667" s="24"/>
      <c r="H1667" s="24"/>
      <c r="J1667" s="24"/>
      <c r="K1667" s="24"/>
      <c r="M1667" s="24"/>
      <c r="N1667" s="24"/>
      <c r="P1667" s="24"/>
    </row>
    <row r="1668" spans="2:16" x14ac:dyDescent="0.25">
      <c r="B1668" s="24"/>
      <c r="E1668" s="24"/>
      <c r="G1668" s="24"/>
      <c r="H1668" s="24"/>
      <c r="J1668" s="24"/>
      <c r="K1668" s="24"/>
      <c r="M1668" s="24"/>
      <c r="N1668" s="24"/>
      <c r="P1668" s="24"/>
    </row>
    <row r="1669" spans="2:16" x14ac:dyDescent="0.25">
      <c r="B1669" s="24"/>
      <c r="E1669" s="24"/>
      <c r="G1669" s="24"/>
      <c r="H1669" s="24"/>
      <c r="J1669" s="24"/>
      <c r="K1669" s="24"/>
      <c r="M1669" s="24"/>
      <c r="N1669" s="24"/>
      <c r="P1669" s="24"/>
    </row>
    <row r="1670" spans="2:16" x14ac:dyDescent="0.25">
      <c r="B1670" s="24"/>
      <c r="E1670" s="24"/>
      <c r="G1670" s="24"/>
      <c r="H1670" s="24"/>
      <c r="J1670" s="24"/>
      <c r="K1670" s="24"/>
      <c r="M1670" s="24"/>
      <c r="N1670" s="24"/>
      <c r="P1670" s="24"/>
    </row>
    <row r="1671" spans="2:16" x14ac:dyDescent="0.25">
      <c r="B1671" s="24"/>
      <c r="E1671" s="24"/>
      <c r="G1671" s="24"/>
      <c r="H1671" s="24"/>
      <c r="J1671" s="24"/>
      <c r="K1671" s="24"/>
      <c r="M1671" s="24"/>
      <c r="N1671" s="24"/>
      <c r="P1671" s="24"/>
    </row>
    <row r="1672" spans="2:16" x14ac:dyDescent="0.25">
      <c r="B1672" s="24"/>
      <c r="E1672" s="24"/>
      <c r="G1672" s="24"/>
      <c r="H1672" s="24"/>
      <c r="J1672" s="24"/>
      <c r="K1672" s="24"/>
      <c r="M1672" s="24"/>
      <c r="N1672" s="24"/>
      <c r="P1672" s="24"/>
    </row>
    <row r="1673" spans="2:16" x14ac:dyDescent="0.25">
      <c r="B1673" s="24"/>
      <c r="E1673" s="24"/>
      <c r="G1673" s="24"/>
      <c r="H1673" s="24"/>
      <c r="J1673" s="24"/>
      <c r="K1673" s="24"/>
      <c r="M1673" s="24"/>
      <c r="N1673" s="24"/>
      <c r="P1673" s="24"/>
    </row>
    <row r="1674" spans="2:16" x14ac:dyDescent="0.25">
      <c r="B1674" s="24"/>
      <c r="E1674" s="24"/>
      <c r="G1674" s="24"/>
      <c r="H1674" s="24"/>
      <c r="J1674" s="24"/>
      <c r="K1674" s="24"/>
      <c r="M1674" s="24"/>
      <c r="N1674" s="24"/>
      <c r="P1674" s="24"/>
    </row>
    <row r="1675" spans="2:16" x14ac:dyDescent="0.25">
      <c r="B1675" s="24"/>
      <c r="E1675" s="24"/>
      <c r="G1675" s="24"/>
      <c r="H1675" s="24"/>
      <c r="J1675" s="24"/>
      <c r="K1675" s="24"/>
      <c r="M1675" s="24"/>
      <c r="N1675" s="24"/>
      <c r="P1675" s="24"/>
    </row>
    <row r="1676" spans="2:16" x14ac:dyDescent="0.25">
      <c r="B1676" s="24"/>
      <c r="E1676" s="24"/>
      <c r="G1676" s="24"/>
      <c r="H1676" s="24"/>
      <c r="J1676" s="24"/>
      <c r="K1676" s="24"/>
      <c r="M1676" s="24"/>
      <c r="N1676" s="24"/>
      <c r="P1676" s="24"/>
    </row>
    <row r="1677" spans="2:16" x14ac:dyDescent="0.25">
      <c r="B1677" s="24"/>
      <c r="E1677" s="24"/>
      <c r="G1677" s="24"/>
      <c r="H1677" s="24"/>
      <c r="J1677" s="24"/>
      <c r="K1677" s="24"/>
      <c r="M1677" s="24"/>
      <c r="N1677" s="24"/>
      <c r="P1677" s="24"/>
    </row>
    <row r="1678" spans="2:16" x14ac:dyDescent="0.25">
      <c r="B1678" s="24"/>
      <c r="E1678" s="24"/>
      <c r="G1678" s="24"/>
      <c r="H1678" s="24"/>
      <c r="J1678" s="24"/>
      <c r="K1678" s="24"/>
      <c r="M1678" s="24"/>
      <c r="N1678" s="24"/>
      <c r="P1678" s="24"/>
    </row>
    <row r="1679" spans="2:16" x14ac:dyDescent="0.25">
      <c r="B1679" s="24"/>
      <c r="E1679" s="24"/>
      <c r="G1679" s="24"/>
      <c r="H1679" s="24"/>
      <c r="J1679" s="24"/>
      <c r="K1679" s="24"/>
      <c r="M1679" s="24"/>
      <c r="N1679" s="24"/>
      <c r="P1679" s="24"/>
    </row>
    <row r="1680" spans="2:16" x14ac:dyDescent="0.25">
      <c r="B1680" s="24"/>
      <c r="E1680" s="24"/>
      <c r="G1680" s="24"/>
      <c r="H1680" s="24"/>
      <c r="J1680" s="24"/>
      <c r="K1680" s="24"/>
      <c r="M1680" s="24"/>
      <c r="N1680" s="24"/>
      <c r="P1680" s="24"/>
    </row>
    <row r="1681" spans="2:16" x14ac:dyDescent="0.25">
      <c r="B1681" s="24"/>
      <c r="E1681" s="24"/>
      <c r="G1681" s="24"/>
      <c r="H1681" s="24"/>
      <c r="J1681" s="24"/>
      <c r="K1681" s="24"/>
      <c r="M1681" s="24"/>
      <c r="N1681" s="24"/>
      <c r="P1681" s="24"/>
    </row>
    <row r="1682" spans="2:16" x14ac:dyDescent="0.25">
      <c r="B1682" s="24"/>
      <c r="E1682" s="24"/>
      <c r="G1682" s="24"/>
      <c r="H1682" s="24"/>
      <c r="J1682" s="24"/>
      <c r="K1682" s="24"/>
      <c r="M1682" s="24"/>
      <c r="N1682" s="24"/>
      <c r="P1682" s="24"/>
    </row>
    <row r="1683" spans="2:16" x14ac:dyDescent="0.25">
      <c r="B1683" s="24"/>
      <c r="E1683" s="24"/>
      <c r="G1683" s="24"/>
      <c r="H1683" s="24"/>
      <c r="J1683" s="24"/>
      <c r="K1683" s="24"/>
      <c r="M1683" s="24"/>
      <c r="N1683" s="24"/>
      <c r="P1683" s="24"/>
    </row>
    <row r="1684" spans="2:16" x14ac:dyDescent="0.25">
      <c r="B1684" s="24"/>
      <c r="E1684" s="24"/>
      <c r="G1684" s="24"/>
      <c r="H1684" s="24"/>
      <c r="J1684" s="24"/>
      <c r="K1684" s="24"/>
      <c r="M1684" s="24"/>
      <c r="N1684" s="24"/>
      <c r="P1684" s="24"/>
    </row>
    <row r="1685" spans="2:16" x14ac:dyDescent="0.25">
      <c r="B1685" s="24"/>
      <c r="E1685" s="24"/>
      <c r="G1685" s="24"/>
      <c r="H1685" s="24"/>
      <c r="J1685" s="24"/>
      <c r="K1685" s="24"/>
      <c r="M1685" s="24"/>
      <c r="N1685" s="24"/>
      <c r="P1685" s="24"/>
    </row>
    <row r="1686" spans="2:16" x14ac:dyDescent="0.25">
      <c r="B1686" s="24"/>
      <c r="E1686" s="24"/>
      <c r="G1686" s="24"/>
      <c r="H1686" s="24"/>
      <c r="J1686" s="24"/>
      <c r="K1686" s="24"/>
      <c r="M1686" s="24"/>
      <c r="N1686" s="24"/>
      <c r="P1686" s="24"/>
    </row>
    <row r="1687" spans="2:16" x14ac:dyDescent="0.25">
      <c r="B1687" s="24"/>
      <c r="E1687" s="24"/>
      <c r="G1687" s="24"/>
      <c r="H1687" s="24"/>
      <c r="J1687" s="24"/>
      <c r="K1687" s="24"/>
      <c r="M1687" s="24"/>
      <c r="N1687" s="24"/>
      <c r="P1687" s="24"/>
    </row>
    <row r="1688" spans="2:16" x14ac:dyDescent="0.25">
      <c r="B1688" s="24"/>
      <c r="E1688" s="24"/>
      <c r="G1688" s="24"/>
      <c r="H1688" s="24"/>
      <c r="J1688" s="24"/>
      <c r="K1688" s="24"/>
      <c r="M1688" s="24"/>
      <c r="N1688" s="24"/>
      <c r="P1688" s="24"/>
    </row>
    <row r="1689" spans="2:16" x14ac:dyDescent="0.25">
      <c r="B1689" s="24"/>
      <c r="E1689" s="24"/>
      <c r="G1689" s="24"/>
      <c r="H1689" s="24"/>
      <c r="J1689" s="24"/>
      <c r="K1689" s="24"/>
      <c r="M1689" s="24"/>
      <c r="N1689" s="24"/>
      <c r="P1689" s="24"/>
    </row>
    <row r="1690" spans="2:16" x14ac:dyDescent="0.25">
      <c r="B1690" s="24"/>
      <c r="E1690" s="24"/>
      <c r="G1690" s="24"/>
      <c r="H1690" s="24"/>
      <c r="J1690" s="24"/>
      <c r="K1690" s="24"/>
      <c r="M1690" s="24"/>
      <c r="N1690" s="24"/>
      <c r="P1690" s="24"/>
    </row>
    <row r="1691" spans="2:16" x14ac:dyDescent="0.25">
      <c r="B1691" s="24"/>
      <c r="E1691" s="24"/>
      <c r="G1691" s="24"/>
      <c r="H1691" s="24"/>
      <c r="J1691" s="24"/>
      <c r="K1691" s="24"/>
      <c r="M1691" s="24"/>
      <c r="N1691" s="24"/>
      <c r="P1691" s="24"/>
    </row>
    <row r="1692" spans="2:16" x14ac:dyDescent="0.25">
      <c r="B1692" s="24"/>
      <c r="E1692" s="24"/>
      <c r="G1692" s="24"/>
      <c r="H1692" s="24"/>
      <c r="J1692" s="24"/>
      <c r="K1692" s="24"/>
      <c r="M1692" s="24"/>
      <c r="N1692" s="24"/>
      <c r="P1692" s="24"/>
    </row>
    <row r="1693" spans="2:16" x14ac:dyDescent="0.25">
      <c r="B1693" s="24"/>
      <c r="E1693" s="24"/>
      <c r="G1693" s="24"/>
      <c r="H1693" s="24"/>
      <c r="J1693" s="24"/>
      <c r="K1693" s="24"/>
      <c r="M1693" s="24"/>
      <c r="N1693" s="24"/>
      <c r="P1693" s="24"/>
    </row>
    <row r="1694" spans="2:16" x14ac:dyDescent="0.25">
      <c r="B1694" s="24"/>
      <c r="E1694" s="24"/>
      <c r="G1694" s="24"/>
      <c r="H1694" s="24"/>
      <c r="J1694" s="24"/>
      <c r="K1694" s="24"/>
      <c r="M1694" s="24"/>
      <c r="N1694" s="24"/>
      <c r="P1694" s="24"/>
    </row>
    <row r="1695" spans="2:16" x14ac:dyDescent="0.25">
      <c r="B1695" s="24"/>
      <c r="E1695" s="24"/>
      <c r="G1695" s="24"/>
      <c r="H1695" s="24"/>
      <c r="J1695" s="24"/>
      <c r="K1695" s="24"/>
      <c r="M1695" s="24"/>
      <c r="N1695" s="24"/>
      <c r="P1695" s="24"/>
    </row>
    <row r="1696" spans="2:16" x14ac:dyDescent="0.25">
      <c r="B1696" s="24"/>
      <c r="E1696" s="24"/>
      <c r="G1696" s="24"/>
      <c r="H1696" s="24"/>
      <c r="J1696" s="24"/>
      <c r="K1696" s="24"/>
      <c r="M1696" s="24"/>
      <c r="N1696" s="24"/>
      <c r="P1696" s="24"/>
    </row>
    <row r="1697" spans="2:16" x14ac:dyDescent="0.25">
      <c r="B1697" s="24"/>
      <c r="E1697" s="24"/>
      <c r="G1697" s="24"/>
      <c r="H1697" s="24"/>
      <c r="J1697" s="24"/>
      <c r="K1697" s="24"/>
      <c r="M1697" s="24"/>
      <c r="N1697" s="24"/>
      <c r="P1697" s="24"/>
    </row>
    <row r="1698" spans="2:16" x14ac:dyDescent="0.25">
      <c r="B1698" s="24"/>
      <c r="E1698" s="24"/>
      <c r="G1698" s="24"/>
      <c r="H1698" s="24"/>
      <c r="J1698" s="24"/>
      <c r="K1698" s="24"/>
      <c r="M1698" s="24"/>
      <c r="N1698" s="24"/>
      <c r="P1698" s="24"/>
    </row>
    <row r="1699" spans="2:16" x14ac:dyDescent="0.25">
      <c r="B1699" s="24"/>
      <c r="E1699" s="24"/>
      <c r="G1699" s="24"/>
      <c r="H1699" s="24"/>
      <c r="J1699" s="24"/>
      <c r="K1699" s="24"/>
      <c r="M1699" s="24"/>
      <c r="N1699" s="24"/>
      <c r="P1699" s="24"/>
    </row>
    <row r="1700" spans="2:16" x14ac:dyDescent="0.25">
      <c r="B1700" s="24"/>
      <c r="E1700" s="24"/>
      <c r="G1700" s="24"/>
      <c r="H1700" s="24"/>
      <c r="J1700" s="24"/>
      <c r="K1700" s="24"/>
      <c r="M1700" s="24"/>
      <c r="N1700" s="24"/>
      <c r="P1700" s="24"/>
    </row>
    <row r="1701" spans="2:16" x14ac:dyDescent="0.25">
      <c r="B1701" s="24"/>
      <c r="E1701" s="24"/>
      <c r="G1701" s="24"/>
      <c r="H1701" s="24"/>
      <c r="J1701" s="24"/>
      <c r="K1701" s="24"/>
      <c r="M1701" s="24"/>
      <c r="N1701" s="24"/>
      <c r="P1701" s="24"/>
    </row>
    <row r="1702" spans="2:16" x14ac:dyDescent="0.25">
      <c r="B1702" s="24"/>
      <c r="E1702" s="24"/>
      <c r="G1702" s="24"/>
      <c r="H1702" s="24"/>
      <c r="J1702" s="24"/>
      <c r="K1702" s="24"/>
      <c r="M1702" s="24"/>
      <c r="N1702" s="24"/>
      <c r="P1702" s="24"/>
    </row>
    <row r="1703" spans="2:16" x14ac:dyDescent="0.25">
      <c r="B1703" s="24"/>
      <c r="E1703" s="24"/>
      <c r="G1703" s="24"/>
      <c r="H1703" s="24"/>
      <c r="J1703" s="24"/>
      <c r="K1703" s="24"/>
      <c r="M1703" s="24"/>
      <c r="N1703" s="24"/>
      <c r="P1703" s="24"/>
    </row>
    <row r="1704" spans="2:16" x14ac:dyDescent="0.25">
      <c r="B1704" s="24"/>
      <c r="E1704" s="24"/>
      <c r="G1704" s="24"/>
      <c r="H1704" s="24"/>
      <c r="J1704" s="24"/>
      <c r="K1704" s="24"/>
      <c r="M1704" s="24"/>
      <c r="N1704" s="24"/>
      <c r="P1704" s="24"/>
    </row>
    <row r="1705" spans="2:16" x14ac:dyDescent="0.25">
      <c r="B1705" s="24"/>
      <c r="E1705" s="24"/>
      <c r="G1705" s="24"/>
      <c r="H1705" s="24"/>
      <c r="J1705" s="24"/>
      <c r="K1705" s="24"/>
      <c r="M1705" s="24"/>
      <c r="N1705" s="24"/>
      <c r="P1705" s="24"/>
    </row>
    <row r="1706" spans="2:16" x14ac:dyDescent="0.25">
      <c r="B1706" s="24"/>
      <c r="E1706" s="24"/>
      <c r="G1706" s="24"/>
      <c r="H1706" s="24"/>
      <c r="J1706" s="24"/>
      <c r="K1706" s="24"/>
      <c r="M1706" s="24"/>
      <c r="N1706" s="24"/>
      <c r="P1706" s="24"/>
    </row>
    <row r="1707" spans="2:16" x14ac:dyDescent="0.25">
      <c r="B1707" s="24"/>
      <c r="E1707" s="24"/>
      <c r="G1707" s="24"/>
      <c r="H1707" s="24"/>
      <c r="J1707" s="24"/>
      <c r="K1707" s="24"/>
      <c r="M1707" s="24"/>
      <c r="N1707" s="24"/>
      <c r="P1707" s="24"/>
    </row>
    <row r="1708" spans="2:16" x14ac:dyDescent="0.25">
      <c r="B1708" s="24"/>
      <c r="E1708" s="24"/>
      <c r="G1708" s="24"/>
      <c r="H1708" s="24"/>
      <c r="J1708" s="24"/>
      <c r="K1708" s="24"/>
      <c r="M1708" s="24"/>
      <c r="N1708" s="24"/>
      <c r="P1708" s="24"/>
    </row>
    <row r="1709" spans="2:16" x14ac:dyDescent="0.25">
      <c r="B1709" s="24"/>
      <c r="E1709" s="24"/>
      <c r="G1709" s="24"/>
      <c r="H1709" s="24"/>
      <c r="J1709" s="24"/>
      <c r="K1709" s="24"/>
      <c r="M1709" s="24"/>
      <c r="N1709" s="24"/>
      <c r="P1709" s="24"/>
    </row>
    <row r="1710" spans="2:16" x14ac:dyDescent="0.25">
      <c r="B1710" s="24"/>
      <c r="E1710" s="24"/>
      <c r="G1710" s="24"/>
      <c r="H1710" s="24"/>
      <c r="J1710" s="24"/>
      <c r="K1710" s="24"/>
      <c r="M1710" s="24"/>
      <c r="N1710" s="24"/>
      <c r="P1710" s="24"/>
    </row>
    <row r="1711" spans="2:16" x14ac:dyDescent="0.25">
      <c r="B1711" s="24"/>
      <c r="E1711" s="24"/>
      <c r="G1711" s="24"/>
      <c r="H1711" s="24"/>
      <c r="J1711" s="24"/>
      <c r="K1711" s="24"/>
      <c r="M1711" s="24"/>
      <c r="N1711" s="24"/>
      <c r="P1711" s="24"/>
    </row>
    <row r="1712" spans="2:16" x14ac:dyDescent="0.25">
      <c r="B1712" s="24"/>
      <c r="E1712" s="24"/>
      <c r="G1712" s="24"/>
      <c r="H1712" s="24"/>
      <c r="J1712" s="24"/>
      <c r="K1712" s="24"/>
      <c r="M1712" s="24"/>
      <c r="N1712" s="24"/>
      <c r="P1712" s="24"/>
    </row>
    <row r="1713" spans="2:16" x14ac:dyDescent="0.25">
      <c r="B1713" s="24"/>
      <c r="E1713" s="24"/>
      <c r="G1713" s="24"/>
      <c r="H1713" s="24"/>
      <c r="J1713" s="24"/>
      <c r="K1713" s="24"/>
      <c r="M1713" s="24"/>
      <c r="N1713" s="24"/>
      <c r="P1713" s="24"/>
    </row>
    <row r="1714" spans="2:16" x14ac:dyDescent="0.25">
      <c r="B1714" s="24"/>
      <c r="E1714" s="24"/>
      <c r="G1714" s="24"/>
      <c r="H1714" s="24"/>
      <c r="J1714" s="24"/>
      <c r="K1714" s="24"/>
      <c r="M1714" s="24"/>
      <c r="N1714" s="24"/>
      <c r="P1714" s="24"/>
    </row>
    <row r="1715" spans="2:16" x14ac:dyDescent="0.25">
      <c r="B1715" s="24"/>
      <c r="E1715" s="24"/>
      <c r="G1715" s="24"/>
      <c r="H1715" s="24"/>
      <c r="J1715" s="24"/>
      <c r="K1715" s="24"/>
      <c r="M1715" s="24"/>
      <c r="N1715" s="24"/>
      <c r="P1715" s="24"/>
    </row>
    <row r="1716" spans="2:16" x14ac:dyDescent="0.25">
      <c r="B1716" s="24"/>
      <c r="E1716" s="24"/>
      <c r="G1716" s="24"/>
      <c r="H1716" s="24"/>
      <c r="J1716" s="24"/>
      <c r="K1716" s="24"/>
      <c r="M1716" s="24"/>
      <c r="N1716" s="24"/>
      <c r="P1716" s="24"/>
    </row>
    <row r="1717" spans="2:16" x14ac:dyDescent="0.25">
      <c r="B1717" s="24"/>
      <c r="E1717" s="24"/>
      <c r="G1717" s="24"/>
      <c r="H1717" s="24"/>
      <c r="J1717" s="24"/>
      <c r="K1717" s="24"/>
      <c r="M1717" s="24"/>
      <c r="N1717" s="24"/>
      <c r="P1717" s="24"/>
    </row>
    <row r="1718" spans="2:16" x14ac:dyDescent="0.25">
      <c r="B1718" s="24"/>
      <c r="E1718" s="24"/>
      <c r="G1718" s="24"/>
      <c r="H1718" s="24"/>
      <c r="J1718" s="24"/>
      <c r="K1718" s="24"/>
      <c r="M1718" s="24"/>
      <c r="N1718" s="24"/>
      <c r="P1718" s="24"/>
    </row>
    <row r="1719" spans="2:16" x14ac:dyDescent="0.25">
      <c r="B1719" s="24"/>
      <c r="E1719" s="24"/>
      <c r="G1719" s="24"/>
      <c r="H1719" s="24"/>
      <c r="J1719" s="24"/>
      <c r="K1719" s="24"/>
      <c r="M1719" s="24"/>
      <c r="N1719" s="24"/>
      <c r="P1719" s="24"/>
    </row>
    <row r="1720" spans="2:16" x14ac:dyDescent="0.25">
      <c r="B1720" s="24"/>
      <c r="E1720" s="24"/>
      <c r="G1720" s="24"/>
      <c r="H1720" s="24"/>
      <c r="J1720" s="24"/>
      <c r="K1720" s="24"/>
      <c r="M1720" s="24"/>
      <c r="N1720" s="24"/>
      <c r="P1720" s="24"/>
    </row>
    <row r="1721" spans="2:16" x14ac:dyDescent="0.25">
      <c r="B1721" s="24"/>
      <c r="E1721" s="24"/>
      <c r="G1721" s="24"/>
      <c r="H1721" s="24"/>
      <c r="J1721" s="24"/>
      <c r="K1721" s="24"/>
      <c r="M1721" s="24"/>
      <c r="N1721" s="24"/>
      <c r="P1721" s="24"/>
    </row>
    <row r="1722" spans="2:16" x14ac:dyDescent="0.25">
      <c r="B1722" s="24"/>
      <c r="E1722" s="24"/>
      <c r="G1722" s="24"/>
      <c r="H1722" s="24"/>
      <c r="J1722" s="24"/>
      <c r="K1722" s="24"/>
      <c r="M1722" s="24"/>
      <c r="N1722" s="24"/>
      <c r="P1722" s="24"/>
    </row>
    <row r="1723" spans="2:16" x14ac:dyDescent="0.25">
      <c r="B1723" s="24"/>
      <c r="E1723" s="24"/>
      <c r="G1723" s="24"/>
      <c r="H1723" s="24"/>
      <c r="J1723" s="24"/>
      <c r="K1723" s="24"/>
      <c r="M1723" s="24"/>
      <c r="N1723" s="24"/>
      <c r="P1723" s="24"/>
    </row>
    <row r="1724" spans="2:16" x14ac:dyDescent="0.25">
      <c r="B1724" s="24"/>
      <c r="E1724" s="24"/>
      <c r="G1724" s="24"/>
      <c r="H1724" s="24"/>
      <c r="J1724" s="24"/>
      <c r="K1724" s="24"/>
      <c r="M1724" s="24"/>
      <c r="N1724" s="24"/>
      <c r="P1724" s="24"/>
    </row>
    <row r="1725" spans="2:16" x14ac:dyDescent="0.25">
      <c r="B1725" s="24"/>
      <c r="E1725" s="24"/>
      <c r="G1725" s="24"/>
      <c r="H1725" s="24"/>
      <c r="J1725" s="24"/>
      <c r="K1725" s="24"/>
      <c r="M1725" s="24"/>
      <c r="N1725" s="24"/>
      <c r="P1725" s="24"/>
    </row>
    <row r="1726" spans="2:16" x14ac:dyDescent="0.25">
      <c r="B1726" s="24"/>
      <c r="E1726" s="24"/>
      <c r="G1726" s="24"/>
      <c r="H1726" s="24"/>
      <c r="J1726" s="24"/>
      <c r="K1726" s="24"/>
      <c r="M1726" s="24"/>
      <c r="N1726" s="24"/>
      <c r="P1726" s="24"/>
    </row>
    <row r="1727" spans="2:16" x14ac:dyDescent="0.25">
      <c r="B1727" s="24"/>
      <c r="E1727" s="24"/>
      <c r="G1727" s="24"/>
      <c r="H1727" s="24"/>
      <c r="J1727" s="24"/>
      <c r="K1727" s="24"/>
      <c r="M1727" s="24"/>
      <c r="N1727" s="24"/>
      <c r="P1727" s="24"/>
    </row>
    <row r="1728" spans="2:16" x14ac:dyDescent="0.25">
      <c r="B1728" s="24"/>
      <c r="E1728" s="24"/>
      <c r="G1728" s="24"/>
      <c r="H1728" s="24"/>
      <c r="J1728" s="24"/>
      <c r="K1728" s="24"/>
      <c r="M1728" s="24"/>
      <c r="N1728" s="24"/>
      <c r="P1728" s="24"/>
    </row>
    <row r="1729" spans="2:16" x14ac:dyDescent="0.25">
      <c r="B1729" s="24"/>
      <c r="E1729" s="24"/>
      <c r="G1729" s="24"/>
      <c r="H1729" s="24"/>
      <c r="J1729" s="24"/>
      <c r="K1729" s="24"/>
      <c r="M1729" s="24"/>
      <c r="N1729" s="24"/>
      <c r="P1729" s="24"/>
    </row>
    <row r="1730" spans="2:16" x14ac:dyDescent="0.25">
      <c r="B1730" s="24"/>
      <c r="E1730" s="24"/>
      <c r="G1730" s="24"/>
      <c r="H1730" s="24"/>
      <c r="J1730" s="24"/>
      <c r="K1730" s="24"/>
      <c r="M1730" s="24"/>
      <c r="N1730" s="24"/>
      <c r="P1730" s="24"/>
    </row>
    <row r="1731" spans="2:16" x14ac:dyDescent="0.25">
      <c r="B1731" s="24"/>
      <c r="E1731" s="24"/>
      <c r="G1731" s="24"/>
      <c r="H1731" s="24"/>
      <c r="J1731" s="24"/>
      <c r="K1731" s="24"/>
      <c r="M1731" s="24"/>
      <c r="N1731" s="24"/>
      <c r="P1731" s="24"/>
    </row>
    <row r="1732" spans="2:16" x14ac:dyDescent="0.25">
      <c r="B1732" s="24"/>
      <c r="E1732" s="24"/>
      <c r="G1732" s="24"/>
      <c r="H1732" s="24"/>
      <c r="J1732" s="24"/>
      <c r="K1732" s="24"/>
      <c r="M1732" s="24"/>
      <c r="N1732" s="24"/>
      <c r="P1732" s="24"/>
    </row>
    <row r="1733" spans="2:16" x14ac:dyDescent="0.25">
      <c r="B1733" s="24"/>
      <c r="E1733" s="24"/>
      <c r="G1733" s="24"/>
      <c r="H1733" s="24"/>
      <c r="J1733" s="24"/>
      <c r="K1733" s="24"/>
      <c r="M1733" s="24"/>
      <c r="N1733" s="24"/>
      <c r="P1733" s="24"/>
    </row>
    <row r="1734" spans="2:16" x14ac:dyDescent="0.25">
      <c r="B1734" s="24"/>
      <c r="E1734" s="24"/>
      <c r="G1734" s="24"/>
      <c r="H1734" s="24"/>
      <c r="J1734" s="24"/>
      <c r="K1734" s="24"/>
      <c r="M1734" s="24"/>
      <c r="N1734" s="24"/>
      <c r="P1734" s="24"/>
    </row>
    <row r="1735" spans="2:16" x14ac:dyDescent="0.25">
      <c r="B1735" s="24"/>
      <c r="E1735" s="24"/>
      <c r="G1735" s="24"/>
      <c r="H1735" s="24"/>
      <c r="J1735" s="24"/>
      <c r="K1735" s="24"/>
      <c r="M1735" s="24"/>
      <c r="N1735" s="24"/>
      <c r="P1735" s="24"/>
    </row>
    <row r="1736" spans="2:16" x14ac:dyDescent="0.25">
      <c r="B1736" s="24"/>
      <c r="E1736" s="24"/>
      <c r="G1736" s="24"/>
      <c r="H1736" s="24"/>
      <c r="J1736" s="24"/>
      <c r="K1736" s="24"/>
      <c r="M1736" s="24"/>
      <c r="N1736" s="24"/>
      <c r="P1736" s="24"/>
    </row>
    <row r="1737" spans="2:16" x14ac:dyDescent="0.25">
      <c r="B1737" s="24"/>
      <c r="E1737" s="24"/>
      <c r="G1737" s="24"/>
      <c r="H1737" s="24"/>
      <c r="J1737" s="24"/>
      <c r="K1737" s="24"/>
      <c r="M1737" s="24"/>
      <c r="N1737" s="24"/>
      <c r="P1737" s="24"/>
    </row>
    <row r="1738" spans="2:16" x14ac:dyDescent="0.25">
      <c r="B1738" s="24"/>
      <c r="E1738" s="24"/>
      <c r="G1738" s="24"/>
      <c r="H1738" s="24"/>
      <c r="J1738" s="24"/>
      <c r="K1738" s="24"/>
      <c r="M1738" s="24"/>
      <c r="N1738" s="24"/>
      <c r="P1738" s="24"/>
    </row>
    <row r="1739" spans="2:16" x14ac:dyDescent="0.25">
      <c r="B1739" s="24"/>
      <c r="E1739" s="24"/>
      <c r="G1739" s="24"/>
      <c r="H1739" s="24"/>
      <c r="J1739" s="24"/>
      <c r="K1739" s="24"/>
      <c r="M1739" s="24"/>
      <c r="N1739" s="24"/>
      <c r="P1739" s="24"/>
    </row>
    <row r="1740" spans="2:16" x14ac:dyDescent="0.25">
      <c r="B1740" s="24"/>
      <c r="E1740" s="24"/>
      <c r="G1740" s="24"/>
      <c r="H1740" s="24"/>
      <c r="J1740" s="24"/>
      <c r="K1740" s="24"/>
      <c r="M1740" s="24"/>
      <c r="N1740" s="24"/>
      <c r="P1740" s="24"/>
    </row>
    <row r="1741" spans="2:16" x14ac:dyDescent="0.25">
      <c r="B1741" s="24"/>
      <c r="E1741" s="24"/>
      <c r="G1741" s="24"/>
      <c r="H1741" s="24"/>
      <c r="J1741" s="24"/>
      <c r="K1741" s="24"/>
      <c r="M1741" s="24"/>
      <c r="N1741" s="24"/>
      <c r="P1741" s="24"/>
    </row>
    <row r="1742" spans="2:16" x14ac:dyDescent="0.25">
      <c r="B1742" s="24"/>
      <c r="E1742" s="24"/>
      <c r="G1742" s="24"/>
      <c r="H1742" s="24"/>
      <c r="J1742" s="24"/>
      <c r="K1742" s="24"/>
      <c r="M1742" s="24"/>
      <c r="N1742" s="24"/>
      <c r="P1742" s="24"/>
    </row>
    <row r="1743" spans="2:16" x14ac:dyDescent="0.25">
      <c r="B1743" s="24"/>
      <c r="E1743" s="24"/>
      <c r="G1743" s="24"/>
      <c r="H1743" s="24"/>
      <c r="J1743" s="24"/>
      <c r="K1743" s="24"/>
      <c r="M1743" s="24"/>
      <c r="N1743" s="24"/>
      <c r="P1743" s="24"/>
    </row>
    <row r="1744" spans="2:16" x14ac:dyDescent="0.25">
      <c r="B1744" s="24"/>
      <c r="E1744" s="24"/>
      <c r="G1744" s="24"/>
      <c r="H1744" s="24"/>
      <c r="J1744" s="24"/>
      <c r="K1744" s="24"/>
      <c r="M1744" s="24"/>
      <c r="N1744" s="24"/>
      <c r="P1744" s="24"/>
    </row>
    <row r="1745" spans="2:16" x14ac:dyDescent="0.25">
      <c r="B1745" s="24"/>
      <c r="E1745" s="24"/>
      <c r="G1745" s="24"/>
      <c r="H1745" s="24"/>
      <c r="J1745" s="24"/>
      <c r="K1745" s="24"/>
      <c r="M1745" s="24"/>
      <c r="N1745" s="24"/>
      <c r="P1745" s="24"/>
    </row>
    <row r="1746" spans="2:16" x14ac:dyDescent="0.25">
      <c r="B1746" s="24"/>
      <c r="E1746" s="24"/>
      <c r="G1746" s="24"/>
      <c r="H1746" s="24"/>
      <c r="J1746" s="24"/>
      <c r="K1746" s="24"/>
      <c r="M1746" s="24"/>
      <c r="N1746" s="24"/>
      <c r="P1746" s="24"/>
    </row>
    <row r="1747" spans="2:16" x14ac:dyDescent="0.25">
      <c r="B1747" s="24"/>
      <c r="E1747" s="24"/>
      <c r="G1747" s="24"/>
      <c r="H1747" s="24"/>
      <c r="J1747" s="24"/>
      <c r="K1747" s="24"/>
      <c r="M1747" s="24"/>
      <c r="N1747" s="24"/>
      <c r="P1747" s="24"/>
    </row>
    <row r="1748" spans="2:16" x14ac:dyDescent="0.25">
      <c r="B1748" s="24"/>
      <c r="E1748" s="24"/>
      <c r="G1748" s="24"/>
      <c r="H1748" s="24"/>
      <c r="J1748" s="24"/>
      <c r="K1748" s="24"/>
      <c r="M1748" s="24"/>
      <c r="N1748" s="24"/>
      <c r="P1748" s="24"/>
    </row>
    <row r="1749" spans="2:16" x14ac:dyDescent="0.25">
      <c r="B1749" s="24"/>
      <c r="E1749" s="24"/>
      <c r="G1749" s="24"/>
      <c r="H1749" s="24"/>
      <c r="J1749" s="24"/>
      <c r="K1749" s="24"/>
      <c r="M1749" s="24"/>
      <c r="N1749" s="24"/>
      <c r="P1749" s="24"/>
    </row>
    <row r="1750" spans="2:16" x14ac:dyDescent="0.25">
      <c r="B1750" s="24"/>
      <c r="E1750" s="24"/>
      <c r="G1750" s="24"/>
      <c r="H1750" s="24"/>
      <c r="J1750" s="24"/>
      <c r="K1750" s="24"/>
      <c r="M1750" s="24"/>
      <c r="N1750" s="24"/>
      <c r="P1750" s="24"/>
    </row>
    <row r="1751" spans="2:16" x14ac:dyDescent="0.25">
      <c r="B1751" s="24"/>
      <c r="E1751" s="24"/>
      <c r="G1751" s="24"/>
      <c r="H1751" s="24"/>
      <c r="J1751" s="24"/>
      <c r="K1751" s="24"/>
      <c r="M1751" s="24"/>
      <c r="N1751" s="24"/>
      <c r="P1751" s="24"/>
    </row>
    <row r="1752" spans="2:16" x14ac:dyDescent="0.25">
      <c r="B1752" s="24"/>
      <c r="E1752" s="24"/>
      <c r="G1752" s="24"/>
      <c r="H1752" s="24"/>
      <c r="J1752" s="24"/>
      <c r="K1752" s="24"/>
      <c r="M1752" s="24"/>
      <c r="N1752" s="24"/>
      <c r="P1752" s="24"/>
    </row>
    <row r="1753" spans="2:16" x14ac:dyDescent="0.25">
      <c r="B1753" s="24"/>
      <c r="E1753" s="24"/>
      <c r="G1753" s="24"/>
      <c r="H1753" s="24"/>
      <c r="J1753" s="24"/>
      <c r="K1753" s="24"/>
      <c r="M1753" s="24"/>
      <c r="N1753" s="24"/>
      <c r="P1753" s="24"/>
    </row>
    <row r="1754" spans="2:16" x14ac:dyDescent="0.25">
      <c r="B1754" s="24"/>
      <c r="E1754" s="24"/>
      <c r="G1754" s="24"/>
      <c r="H1754" s="24"/>
      <c r="J1754" s="24"/>
      <c r="K1754" s="24"/>
      <c r="M1754" s="24"/>
      <c r="N1754" s="24"/>
      <c r="P1754" s="24"/>
    </row>
    <row r="1755" spans="2:16" x14ac:dyDescent="0.25">
      <c r="B1755" s="24"/>
      <c r="E1755" s="24"/>
      <c r="G1755" s="24"/>
      <c r="H1755" s="24"/>
      <c r="J1755" s="24"/>
      <c r="K1755" s="24"/>
      <c r="M1755" s="24"/>
      <c r="N1755" s="24"/>
      <c r="P1755" s="24"/>
    </row>
    <row r="1756" spans="2:16" x14ac:dyDescent="0.25">
      <c r="B1756" s="24"/>
      <c r="E1756" s="24"/>
      <c r="G1756" s="24"/>
      <c r="H1756" s="24"/>
      <c r="J1756" s="24"/>
      <c r="K1756" s="24"/>
      <c r="M1756" s="24"/>
      <c r="N1756" s="24"/>
      <c r="P1756" s="24"/>
    </row>
    <row r="1757" spans="2:16" x14ac:dyDescent="0.25">
      <c r="B1757" s="24"/>
      <c r="E1757" s="24"/>
      <c r="G1757" s="24"/>
      <c r="H1757" s="24"/>
      <c r="J1757" s="24"/>
      <c r="K1757" s="24"/>
      <c r="M1757" s="24"/>
      <c r="N1757" s="24"/>
      <c r="P1757" s="24"/>
    </row>
    <row r="1758" spans="2:16" x14ac:dyDescent="0.25">
      <c r="B1758" s="24"/>
      <c r="E1758" s="24"/>
      <c r="G1758" s="24"/>
      <c r="H1758" s="24"/>
      <c r="J1758" s="24"/>
      <c r="K1758" s="24"/>
      <c r="M1758" s="24"/>
      <c r="N1758" s="24"/>
      <c r="P1758" s="24"/>
    </row>
    <row r="1759" spans="2:16" x14ac:dyDescent="0.25">
      <c r="B1759" s="24"/>
      <c r="E1759" s="24"/>
      <c r="G1759" s="24"/>
      <c r="H1759" s="24"/>
      <c r="J1759" s="24"/>
      <c r="K1759" s="24"/>
      <c r="M1759" s="24"/>
      <c r="N1759" s="24"/>
      <c r="P1759" s="24"/>
    </row>
    <row r="1760" spans="2:16" x14ac:dyDescent="0.25">
      <c r="B1760" s="24"/>
      <c r="E1760" s="24"/>
      <c r="G1760" s="24"/>
      <c r="H1760" s="24"/>
      <c r="J1760" s="24"/>
      <c r="K1760" s="24"/>
      <c r="M1760" s="24"/>
      <c r="N1760" s="24"/>
      <c r="P1760" s="24"/>
    </row>
    <row r="1761" spans="2:16" x14ac:dyDescent="0.25">
      <c r="B1761" s="24"/>
      <c r="E1761" s="24"/>
      <c r="G1761" s="24"/>
      <c r="H1761" s="24"/>
      <c r="J1761" s="24"/>
      <c r="K1761" s="24"/>
      <c r="M1761" s="24"/>
      <c r="N1761" s="24"/>
      <c r="P1761" s="24"/>
    </row>
    <row r="1762" spans="2:16" x14ac:dyDescent="0.25">
      <c r="B1762" s="24"/>
      <c r="E1762" s="24"/>
      <c r="G1762" s="24"/>
      <c r="H1762" s="24"/>
      <c r="J1762" s="24"/>
      <c r="K1762" s="24"/>
      <c r="M1762" s="24"/>
      <c r="N1762" s="24"/>
      <c r="P1762" s="24"/>
    </row>
    <row r="1763" spans="2:16" x14ac:dyDescent="0.25">
      <c r="B1763" s="24"/>
      <c r="E1763" s="24"/>
      <c r="G1763" s="24"/>
      <c r="H1763" s="24"/>
      <c r="J1763" s="24"/>
      <c r="K1763" s="24"/>
      <c r="M1763" s="24"/>
      <c r="N1763" s="24"/>
      <c r="P1763" s="24"/>
    </row>
    <row r="1764" spans="2:16" x14ac:dyDescent="0.25">
      <c r="B1764" s="24"/>
      <c r="E1764" s="24"/>
      <c r="G1764" s="24"/>
      <c r="H1764" s="24"/>
      <c r="J1764" s="24"/>
      <c r="K1764" s="24"/>
      <c r="M1764" s="24"/>
      <c r="N1764" s="24"/>
      <c r="P1764" s="24"/>
    </row>
    <row r="1765" spans="2:16" x14ac:dyDescent="0.25">
      <c r="B1765" s="24"/>
      <c r="E1765" s="24"/>
      <c r="G1765" s="24"/>
      <c r="H1765" s="24"/>
      <c r="J1765" s="24"/>
      <c r="K1765" s="24"/>
      <c r="M1765" s="24"/>
      <c r="N1765" s="24"/>
      <c r="P1765" s="24"/>
    </row>
    <row r="1766" spans="2:16" x14ac:dyDescent="0.25">
      <c r="B1766" s="24"/>
      <c r="E1766" s="24"/>
      <c r="G1766" s="24"/>
      <c r="H1766" s="24"/>
      <c r="J1766" s="24"/>
      <c r="K1766" s="24"/>
      <c r="M1766" s="24"/>
      <c r="N1766" s="24"/>
      <c r="P1766" s="24"/>
    </row>
    <row r="1767" spans="2:16" x14ac:dyDescent="0.25">
      <c r="B1767" s="24"/>
      <c r="E1767" s="24"/>
      <c r="G1767" s="24"/>
      <c r="H1767" s="24"/>
      <c r="J1767" s="24"/>
      <c r="K1767" s="24"/>
      <c r="M1767" s="24"/>
      <c r="N1767" s="24"/>
      <c r="P1767" s="24"/>
    </row>
    <row r="1768" spans="2:16" x14ac:dyDescent="0.25">
      <c r="B1768" s="24"/>
      <c r="E1768" s="24"/>
      <c r="G1768" s="24"/>
      <c r="H1768" s="24"/>
      <c r="J1768" s="24"/>
      <c r="K1768" s="24"/>
      <c r="M1768" s="24"/>
      <c r="N1768" s="24"/>
      <c r="P1768" s="24"/>
    </row>
    <row r="1769" spans="2:16" x14ac:dyDescent="0.25">
      <c r="B1769" s="24"/>
      <c r="E1769" s="24"/>
      <c r="G1769" s="24"/>
      <c r="H1769" s="24"/>
      <c r="J1769" s="24"/>
      <c r="K1769" s="24"/>
      <c r="M1769" s="24"/>
      <c r="N1769" s="24"/>
      <c r="P1769" s="24"/>
    </row>
    <row r="1770" spans="2:16" x14ac:dyDescent="0.25">
      <c r="B1770" s="24"/>
      <c r="E1770" s="24"/>
      <c r="G1770" s="24"/>
      <c r="H1770" s="24"/>
      <c r="J1770" s="24"/>
      <c r="K1770" s="24"/>
      <c r="M1770" s="24"/>
      <c r="N1770" s="24"/>
      <c r="P1770" s="24"/>
    </row>
    <row r="1771" spans="2:16" x14ac:dyDescent="0.25">
      <c r="B1771" s="24"/>
      <c r="E1771" s="24"/>
      <c r="G1771" s="24"/>
      <c r="H1771" s="24"/>
      <c r="J1771" s="24"/>
      <c r="K1771" s="24"/>
      <c r="M1771" s="24"/>
      <c r="N1771" s="24"/>
      <c r="P1771" s="24"/>
    </row>
    <row r="1772" spans="2:16" x14ac:dyDescent="0.25">
      <c r="B1772" s="24"/>
      <c r="E1772" s="24"/>
      <c r="G1772" s="24"/>
      <c r="H1772" s="24"/>
      <c r="J1772" s="24"/>
      <c r="K1772" s="24"/>
      <c r="M1772" s="24"/>
      <c r="N1772" s="24"/>
      <c r="P1772" s="24"/>
    </row>
    <row r="1773" spans="2:16" x14ac:dyDescent="0.25">
      <c r="B1773" s="24"/>
      <c r="E1773" s="24"/>
      <c r="G1773" s="24"/>
      <c r="H1773" s="24"/>
      <c r="J1773" s="24"/>
      <c r="K1773" s="24"/>
      <c r="M1773" s="24"/>
      <c r="N1773" s="24"/>
      <c r="P1773" s="24"/>
    </row>
    <row r="1774" spans="2:16" x14ac:dyDescent="0.25">
      <c r="B1774" s="24"/>
      <c r="E1774" s="24"/>
      <c r="G1774" s="24"/>
      <c r="H1774" s="24"/>
      <c r="J1774" s="24"/>
      <c r="K1774" s="24"/>
      <c r="M1774" s="24"/>
      <c r="N1774" s="24"/>
      <c r="P1774" s="24"/>
    </row>
    <row r="1775" spans="2:16" x14ac:dyDescent="0.25">
      <c r="B1775" s="24"/>
      <c r="E1775" s="24"/>
      <c r="G1775" s="24"/>
      <c r="H1775" s="24"/>
      <c r="J1775" s="24"/>
      <c r="K1775" s="24"/>
      <c r="M1775" s="24"/>
      <c r="N1775" s="24"/>
      <c r="P1775" s="24"/>
    </row>
    <row r="1776" spans="2:16" x14ac:dyDescent="0.25">
      <c r="B1776" s="24"/>
      <c r="E1776" s="24"/>
      <c r="G1776" s="24"/>
      <c r="H1776" s="24"/>
      <c r="J1776" s="24"/>
      <c r="K1776" s="24"/>
      <c r="M1776" s="24"/>
      <c r="N1776" s="24"/>
      <c r="P1776" s="24"/>
    </row>
    <row r="1777" spans="2:16" x14ac:dyDescent="0.25">
      <c r="B1777" s="24"/>
      <c r="E1777" s="24"/>
      <c r="G1777" s="24"/>
      <c r="H1777" s="24"/>
      <c r="J1777" s="24"/>
      <c r="K1777" s="24"/>
      <c r="M1777" s="24"/>
      <c r="N1777" s="24"/>
      <c r="P1777" s="24"/>
    </row>
    <row r="1778" spans="2:16" x14ac:dyDescent="0.25">
      <c r="B1778" s="24"/>
      <c r="E1778" s="24"/>
      <c r="G1778" s="24"/>
      <c r="H1778" s="24"/>
      <c r="J1778" s="24"/>
      <c r="K1778" s="24"/>
      <c r="M1778" s="24"/>
      <c r="N1778" s="24"/>
      <c r="P1778" s="24"/>
    </row>
    <row r="1779" spans="2:16" x14ac:dyDescent="0.25">
      <c r="B1779" s="24"/>
      <c r="E1779" s="24"/>
      <c r="G1779" s="24"/>
      <c r="H1779" s="24"/>
      <c r="J1779" s="24"/>
      <c r="K1779" s="24"/>
      <c r="M1779" s="24"/>
      <c r="N1779" s="24"/>
      <c r="P1779" s="24"/>
    </row>
    <row r="1780" spans="2:16" x14ac:dyDescent="0.25">
      <c r="B1780" s="24"/>
      <c r="E1780" s="24"/>
      <c r="G1780" s="24"/>
      <c r="H1780" s="24"/>
      <c r="J1780" s="24"/>
      <c r="K1780" s="24"/>
      <c r="M1780" s="24"/>
      <c r="N1780" s="24"/>
      <c r="P1780" s="24"/>
    </row>
    <row r="1781" spans="2:16" x14ac:dyDescent="0.25">
      <c r="B1781" s="24"/>
      <c r="E1781" s="24"/>
      <c r="G1781" s="24"/>
      <c r="H1781" s="24"/>
      <c r="J1781" s="24"/>
      <c r="K1781" s="24"/>
      <c r="M1781" s="24"/>
      <c r="N1781" s="24"/>
      <c r="P1781" s="24"/>
    </row>
    <row r="1782" spans="2:16" x14ac:dyDescent="0.25">
      <c r="B1782" s="24"/>
      <c r="E1782" s="24"/>
      <c r="G1782" s="24"/>
      <c r="H1782" s="24"/>
      <c r="J1782" s="24"/>
      <c r="K1782" s="24"/>
      <c r="M1782" s="24"/>
      <c r="N1782" s="24"/>
      <c r="P1782" s="24"/>
    </row>
    <row r="1783" spans="2:16" x14ac:dyDescent="0.25">
      <c r="B1783" s="24"/>
      <c r="E1783" s="24"/>
      <c r="G1783" s="24"/>
      <c r="H1783" s="24"/>
      <c r="J1783" s="24"/>
      <c r="K1783" s="24"/>
      <c r="M1783" s="24"/>
      <c r="N1783" s="24"/>
      <c r="P1783" s="24"/>
    </row>
    <row r="1784" spans="2:16" x14ac:dyDescent="0.25">
      <c r="B1784" s="24"/>
      <c r="E1784" s="24"/>
      <c r="G1784" s="24"/>
      <c r="H1784" s="24"/>
      <c r="J1784" s="24"/>
      <c r="K1784" s="24"/>
      <c r="M1784" s="24"/>
      <c r="N1784" s="24"/>
      <c r="P1784" s="24"/>
    </row>
    <row r="1785" spans="2:16" x14ac:dyDescent="0.25">
      <c r="B1785" s="24"/>
      <c r="E1785" s="24"/>
      <c r="G1785" s="24"/>
      <c r="H1785" s="24"/>
      <c r="J1785" s="24"/>
      <c r="K1785" s="24"/>
      <c r="M1785" s="24"/>
      <c r="N1785" s="24"/>
      <c r="P1785" s="24"/>
    </row>
    <row r="1786" spans="2:16" x14ac:dyDescent="0.25">
      <c r="B1786" s="24"/>
      <c r="E1786" s="24"/>
      <c r="G1786" s="24"/>
      <c r="H1786" s="24"/>
      <c r="J1786" s="24"/>
      <c r="K1786" s="24"/>
      <c r="M1786" s="24"/>
      <c r="N1786" s="24"/>
      <c r="P1786" s="24"/>
    </row>
    <row r="1787" spans="2:16" x14ac:dyDescent="0.25">
      <c r="B1787" s="24"/>
      <c r="E1787" s="24"/>
      <c r="G1787" s="24"/>
      <c r="H1787" s="24"/>
      <c r="J1787" s="24"/>
      <c r="K1787" s="24"/>
      <c r="M1787" s="24"/>
      <c r="N1787" s="24"/>
      <c r="P1787" s="24"/>
    </row>
    <row r="1788" spans="2:16" x14ac:dyDescent="0.25">
      <c r="B1788" s="24"/>
      <c r="E1788" s="24"/>
      <c r="G1788" s="24"/>
      <c r="H1788" s="24"/>
      <c r="J1788" s="24"/>
      <c r="K1788" s="24"/>
      <c r="M1788" s="24"/>
      <c r="N1788" s="24"/>
      <c r="P1788" s="24"/>
    </row>
    <row r="1789" spans="2:16" x14ac:dyDescent="0.25">
      <c r="B1789" s="24"/>
      <c r="E1789" s="24"/>
      <c r="G1789" s="24"/>
      <c r="H1789" s="24"/>
      <c r="J1789" s="24"/>
      <c r="K1789" s="24"/>
      <c r="M1789" s="24"/>
      <c r="N1789" s="24"/>
      <c r="P1789" s="24"/>
    </row>
    <row r="1790" spans="2:16" x14ac:dyDescent="0.25">
      <c r="B1790" s="24"/>
      <c r="E1790" s="24"/>
      <c r="G1790" s="24"/>
      <c r="H1790" s="24"/>
      <c r="J1790" s="24"/>
      <c r="K1790" s="24"/>
      <c r="M1790" s="24"/>
      <c r="N1790" s="24"/>
      <c r="P1790" s="24"/>
    </row>
    <row r="1791" spans="2:16" x14ac:dyDescent="0.25">
      <c r="B1791" s="24"/>
      <c r="E1791" s="24"/>
      <c r="G1791" s="24"/>
      <c r="H1791" s="24"/>
      <c r="J1791" s="24"/>
      <c r="K1791" s="24"/>
      <c r="M1791" s="24"/>
      <c r="N1791" s="24"/>
      <c r="P1791" s="24"/>
    </row>
    <row r="1792" spans="2:16" x14ac:dyDescent="0.25">
      <c r="B1792" s="24"/>
      <c r="E1792" s="24"/>
      <c r="G1792" s="24"/>
      <c r="H1792" s="24"/>
      <c r="J1792" s="24"/>
      <c r="K1792" s="24"/>
      <c r="M1792" s="24"/>
      <c r="N1792" s="24"/>
      <c r="P1792" s="24"/>
    </row>
    <row r="1793" spans="2:16" x14ac:dyDescent="0.25">
      <c r="B1793" s="24"/>
      <c r="E1793" s="24"/>
      <c r="G1793" s="24"/>
      <c r="H1793" s="24"/>
      <c r="J1793" s="24"/>
      <c r="K1793" s="24"/>
      <c r="M1793" s="24"/>
      <c r="N1793" s="24"/>
      <c r="P1793" s="24"/>
    </row>
    <row r="1794" spans="2:16" x14ac:dyDescent="0.25">
      <c r="B1794" s="24"/>
      <c r="E1794" s="24"/>
      <c r="G1794" s="24"/>
      <c r="H1794" s="24"/>
      <c r="J1794" s="24"/>
      <c r="K1794" s="24"/>
      <c r="M1794" s="24"/>
      <c r="N1794" s="24"/>
      <c r="P1794" s="24"/>
    </row>
    <row r="1795" spans="2:16" x14ac:dyDescent="0.25">
      <c r="B1795" s="24"/>
      <c r="E1795" s="24"/>
      <c r="G1795" s="24"/>
      <c r="H1795" s="24"/>
      <c r="J1795" s="24"/>
      <c r="K1795" s="24"/>
      <c r="M1795" s="24"/>
      <c r="N1795" s="24"/>
      <c r="P1795" s="24"/>
    </row>
    <row r="1796" spans="2:16" x14ac:dyDescent="0.25">
      <c r="B1796" s="24"/>
      <c r="E1796" s="24"/>
      <c r="G1796" s="24"/>
      <c r="H1796" s="24"/>
      <c r="J1796" s="24"/>
      <c r="K1796" s="24"/>
      <c r="M1796" s="24"/>
      <c r="N1796" s="24"/>
      <c r="P1796" s="24"/>
    </row>
    <row r="1797" spans="2:16" x14ac:dyDescent="0.25">
      <c r="B1797" s="24"/>
      <c r="E1797" s="24"/>
      <c r="G1797" s="24"/>
      <c r="H1797" s="24"/>
      <c r="J1797" s="24"/>
      <c r="K1797" s="24"/>
      <c r="M1797" s="24"/>
      <c r="N1797" s="24"/>
      <c r="P1797" s="24"/>
    </row>
    <row r="1798" spans="2:16" x14ac:dyDescent="0.25">
      <c r="B1798" s="24"/>
      <c r="E1798" s="24"/>
      <c r="G1798" s="24"/>
      <c r="H1798" s="24"/>
      <c r="J1798" s="24"/>
      <c r="K1798" s="24"/>
      <c r="M1798" s="24"/>
      <c r="N1798" s="24"/>
      <c r="P1798" s="24"/>
    </row>
    <row r="1799" spans="2:16" x14ac:dyDescent="0.25">
      <c r="B1799" s="24"/>
      <c r="E1799" s="24"/>
      <c r="G1799" s="24"/>
      <c r="H1799" s="24"/>
      <c r="J1799" s="24"/>
      <c r="K1799" s="24"/>
      <c r="M1799" s="24"/>
      <c r="N1799" s="24"/>
      <c r="P1799" s="24"/>
    </row>
    <row r="1800" spans="2:16" x14ac:dyDescent="0.25">
      <c r="B1800" s="24"/>
      <c r="E1800" s="24"/>
      <c r="G1800" s="24"/>
      <c r="H1800" s="24"/>
      <c r="J1800" s="24"/>
      <c r="K1800" s="24"/>
      <c r="M1800" s="24"/>
      <c r="N1800" s="24"/>
      <c r="P1800" s="24"/>
    </row>
    <row r="1801" spans="2:16" x14ac:dyDescent="0.25">
      <c r="B1801" s="24"/>
      <c r="E1801" s="24"/>
      <c r="G1801" s="24"/>
      <c r="H1801" s="24"/>
      <c r="J1801" s="24"/>
      <c r="K1801" s="24"/>
      <c r="M1801" s="24"/>
      <c r="N1801" s="24"/>
      <c r="P1801" s="24"/>
    </row>
    <row r="1802" spans="2:16" x14ac:dyDescent="0.25">
      <c r="B1802" s="24"/>
      <c r="E1802" s="24"/>
      <c r="G1802" s="24"/>
      <c r="H1802" s="24"/>
      <c r="J1802" s="24"/>
      <c r="K1802" s="24"/>
      <c r="M1802" s="24"/>
      <c r="N1802" s="24"/>
      <c r="P1802" s="24"/>
    </row>
    <row r="1803" spans="2:16" x14ac:dyDescent="0.25">
      <c r="B1803" s="24"/>
      <c r="E1803" s="24"/>
      <c r="G1803" s="24"/>
      <c r="H1803" s="24"/>
      <c r="J1803" s="24"/>
      <c r="K1803" s="24"/>
      <c r="M1803" s="24"/>
      <c r="N1803" s="24"/>
      <c r="P1803" s="24"/>
    </row>
    <row r="1804" spans="2:16" x14ac:dyDescent="0.25">
      <c r="B1804" s="24"/>
      <c r="E1804" s="24"/>
      <c r="G1804" s="24"/>
      <c r="H1804" s="24"/>
      <c r="J1804" s="24"/>
      <c r="K1804" s="24"/>
      <c r="M1804" s="24"/>
      <c r="N1804" s="24"/>
      <c r="P1804" s="24"/>
    </row>
    <row r="1805" spans="2:16" x14ac:dyDescent="0.25">
      <c r="B1805" s="24"/>
      <c r="E1805" s="24"/>
      <c r="G1805" s="24"/>
      <c r="H1805" s="24"/>
      <c r="J1805" s="24"/>
      <c r="K1805" s="24"/>
      <c r="M1805" s="24"/>
      <c r="N1805" s="24"/>
      <c r="P1805" s="24"/>
    </row>
    <row r="1806" spans="2:16" x14ac:dyDescent="0.25">
      <c r="B1806" s="24"/>
      <c r="E1806" s="24"/>
      <c r="G1806" s="24"/>
      <c r="H1806" s="24"/>
      <c r="J1806" s="24"/>
      <c r="K1806" s="24"/>
      <c r="M1806" s="24"/>
      <c r="N1806" s="24"/>
      <c r="P1806" s="24"/>
    </row>
    <row r="1807" spans="2:16" x14ac:dyDescent="0.25">
      <c r="B1807" s="24"/>
      <c r="E1807" s="24"/>
      <c r="G1807" s="24"/>
      <c r="H1807" s="24"/>
      <c r="J1807" s="24"/>
      <c r="K1807" s="24"/>
      <c r="M1807" s="24"/>
      <c r="N1807" s="24"/>
      <c r="P1807" s="24"/>
    </row>
    <row r="1808" spans="2:16" x14ac:dyDescent="0.25">
      <c r="B1808" s="24"/>
      <c r="E1808" s="24"/>
      <c r="G1808" s="24"/>
      <c r="H1808" s="24"/>
      <c r="J1808" s="24"/>
      <c r="K1808" s="24"/>
      <c r="M1808" s="24"/>
      <c r="N1808" s="24"/>
      <c r="P1808" s="24"/>
    </row>
    <row r="1809" spans="2:16" x14ac:dyDescent="0.25">
      <c r="B1809" s="24"/>
      <c r="E1809" s="24"/>
      <c r="G1809" s="24"/>
      <c r="H1809" s="24"/>
      <c r="J1809" s="24"/>
      <c r="K1809" s="24"/>
      <c r="M1809" s="24"/>
      <c r="N1809" s="24"/>
      <c r="P1809" s="24"/>
    </row>
    <row r="1810" spans="2:16" x14ac:dyDescent="0.25">
      <c r="B1810" s="24"/>
      <c r="E1810" s="24"/>
      <c r="G1810" s="24"/>
      <c r="H1810" s="24"/>
      <c r="J1810" s="24"/>
      <c r="K1810" s="24"/>
      <c r="M1810" s="24"/>
      <c r="N1810" s="24"/>
      <c r="P1810" s="24"/>
    </row>
    <row r="1811" spans="2:16" x14ac:dyDescent="0.25">
      <c r="B1811" s="24"/>
      <c r="E1811" s="24"/>
      <c r="G1811" s="24"/>
      <c r="H1811" s="24"/>
      <c r="J1811" s="24"/>
      <c r="K1811" s="24"/>
      <c r="M1811" s="24"/>
      <c r="N1811" s="24"/>
      <c r="P1811" s="24"/>
    </row>
    <row r="1812" spans="2:16" x14ac:dyDescent="0.25">
      <c r="B1812" s="24"/>
      <c r="E1812" s="24"/>
      <c r="G1812" s="24"/>
      <c r="H1812" s="24"/>
      <c r="J1812" s="24"/>
      <c r="K1812" s="24"/>
      <c r="M1812" s="24"/>
      <c r="N1812" s="24"/>
      <c r="P1812" s="24"/>
    </row>
    <row r="1813" spans="2:16" x14ac:dyDescent="0.25">
      <c r="B1813" s="24"/>
      <c r="E1813" s="24"/>
      <c r="G1813" s="24"/>
      <c r="H1813" s="24"/>
      <c r="J1813" s="24"/>
      <c r="K1813" s="24"/>
      <c r="M1813" s="24"/>
      <c r="N1813" s="24"/>
      <c r="P1813" s="24"/>
    </row>
    <row r="1814" spans="2:16" x14ac:dyDescent="0.25">
      <c r="B1814" s="24"/>
      <c r="E1814" s="24"/>
      <c r="G1814" s="24"/>
      <c r="H1814" s="24"/>
      <c r="J1814" s="24"/>
      <c r="K1814" s="24"/>
      <c r="M1814" s="24"/>
      <c r="N1814" s="24"/>
      <c r="P1814" s="24"/>
    </row>
    <row r="1815" spans="2:16" x14ac:dyDescent="0.25">
      <c r="B1815" s="24"/>
      <c r="E1815" s="24"/>
      <c r="G1815" s="24"/>
      <c r="H1815" s="24"/>
      <c r="J1815" s="24"/>
      <c r="K1815" s="24"/>
      <c r="M1815" s="24"/>
      <c r="N1815" s="24"/>
      <c r="P1815" s="24"/>
    </row>
    <row r="1816" spans="2:16" x14ac:dyDescent="0.25">
      <c r="B1816" s="24"/>
      <c r="E1816" s="24"/>
      <c r="G1816" s="24"/>
      <c r="H1816" s="24"/>
      <c r="J1816" s="24"/>
      <c r="K1816" s="24"/>
      <c r="M1816" s="24"/>
      <c r="N1816" s="24"/>
      <c r="P1816" s="24"/>
    </row>
    <row r="1817" spans="2:16" x14ac:dyDescent="0.25">
      <c r="B1817" s="24"/>
      <c r="E1817" s="24"/>
      <c r="G1817" s="24"/>
      <c r="H1817" s="24"/>
      <c r="J1817" s="24"/>
      <c r="K1817" s="24"/>
      <c r="M1817" s="24"/>
      <c r="N1817" s="24"/>
      <c r="P1817" s="24"/>
    </row>
    <row r="1818" spans="2:16" x14ac:dyDescent="0.25">
      <c r="B1818" s="24"/>
      <c r="E1818" s="24"/>
      <c r="G1818" s="24"/>
      <c r="H1818" s="24"/>
      <c r="J1818" s="24"/>
      <c r="K1818" s="24"/>
      <c r="M1818" s="24"/>
      <c r="N1818" s="24"/>
      <c r="P1818" s="24"/>
    </row>
    <row r="1819" spans="2:16" x14ac:dyDescent="0.25">
      <c r="B1819" s="24"/>
      <c r="E1819" s="24"/>
      <c r="G1819" s="24"/>
      <c r="H1819" s="24"/>
      <c r="J1819" s="24"/>
      <c r="K1819" s="24"/>
      <c r="M1819" s="24"/>
      <c r="N1819" s="24"/>
      <c r="P1819" s="24"/>
    </row>
    <row r="1820" spans="2:16" x14ac:dyDescent="0.25">
      <c r="B1820" s="24"/>
      <c r="E1820" s="24"/>
      <c r="G1820" s="24"/>
      <c r="H1820" s="24"/>
      <c r="J1820" s="24"/>
      <c r="K1820" s="24"/>
      <c r="M1820" s="24"/>
      <c r="N1820" s="24"/>
      <c r="P1820" s="24"/>
    </row>
    <row r="1821" spans="2:16" x14ac:dyDescent="0.25">
      <c r="B1821" s="24"/>
      <c r="E1821" s="24"/>
      <c r="G1821" s="24"/>
      <c r="H1821" s="24"/>
      <c r="J1821" s="24"/>
      <c r="K1821" s="24"/>
      <c r="M1821" s="24"/>
      <c r="N1821" s="24"/>
      <c r="P1821" s="24"/>
    </row>
    <row r="1822" spans="2:16" x14ac:dyDescent="0.25">
      <c r="B1822" s="24"/>
      <c r="E1822" s="24"/>
      <c r="G1822" s="24"/>
      <c r="H1822" s="24"/>
      <c r="J1822" s="24"/>
      <c r="K1822" s="24"/>
      <c r="M1822" s="24"/>
      <c r="N1822" s="24"/>
      <c r="P1822" s="24"/>
    </row>
    <row r="1823" spans="2:16" x14ac:dyDescent="0.25">
      <c r="B1823" s="24"/>
      <c r="E1823" s="24"/>
      <c r="G1823" s="24"/>
      <c r="H1823" s="24"/>
      <c r="J1823" s="24"/>
      <c r="K1823" s="24"/>
      <c r="M1823" s="24"/>
      <c r="N1823" s="24"/>
      <c r="P1823" s="24"/>
    </row>
    <row r="1824" spans="2:16" x14ac:dyDescent="0.25">
      <c r="B1824" s="24"/>
      <c r="E1824" s="24"/>
      <c r="G1824" s="24"/>
      <c r="H1824" s="24"/>
      <c r="J1824" s="24"/>
      <c r="K1824" s="24"/>
      <c r="M1824" s="24"/>
      <c r="N1824" s="24"/>
      <c r="P1824" s="24"/>
    </row>
    <row r="1825" spans="2:16" x14ac:dyDescent="0.25">
      <c r="B1825" s="24"/>
      <c r="E1825" s="24"/>
      <c r="G1825" s="24"/>
      <c r="H1825" s="24"/>
      <c r="J1825" s="24"/>
      <c r="K1825" s="24"/>
      <c r="M1825" s="24"/>
      <c r="N1825" s="24"/>
      <c r="P1825" s="24"/>
    </row>
    <row r="1826" spans="2:16" x14ac:dyDescent="0.25">
      <c r="B1826" s="24"/>
      <c r="E1826" s="24"/>
      <c r="G1826" s="24"/>
      <c r="H1826" s="24"/>
      <c r="J1826" s="24"/>
      <c r="K1826" s="24"/>
      <c r="M1826" s="24"/>
      <c r="N1826" s="24"/>
      <c r="P1826" s="24"/>
    </row>
    <row r="1827" spans="2:16" x14ac:dyDescent="0.25">
      <c r="B1827" s="24"/>
      <c r="E1827" s="24"/>
      <c r="G1827" s="24"/>
      <c r="H1827" s="24"/>
      <c r="J1827" s="24"/>
      <c r="K1827" s="24"/>
      <c r="M1827" s="24"/>
      <c r="N1827" s="24"/>
      <c r="P1827" s="24"/>
    </row>
    <row r="1828" spans="2:16" x14ac:dyDescent="0.25">
      <c r="B1828" s="24"/>
      <c r="E1828" s="24"/>
      <c r="G1828" s="24"/>
      <c r="H1828" s="24"/>
      <c r="J1828" s="24"/>
      <c r="K1828" s="24"/>
      <c r="M1828" s="24"/>
      <c r="N1828" s="24"/>
      <c r="P1828" s="24"/>
    </row>
    <row r="1829" spans="2:16" x14ac:dyDescent="0.25">
      <c r="B1829" s="24"/>
      <c r="E1829" s="24"/>
      <c r="G1829" s="24"/>
      <c r="H1829" s="24"/>
      <c r="J1829" s="24"/>
      <c r="K1829" s="24"/>
      <c r="M1829" s="24"/>
      <c r="N1829" s="24"/>
      <c r="P1829" s="24"/>
    </row>
    <row r="1830" spans="2:16" x14ac:dyDescent="0.25">
      <c r="B1830" s="24"/>
      <c r="E1830" s="24"/>
      <c r="G1830" s="24"/>
      <c r="H1830" s="24"/>
      <c r="J1830" s="24"/>
      <c r="K1830" s="24"/>
      <c r="M1830" s="24"/>
      <c r="N1830" s="24"/>
      <c r="P1830" s="24"/>
    </row>
    <row r="1831" spans="2:16" x14ac:dyDescent="0.25">
      <c r="B1831" s="24"/>
      <c r="E1831" s="24"/>
      <c r="G1831" s="24"/>
      <c r="H1831" s="24"/>
      <c r="J1831" s="24"/>
      <c r="K1831" s="24"/>
      <c r="M1831" s="24"/>
      <c r="N1831" s="24"/>
      <c r="P1831" s="24"/>
    </row>
    <row r="1832" spans="2:16" x14ac:dyDescent="0.25">
      <c r="B1832" s="24"/>
      <c r="E1832" s="24"/>
      <c r="G1832" s="24"/>
      <c r="H1832" s="24"/>
      <c r="J1832" s="24"/>
      <c r="K1832" s="24"/>
      <c r="M1832" s="24"/>
      <c r="N1832" s="24"/>
      <c r="P1832" s="24"/>
    </row>
    <row r="1833" spans="2:16" x14ac:dyDescent="0.25">
      <c r="B1833" s="24"/>
      <c r="E1833" s="24"/>
      <c r="G1833" s="24"/>
      <c r="H1833" s="24"/>
      <c r="J1833" s="24"/>
      <c r="K1833" s="24"/>
      <c r="M1833" s="24"/>
      <c r="N1833" s="24"/>
      <c r="P1833" s="24"/>
    </row>
    <row r="1834" spans="2:16" x14ac:dyDescent="0.25">
      <c r="B1834" s="24"/>
      <c r="E1834" s="24"/>
      <c r="G1834" s="24"/>
      <c r="H1834" s="24"/>
      <c r="J1834" s="24"/>
      <c r="K1834" s="24"/>
      <c r="M1834" s="24"/>
      <c r="N1834" s="24"/>
      <c r="P1834" s="24"/>
    </row>
    <row r="1835" spans="2:16" x14ac:dyDescent="0.25">
      <c r="B1835" s="24"/>
      <c r="E1835" s="24"/>
      <c r="G1835" s="24"/>
      <c r="H1835" s="24"/>
      <c r="J1835" s="24"/>
      <c r="K1835" s="24"/>
      <c r="M1835" s="24"/>
      <c r="N1835" s="24"/>
      <c r="P1835" s="24"/>
    </row>
    <row r="1836" spans="2:16" x14ac:dyDescent="0.25">
      <c r="B1836" s="24"/>
      <c r="E1836" s="24"/>
      <c r="G1836" s="24"/>
      <c r="H1836" s="24"/>
      <c r="J1836" s="24"/>
      <c r="K1836" s="24"/>
      <c r="M1836" s="24"/>
      <c r="N1836" s="24"/>
      <c r="P1836" s="24"/>
    </row>
    <row r="1837" spans="2:16" x14ac:dyDescent="0.25">
      <c r="B1837" s="24"/>
      <c r="E1837" s="24"/>
      <c r="G1837" s="24"/>
      <c r="H1837" s="24"/>
      <c r="J1837" s="24"/>
      <c r="K1837" s="24"/>
      <c r="M1837" s="24"/>
      <c r="N1837" s="24"/>
      <c r="P1837" s="24"/>
    </row>
    <row r="1838" spans="2:16" x14ac:dyDescent="0.25">
      <c r="B1838" s="24"/>
      <c r="E1838" s="24"/>
      <c r="G1838" s="24"/>
      <c r="H1838" s="24"/>
      <c r="J1838" s="24"/>
      <c r="K1838" s="24"/>
      <c r="M1838" s="24"/>
      <c r="N1838" s="24"/>
      <c r="P1838" s="24"/>
    </row>
    <row r="1839" spans="2:16" x14ac:dyDescent="0.25">
      <c r="B1839" s="24"/>
      <c r="E1839" s="24"/>
      <c r="G1839" s="24"/>
      <c r="H1839" s="24"/>
      <c r="J1839" s="24"/>
      <c r="K1839" s="24"/>
      <c r="M1839" s="24"/>
      <c r="N1839" s="24"/>
      <c r="P1839" s="24"/>
    </row>
    <row r="1840" spans="2:16" x14ac:dyDescent="0.25">
      <c r="B1840" s="24"/>
      <c r="E1840" s="24"/>
      <c r="G1840" s="24"/>
      <c r="H1840" s="24"/>
      <c r="J1840" s="24"/>
      <c r="K1840" s="24"/>
      <c r="M1840" s="24"/>
      <c r="N1840" s="24"/>
      <c r="P1840" s="24"/>
    </row>
    <row r="1841" spans="2:16" x14ac:dyDescent="0.25">
      <c r="B1841" s="24"/>
      <c r="E1841" s="24"/>
      <c r="G1841" s="24"/>
      <c r="H1841" s="24"/>
      <c r="J1841" s="24"/>
      <c r="K1841" s="24"/>
      <c r="M1841" s="24"/>
      <c r="N1841" s="24"/>
      <c r="P1841" s="24"/>
    </row>
    <row r="1842" spans="2:16" x14ac:dyDescent="0.25">
      <c r="B1842" s="24"/>
      <c r="E1842" s="24"/>
      <c r="G1842" s="24"/>
      <c r="H1842" s="24"/>
      <c r="J1842" s="24"/>
      <c r="K1842" s="24"/>
      <c r="M1842" s="24"/>
      <c r="N1842" s="24"/>
      <c r="P1842" s="24"/>
    </row>
    <row r="1843" spans="2:16" x14ac:dyDescent="0.25">
      <c r="B1843" s="24"/>
      <c r="E1843" s="24"/>
      <c r="G1843" s="24"/>
      <c r="H1843" s="24"/>
      <c r="J1843" s="24"/>
      <c r="K1843" s="24"/>
      <c r="M1843" s="24"/>
      <c r="N1843" s="24"/>
      <c r="P1843" s="24"/>
    </row>
    <row r="1844" spans="2:16" x14ac:dyDescent="0.25">
      <c r="B1844" s="24"/>
      <c r="E1844" s="24"/>
      <c r="G1844" s="24"/>
      <c r="H1844" s="24"/>
      <c r="J1844" s="24"/>
      <c r="K1844" s="24"/>
      <c r="M1844" s="24"/>
      <c r="N1844" s="24"/>
      <c r="P1844" s="24"/>
    </row>
    <row r="1845" spans="2:16" x14ac:dyDescent="0.25">
      <c r="B1845" s="24"/>
      <c r="E1845" s="24"/>
      <c r="G1845" s="24"/>
      <c r="H1845" s="24"/>
      <c r="J1845" s="24"/>
      <c r="K1845" s="24"/>
      <c r="M1845" s="24"/>
      <c r="N1845" s="24"/>
      <c r="P1845" s="24"/>
    </row>
    <row r="1846" spans="2:16" x14ac:dyDescent="0.25">
      <c r="B1846" s="24"/>
      <c r="E1846" s="24"/>
      <c r="G1846" s="24"/>
      <c r="H1846" s="24"/>
      <c r="J1846" s="24"/>
      <c r="K1846" s="24"/>
      <c r="M1846" s="24"/>
      <c r="N1846" s="24"/>
      <c r="P1846" s="24"/>
    </row>
    <row r="1847" spans="2:16" x14ac:dyDescent="0.25">
      <c r="B1847" s="24"/>
      <c r="E1847" s="24"/>
      <c r="G1847" s="24"/>
      <c r="H1847" s="24"/>
      <c r="J1847" s="24"/>
      <c r="K1847" s="24"/>
      <c r="M1847" s="24"/>
      <c r="N1847" s="24"/>
      <c r="P1847" s="24"/>
    </row>
    <row r="1848" spans="2:16" x14ac:dyDescent="0.25">
      <c r="B1848" s="24"/>
      <c r="E1848" s="24"/>
      <c r="G1848" s="24"/>
      <c r="H1848" s="24"/>
      <c r="J1848" s="24"/>
      <c r="K1848" s="24"/>
      <c r="M1848" s="24"/>
      <c r="N1848" s="24"/>
      <c r="P1848" s="24"/>
    </row>
    <row r="1849" spans="2:16" x14ac:dyDescent="0.25">
      <c r="B1849" s="24"/>
      <c r="E1849" s="24"/>
      <c r="G1849" s="24"/>
      <c r="H1849" s="24"/>
      <c r="J1849" s="24"/>
      <c r="K1849" s="24"/>
      <c r="M1849" s="24"/>
      <c r="N1849" s="24"/>
      <c r="P1849" s="24"/>
    </row>
    <row r="1850" spans="2:16" x14ac:dyDescent="0.25">
      <c r="B1850" s="24"/>
      <c r="E1850" s="24"/>
      <c r="G1850" s="24"/>
      <c r="H1850" s="24"/>
      <c r="J1850" s="24"/>
      <c r="K1850" s="24"/>
      <c r="M1850" s="24"/>
      <c r="N1850" s="24"/>
      <c r="P1850" s="24"/>
    </row>
    <row r="1851" spans="2:16" x14ac:dyDescent="0.25">
      <c r="B1851" s="24"/>
      <c r="E1851" s="24"/>
      <c r="G1851" s="24"/>
      <c r="H1851" s="24"/>
      <c r="J1851" s="24"/>
      <c r="K1851" s="24"/>
      <c r="M1851" s="24"/>
      <c r="N1851" s="24"/>
      <c r="P1851" s="24"/>
    </row>
    <row r="1852" spans="2:16" x14ac:dyDescent="0.25">
      <c r="B1852" s="24"/>
      <c r="E1852" s="24"/>
      <c r="G1852" s="24"/>
      <c r="H1852" s="24"/>
      <c r="J1852" s="24"/>
      <c r="K1852" s="24"/>
      <c r="M1852" s="24"/>
      <c r="N1852" s="24"/>
      <c r="P1852" s="24"/>
    </row>
    <row r="1853" spans="2:16" x14ac:dyDescent="0.25">
      <c r="B1853" s="24"/>
      <c r="E1853" s="24"/>
      <c r="G1853" s="24"/>
      <c r="H1853" s="24"/>
      <c r="J1853" s="24"/>
      <c r="K1853" s="24"/>
      <c r="M1853" s="24"/>
      <c r="N1853" s="24"/>
      <c r="P1853" s="24"/>
    </row>
    <row r="1854" spans="2:16" x14ac:dyDescent="0.25">
      <c r="B1854" s="24"/>
      <c r="E1854" s="24"/>
      <c r="G1854" s="24"/>
      <c r="H1854" s="24"/>
      <c r="J1854" s="24"/>
      <c r="K1854" s="24"/>
      <c r="M1854" s="24"/>
      <c r="N1854" s="24"/>
      <c r="P1854" s="24"/>
    </row>
    <row r="1855" spans="2:16" x14ac:dyDescent="0.25">
      <c r="B1855" s="24"/>
      <c r="E1855" s="24"/>
      <c r="G1855" s="24"/>
      <c r="H1855" s="24"/>
      <c r="J1855" s="24"/>
      <c r="K1855" s="24"/>
      <c r="M1855" s="24"/>
      <c r="N1855" s="24"/>
      <c r="P1855" s="24"/>
    </row>
    <row r="1856" spans="2:16" x14ac:dyDescent="0.25">
      <c r="B1856" s="24"/>
      <c r="E1856" s="24"/>
      <c r="G1856" s="24"/>
      <c r="H1856" s="24"/>
      <c r="J1856" s="24"/>
      <c r="K1856" s="24"/>
      <c r="M1856" s="24"/>
      <c r="N1856" s="24"/>
      <c r="P1856" s="24"/>
    </row>
    <row r="1857" spans="2:16" x14ac:dyDescent="0.25">
      <c r="B1857" s="24"/>
      <c r="E1857" s="24"/>
      <c r="G1857" s="24"/>
      <c r="H1857" s="24"/>
      <c r="J1857" s="24"/>
      <c r="K1857" s="24"/>
      <c r="M1857" s="24"/>
      <c r="N1857" s="24"/>
      <c r="P1857" s="24"/>
    </row>
    <row r="1858" spans="2:16" x14ac:dyDescent="0.25">
      <c r="B1858" s="24"/>
      <c r="E1858" s="24"/>
      <c r="G1858" s="24"/>
      <c r="H1858" s="24"/>
      <c r="J1858" s="24"/>
      <c r="K1858" s="24"/>
      <c r="M1858" s="24"/>
      <c r="N1858" s="24"/>
      <c r="P1858" s="24"/>
    </row>
    <row r="1859" spans="2:16" x14ac:dyDescent="0.25">
      <c r="B1859" s="24"/>
      <c r="E1859" s="24"/>
      <c r="G1859" s="24"/>
      <c r="H1859" s="24"/>
      <c r="J1859" s="24"/>
      <c r="K1859" s="24"/>
      <c r="M1859" s="24"/>
      <c r="N1859" s="24"/>
      <c r="P1859" s="24"/>
    </row>
    <row r="1860" spans="2:16" x14ac:dyDescent="0.25">
      <c r="B1860" s="24"/>
      <c r="E1860" s="24"/>
      <c r="G1860" s="24"/>
      <c r="H1860" s="24"/>
      <c r="J1860" s="24"/>
      <c r="K1860" s="24"/>
      <c r="M1860" s="24"/>
      <c r="N1860" s="24"/>
      <c r="P1860" s="24"/>
    </row>
    <row r="1861" spans="2:16" x14ac:dyDescent="0.25">
      <c r="B1861" s="24"/>
      <c r="E1861" s="24"/>
      <c r="G1861" s="24"/>
      <c r="H1861" s="24"/>
      <c r="J1861" s="24"/>
      <c r="K1861" s="24"/>
      <c r="M1861" s="24"/>
      <c r="N1861" s="24"/>
      <c r="P1861" s="24"/>
    </row>
    <row r="1862" spans="2:16" x14ac:dyDescent="0.25">
      <c r="B1862" s="24"/>
      <c r="E1862" s="24"/>
      <c r="G1862" s="24"/>
      <c r="H1862" s="24"/>
      <c r="J1862" s="24"/>
      <c r="K1862" s="24"/>
      <c r="M1862" s="24"/>
      <c r="N1862" s="24"/>
      <c r="P1862" s="24"/>
    </row>
    <row r="1863" spans="2:16" x14ac:dyDescent="0.25">
      <c r="B1863" s="24"/>
      <c r="E1863" s="24"/>
      <c r="G1863" s="24"/>
      <c r="H1863" s="24"/>
      <c r="J1863" s="24"/>
      <c r="K1863" s="24"/>
      <c r="M1863" s="24"/>
      <c r="N1863" s="24"/>
      <c r="P1863" s="24"/>
    </row>
    <row r="1864" spans="2:16" x14ac:dyDescent="0.25">
      <c r="B1864" s="24"/>
      <c r="E1864" s="24"/>
      <c r="G1864" s="24"/>
      <c r="H1864" s="24"/>
      <c r="J1864" s="24"/>
      <c r="K1864" s="24"/>
      <c r="M1864" s="24"/>
      <c r="N1864" s="24"/>
      <c r="P1864" s="24"/>
    </row>
    <row r="1865" spans="2:16" x14ac:dyDescent="0.25">
      <c r="B1865" s="24"/>
      <c r="E1865" s="24"/>
      <c r="G1865" s="24"/>
      <c r="H1865" s="24"/>
      <c r="J1865" s="24"/>
      <c r="K1865" s="24"/>
      <c r="M1865" s="24"/>
      <c r="N1865" s="24"/>
      <c r="P1865" s="24"/>
    </row>
    <row r="1866" spans="2:16" x14ac:dyDescent="0.25">
      <c r="B1866" s="24"/>
      <c r="E1866" s="24"/>
      <c r="G1866" s="24"/>
      <c r="H1866" s="24"/>
      <c r="J1866" s="24"/>
      <c r="K1866" s="24"/>
      <c r="M1866" s="24"/>
      <c r="N1866" s="24"/>
      <c r="P1866" s="24"/>
    </row>
    <row r="1867" spans="2:16" x14ac:dyDescent="0.25">
      <c r="B1867" s="24"/>
      <c r="E1867" s="24"/>
      <c r="G1867" s="24"/>
      <c r="H1867" s="24"/>
      <c r="J1867" s="24"/>
      <c r="K1867" s="24"/>
      <c r="M1867" s="24"/>
      <c r="N1867" s="24"/>
      <c r="P1867" s="24"/>
    </row>
    <row r="1868" spans="2:16" x14ac:dyDescent="0.25">
      <c r="B1868" s="24"/>
      <c r="E1868" s="24"/>
      <c r="G1868" s="24"/>
      <c r="H1868" s="24"/>
      <c r="J1868" s="24"/>
      <c r="K1868" s="24"/>
      <c r="M1868" s="24"/>
      <c r="N1868" s="24"/>
      <c r="P1868" s="24"/>
    </row>
    <row r="1869" spans="2:16" x14ac:dyDescent="0.25">
      <c r="B1869" s="24"/>
      <c r="E1869" s="24"/>
      <c r="G1869" s="24"/>
      <c r="H1869" s="24"/>
      <c r="J1869" s="24"/>
      <c r="K1869" s="24"/>
      <c r="M1869" s="24"/>
      <c r="N1869" s="24"/>
      <c r="P1869" s="24"/>
    </row>
    <row r="1870" spans="2:16" x14ac:dyDescent="0.25">
      <c r="B1870" s="24"/>
      <c r="E1870" s="24"/>
      <c r="G1870" s="24"/>
      <c r="H1870" s="24"/>
      <c r="J1870" s="24"/>
      <c r="K1870" s="24"/>
      <c r="M1870" s="24"/>
      <c r="N1870" s="24"/>
      <c r="P1870" s="24"/>
    </row>
    <row r="1871" spans="2:16" x14ac:dyDescent="0.25">
      <c r="B1871" s="24"/>
      <c r="E1871" s="24"/>
      <c r="G1871" s="24"/>
      <c r="H1871" s="24"/>
      <c r="J1871" s="24"/>
      <c r="K1871" s="24"/>
      <c r="M1871" s="24"/>
      <c r="N1871" s="24"/>
      <c r="P1871" s="24"/>
    </row>
    <row r="1872" spans="2:16" x14ac:dyDescent="0.25">
      <c r="B1872" s="24"/>
      <c r="E1872" s="24"/>
      <c r="G1872" s="24"/>
      <c r="H1872" s="24"/>
      <c r="J1872" s="24"/>
      <c r="K1872" s="24"/>
      <c r="M1872" s="24"/>
      <c r="N1872" s="24"/>
      <c r="P1872" s="24"/>
    </row>
    <row r="1873" spans="2:16" x14ac:dyDescent="0.25">
      <c r="B1873" s="24"/>
      <c r="E1873" s="24"/>
      <c r="G1873" s="24"/>
      <c r="H1873" s="24"/>
      <c r="J1873" s="24"/>
      <c r="K1873" s="24"/>
      <c r="M1873" s="24"/>
      <c r="N1873" s="24"/>
      <c r="P1873" s="24"/>
    </row>
    <row r="1874" spans="2:16" x14ac:dyDescent="0.25">
      <c r="B1874" s="24"/>
      <c r="E1874" s="24"/>
      <c r="G1874" s="24"/>
      <c r="H1874" s="24"/>
      <c r="J1874" s="24"/>
      <c r="K1874" s="24"/>
      <c r="M1874" s="24"/>
      <c r="N1874" s="24"/>
      <c r="P1874" s="24"/>
    </row>
    <row r="1875" spans="2:16" x14ac:dyDescent="0.25">
      <c r="B1875" s="24"/>
      <c r="E1875" s="24"/>
      <c r="G1875" s="24"/>
      <c r="H1875" s="24"/>
      <c r="J1875" s="24"/>
      <c r="K1875" s="24"/>
      <c r="M1875" s="24"/>
      <c r="N1875" s="24"/>
      <c r="P1875" s="24"/>
    </row>
    <row r="1876" spans="2:16" x14ac:dyDescent="0.25">
      <c r="B1876" s="24"/>
      <c r="E1876" s="24"/>
      <c r="G1876" s="24"/>
      <c r="H1876" s="24"/>
      <c r="J1876" s="24"/>
      <c r="K1876" s="24"/>
      <c r="M1876" s="24"/>
      <c r="N1876" s="24"/>
      <c r="P1876" s="24"/>
    </row>
    <row r="1877" spans="2:16" x14ac:dyDescent="0.25">
      <c r="B1877" s="24"/>
      <c r="E1877" s="24"/>
      <c r="G1877" s="24"/>
      <c r="H1877" s="24"/>
      <c r="J1877" s="24"/>
      <c r="K1877" s="24"/>
      <c r="M1877" s="24"/>
      <c r="N1877" s="24"/>
      <c r="P1877" s="24"/>
    </row>
    <row r="1878" spans="2:16" x14ac:dyDescent="0.25">
      <c r="B1878" s="24"/>
      <c r="E1878" s="24"/>
      <c r="G1878" s="24"/>
      <c r="H1878" s="24"/>
      <c r="J1878" s="24"/>
      <c r="K1878" s="24"/>
      <c r="M1878" s="24"/>
      <c r="N1878" s="24"/>
      <c r="P1878" s="24"/>
    </row>
    <row r="1879" spans="2:16" x14ac:dyDescent="0.25">
      <c r="B1879" s="24"/>
      <c r="E1879" s="24"/>
      <c r="G1879" s="24"/>
      <c r="H1879" s="24"/>
      <c r="J1879" s="24"/>
      <c r="K1879" s="24"/>
      <c r="M1879" s="24"/>
      <c r="N1879" s="24"/>
      <c r="P1879" s="24"/>
    </row>
    <row r="1880" spans="2:16" x14ac:dyDescent="0.25">
      <c r="B1880" s="24"/>
      <c r="E1880" s="24"/>
      <c r="G1880" s="24"/>
      <c r="H1880" s="24"/>
      <c r="J1880" s="24"/>
      <c r="K1880" s="24"/>
      <c r="M1880" s="24"/>
      <c r="N1880" s="24"/>
      <c r="P1880" s="24"/>
    </row>
    <row r="1881" spans="2:16" x14ac:dyDescent="0.25">
      <c r="B1881" s="24"/>
      <c r="E1881" s="24"/>
      <c r="G1881" s="24"/>
      <c r="H1881" s="24"/>
      <c r="J1881" s="24"/>
      <c r="K1881" s="24"/>
      <c r="M1881" s="24"/>
      <c r="N1881" s="24"/>
      <c r="P1881" s="24"/>
    </row>
    <row r="1882" spans="2:16" x14ac:dyDescent="0.25">
      <c r="B1882" s="24"/>
      <c r="E1882" s="24"/>
      <c r="G1882" s="24"/>
      <c r="H1882" s="24"/>
      <c r="J1882" s="24"/>
      <c r="K1882" s="24"/>
      <c r="M1882" s="24"/>
      <c r="N1882" s="24"/>
      <c r="P1882" s="24"/>
    </row>
    <row r="1883" spans="2:16" x14ac:dyDescent="0.25">
      <c r="B1883" s="24"/>
      <c r="E1883" s="24"/>
      <c r="G1883" s="24"/>
      <c r="H1883" s="24"/>
      <c r="J1883" s="24"/>
      <c r="K1883" s="24"/>
      <c r="M1883" s="24"/>
      <c r="N1883" s="24"/>
      <c r="P1883" s="24"/>
    </row>
    <row r="1884" spans="2:16" x14ac:dyDescent="0.25">
      <c r="B1884" s="24"/>
      <c r="E1884" s="24"/>
      <c r="G1884" s="24"/>
      <c r="H1884" s="24"/>
      <c r="J1884" s="24"/>
      <c r="K1884" s="24"/>
      <c r="M1884" s="24"/>
      <c r="N1884" s="24"/>
      <c r="P1884" s="24"/>
    </row>
    <row r="1885" spans="2:16" x14ac:dyDescent="0.25">
      <c r="B1885" s="24"/>
      <c r="E1885" s="24"/>
      <c r="G1885" s="24"/>
      <c r="H1885" s="24"/>
      <c r="J1885" s="24"/>
      <c r="K1885" s="24"/>
      <c r="M1885" s="24"/>
      <c r="N1885" s="24"/>
      <c r="P1885" s="24"/>
    </row>
    <row r="1886" spans="2:16" x14ac:dyDescent="0.25">
      <c r="B1886" s="24"/>
      <c r="E1886" s="24"/>
      <c r="G1886" s="24"/>
      <c r="H1886" s="24"/>
      <c r="J1886" s="24"/>
      <c r="K1886" s="24"/>
      <c r="M1886" s="24"/>
      <c r="N1886" s="24"/>
      <c r="P1886" s="24"/>
    </row>
    <row r="1887" spans="2:16" x14ac:dyDescent="0.25">
      <c r="B1887" s="24"/>
      <c r="E1887" s="24"/>
      <c r="G1887" s="24"/>
      <c r="H1887" s="24"/>
      <c r="J1887" s="24"/>
      <c r="K1887" s="24"/>
      <c r="M1887" s="24"/>
      <c r="N1887" s="24"/>
      <c r="P1887" s="24"/>
    </row>
    <row r="1888" spans="2:16" x14ac:dyDescent="0.25">
      <c r="B1888" s="24"/>
      <c r="E1888" s="24"/>
      <c r="G1888" s="24"/>
      <c r="H1888" s="24"/>
      <c r="J1888" s="24"/>
      <c r="K1888" s="24"/>
      <c r="M1888" s="24"/>
      <c r="N1888" s="24"/>
      <c r="P1888" s="24"/>
    </row>
    <row r="1889" spans="2:16" x14ac:dyDescent="0.25">
      <c r="B1889" s="24"/>
      <c r="E1889" s="24"/>
      <c r="G1889" s="24"/>
      <c r="H1889" s="24"/>
      <c r="J1889" s="24"/>
      <c r="K1889" s="24"/>
      <c r="M1889" s="24"/>
      <c r="N1889" s="24"/>
      <c r="P1889" s="24"/>
    </row>
    <row r="1890" spans="2:16" x14ac:dyDescent="0.25">
      <c r="B1890" s="24"/>
      <c r="E1890" s="24"/>
      <c r="G1890" s="24"/>
      <c r="H1890" s="24"/>
      <c r="J1890" s="24"/>
      <c r="K1890" s="24"/>
      <c r="M1890" s="24"/>
      <c r="N1890" s="24"/>
      <c r="P1890" s="24"/>
    </row>
    <row r="1891" spans="2:16" x14ac:dyDescent="0.25">
      <c r="B1891" s="24"/>
      <c r="E1891" s="24"/>
      <c r="G1891" s="24"/>
      <c r="H1891" s="24"/>
      <c r="J1891" s="24"/>
      <c r="K1891" s="24"/>
      <c r="M1891" s="24"/>
      <c r="N1891" s="24"/>
      <c r="P1891" s="24"/>
    </row>
    <row r="1892" spans="2:16" x14ac:dyDescent="0.25">
      <c r="B1892" s="24"/>
      <c r="E1892" s="24"/>
      <c r="G1892" s="24"/>
      <c r="H1892" s="24"/>
      <c r="J1892" s="24"/>
      <c r="K1892" s="24"/>
      <c r="M1892" s="24"/>
      <c r="N1892" s="24"/>
      <c r="P1892" s="24"/>
    </row>
    <row r="1893" spans="2:16" x14ac:dyDescent="0.25">
      <c r="B1893" s="24"/>
      <c r="E1893" s="24"/>
      <c r="G1893" s="24"/>
      <c r="H1893" s="24"/>
      <c r="J1893" s="24"/>
      <c r="K1893" s="24"/>
      <c r="M1893" s="24"/>
      <c r="N1893" s="24"/>
      <c r="P1893" s="24"/>
    </row>
    <row r="1894" spans="2:16" x14ac:dyDescent="0.25">
      <c r="B1894" s="24"/>
      <c r="E1894" s="24"/>
      <c r="G1894" s="24"/>
      <c r="H1894" s="24"/>
      <c r="J1894" s="24"/>
      <c r="K1894" s="24"/>
      <c r="M1894" s="24"/>
      <c r="N1894" s="24"/>
      <c r="P1894" s="24"/>
    </row>
    <row r="1895" spans="2:16" x14ac:dyDescent="0.25">
      <c r="B1895" s="24"/>
      <c r="E1895" s="24"/>
      <c r="G1895" s="24"/>
      <c r="H1895" s="24"/>
      <c r="J1895" s="24"/>
      <c r="K1895" s="24"/>
      <c r="M1895" s="24"/>
      <c r="N1895" s="24"/>
      <c r="P1895" s="24"/>
    </row>
    <row r="1896" spans="2:16" x14ac:dyDescent="0.25">
      <c r="B1896" s="24"/>
      <c r="E1896" s="24"/>
      <c r="G1896" s="24"/>
      <c r="H1896" s="24"/>
      <c r="J1896" s="24"/>
      <c r="K1896" s="24"/>
      <c r="M1896" s="24"/>
      <c r="N1896" s="24"/>
      <c r="P1896" s="24"/>
    </row>
    <row r="1897" spans="2:16" x14ac:dyDescent="0.25">
      <c r="B1897" s="24"/>
      <c r="E1897" s="24"/>
      <c r="G1897" s="24"/>
      <c r="H1897" s="24"/>
      <c r="J1897" s="24"/>
      <c r="K1897" s="24"/>
      <c r="M1897" s="24"/>
      <c r="N1897" s="24"/>
      <c r="P1897" s="24"/>
    </row>
    <row r="1898" spans="2:16" x14ac:dyDescent="0.25">
      <c r="B1898" s="24"/>
      <c r="E1898" s="24"/>
      <c r="G1898" s="24"/>
      <c r="H1898" s="24"/>
      <c r="J1898" s="24"/>
      <c r="K1898" s="24"/>
      <c r="M1898" s="24"/>
      <c r="N1898" s="24"/>
      <c r="P1898" s="24"/>
    </row>
    <row r="1899" spans="2:16" x14ac:dyDescent="0.25">
      <c r="B1899" s="24"/>
      <c r="E1899" s="24"/>
      <c r="G1899" s="24"/>
      <c r="H1899" s="24"/>
      <c r="J1899" s="24"/>
      <c r="K1899" s="24"/>
      <c r="M1899" s="24"/>
      <c r="N1899" s="24"/>
      <c r="P1899" s="24"/>
    </row>
    <row r="1900" spans="2:16" x14ac:dyDescent="0.25">
      <c r="B1900" s="24"/>
      <c r="E1900" s="24"/>
      <c r="G1900" s="24"/>
      <c r="H1900" s="24"/>
      <c r="J1900" s="24"/>
      <c r="K1900" s="24"/>
      <c r="M1900" s="24"/>
      <c r="N1900" s="24"/>
      <c r="P1900" s="24"/>
    </row>
    <row r="1901" spans="2:16" x14ac:dyDescent="0.25">
      <c r="B1901" s="24"/>
      <c r="E1901" s="24"/>
      <c r="G1901" s="24"/>
      <c r="H1901" s="24"/>
      <c r="J1901" s="24"/>
      <c r="K1901" s="24"/>
      <c r="M1901" s="24"/>
      <c r="N1901" s="24"/>
      <c r="P1901" s="24"/>
    </row>
    <row r="1902" spans="2:16" x14ac:dyDescent="0.25">
      <c r="B1902" s="24"/>
      <c r="E1902" s="24"/>
      <c r="G1902" s="24"/>
      <c r="H1902" s="24"/>
      <c r="J1902" s="24"/>
      <c r="K1902" s="24"/>
      <c r="M1902" s="24"/>
      <c r="N1902" s="24"/>
      <c r="P1902" s="24"/>
    </row>
    <row r="1903" spans="2:16" x14ac:dyDescent="0.25">
      <c r="B1903" s="24"/>
      <c r="E1903" s="24"/>
      <c r="G1903" s="24"/>
      <c r="H1903" s="24"/>
      <c r="J1903" s="24"/>
      <c r="K1903" s="24"/>
      <c r="M1903" s="24"/>
      <c r="N1903" s="24"/>
      <c r="P1903" s="24"/>
    </row>
    <row r="1904" spans="2:16" x14ac:dyDescent="0.25">
      <c r="B1904" s="24"/>
      <c r="E1904" s="24"/>
      <c r="G1904" s="24"/>
      <c r="H1904" s="24"/>
      <c r="J1904" s="24"/>
      <c r="K1904" s="24"/>
      <c r="M1904" s="24"/>
      <c r="N1904" s="24"/>
      <c r="P1904" s="24"/>
    </row>
    <row r="1905" spans="2:16" x14ac:dyDescent="0.25">
      <c r="B1905" s="24"/>
      <c r="E1905" s="24"/>
      <c r="G1905" s="24"/>
      <c r="H1905" s="24"/>
      <c r="J1905" s="24"/>
      <c r="K1905" s="24"/>
      <c r="M1905" s="24"/>
      <c r="N1905" s="24"/>
      <c r="P1905" s="24"/>
    </row>
    <row r="1906" spans="2:16" x14ac:dyDescent="0.25">
      <c r="B1906" s="24"/>
      <c r="E1906" s="24"/>
      <c r="G1906" s="24"/>
      <c r="H1906" s="24"/>
      <c r="J1906" s="24"/>
      <c r="K1906" s="24"/>
      <c r="M1906" s="24"/>
      <c r="N1906" s="24"/>
      <c r="P1906" s="24"/>
    </row>
    <row r="1907" spans="2:16" x14ac:dyDescent="0.25">
      <c r="B1907" s="24"/>
      <c r="E1907" s="24"/>
      <c r="G1907" s="24"/>
      <c r="H1907" s="24"/>
      <c r="J1907" s="24"/>
      <c r="K1907" s="24"/>
      <c r="M1907" s="24"/>
      <c r="N1907" s="24"/>
      <c r="P1907" s="24"/>
    </row>
    <row r="1908" spans="2:16" x14ac:dyDescent="0.25">
      <c r="B1908" s="24"/>
      <c r="E1908" s="24"/>
      <c r="G1908" s="24"/>
      <c r="H1908" s="24"/>
      <c r="J1908" s="24"/>
      <c r="K1908" s="24"/>
      <c r="M1908" s="24"/>
      <c r="N1908" s="24"/>
      <c r="P1908" s="24"/>
    </row>
    <row r="1909" spans="2:16" x14ac:dyDescent="0.25">
      <c r="B1909" s="24"/>
      <c r="E1909" s="24"/>
      <c r="G1909" s="24"/>
      <c r="H1909" s="24"/>
      <c r="J1909" s="24"/>
      <c r="K1909" s="24"/>
      <c r="M1909" s="24"/>
      <c r="N1909" s="24"/>
      <c r="P1909" s="24"/>
    </row>
    <row r="1910" spans="2:16" x14ac:dyDescent="0.25">
      <c r="B1910" s="24"/>
      <c r="E1910" s="24"/>
      <c r="G1910" s="24"/>
      <c r="H1910" s="24"/>
      <c r="J1910" s="24"/>
      <c r="K1910" s="24"/>
      <c r="M1910" s="24"/>
      <c r="N1910" s="24"/>
      <c r="P1910" s="24"/>
    </row>
    <row r="1911" spans="2:16" x14ac:dyDescent="0.25">
      <c r="B1911" s="24"/>
      <c r="E1911" s="24"/>
      <c r="G1911" s="24"/>
      <c r="H1911" s="24"/>
      <c r="J1911" s="24"/>
      <c r="K1911" s="24"/>
      <c r="M1911" s="24"/>
      <c r="N1911" s="24"/>
      <c r="P1911" s="24"/>
    </row>
    <row r="1912" spans="2:16" x14ac:dyDescent="0.25">
      <c r="B1912" s="24"/>
      <c r="E1912" s="24"/>
      <c r="G1912" s="24"/>
      <c r="H1912" s="24"/>
      <c r="J1912" s="24"/>
      <c r="K1912" s="24"/>
      <c r="M1912" s="24"/>
      <c r="N1912" s="24"/>
      <c r="P1912" s="24"/>
    </row>
    <row r="1913" spans="2:16" x14ac:dyDescent="0.25">
      <c r="B1913" s="24"/>
      <c r="E1913" s="24"/>
      <c r="G1913" s="24"/>
      <c r="H1913" s="24"/>
      <c r="J1913" s="24"/>
      <c r="K1913" s="24"/>
      <c r="M1913" s="24"/>
      <c r="N1913" s="24"/>
      <c r="P1913" s="24"/>
    </row>
    <row r="1914" spans="2:16" x14ac:dyDescent="0.25">
      <c r="B1914" s="24"/>
      <c r="E1914" s="24"/>
      <c r="G1914" s="24"/>
      <c r="H1914" s="24"/>
      <c r="J1914" s="24"/>
      <c r="K1914" s="24"/>
      <c r="M1914" s="24"/>
      <c r="N1914" s="24"/>
      <c r="P1914" s="24"/>
    </row>
    <row r="1915" spans="2:16" x14ac:dyDescent="0.25">
      <c r="B1915" s="24"/>
      <c r="E1915" s="24"/>
      <c r="G1915" s="24"/>
      <c r="H1915" s="24"/>
      <c r="J1915" s="24"/>
      <c r="K1915" s="24"/>
      <c r="M1915" s="24"/>
      <c r="N1915" s="24"/>
      <c r="P1915" s="24"/>
    </row>
    <row r="1916" spans="2:16" x14ac:dyDescent="0.25">
      <c r="B1916" s="24"/>
      <c r="E1916" s="24"/>
      <c r="G1916" s="24"/>
      <c r="H1916" s="24"/>
      <c r="J1916" s="24"/>
      <c r="K1916" s="24"/>
      <c r="M1916" s="24"/>
      <c r="N1916" s="24"/>
      <c r="P1916" s="24"/>
    </row>
    <row r="1917" spans="2:16" x14ac:dyDescent="0.25">
      <c r="B1917" s="24"/>
      <c r="E1917" s="24"/>
      <c r="G1917" s="24"/>
      <c r="H1917" s="24"/>
      <c r="J1917" s="24"/>
      <c r="K1917" s="24"/>
      <c r="M1917" s="24"/>
      <c r="N1917" s="24"/>
      <c r="P1917" s="24"/>
    </row>
    <row r="1918" spans="2:16" x14ac:dyDescent="0.25">
      <c r="B1918" s="24"/>
      <c r="E1918" s="24"/>
      <c r="G1918" s="24"/>
      <c r="H1918" s="24"/>
      <c r="J1918" s="24"/>
      <c r="K1918" s="24"/>
      <c r="M1918" s="24"/>
      <c r="N1918" s="24"/>
      <c r="P1918" s="24"/>
    </row>
    <row r="1919" spans="2:16" x14ac:dyDescent="0.25">
      <c r="B1919" s="24"/>
      <c r="E1919" s="24"/>
      <c r="G1919" s="24"/>
      <c r="H1919" s="24"/>
      <c r="J1919" s="24"/>
      <c r="K1919" s="24"/>
      <c r="M1919" s="24"/>
      <c r="N1919" s="24"/>
      <c r="P1919" s="24"/>
    </row>
    <row r="1920" spans="2:16" x14ac:dyDescent="0.25">
      <c r="B1920" s="24"/>
      <c r="E1920" s="24"/>
      <c r="G1920" s="24"/>
      <c r="H1920" s="24"/>
      <c r="J1920" s="24"/>
      <c r="K1920" s="24"/>
      <c r="M1920" s="24"/>
      <c r="N1920" s="24"/>
      <c r="P1920" s="24"/>
    </row>
    <row r="1921" spans="2:16" x14ac:dyDescent="0.25">
      <c r="B1921" s="24"/>
      <c r="E1921" s="24"/>
      <c r="G1921" s="24"/>
      <c r="H1921" s="24"/>
      <c r="J1921" s="24"/>
      <c r="K1921" s="24"/>
      <c r="M1921" s="24"/>
      <c r="N1921" s="24"/>
      <c r="P1921" s="24"/>
    </row>
    <row r="1922" spans="2:16" x14ac:dyDescent="0.25">
      <c r="B1922" s="24"/>
      <c r="E1922" s="24"/>
      <c r="G1922" s="24"/>
      <c r="H1922" s="24"/>
      <c r="J1922" s="24"/>
      <c r="K1922" s="24"/>
      <c r="M1922" s="24"/>
      <c r="N1922" s="24"/>
      <c r="P1922" s="24"/>
    </row>
    <row r="1923" spans="2:16" x14ac:dyDescent="0.25">
      <c r="B1923" s="24"/>
      <c r="E1923" s="24"/>
      <c r="G1923" s="24"/>
      <c r="H1923" s="24"/>
      <c r="J1923" s="24"/>
      <c r="K1923" s="24"/>
      <c r="M1923" s="24"/>
      <c r="N1923" s="24"/>
      <c r="P1923" s="24"/>
    </row>
    <row r="1924" spans="2:16" x14ac:dyDescent="0.25">
      <c r="B1924" s="24"/>
      <c r="E1924" s="24"/>
      <c r="G1924" s="24"/>
      <c r="H1924" s="24"/>
      <c r="J1924" s="24"/>
      <c r="K1924" s="24"/>
      <c r="M1924" s="24"/>
      <c r="N1924" s="24"/>
      <c r="P1924" s="24"/>
    </row>
    <row r="1925" spans="2:16" x14ac:dyDescent="0.25">
      <c r="B1925" s="24"/>
      <c r="E1925" s="24"/>
      <c r="G1925" s="24"/>
      <c r="H1925" s="24"/>
      <c r="J1925" s="24"/>
      <c r="K1925" s="24"/>
      <c r="M1925" s="24"/>
      <c r="N1925" s="24"/>
      <c r="P1925" s="24"/>
    </row>
    <row r="1926" spans="2:16" x14ac:dyDescent="0.25">
      <c r="B1926" s="24"/>
      <c r="E1926" s="24"/>
      <c r="G1926" s="24"/>
      <c r="H1926" s="24"/>
      <c r="J1926" s="24"/>
      <c r="K1926" s="24"/>
      <c r="M1926" s="24"/>
      <c r="N1926" s="24"/>
      <c r="P1926" s="24"/>
    </row>
    <row r="1927" spans="2:16" x14ac:dyDescent="0.25">
      <c r="B1927" s="24"/>
      <c r="E1927" s="24"/>
      <c r="G1927" s="24"/>
      <c r="H1927" s="24"/>
      <c r="J1927" s="24"/>
      <c r="K1927" s="24"/>
      <c r="M1927" s="24"/>
      <c r="N1927" s="24"/>
      <c r="P1927" s="24"/>
    </row>
    <row r="1928" spans="2:16" x14ac:dyDescent="0.25">
      <c r="B1928" s="24"/>
      <c r="E1928" s="24"/>
      <c r="G1928" s="24"/>
      <c r="H1928" s="24"/>
      <c r="J1928" s="24"/>
      <c r="K1928" s="24"/>
      <c r="M1928" s="24"/>
      <c r="N1928" s="24"/>
      <c r="P1928" s="24"/>
    </row>
    <row r="1929" spans="2:16" x14ac:dyDescent="0.25">
      <c r="B1929" s="24"/>
      <c r="E1929" s="24"/>
      <c r="G1929" s="24"/>
      <c r="H1929" s="24"/>
      <c r="J1929" s="24"/>
      <c r="K1929" s="24"/>
      <c r="M1929" s="24"/>
      <c r="N1929" s="24"/>
      <c r="P1929" s="24"/>
    </row>
    <row r="1930" spans="2:16" x14ac:dyDescent="0.25">
      <c r="B1930" s="24"/>
      <c r="E1930" s="24"/>
      <c r="G1930" s="24"/>
      <c r="H1930" s="24"/>
      <c r="J1930" s="24"/>
      <c r="K1930" s="24"/>
      <c r="M1930" s="24"/>
      <c r="N1930" s="24"/>
      <c r="P1930" s="24"/>
    </row>
    <row r="1931" spans="2:16" x14ac:dyDescent="0.25">
      <c r="B1931" s="24"/>
      <c r="E1931" s="24"/>
      <c r="G1931" s="24"/>
      <c r="H1931" s="24"/>
      <c r="J1931" s="24"/>
      <c r="K1931" s="24"/>
      <c r="M1931" s="24"/>
      <c r="N1931" s="24"/>
      <c r="P1931" s="24"/>
    </row>
    <row r="1932" spans="2:16" x14ac:dyDescent="0.25">
      <c r="B1932" s="24"/>
      <c r="E1932" s="24"/>
      <c r="G1932" s="24"/>
      <c r="H1932" s="24"/>
      <c r="J1932" s="24"/>
      <c r="K1932" s="24"/>
      <c r="M1932" s="24"/>
      <c r="N1932" s="24"/>
      <c r="P1932" s="24"/>
    </row>
    <row r="1933" spans="2:16" x14ac:dyDescent="0.25">
      <c r="B1933" s="24"/>
      <c r="E1933" s="24"/>
      <c r="G1933" s="24"/>
      <c r="H1933" s="24"/>
      <c r="J1933" s="24"/>
      <c r="K1933" s="24"/>
      <c r="M1933" s="24"/>
      <c r="N1933" s="24"/>
      <c r="P1933" s="24"/>
    </row>
    <row r="1934" spans="2:16" x14ac:dyDescent="0.25">
      <c r="B1934" s="24"/>
      <c r="E1934" s="24"/>
      <c r="G1934" s="24"/>
      <c r="H1934" s="24"/>
      <c r="J1934" s="24"/>
      <c r="K1934" s="24"/>
      <c r="M1934" s="24"/>
      <c r="N1934" s="24"/>
      <c r="P1934" s="24"/>
    </row>
    <row r="1935" spans="2:16" x14ac:dyDescent="0.25">
      <c r="B1935" s="24"/>
      <c r="E1935" s="24"/>
      <c r="G1935" s="24"/>
      <c r="H1935" s="24"/>
      <c r="J1935" s="24"/>
      <c r="K1935" s="24"/>
      <c r="M1935" s="24"/>
      <c r="N1935" s="24"/>
      <c r="P1935" s="24"/>
    </row>
    <row r="1936" spans="2:16" x14ac:dyDescent="0.25">
      <c r="B1936" s="24"/>
      <c r="E1936" s="24"/>
      <c r="G1936" s="24"/>
      <c r="H1936" s="24"/>
      <c r="J1936" s="24"/>
      <c r="K1936" s="24"/>
      <c r="M1936" s="24"/>
      <c r="N1936" s="24"/>
      <c r="P1936" s="24"/>
    </row>
    <row r="1937" spans="2:16" x14ac:dyDescent="0.25">
      <c r="B1937" s="24"/>
      <c r="E1937" s="24"/>
      <c r="G1937" s="24"/>
      <c r="H1937" s="24"/>
      <c r="J1937" s="24"/>
      <c r="K1937" s="24"/>
      <c r="M1937" s="24"/>
      <c r="N1937" s="24"/>
      <c r="P1937" s="24"/>
    </row>
    <row r="1938" spans="2:16" x14ac:dyDescent="0.25">
      <c r="B1938" s="24"/>
      <c r="E1938" s="24"/>
      <c r="G1938" s="24"/>
      <c r="H1938" s="24"/>
      <c r="J1938" s="24"/>
      <c r="K1938" s="24"/>
      <c r="M1938" s="24"/>
      <c r="N1938" s="24"/>
      <c r="P1938" s="24"/>
    </row>
    <row r="1939" spans="2:16" x14ac:dyDescent="0.25">
      <c r="B1939" s="24"/>
      <c r="E1939" s="24"/>
      <c r="G1939" s="24"/>
      <c r="H1939" s="24"/>
      <c r="J1939" s="24"/>
      <c r="K1939" s="24"/>
      <c r="M1939" s="24"/>
      <c r="N1939" s="24"/>
      <c r="P1939" s="24"/>
    </row>
    <row r="1940" spans="2:16" x14ac:dyDescent="0.25">
      <c r="B1940" s="24"/>
      <c r="E1940" s="24"/>
      <c r="G1940" s="24"/>
      <c r="H1940" s="24"/>
      <c r="J1940" s="24"/>
      <c r="K1940" s="24"/>
      <c r="M1940" s="24"/>
      <c r="N1940" s="24"/>
      <c r="P1940" s="24"/>
    </row>
    <row r="1941" spans="2:16" x14ac:dyDescent="0.25">
      <c r="B1941" s="24"/>
      <c r="E1941" s="24"/>
      <c r="G1941" s="24"/>
      <c r="H1941" s="24"/>
      <c r="J1941" s="24"/>
      <c r="K1941" s="24"/>
      <c r="M1941" s="24"/>
      <c r="N1941" s="24"/>
      <c r="P1941" s="24"/>
    </row>
    <row r="1942" spans="2:16" x14ac:dyDescent="0.25">
      <c r="B1942" s="24"/>
      <c r="E1942" s="24"/>
      <c r="G1942" s="24"/>
      <c r="H1942" s="24"/>
      <c r="J1942" s="24"/>
      <c r="K1942" s="24"/>
      <c r="M1942" s="24"/>
      <c r="N1942" s="24"/>
      <c r="P1942" s="24"/>
    </row>
    <row r="1943" spans="2:16" x14ac:dyDescent="0.25">
      <c r="B1943" s="24"/>
      <c r="E1943" s="24"/>
      <c r="G1943" s="24"/>
      <c r="H1943" s="24"/>
      <c r="J1943" s="24"/>
      <c r="K1943" s="24"/>
      <c r="M1943" s="24"/>
      <c r="N1943" s="24"/>
      <c r="P1943" s="24"/>
    </row>
    <row r="1944" spans="2:16" x14ac:dyDescent="0.25">
      <c r="B1944" s="24"/>
      <c r="E1944" s="24"/>
      <c r="G1944" s="24"/>
      <c r="H1944" s="24"/>
      <c r="J1944" s="24"/>
      <c r="K1944" s="24"/>
      <c r="M1944" s="24"/>
      <c r="N1944" s="24"/>
      <c r="P1944" s="24"/>
    </row>
    <row r="1945" spans="2:16" x14ac:dyDescent="0.25">
      <c r="B1945" s="24"/>
      <c r="E1945" s="24"/>
      <c r="G1945" s="24"/>
      <c r="H1945" s="24"/>
      <c r="J1945" s="24"/>
      <c r="K1945" s="24"/>
      <c r="M1945" s="24"/>
      <c r="N1945" s="24"/>
      <c r="P1945" s="24"/>
    </row>
    <row r="1946" spans="2:16" x14ac:dyDescent="0.25">
      <c r="B1946" s="24"/>
      <c r="E1946" s="24"/>
      <c r="G1946" s="24"/>
      <c r="H1946" s="24"/>
      <c r="J1946" s="24"/>
      <c r="K1946" s="24"/>
      <c r="M1946" s="24"/>
      <c r="N1946" s="24"/>
      <c r="P1946" s="24"/>
    </row>
    <row r="1947" spans="2:16" x14ac:dyDescent="0.25">
      <c r="B1947" s="24"/>
      <c r="E1947" s="24"/>
      <c r="G1947" s="24"/>
      <c r="H1947" s="24"/>
      <c r="J1947" s="24"/>
      <c r="K1947" s="24"/>
      <c r="M1947" s="24"/>
      <c r="N1947" s="24"/>
      <c r="P1947" s="24"/>
    </row>
    <row r="1948" spans="2:16" x14ac:dyDescent="0.25">
      <c r="B1948" s="24"/>
      <c r="E1948" s="24"/>
      <c r="G1948" s="24"/>
      <c r="H1948" s="24"/>
      <c r="J1948" s="24"/>
      <c r="K1948" s="24"/>
      <c r="M1948" s="24"/>
      <c r="N1948" s="24"/>
      <c r="P1948" s="24"/>
    </row>
    <row r="1949" spans="2:16" x14ac:dyDescent="0.25">
      <c r="B1949" s="24"/>
      <c r="E1949" s="24"/>
      <c r="G1949" s="24"/>
      <c r="H1949" s="24"/>
      <c r="J1949" s="24"/>
      <c r="K1949" s="24"/>
      <c r="M1949" s="24"/>
      <c r="N1949" s="24"/>
      <c r="P1949" s="24"/>
    </row>
    <row r="1950" spans="2:16" x14ac:dyDescent="0.25">
      <c r="B1950" s="24"/>
      <c r="E1950" s="24"/>
      <c r="G1950" s="24"/>
      <c r="H1950" s="24"/>
      <c r="J1950" s="24"/>
      <c r="K1950" s="24"/>
      <c r="M1950" s="24"/>
      <c r="N1950" s="24"/>
      <c r="P1950" s="24"/>
    </row>
    <row r="1951" spans="2:16" x14ac:dyDescent="0.25">
      <c r="B1951" s="24"/>
      <c r="E1951" s="24"/>
      <c r="G1951" s="24"/>
      <c r="H1951" s="24"/>
      <c r="J1951" s="24"/>
      <c r="K1951" s="24"/>
      <c r="M1951" s="24"/>
      <c r="N1951" s="24"/>
      <c r="P1951" s="24"/>
    </row>
    <row r="1952" spans="2:16" x14ac:dyDescent="0.25">
      <c r="B1952" s="24"/>
      <c r="E1952" s="24"/>
      <c r="G1952" s="24"/>
      <c r="H1952" s="24"/>
      <c r="J1952" s="24"/>
      <c r="K1952" s="24"/>
      <c r="M1952" s="24"/>
      <c r="N1952" s="24"/>
      <c r="P1952" s="24"/>
    </row>
    <row r="1953" spans="2:16" x14ac:dyDescent="0.25">
      <c r="B1953" s="24"/>
      <c r="E1953" s="24"/>
      <c r="G1953" s="24"/>
      <c r="H1953" s="24"/>
      <c r="J1953" s="24"/>
      <c r="K1953" s="24"/>
      <c r="M1953" s="24"/>
      <c r="N1953" s="24"/>
      <c r="P1953" s="24"/>
    </row>
    <row r="1954" spans="2:16" x14ac:dyDescent="0.25">
      <c r="B1954" s="24"/>
      <c r="E1954" s="24"/>
      <c r="G1954" s="24"/>
      <c r="H1954" s="24"/>
      <c r="J1954" s="24"/>
      <c r="K1954" s="24"/>
      <c r="M1954" s="24"/>
      <c r="N1954" s="24"/>
      <c r="P1954" s="24"/>
    </row>
    <row r="1955" spans="2:16" x14ac:dyDescent="0.25">
      <c r="B1955" s="24"/>
      <c r="E1955" s="24"/>
      <c r="G1955" s="24"/>
      <c r="H1955" s="24"/>
      <c r="J1955" s="24"/>
      <c r="K1955" s="24"/>
      <c r="M1955" s="24"/>
      <c r="N1955" s="24"/>
      <c r="P1955" s="24"/>
    </row>
    <row r="1956" spans="2:16" x14ac:dyDescent="0.25">
      <c r="B1956" s="24"/>
      <c r="E1956" s="24"/>
      <c r="G1956" s="24"/>
      <c r="H1956" s="24"/>
      <c r="J1956" s="24"/>
      <c r="K1956" s="24"/>
      <c r="M1956" s="24"/>
      <c r="N1956" s="24"/>
      <c r="P1956" s="24"/>
    </row>
    <row r="1957" spans="2:16" x14ac:dyDescent="0.25">
      <c r="B1957" s="24"/>
      <c r="E1957" s="24"/>
      <c r="G1957" s="24"/>
      <c r="H1957" s="24"/>
      <c r="J1957" s="24"/>
      <c r="K1957" s="24"/>
      <c r="M1957" s="24"/>
      <c r="N1957" s="24"/>
      <c r="P1957" s="24"/>
    </row>
    <row r="1958" spans="2:16" x14ac:dyDescent="0.25">
      <c r="B1958" s="24"/>
      <c r="E1958" s="24"/>
      <c r="G1958" s="24"/>
      <c r="H1958" s="24"/>
      <c r="J1958" s="24"/>
      <c r="K1958" s="24"/>
      <c r="M1958" s="24"/>
      <c r="N1958" s="24"/>
      <c r="P1958" s="24"/>
    </row>
    <row r="1959" spans="2:16" x14ac:dyDescent="0.25">
      <c r="B1959" s="24"/>
      <c r="E1959" s="24"/>
      <c r="G1959" s="24"/>
      <c r="H1959" s="24"/>
      <c r="J1959" s="24"/>
      <c r="K1959" s="24"/>
      <c r="M1959" s="24"/>
      <c r="N1959" s="24"/>
      <c r="P1959" s="24"/>
    </row>
    <row r="1960" spans="2:16" x14ac:dyDescent="0.25">
      <c r="B1960" s="24"/>
      <c r="E1960" s="24"/>
      <c r="G1960" s="24"/>
      <c r="H1960" s="24"/>
      <c r="J1960" s="24"/>
      <c r="K1960" s="24"/>
      <c r="M1960" s="24"/>
      <c r="N1960" s="24"/>
      <c r="P1960" s="24"/>
    </row>
    <row r="1961" spans="2:16" x14ac:dyDescent="0.25">
      <c r="B1961" s="24"/>
      <c r="E1961" s="24"/>
      <c r="G1961" s="24"/>
      <c r="H1961" s="24"/>
      <c r="J1961" s="24"/>
      <c r="K1961" s="24"/>
      <c r="M1961" s="24"/>
      <c r="N1961" s="24"/>
      <c r="P1961" s="24"/>
    </row>
    <row r="1962" spans="2:16" x14ac:dyDescent="0.25">
      <c r="B1962" s="24"/>
      <c r="E1962" s="24"/>
      <c r="G1962" s="24"/>
      <c r="H1962" s="24"/>
      <c r="J1962" s="24"/>
      <c r="K1962" s="24"/>
      <c r="M1962" s="24"/>
      <c r="N1962" s="24"/>
      <c r="P1962" s="24"/>
    </row>
    <row r="1963" spans="2:16" x14ac:dyDescent="0.25">
      <c r="B1963" s="24"/>
      <c r="E1963" s="24"/>
      <c r="G1963" s="24"/>
      <c r="H1963" s="24"/>
      <c r="J1963" s="24"/>
      <c r="K1963" s="24"/>
      <c r="M1963" s="24"/>
      <c r="N1963" s="24"/>
      <c r="P1963" s="24"/>
    </row>
    <row r="1964" spans="2:16" x14ac:dyDescent="0.25">
      <c r="B1964" s="24"/>
      <c r="E1964" s="24"/>
      <c r="G1964" s="24"/>
      <c r="H1964" s="24"/>
      <c r="J1964" s="24"/>
      <c r="K1964" s="24"/>
      <c r="M1964" s="24"/>
      <c r="N1964" s="24"/>
      <c r="P1964" s="24"/>
    </row>
    <row r="1965" spans="2:16" x14ac:dyDescent="0.25">
      <c r="B1965" s="24"/>
      <c r="E1965" s="24"/>
      <c r="G1965" s="24"/>
      <c r="H1965" s="24"/>
      <c r="J1965" s="24"/>
      <c r="K1965" s="24"/>
      <c r="M1965" s="24"/>
      <c r="N1965" s="24"/>
      <c r="P1965" s="24"/>
    </row>
    <row r="1966" spans="2:16" x14ac:dyDescent="0.25">
      <c r="B1966" s="24"/>
      <c r="E1966" s="24"/>
      <c r="G1966" s="24"/>
      <c r="H1966" s="24"/>
      <c r="J1966" s="24"/>
      <c r="K1966" s="24"/>
      <c r="M1966" s="24"/>
      <c r="N1966" s="24"/>
      <c r="P1966" s="24"/>
    </row>
    <row r="1967" spans="2:16" x14ac:dyDescent="0.25">
      <c r="B1967" s="24"/>
      <c r="E1967" s="24"/>
      <c r="G1967" s="24"/>
      <c r="H1967" s="24"/>
      <c r="J1967" s="24"/>
      <c r="K1967" s="24"/>
      <c r="M1967" s="24"/>
      <c r="N1967" s="24"/>
      <c r="P1967" s="24"/>
    </row>
    <row r="1968" spans="2:16" x14ac:dyDescent="0.25">
      <c r="B1968" s="24"/>
      <c r="E1968" s="24"/>
      <c r="G1968" s="24"/>
      <c r="H1968" s="24"/>
      <c r="J1968" s="24"/>
      <c r="K1968" s="24"/>
      <c r="M1968" s="24"/>
      <c r="N1968" s="24"/>
      <c r="P1968" s="24"/>
    </row>
    <row r="1969" spans="2:16" x14ac:dyDescent="0.25">
      <c r="B1969" s="24"/>
      <c r="E1969" s="24"/>
      <c r="G1969" s="24"/>
      <c r="H1969" s="24"/>
      <c r="J1969" s="24"/>
      <c r="K1969" s="24"/>
      <c r="M1969" s="24"/>
      <c r="N1969" s="24"/>
      <c r="P1969" s="24"/>
    </row>
    <row r="1970" spans="2:16" x14ac:dyDescent="0.25">
      <c r="B1970" s="24"/>
      <c r="E1970" s="24"/>
      <c r="G1970" s="24"/>
      <c r="H1970" s="24"/>
      <c r="J1970" s="24"/>
      <c r="K1970" s="24"/>
      <c r="M1970" s="24"/>
      <c r="N1970" s="24"/>
      <c r="P1970" s="24"/>
    </row>
    <row r="1971" spans="2:16" x14ac:dyDescent="0.25">
      <c r="B1971" s="24"/>
      <c r="E1971" s="24"/>
      <c r="G1971" s="24"/>
      <c r="H1971" s="24"/>
      <c r="J1971" s="24"/>
      <c r="K1971" s="24"/>
      <c r="M1971" s="24"/>
      <c r="N1971" s="24"/>
      <c r="P1971" s="24"/>
    </row>
    <row r="1972" spans="2:16" x14ac:dyDescent="0.25">
      <c r="B1972" s="24"/>
      <c r="E1972" s="24"/>
      <c r="G1972" s="24"/>
      <c r="H1972" s="24"/>
      <c r="J1972" s="24"/>
      <c r="K1972" s="24"/>
      <c r="M1972" s="24"/>
      <c r="N1972" s="24"/>
      <c r="P1972" s="24"/>
    </row>
    <row r="1973" spans="2:16" x14ac:dyDescent="0.25">
      <c r="B1973" s="24"/>
      <c r="E1973" s="24"/>
      <c r="G1973" s="24"/>
      <c r="H1973" s="24"/>
      <c r="J1973" s="24"/>
      <c r="K1973" s="24"/>
      <c r="M1973" s="24"/>
      <c r="N1973" s="24"/>
      <c r="P1973" s="24"/>
    </row>
    <row r="1974" spans="2:16" x14ac:dyDescent="0.25">
      <c r="B1974" s="24"/>
      <c r="E1974" s="24"/>
      <c r="G1974" s="24"/>
      <c r="H1974" s="24"/>
      <c r="J1974" s="24"/>
      <c r="K1974" s="24"/>
      <c r="M1974" s="24"/>
      <c r="N1974" s="24"/>
      <c r="P1974" s="24"/>
    </row>
    <row r="1975" spans="2:16" x14ac:dyDescent="0.25">
      <c r="B1975" s="24"/>
      <c r="E1975" s="24"/>
      <c r="G1975" s="24"/>
      <c r="H1975" s="24"/>
      <c r="J1975" s="24"/>
      <c r="K1975" s="24"/>
      <c r="M1975" s="24"/>
      <c r="N1975" s="24"/>
      <c r="P1975" s="24"/>
    </row>
    <row r="1976" spans="2:16" x14ac:dyDescent="0.25">
      <c r="B1976" s="24"/>
      <c r="E1976" s="24"/>
      <c r="G1976" s="24"/>
      <c r="H1976" s="24"/>
      <c r="J1976" s="24"/>
      <c r="K1976" s="24"/>
      <c r="M1976" s="24"/>
      <c r="N1976" s="24"/>
      <c r="P1976" s="24"/>
    </row>
    <row r="1977" spans="2:16" x14ac:dyDescent="0.25">
      <c r="B1977" s="24"/>
      <c r="E1977" s="24"/>
      <c r="G1977" s="24"/>
      <c r="H1977" s="24"/>
      <c r="J1977" s="24"/>
      <c r="K1977" s="24"/>
      <c r="M1977" s="24"/>
      <c r="N1977" s="24"/>
      <c r="P1977" s="24"/>
    </row>
    <row r="1978" spans="2:16" x14ac:dyDescent="0.25">
      <c r="B1978" s="24"/>
      <c r="E1978" s="24"/>
      <c r="G1978" s="24"/>
      <c r="H1978" s="24"/>
      <c r="J1978" s="24"/>
      <c r="K1978" s="24"/>
      <c r="M1978" s="24"/>
      <c r="N1978" s="24"/>
      <c r="P1978" s="24"/>
    </row>
    <row r="1979" spans="2:16" x14ac:dyDescent="0.25">
      <c r="B1979" s="24"/>
      <c r="E1979" s="24"/>
      <c r="G1979" s="24"/>
      <c r="H1979" s="24"/>
      <c r="J1979" s="24"/>
      <c r="K1979" s="24"/>
      <c r="M1979" s="24"/>
      <c r="N1979" s="24"/>
      <c r="P1979" s="24"/>
    </row>
    <row r="1980" spans="2:16" x14ac:dyDescent="0.25">
      <c r="B1980" s="24"/>
      <c r="E1980" s="24"/>
      <c r="G1980" s="24"/>
      <c r="H1980" s="24"/>
      <c r="J1980" s="24"/>
      <c r="K1980" s="24"/>
      <c r="M1980" s="24"/>
      <c r="N1980" s="24"/>
      <c r="P1980" s="24"/>
    </row>
    <row r="1981" spans="2:16" x14ac:dyDescent="0.25">
      <c r="B1981" s="24"/>
      <c r="E1981" s="24"/>
      <c r="G1981" s="24"/>
      <c r="H1981" s="24"/>
      <c r="J1981" s="24"/>
      <c r="K1981" s="24"/>
      <c r="M1981" s="24"/>
      <c r="N1981" s="24"/>
      <c r="P1981" s="24"/>
    </row>
    <row r="1982" spans="2:16" x14ac:dyDescent="0.25">
      <c r="B1982" s="24"/>
      <c r="E1982" s="24"/>
      <c r="G1982" s="24"/>
      <c r="H1982" s="24"/>
      <c r="J1982" s="24"/>
      <c r="K1982" s="24"/>
      <c r="M1982" s="24"/>
      <c r="N1982" s="24"/>
      <c r="P1982" s="24"/>
    </row>
    <row r="1983" spans="2:16" x14ac:dyDescent="0.25">
      <c r="B1983" s="24"/>
      <c r="E1983" s="24"/>
      <c r="G1983" s="24"/>
      <c r="H1983" s="24"/>
      <c r="J1983" s="24"/>
      <c r="K1983" s="24"/>
      <c r="M1983" s="24"/>
      <c r="N1983" s="24"/>
      <c r="P1983" s="24"/>
    </row>
    <row r="1984" spans="2:16" x14ac:dyDescent="0.25">
      <c r="B1984" s="24"/>
      <c r="E1984" s="24"/>
      <c r="G1984" s="24"/>
      <c r="H1984" s="24"/>
      <c r="J1984" s="24"/>
      <c r="K1984" s="24"/>
      <c r="M1984" s="24"/>
      <c r="N1984" s="24"/>
      <c r="P1984" s="24"/>
    </row>
    <row r="1985" spans="2:16" x14ac:dyDescent="0.25">
      <c r="B1985" s="24"/>
      <c r="E1985" s="24"/>
      <c r="G1985" s="24"/>
      <c r="H1985" s="24"/>
      <c r="J1985" s="24"/>
      <c r="K1985" s="24"/>
      <c r="M1985" s="24"/>
      <c r="N1985" s="24"/>
      <c r="P1985" s="24"/>
    </row>
    <row r="1986" spans="2:16" x14ac:dyDescent="0.25">
      <c r="B1986" s="24"/>
      <c r="E1986" s="24"/>
      <c r="G1986" s="24"/>
      <c r="H1986" s="24"/>
      <c r="J1986" s="24"/>
      <c r="K1986" s="24"/>
      <c r="M1986" s="24"/>
      <c r="N1986" s="24"/>
      <c r="P1986" s="24"/>
    </row>
    <row r="1987" spans="2:16" x14ac:dyDescent="0.25">
      <c r="B1987" s="24"/>
      <c r="E1987" s="24"/>
      <c r="G1987" s="24"/>
      <c r="H1987" s="24"/>
      <c r="J1987" s="24"/>
      <c r="K1987" s="24"/>
      <c r="M1987" s="24"/>
      <c r="N1987" s="24"/>
      <c r="P1987" s="24"/>
    </row>
    <row r="1988" spans="2:16" x14ac:dyDescent="0.25">
      <c r="B1988" s="24"/>
      <c r="E1988" s="24"/>
      <c r="G1988" s="24"/>
      <c r="H1988" s="24"/>
      <c r="J1988" s="24"/>
      <c r="K1988" s="24"/>
      <c r="M1988" s="24"/>
      <c r="N1988" s="24"/>
      <c r="P1988" s="24"/>
    </row>
    <row r="1989" spans="2:16" x14ac:dyDescent="0.25">
      <c r="B1989" s="24"/>
      <c r="E1989" s="24"/>
      <c r="G1989" s="24"/>
      <c r="H1989" s="24"/>
      <c r="J1989" s="24"/>
      <c r="K1989" s="24"/>
      <c r="M1989" s="24"/>
      <c r="N1989" s="24"/>
      <c r="P1989" s="24"/>
    </row>
    <row r="1990" spans="2:16" x14ac:dyDescent="0.25">
      <c r="B1990" s="24"/>
      <c r="E1990" s="24"/>
      <c r="G1990" s="24"/>
      <c r="H1990" s="24"/>
      <c r="J1990" s="24"/>
      <c r="K1990" s="24"/>
      <c r="M1990" s="24"/>
      <c r="N1990" s="24"/>
      <c r="P1990" s="24"/>
    </row>
    <row r="1991" spans="2:16" x14ac:dyDescent="0.25">
      <c r="B1991" s="24"/>
      <c r="E1991" s="24"/>
      <c r="G1991" s="24"/>
      <c r="H1991" s="24"/>
      <c r="J1991" s="24"/>
      <c r="K1991" s="24"/>
      <c r="M1991" s="24"/>
      <c r="N1991" s="24"/>
      <c r="P1991" s="24"/>
    </row>
    <row r="1992" spans="2:16" x14ac:dyDescent="0.25">
      <c r="B1992" s="24"/>
      <c r="E1992" s="24"/>
      <c r="G1992" s="24"/>
      <c r="H1992" s="24"/>
      <c r="J1992" s="24"/>
      <c r="K1992" s="24"/>
      <c r="M1992" s="24"/>
      <c r="N1992" s="24"/>
      <c r="P1992" s="24"/>
    </row>
    <row r="1993" spans="2:16" x14ac:dyDescent="0.25">
      <c r="B1993" s="24"/>
      <c r="E1993" s="24"/>
      <c r="G1993" s="24"/>
      <c r="H1993" s="24"/>
      <c r="J1993" s="24"/>
      <c r="K1993" s="24"/>
      <c r="M1993" s="24"/>
      <c r="N1993" s="24"/>
      <c r="P1993" s="24"/>
    </row>
    <row r="1994" spans="2:16" x14ac:dyDescent="0.25">
      <c r="B1994" s="24"/>
      <c r="E1994" s="24"/>
      <c r="G1994" s="24"/>
      <c r="H1994" s="24"/>
      <c r="J1994" s="24"/>
      <c r="K1994" s="24"/>
      <c r="M1994" s="24"/>
      <c r="N1994" s="24"/>
      <c r="P1994" s="24"/>
    </row>
    <row r="1995" spans="2:16" x14ac:dyDescent="0.25">
      <c r="B1995" s="24"/>
      <c r="E1995" s="24"/>
      <c r="G1995" s="24"/>
      <c r="H1995" s="24"/>
      <c r="J1995" s="24"/>
      <c r="K1995" s="24"/>
      <c r="M1995" s="24"/>
      <c r="N1995" s="24"/>
      <c r="P1995" s="24"/>
    </row>
    <row r="1996" spans="2:16" x14ac:dyDescent="0.25">
      <c r="B1996" s="24"/>
      <c r="E1996" s="24"/>
      <c r="G1996" s="24"/>
      <c r="H1996" s="24"/>
      <c r="J1996" s="24"/>
      <c r="K1996" s="24"/>
      <c r="M1996" s="24"/>
      <c r="N1996" s="24"/>
      <c r="P1996" s="24"/>
    </row>
    <row r="1997" spans="2:16" x14ac:dyDescent="0.25">
      <c r="B1997" s="24"/>
      <c r="E1997" s="24"/>
      <c r="G1997" s="24"/>
      <c r="H1997" s="24"/>
      <c r="J1997" s="24"/>
      <c r="K1997" s="24"/>
      <c r="M1997" s="24"/>
      <c r="N1997" s="24"/>
      <c r="P1997" s="24"/>
    </row>
    <row r="1998" spans="2:16" x14ac:dyDescent="0.25">
      <c r="B1998" s="24"/>
      <c r="E1998" s="24"/>
      <c r="G1998" s="24"/>
      <c r="H1998" s="24"/>
      <c r="J1998" s="24"/>
      <c r="K1998" s="24"/>
      <c r="M1998" s="24"/>
      <c r="N1998" s="24"/>
      <c r="P1998" s="24"/>
    </row>
    <row r="1999" spans="2:16" x14ac:dyDescent="0.25">
      <c r="B1999" s="24"/>
      <c r="E1999" s="24"/>
      <c r="G1999" s="24"/>
      <c r="H1999" s="24"/>
      <c r="J1999" s="24"/>
      <c r="K1999" s="24"/>
      <c r="M1999" s="24"/>
      <c r="N1999" s="24"/>
      <c r="P1999" s="24"/>
    </row>
    <row r="2000" spans="2:16" x14ac:dyDescent="0.25">
      <c r="B2000" s="24"/>
      <c r="E2000" s="24"/>
      <c r="G2000" s="24"/>
      <c r="H2000" s="24"/>
      <c r="J2000" s="24"/>
      <c r="K2000" s="24"/>
      <c r="M2000" s="24"/>
      <c r="N2000" s="24"/>
      <c r="P2000" s="24"/>
    </row>
    <row r="2001" spans="2:16" x14ac:dyDescent="0.25">
      <c r="B2001" s="24"/>
      <c r="E2001" s="24"/>
      <c r="G2001" s="24"/>
      <c r="H2001" s="24"/>
      <c r="J2001" s="24"/>
      <c r="K2001" s="24"/>
      <c r="M2001" s="24"/>
      <c r="N2001" s="24"/>
      <c r="P2001" s="24"/>
    </row>
    <row r="2002" spans="2:16" x14ac:dyDescent="0.25">
      <c r="B2002" s="24"/>
      <c r="E2002" s="24"/>
      <c r="G2002" s="24"/>
      <c r="H2002" s="24"/>
      <c r="J2002" s="24"/>
      <c r="K2002" s="24"/>
      <c r="M2002" s="24"/>
      <c r="N2002" s="24"/>
      <c r="P2002" s="24"/>
    </row>
    <row r="2003" spans="2:16" x14ac:dyDescent="0.25">
      <c r="B2003" s="24"/>
      <c r="E2003" s="24"/>
      <c r="G2003" s="24"/>
      <c r="H2003" s="24"/>
      <c r="J2003" s="24"/>
      <c r="K2003" s="24"/>
      <c r="M2003" s="24"/>
      <c r="N2003" s="24"/>
      <c r="P2003" s="24"/>
    </row>
    <row r="2004" spans="2:16" x14ac:dyDescent="0.25">
      <c r="B2004" s="24"/>
      <c r="E2004" s="24"/>
      <c r="G2004" s="24"/>
      <c r="H2004" s="24"/>
      <c r="J2004" s="24"/>
      <c r="K2004" s="24"/>
      <c r="M2004" s="24"/>
      <c r="N2004" s="24"/>
      <c r="P2004" s="24"/>
    </row>
    <row r="2005" spans="2:16" x14ac:dyDescent="0.25">
      <c r="B2005" s="24"/>
      <c r="E2005" s="24"/>
      <c r="G2005" s="24"/>
      <c r="H2005" s="24"/>
      <c r="J2005" s="24"/>
      <c r="K2005" s="24"/>
      <c r="M2005" s="24"/>
      <c r="N2005" s="24"/>
      <c r="P2005" s="24"/>
    </row>
    <row r="2006" spans="2:16" x14ac:dyDescent="0.25">
      <c r="B2006" s="24"/>
      <c r="E2006" s="24"/>
      <c r="G2006" s="24"/>
      <c r="H2006" s="24"/>
      <c r="J2006" s="24"/>
      <c r="K2006" s="24"/>
      <c r="M2006" s="24"/>
      <c r="N2006" s="24"/>
      <c r="P2006" s="24"/>
    </row>
    <row r="2007" spans="2:16" x14ac:dyDescent="0.25">
      <c r="B2007" s="24"/>
      <c r="E2007" s="24"/>
      <c r="G2007" s="24"/>
      <c r="H2007" s="24"/>
      <c r="J2007" s="24"/>
      <c r="K2007" s="24"/>
      <c r="M2007" s="24"/>
      <c r="N2007" s="24"/>
      <c r="P2007" s="24"/>
    </row>
    <row r="2008" spans="2:16" x14ac:dyDescent="0.25">
      <c r="B2008" s="24"/>
      <c r="E2008" s="24"/>
      <c r="G2008" s="24"/>
      <c r="H2008" s="24"/>
      <c r="J2008" s="24"/>
      <c r="K2008" s="24"/>
      <c r="M2008" s="24"/>
      <c r="N2008" s="24"/>
      <c r="P2008" s="24"/>
    </row>
    <row r="2009" spans="2:16" x14ac:dyDescent="0.25">
      <c r="B2009" s="24"/>
      <c r="E2009" s="24"/>
      <c r="G2009" s="24"/>
      <c r="H2009" s="24"/>
      <c r="J2009" s="24"/>
      <c r="K2009" s="24"/>
      <c r="M2009" s="24"/>
      <c r="N2009" s="24"/>
      <c r="P2009" s="24"/>
    </row>
    <row r="2010" spans="2:16" x14ac:dyDescent="0.25">
      <c r="B2010" s="24"/>
      <c r="E2010" s="24"/>
      <c r="G2010" s="24"/>
      <c r="H2010" s="24"/>
      <c r="J2010" s="24"/>
      <c r="K2010" s="24"/>
      <c r="M2010" s="24"/>
      <c r="N2010" s="24"/>
      <c r="P2010" s="24"/>
    </row>
    <row r="2011" spans="2:16" x14ac:dyDescent="0.25">
      <c r="B2011" s="24"/>
      <c r="E2011" s="24"/>
      <c r="G2011" s="24"/>
      <c r="H2011" s="24"/>
      <c r="J2011" s="24"/>
      <c r="K2011" s="24"/>
      <c r="M2011" s="24"/>
      <c r="N2011" s="24"/>
      <c r="P2011" s="24"/>
    </row>
    <row r="2012" spans="2:16" x14ac:dyDescent="0.25">
      <c r="B2012" s="24"/>
      <c r="E2012" s="24"/>
      <c r="G2012" s="24"/>
      <c r="H2012" s="24"/>
      <c r="J2012" s="24"/>
      <c r="K2012" s="24"/>
      <c r="M2012" s="24"/>
      <c r="N2012" s="24"/>
      <c r="P2012" s="24"/>
    </row>
    <row r="2013" spans="2:16" x14ac:dyDescent="0.25">
      <c r="B2013" s="24"/>
      <c r="E2013" s="24"/>
      <c r="G2013" s="24"/>
      <c r="H2013" s="24"/>
      <c r="J2013" s="24"/>
      <c r="K2013" s="24"/>
      <c r="M2013" s="24"/>
      <c r="N2013" s="24"/>
      <c r="P2013" s="24"/>
    </row>
    <row r="2014" spans="2:16" x14ac:dyDescent="0.25">
      <c r="B2014" s="24"/>
      <c r="E2014" s="24"/>
      <c r="G2014" s="24"/>
      <c r="H2014" s="24"/>
      <c r="J2014" s="24"/>
      <c r="K2014" s="24"/>
      <c r="M2014" s="24"/>
      <c r="N2014" s="24"/>
      <c r="P2014" s="24"/>
    </row>
    <row r="2015" spans="2:16" x14ac:dyDescent="0.25">
      <c r="B2015" s="24"/>
      <c r="E2015" s="24"/>
      <c r="G2015" s="24"/>
      <c r="H2015" s="24"/>
      <c r="J2015" s="24"/>
      <c r="K2015" s="24"/>
      <c r="M2015" s="24"/>
      <c r="N2015" s="24"/>
      <c r="P2015" s="24"/>
    </row>
    <row r="2016" spans="2:16" x14ac:dyDescent="0.25">
      <c r="B2016" s="24"/>
      <c r="E2016" s="24"/>
      <c r="G2016" s="24"/>
      <c r="H2016" s="24"/>
      <c r="J2016" s="24"/>
      <c r="K2016" s="24"/>
      <c r="M2016" s="24"/>
      <c r="N2016" s="24"/>
      <c r="P2016" s="24"/>
    </row>
    <row r="2017" spans="2:16" x14ac:dyDescent="0.25">
      <c r="B2017" s="24"/>
      <c r="E2017" s="24"/>
      <c r="G2017" s="24"/>
      <c r="H2017" s="24"/>
      <c r="J2017" s="24"/>
      <c r="K2017" s="24"/>
      <c r="M2017" s="24"/>
      <c r="N2017" s="24"/>
      <c r="P2017" s="24"/>
    </row>
    <row r="2018" spans="2:16" x14ac:dyDescent="0.25">
      <c r="B2018" s="24"/>
      <c r="E2018" s="24"/>
      <c r="G2018" s="24"/>
      <c r="H2018" s="24"/>
      <c r="J2018" s="24"/>
      <c r="K2018" s="24"/>
      <c r="M2018" s="24"/>
      <c r="N2018" s="24"/>
      <c r="P2018" s="24"/>
    </row>
    <row r="2019" spans="2:16" x14ac:dyDescent="0.25">
      <c r="B2019" s="24"/>
      <c r="E2019" s="24"/>
      <c r="G2019" s="24"/>
      <c r="H2019" s="24"/>
      <c r="J2019" s="24"/>
      <c r="K2019" s="24"/>
      <c r="M2019" s="24"/>
      <c r="N2019" s="24"/>
      <c r="P2019" s="24"/>
    </row>
    <row r="2020" spans="2:16" x14ac:dyDescent="0.25">
      <c r="B2020" s="24"/>
      <c r="E2020" s="24"/>
      <c r="G2020" s="24"/>
      <c r="H2020" s="24"/>
      <c r="J2020" s="24"/>
      <c r="K2020" s="24"/>
      <c r="M2020" s="24"/>
      <c r="N2020" s="24"/>
      <c r="P2020" s="24"/>
    </row>
    <row r="2021" spans="2:16" x14ac:dyDescent="0.25">
      <c r="B2021" s="24"/>
      <c r="E2021" s="24"/>
      <c r="G2021" s="24"/>
      <c r="H2021" s="24"/>
      <c r="J2021" s="24"/>
      <c r="K2021" s="24"/>
      <c r="M2021" s="24"/>
      <c r="N2021" s="24"/>
      <c r="P2021" s="24"/>
    </row>
    <row r="2022" spans="2:16" x14ac:dyDescent="0.25">
      <c r="B2022" s="24"/>
      <c r="E2022" s="24"/>
      <c r="G2022" s="24"/>
      <c r="H2022" s="24"/>
      <c r="J2022" s="24"/>
      <c r="K2022" s="24"/>
      <c r="M2022" s="24"/>
      <c r="N2022" s="24"/>
      <c r="P2022" s="24"/>
    </row>
    <row r="2023" spans="2:16" x14ac:dyDescent="0.25">
      <c r="B2023" s="24"/>
      <c r="E2023" s="24"/>
      <c r="G2023" s="24"/>
      <c r="H2023" s="24"/>
      <c r="J2023" s="24"/>
      <c r="K2023" s="24"/>
      <c r="M2023" s="24"/>
      <c r="N2023" s="24"/>
      <c r="P2023" s="24"/>
    </row>
    <row r="2024" spans="2:16" x14ac:dyDescent="0.25">
      <c r="B2024" s="24"/>
      <c r="E2024" s="24"/>
      <c r="G2024" s="24"/>
      <c r="H2024" s="24"/>
      <c r="J2024" s="24"/>
      <c r="K2024" s="24"/>
      <c r="M2024" s="24"/>
      <c r="N2024" s="24"/>
      <c r="P2024" s="24"/>
    </row>
    <row r="2025" spans="2:16" x14ac:dyDescent="0.25">
      <c r="B2025" s="24"/>
      <c r="E2025" s="24"/>
      <c r="G2025" s="24"/>
      <c r="H2025" s="24"/>
      <c r="J2025" s="24"/>
      <c r="K2025" s="24"/>
      <c r="M2025" s="24"/>
      <c r="N2025" s="24"/>
      <c r="P2025" s="24"/>
    </row>
    <row r="2026" spans="2:16" x14ac:dyDescent="0.25">
      <c r="B2026" s="24"/>
      <c r="E2026" s="24"/>
      <c r="G2026" s="24"/>
      <c r="H2026" s="24"/>
      <c r="J2026" s="24"/>
      <c r="K2026" s="24"/>
      <c r="M2026" s="24"/>
      <c r="N2026" s="24"/>
      <c r="P2026" s="24"/>
    </row>
    <row r="2027" spans="2:16" x14ac:dyDescent="0.25">
      <c r="B2027" s="24"/>
      <c r="E2027" s="24"/>
      <c r="G2027" s="24"/>
      <c r="H2027" s="24"/>
      <c r="J2027" s="24"/>
      <c r="K2027" s="24"/>
      <c r="M2027" s="24"/>
      <c r="N2027" s="24"/>
      <c r="P2027" s="24"/>
    </row>
    <row r="2028" spans="2:16" x14ac:dyDescent="0.25">
      <c r="B2028" s="24"/>
      <c r="E2028" s="24"/>
      <c r="G2028" s="24"/>
      <c r="H2028" s="24"/>
      <c r="J2028" s="24"/>
      <c r="K2028" s="24"/>
      <c r="M2028" s="24"/>
      <c r="N2028" s="24"/>
      <c r="P2028" s="24"/>
    </row>
    <row r="2029" spans="2:16" x14ac:dyDescent="0.25">
      <c r="B2029" s="24"/>
      <c r="E2029" s="24"/>
      <c r="G2029" s="24"/>
      <c r="H2029" s="24"/>
      <c r="J2029" s="24"/>
      <c r="K2029" s="24"/>
      <c r="M2029" s="24"/>
      <c r="N2029" s="24"/>
      <c r="P2029" s="24"/>
    </row>
    <row r="2030" spans="2:16" x14ac:dyDescent="0.25">
      <c r="B2030" s="24"/>
      <c r="E2030" s="24"/>
      <c r="G2030" s="24"/>
      <c r="H2030" s="24"/>
      <c r="J2030" s="24"/>
      <c r="K2030" s="24"/>
      <c r="M2030" s="24"/>
      <c r="N2030" s="24"/>
      <c r="P2030" s="24"/>
    </row>
    <row r="2031" spans="2:16" x14ac:dyDescent="0.25">
      <c r="B2031" s="24"/>
      <c r="E2031" s="24"/>
      <c r="G2031" s="24"/>
      <c r="H2031" s="24"/>
      <c r="J2031" s="24"/>
      <c r="K2031" s="24"/>
      <c r="M2031" s="24"/>
      <c r="N2031" s="24"/>
      <c r="P2031" s="24"/>
    </row>
    <row r="2032" spans="2:16" x14ac:dyDescent="0.25">
      <c r="B2032" s="24"/>
      <c r="E2032" s="24"/>
      <c r="G2032" s="24"/>
      <c r="H2032" s="24"/>
      <c r="J2032" s="24"/>
      <c r="K2032" s="24"/>
      <c r="M2032" s="24"/>
      <c r="N2032" s="24"/>
      <c r="P2032" s="24"/>
    </row>
    <row r="2033" spans="2:16" x14ac:dyDescent="0.25">
      <c r="B2033" s="24"/>
      <c r="E2033" s="24"/>
      <c r="G2033" s="24"/>
      <c r="H2033" s="24"/>
      <c r="J2033" s="24"/>
      <c r="K2033" s="24"/>
      <c r="M2033" s="24"/>
      <c r="N2033" s="24"/>
      <c r="P2033" s="24"/>
    </row>
    <row r="2034" spans="2:16" x14ac:dyDescent="0.25">
      <c r="B2034" s="24"/>
      <c r="E2034" s="24"/>
      <c r="G2034" s="24"/>
      <c r="H2034" s="24"/>
      <c r="J2034" s="24"/>
      <c r="K2034" s="24"/>
      <c r="M2034" s="24"/>
      <c r="N2034" s="24"/>
      <c r="P2034" s="24"/>
    </row>
    <row r="2035" spans="2:16" x14ac:dyDescent="0.25">
      <c r="B2035" s="24"/>
      <c r="E2035" s="24"/>
      <c r="G2035" s="24"/>
      <c r="H2035" s="24"/>
      <c r="J2035" s="24"/>
      <c r="K2035" s="24"/>
      <c r="M2035" s="24"/>
      <c r="N2035" s="24"/>
      <c r="P2035" s="24"/>
    </row>
    <row r="2036" spans="2:16" x14ac:dyDescent="0.25">
      <c r="B2036" s="24"/>
      <c r="E2036" s="24"/>
      <c r="G2036" s="24"/>
      <c r="H2036" s="24"/>
      <c r="J2036" s="24"/>
      <c r="K2036" s="24"/>
      <c r="M2036" s="24"/>
      <c r="N2036" s="24"/>
      <c r="P2036" s="24"/>
    </row>
    <row r="2037" spans="2:16" x14ac:dyDescent="0.25">
      <c r="B2037" s="24"/>
      <c r="E2037" s="24"/>
      <c r="G2037" s="24"/>
      <c r="H2037" s="24"/>
      <c r="J2037" s="24"/>
      <c r="K2037" s="24"/>
      <c r="M2037" s="24"/>
      <c r="N2037" s="24"/>
      <c r="P2037" s="24"/>
    </row>
    <row r="2038" spans="2:16" x14ac:dyDescent="0.25">
      <c r="B2038" s="24"/>
      <c r="E2038" s="24"/>
      <c r="G2038" s="24"/>
      <c r="H2038" s="24"/>
      <c r="J2038" s="24"/>
      <c r="K2038" s="24"/>
      <c r="M2038" s="24"/>
      <c r="N2038" s="24"/>
      <c r="P2038" s="24"/>
    </row>
    <row r="2039" spans="2:16" x14ac:dyDescent="0.25">
      <c r="B2039" s="24"/>
      <c r="E2039" s="24"/>
      <c r="G2039" s="24"/>
      <c r="H2039" s="24"/>
      <c r="J2039" s="24"/>
      <c r="K2039" s="24"/>
      <c r="M2039" s="24"/>
      <c r="N2039" s="24"/>
      <c r="P2039" s="24"/>
    </row>
    <row r="2040" spans="2:16" x14ac:dyDescent="0.25">
      <c r="B2040" s="24"/>
      <c r="E2040" s="24"/>
      <c r="G2040" s="24"/>
      <c r="H2040" s="24"/>
      <c r="J2040" s="24"/>
      <c r="K2040" s="24"/>
      <c r="M2040" s="24"/>
      <c r="N2040" s="24"/>
      <c r="P2040" s="24"/>
    </row>
    <row r="2041" spans="2:16" x14ac:dyDescent="0.25">
      <c r="B2041" s="24"/>
      <c r="E2041" s="24"/>
      <c r="G2041" s="24"/>
      <c r="H2041" s="24"/>
      <c r="J2041" s="24"/>
      <c r="K2041" s="24"/>
      <c r="M2041" s="24"/>
      <c r="N2041" s="24"/>
      <c r="P2041" s="24"/>
    </row>
    <row r="2042" spans="2:16" x14ac:dyDescent="0.25">
      <c r="B2042" s="24"/>
      <c r="E2042" s="24"/>
      <c r="G2042" s="24"/>
      <c r="H2042" s="24"/>
      <c r="J2042" s="24"/>
      <c r="K2042" s="24"/>
      <c r="M2042" s="24"/>
      <c r="N2042" s="24"/>
      <c r="P2042" s="24"/>
    </row>
    <row r="2043" spans="2:16" x14ac:dyDescent="0.25">
      <c r="B2043" s="24"/>
      <c r="E2043" s="24"/>
      <c r="G2043" s="24"/>
      <c r="H2043" s="24"/>
      <c r="J2043" s="24"/>
      <c r="K2043" s="24"/>
      <c r="M2043" s="24"/>
      <c r="N2043" s="24"/>
      <c r="P2043" s="24"/>
    </row>
    <row r="2044" spans="2:16" x14ac:dyDescent="0.25">
      <c r="B2044" s="24"/>
      <c r="E2044" s="24"/>
      <c r="G2044" s="24"/>
      <c r="H2044" s="24"/>
      <c r="J2044" s="24"/>
      <c r="K2044" s="24"/>
      <c r="M2044" s="24"/>
      <c r="N2044" s="24"/>
      <c r="P2044" s="24"/>
    </row>
    <row r="2045" spans="2:16" x14ac:dyDescent="0.25">
      <c r="B2045" s="24"/>
      <c r="E2045" s="24"/>
      <c r="G2045" s="24"/>
      <c r="H2045" s="24"/>
      <c r="J2045" s="24"/>
      <c r="K2045" s="24"/>
      <c r="M2045" s="24"/>
      <c r="N2045" s="24"/>
      <c r="P2045" s="24"/>
    </row>
    <row r="2046" spans="2:16" x14ac:dyDescent="0.25">
      <c r="B2046" s="24"/>
      <c r="E2046" s="24"/>
      <c r="G2046" s="24"/>
      <c r="H2046" s="24"/>
      <c r="J2046" s="24"/>
      <c r="K2046" s="24"/>
      <c r="M2046" s="24"/>
      <c r="N2046" s="24"/>
      <c r="P2046" s="24"/>
    </row>
    <row r="2047" spans="2:16" x14ac:dyDescent="0.25">
      <c r="B2047" s="24"/>
      <c r="E2047" s="24"/>
      <c r="G2047" s="24"/>
      <c r="H2047" s="24"/>
      <c r="J2047" s="24"/>
      <c r="K2047" s="24"/>
      <c r="M2047" s="24"/>
      <c r="N2047" s="24"/>
      <c r="P2047" s="24"/>
    </row>
    <row r="2048" spans="2:16" x14ac:dyDescent="0.25">
      <c r="B2048" s="24"/>
      <c r="E2048" s="24"/>
      <c r="G2048" s="24"/>
      <c r="H2048" s="24"/>
      <c r="J2048" s="24"/>
      <c r="K2048" s="24"/>
      <c r="M2048" s="24"/>
      <c r="N2048" s="24"/>
      <c r="P2048" s="24"/>
    </row>
    <row r="2049" spans="2:16" x14ac:dyDescent="0.25">
      <c r="B2049" s="24"/>
      <c r="E2049" s="24"/>
      <c r="G2049" s="24"/>
      <c r="H2049" s="24"/>
      <c r="J2049" s="24"/>
      <c r="K2049" s="24"/>
      <c r="M2049" s="24"/>
      <c r="N2049" s="24"/>
      <c r="P2049" s="24"/>
    </row>
    <row r="2050" spans="2:16" x14ac:dyDescent="0.25">
      <c r="B2050" s="24"/>
      <c r="E2050" s="24"/>
      <c r="G2050" s="24"/>
      <c r="H2050" s="24"/>
      <c r="J2050" s="24"/>
      <c r="K2050" s="24"/>
      <c r="M2050" s="24"/>
      <c r="N2050" s="24"/>
      <c r="P2050" s="24"/>
    </row>
    <row r="2051" spans="2:16" x14ac:dyDescent="0.25">
      <c r="B2051" s="24"/>
      <c r="E2051" s="24"/>
      <c r="G2051" s="24"/>
      <c r="H2051" s="24"/>
      <c r="J2051" s="24"/>
      <c r="K2051" s="24"/>
      <c r="M2051" s="24"/>
      <c r="N2051" s="24"/>
      <c r="P2051" s="24"/>
    </row>
    <row r="2052" spans="2:16" x14ac:dyDescent="0.25">
      <c r="B2052" s="24"/>
      <c r="E2052" s="24"/>
      <c r="G2052" s="24"/>
      <c r="H2052" s="24"/>
      <c r="J2052" s="24"/>
      <c r="K2052" s="24"/>
      <c r="M2052" s="24"/>
      <c r="N2052" s="24"/>
      <c r="P2052" s="24"/>
    </row>
    <row r="2053" spans="2:16" x14ac:dyDescent="0.25">
      <c r="B2053" s="24"/>
      <c r="E2053" s="24"/>
      <c r="G2053" s="24"/>
      <c r="H2053" s="24"/>
      <c r="J2053" s="24"/>
      <c r="K2053" s="24"/>
      <c r="M2053" s="24"/>
      <c r="N2053" s="24"/>
      <c r="P2053" s="24"/>
    </row>
    <row r="2054" spans="2:16" x14ac:dyDescent="0.25">
      <c r="B2054" s="24"/>
      <c r="E2054" s="24"/>
      <c r="G2054" s="24"/>
      <c r="H2054" s="24"/>
      <c r="J2054" s="24"/>
      <c r="K2054" s="24"/>
      <c r="M2054" s="24"/>
      <c r="N2054" s="24"/>
      <c r="P2054" s="24"/>
    </row>
    <row r="2055" spans="2:16" x14ac:dyDescent="0.25">
      <c r="B2055" s="24"/>
      <c r="E2055" s="24"/>
      <c r="G2055" s="24"/>
      <c r="H2055" s="24"/>
      <c r="J2055" s="24"/>
      <c r="K2055" s="24"/>
      <c r="M2055" s="24"/>
      <c r="N2055" s="24"/>
      <c r="P2055" s="24"/>
    </row>
    <row r="2056" spans="2:16" x14ac:dyDescent="0.25">
      <c r="B2056" s="24"/>
      <c r="E2056" s="24"/>
      <c r="G2056" s="24"/>
      <c r="H2056" s="24"/>
      <c r="J2056" s="24"/>
      <c r="K2056" s="24"/>
      <c r="M2056" s="24"/>
      <c r="N2056" s="24"/>
      <c r="P2056" s="24"/>
    </row>
    <row r="2057" spans="2:16" x14ac:dyDescent="0.25">
      <c r="B2057" s="24"/>
      <c r="E2057" s="24"/>
      <c r="G2057" s="24"/>
      <c r="H2057" s="24"/>
      <c r="J2057" s="24"/>
      <c r="K2057" s="24"/>
      <c r="M2057" s="24"/>
      <c r="N2057" s="24"/>
      <c r="P2057" s="24"/>
    </row>
    <row r="2058" spans="2:16" x14ac:dyDescent="0.25">
      <c r="B2058" s="24"/>
      <c r="E2058" s="24"/>
      <c r="G2058" s="24"/>
      <c r="H2058" s="24"/>
      <c r="J2058" s="24"/>
      <c r="K2058" s="24"/>
      <c r="M2058" s="24"/>
      <c r="N2058" s="24"/>
      <c r="P2058" s="24"/>
    </row>
    <row r="2059" spans="2:16" x14ac:dyDescent="0.25">
      <c r="B2059" s="24"/>
      <c r="E2059" s="24"/>
      <c r="G2059" s="24"/>
      <c r="H2059" s="24"/>
      <c r="J2059" s="24"/>
      <c r="K2059" s="24"/>
      <c r="M2059" s="24"/>
      <c r="N2059" s="24"/>
      <c r="P2059" s="24"/>
    </row>
    <row r="2060" spans="2:16" x14ac:dyDescent="0.25">
      <c r="B2060" s="24"/>
      <c r="E2060" s="24"/>
      <c r="G2060" s="24"/>
      <c r="H2060" s="24"/>
      <c r="J2060" s="24"/>
      <c r="K2060" s="24"/>
      <c r="M2060" s="24"/>
      <c r="N2060" s="24"/>
      <c r="P2060" s="24"/>
    </row>
    <row r="2061" spans="2:16" x14ac:dyDescent="0.25">
      <c r="B2061" s="24"/>
      <c r="E2061" s="24"/>
      <c r="G2061" s="24"/>
      <c r="H2061" s="24"/>
      <c r="J2061" s="24"/>
      <c r="K2061" s="24"/>
      <c r="M2061" s="24"/>
      <c r="N2061" s="24"/>
      <c r="P2061" s="24"/>
    </row>
    <row r="2062" spans="2:16" x14ac:dyDescent="0.25">
      <c r="B2062" s="24"/>
      <c r="E2062" s="24"/>
      <c r="G2062" s="24"/>
      <c r="H2062" s="24"/>
      <c r="J2062" s="24"/>
      <c r="K2062" s="24"/>
      <c r="M2062" s="24"/>
      <c r="N2062" s="24"/>
      <c r="P2062" s="24"/>
    </row>
    <row r="2063" spans="2:16" x14ac:dyDescent="0.25">
      <c r="B2063" s="24"/>
      <c r="E2063" s="24"/>
      <c r="G2063" s="24"/>
      <c r="H2063" s="24"/>
      <c r="J2063" s="24"/>
      <c r="K2063" s="24"/>
      <c r="M2063" s="24"/>
      <c r="N2063" s="24"/>
      <c r="P2063" s="24"/>
    </row>
    <row r="2064" spans="2:16" x14ac:dyDescent="0.25">
      <c r="B2064" s="24"/>
      <c r="E2064" s="24"/>
      <c r="G2064" s="24"/>
      <c r="H2064" s="24"/>
      <c r="J2064" s="24"/>
      <c r="K2064" s="24"/>
      <c r="M2064" s="24"/>
      <c r="N2064" s="24"/>
      <c r="P2064" s="24"/>
    </row>
    <row r="2065" spans="2:16" x14ac:dyDescent="0.25">
      <c r="B2065" s="24"/>
      <c r="E2065" s="24"/>
      <c r="G2065" s="24"/>
      <c r="H2065" s="24"/>
      <c r="J2065" s="24"/>
      <c r="K2065" s="24"/>
      <c r="M2065" s="24"/>
      <c r="N2065" s="24"/>
      <c r="P2065" s="24"/>
    </row>
    <row r="2066" spans="2:16" x14ac:dyDescent="0.25">
      <c r="B2066" s="24"/>
      <c r="E2066" s="24"/>
      <c r="G2066" s="24"/>
      <c r="H2066" s="24"/>
      <c r="J2066" s="24"/>
      <c r="K2066" s="24"/>
      <c r="M2066" s="24"/>
      <c r="N2066" s="24"/>
      <c r="P2066" s="24"/>
    </row>
    <row r="2067" spans="2:16" x14ac:dyDescent="0.25">
      <c r="B2067" s="24"/>
      <c r="E2067" s="24"/>
      <c r="G2067" s="24"/>
      <c r="H2067" s="24"/>
      <c r="J2067" s="24"/>
      <c r="K2067" s="24"/>
      <c r="M2067" s="24"/>
      <c r="N2067" s="24"/>
      <c r="P2067" s="24"/>
    </row>
    <row r="2068" spans="2:16" x14ac:dyDescent="0.25">
      <c r="B2068" s="24"/>
      <c r="E2068" s="24"/>
      <c r="G2068" s="24"/>
      <c r="H2068" s="24"/>
      <c r="J2068" s="24"/>
      <c r="K2068" s="24"/>
      <c r="M2068" s="24"/>
      <c r="N2068" s="24"/>
      <c r="P2068" s="24"/>
    </row>
    <row r="2069" spans="2:16" x14ac:dyDescent="0.25">
      <c r="B2069" s="24"/>
      <c r="E2069" s="24"/>
      <c r="G2069" s="24"/>
      <c r="H2069" s="24"/>
      <c r="J2069" s="24"/>
      <c r="K2069" s="24"/>
      <c r="M2069" s="24"/>
      <c r="N2069" s="24"/>
      <c r="P2069" s="24"/>
    </row>
    <row r="2070" spans="2:16" x14ac:dyDescent="0.25">
      <c r="B2070" s="24"/>
      <c r="E2070" s="24"/>
      <c r="G2070" s="24"/>
      <c r="H2070" s="24"/>
      <c r="J2070" s="24"/>
      <c r="K2070" s="24"/>
      <c r="M2070" s="24"/>
      <c r="N2070" s="24"/>
      <c r="P2070" s="24"/>
    </row>
    <row r="2071" spans="2:16" x14ac:dyDescent="0.25">
      <c r="B2071" s="24"/>
      <c r="E2071" s="24"/>
      <c r="G2071" s="24"/>
      <c r="H2071" s="24"/>
      <c r="J2071" s="24"/>
      <c r="K2071" s="24"/>
      <c r="M2071" s="24"/>
      <c r="N2071" s="24"/>
      <c r="P2071" s="24"/>
    </row>
    <row r="2072" spans="2:16" x14ac:dyDescent="0.25">
      <c r="B2072" s="24"/>
      <c r="E2072" s="24"/>
      <c r="G2072" s="24"/>
      <c r="H2072" s="24"/>
      <c r="J2072" s="24"/>
      <c r="K2072" s="24"/>
      <c r="M2072" s="24"/>
      <c r="N2072" s="24"/>
      <c r="P2072" s="24"/>
    </row>
    <row r="2073" spans="2:16" x14ac:dyDescent="0.25">
      <c r="B2073" s="24"/>
      <c r="E2073" s="24"/>
      <c r="G2073" s="24"/>
      <c r="H2073" s="24"/>
      <c r="J2073" s="24"/>
      <c r="K2073" s="24"/>
      <c r="M2073" s="24"/>
      <c r="N2073" s="24"/>
      <c r="P2073" s="24"/>
    </row>
    <row r="2074" spans="2:16" x14ac:dyDescent="0.25">
      <c r="B2074" s="24"/>
      <c r="E2074" s="24"/>
      <c r="G2074" s="24"/>
      <c r="H2074" s="24"/>
      <c r="J2074" s="24"/>
      <c r="K2074" s="24"/>
      <c r="M2074" s="24"/>
      <c r="N2074" s="24"/>
      <c r="P2074" s="24"/>
    </row>
    <row r="2075" spans="2:16" x14ac:dyDescent="0.25">
      <c r="B2075" s="24"/>
      <c r="E2075" s="24"/>
      <c r="G2075" s="24"/>
      <c r="H2075" s="24"/>
      <c r="J2075" s="24"/>
      <c r="K2075" s="24"/>
      <c r="M2075" s="24"/>
      <c r="N2075" s="24"/>
      <c r="P2075" s="24"/>
    </row>
    <row r="2076" spans="2:16" x14ac:dyDescent="0.25">
      <c r="B2076" s="24"/>
      <c r="E2076" s="24"/>
      <c r="G2076" s="24"/>
      <c r="H2076" s="24"/>
      <c r="J2076" s="24"/>
      <c r="K2076" s="24"/>
      <c r="M2076" s="24"/>
      <c r="N2076" s="24"/>
      <c r="P2076" s="24"/>
    </row>
    <row r="2077" spans="2:16" x14ac:dyDescent="0.25">
      <c r="B2077" s="24"/>
      <c r="E2077" s="24"/>
      <c r="G2077" s="24"/>
      <c r="H2077" s="24"/>
      <c r="J2077" s="24"/>
      <c r="K2077" s="24"/>
      <c r="M2077" s="24"/>
      <c r="N2077" s="24"/>
      <c r="P2077" s="24"/>
    </row>
    <row r="2078" spans="2:16" x14ac:dyDescent="0.25">
      <c r="B2078" s="24"/>
      <c r="E2078" s="24"/>
      <c r="G2078" s="24"/>
      <c r="H2078" s="24"/>
      <c r="J2078" s="24"/>
      <c r="K2078" s="24"/>
      <c r="M2078" s="24"/>
      <c r="N2078" s="24"/>
      <c r="P2078" s="24"/>
    </row>
    <row r="2079" spans="2:16" x14ac:dyDescent="0.25">
      <c r="B2079" s="24"/>
      <c r="E2079" s="24"/>
      <c r="G2079" s="24"/>
      <c r="H2079" s="24"/>
      <c r="J2079" s="24"/>
      <c r="K2079" s="24"/>
      <c r="M2079" s="24"/>
      <c r="N2079" s="24"/>
      <c r="P2079" s="24"/>
    </row>
    <row r="2080" spans="2:16" x14ac:dyDescent="0.25">
      <c r="B2080" s="24"/>
      <c r="E2080" s="24"/>
      <c r="G2080" s="24"/>
      <c r="H2080" s="24"/>
      <c r="J2080" s="24"/>
      <c r="K2080" s="24"/>
      <c r="M2080" s="24"/>
      <c r="N2080" s="24"/>
      <c r="P2080" s="24"/>
    </row>
    <row r="2081" spans="2:16" x14ac:dyDescent="0.25">
      <c r="B2081" s="24"/>
      <c r="E2081" s="24"/>
      <c r="G2081" s="24"/>
      <c r="H2081" s="24"/>
      <c r="J2081" s="24"/>
      <c r="K2081" s="24"/>
      <c r="M2081" s="24"/>
      <c r="N2081" s="24"/>
      <c r="P2081" s="24"/>
    </row>
    <row r="2082" spans="2:16" x14ac:dyDescent="0.25">
      <c r="B2082" s="24"/>
      <c r="E2082" s="24"/>
      <c r="G2082" s="24"/>
      <c r="H2082" s="24"/>
      <c r="J2082" s="24"/>
      <c r="K2082" s="24"/>
      <c r="M2082" s="24"/>
      <c r="N2082" s="24"/>
      <c r="P2082" s="24"/>
    </row>
    <row r="2083" spans="2:16" x14ac:dyDescent="0.25">
      <c r="B2083" s="24"/>
      <c r="E2083" s="24"/>
      <c r="G2083" s="24"/>
      <c r="H2083" s="24"/>
      <c r="J2083" s="24"/>
      <c r="K2083" s="24"/>
      <c r="M2083" s="24"/>
      <c r="N2083" s="24"/>
      <c r="P2083" s="24"/>
    </row>
    <row r="2084" spans="2:16" x14ac:dyDescent="0.25">
      <c r="B2084" s="24"/>
      <c r="E2084" s="24"/>
      <c r="G2084" s="24"/>
      <c r="H2084" s="24"/>
      <c r="J2084" s="24"/>
      <c r="K2084" s="24"/>
      <c r="M2084" s="24"/>
      <c r="N2084" s="24"/>
      <c r="P2084" s="24"/>
    </row>
    <row r="2085" spans="2:16" x14ac:dyDescent="0.25">
      <c r="B2085" s="24"/>
      <c r="E2085" s="24"/>
      <c r="G2085" s="24"/>
      <c r="H2085" s="24"/>
      <c r="J2085" s="24"/>
      <c r="K2085" s="24"/>
      <c r="M2085" s="24"/>
      <c r="N2085" s="24"/>
      <c r="P2085" s="24"/>
    </row>
    <row r="2086" spans="2:16" x14ac:dyDescent="0.25">
      <c r="B2086" s="24"/>
      <c r="E2086" s="24"/>
      <c r="G2086" s="24"/>
      <c r="H2086" s="24"/>
      <c r="J2086" s="24"/>
      <c r="K2086" s="24"/>
      <c r="M2086" s="24"/>
      <c r="N2086" s="24"/>
      <c r="P2086" s="24"/>
    </row>
    <row r="2087" spans="2:16" x14ac:dyDescent="0.25">
      <c r="B2087" s="24"/>
      <c r="E2087" s="24"/>
      <c r="G2087" s="24"/>
      <c r="H2087" s="24"/>
      <c r="J2087" s="24"/>
      <c r="K2087" s="24"/>
      <c r="M2087" s="24"/>
      <c r="N2087" s="24"/>
      <c r="P2087" s="24"/>
    </row>
    <row r="2088" spans="2:16" x14ac:dyDescent="0.25">
      <c r="B2088" s="24"/>
      <c r="E2088" s="24"/>
      <c r="G2088" s="24"/>
      <c r="H2088" s="24"/>
      <c r="J2088" s="24"/>
      <c r="K2088" s="24"/>
      <c r="M2088" s="24"/>
      <c r="N2088" s="24"/>
      <c r="P2088" s="24"/>
    </row>
    <row r="2089" spans="2:16" x14ac:dyDescent="0.25">
      <c r="B2089" s="24"/>
      <c r="E2089" s="24"/>
      <c r="G2089" s="24"/>
      <c r="H2089" s="24"/>
      <c r="J2089" s="24"/>
      <c r="K2089" s="24"/>
      <c r="M2089" s="24"/>
      <c r="N2089" s="24"/>
      <c r="P2089" s="24"/>
    </row>
    <row r="2090" spans="2:16" x14ac:dyDescent="0.25">
      <c r="B2090" s="24"/>
      <c r="E2090" s="24"/>
      <c r="G2090" s="24"/>
      <c r="H2090" s="24"/>
      <c r="J2090" s="24"/>
      <c r="K2090" s="24"/>
      <c r="M2090" s="24"/>
      <c r="N2090" s="24"/>
      <c r="P2090" s="24"/>
    </row>
    <row r="2091" spans="2:16" x14ac:dyDescent="0.25">
      <c r="B2091" s="24"/>
      <c r="E2091" s="24"/>
      <c r="G2091" s="24"/>
      <c r="H2091" s="24"/>
      <c r="J2091" s="24"/>
      <c r="K2091" s="24"/>
      <c r="M2091" s="24"/>
      <c r="N2091" s="24"/>
      <c r="P2091" s="24"/>
    </row>
    <row r="2092" spans="2:16" x14ac:dyDescent="0.25">
      <c r="B2092" s="24"/>
      <c r="E2092" s="24"/>
      <c r="G2092" s="24"/>
      <c r="H2092" s="24"/>
      <c r="J2092" s="24"/>
      <c r="K2092" s="24"/>
      <c r="M2092" s="24"/>
      <c r="N2092" s="24"/>
      <c r="P2092" s="24"/>
    </row>
    <row r="2093" spans="2:16" x14ac:dyDescent="0.25">
      <c r="B2093" s="24"/>
      <c r="E2093" s="24"/>
      <c r="G2093" s="24"/>
      <c r="H2093" s="24"/>
      <c r="J2093" s="24"/>
      <c r="K2093" s="24"/>
      <c r="M2093" s="24"/>
      <c r="N2093" s="24"/>
      <c r="P2093" s="24"/>
    </row>
    <row r="2094" spans="2:16" x14ac:dyDescent="0.25">
      <c r="B2094" s="24"/>
      <c r="E2094" s="24"/>
      <c r="G2094" s="24"/>
      <c r="H2094" s="24"/>
      <c r="J2094" s="24"/>
      <c r="K2094" s="24"/>
      <c r="M2094" s="24"/>
      <c r="N2094" s="24"/>
      <c r="P2094" s="24"/>
    </row>
    <row r="2095" spans="2:16" x14ac:dyDescent="0.25">
      <c r="B2095" s="24"/>
      <c r="E2095" s="24"/>
      <c r="G2095" s="24"/>
      <c r="H2095" s="24"/>
      <c r="J2095" s="24"/>
      <c r="K2095" s="24"/>
      <c r="M2095" s="24"/>
      <c r="N2095" s="24"/>
      <c r="P2095" s="24"/>
    </row>
    <row r="2096" spans="2:16" x14ac:dyDescent="0.25">
      <c r="B2096" s="24"/>
      <c r="E2096" s="24"/>
      <c r="G2096" s="24"/>
      <c r="H2096" s="24"/>
      <c r="J2096" s="24"/>
      <c r="K2096" s="24"/>
      <c r="M2096" s="24"/>
      <c r="N2096" s="24"/>
      <c r="P2096" s="24"/>
    </row>
    <row r="2097" spans="2:16" x14ac:dyDescent="0.25">
      <c r="B2097" s="24"/>
      <c r="E2097" s="24"/>
      <c r="G2097" s="24"/>
      <c r="H2097" s="24"/>
      <c r="J2097" s="24"/>
      <c r="K2097" s="24"/>
      <c r="M2097" s="24"/>
      <c r="N2097" s="24"/>
      <c r="P2097" s="24"/>
    </row>
    <row r="2098" spans="2:16" x14ac:dyDescent="0.25">
      <c r="B2098" s="24"/>
      <c r="E2098" s="24"/>
      <c r="G2098" s="24"/>
      <c r="H2098" s="24"/>
      <c r="J2098" s="24"/>
      <c r="K2098" s="24"/>
      <c r="M2098" s="24"/>
      <c r="N2098" s="24"/>
      <c r="P2098" s="24"/>
    </row>
    <row r="2099" spans="2:16" x14ac:dyDescent="0.25">
      <c r="B2099" s="24"/>
      <c r="E2099" s="24"/>
      <c r="G2099" s="24"/>
      <c r="H2099" s="24"/>
      <c r="J2099" s="24"/>
      <c r="K2099" s="24"/>
      <c r="M2099" s="24"/>
      <c r="N2099" s="24"/>
      <c r="P2099" s="24"/>
    </row>
    <row r="2100" spans="2:16" x14ac:dyDescent="0.25">
      <c r="B2100" s="24"/>
      <c r="E2100" s="24"/>
      <c r="G2100" s="24"/>
      <c r="H2100" s="24"/>
      <c r="J2100" s="24"/>
      <c r="K2100" s="24"/>
      <c r="M2100" s="24"/>
      <c r="N2100" s="24"/>
      <c r="P2100" s="24"/>
    </row>
    <row r="2101" spans="2:16" x14ac:dyDescent="0.25">
      <c r="B2101" s="24"/>
      <c r="E2101" s="24"/>
      <c r="G2101" s="24"/>
      <c r="H2101" s="24"/>
      <c r="J2101" s="24"/>
      <c r="K2101" s="24"/>
      <c r="M2101" s="24"/>
      <c r="N2101" s="24"/>
      <c r="P2101" s="24"/>
    </row>
    <row r="2102" spans="2:16" x14ac:dyDescent="0.25">
      <c r="B2102" s="24"/>
      <c r="E2102" s="24"/>
      <c r="G2102" s="24"/>
      <c r="H2102" s="24"/>
      <c r="J2102" s="24"/>
      <c r="K2102" s="24"/>
      <c r="M2102" s="24"/>
      <c r="N2102" s="24"/>
      <c r="P2102" s="24"/>
    </row>
    <row r="2103" spans="2:16" x14ac:dyDescent="0.25">
      <c r="B2103" s="24"/>
      <c r="E2103" s="24"/>
      <c r="G2103" s="24"/>
      <c r="H2103" s="24"/>
      <c r="J2103" s="24"/>
      <c r="K2103" s="24"/>
      <c r="M2103" s="24"/>
      <c r="N2103" s="24"/>
      <c r="P2103" s="24"/>
    </row>
    <row r="2104" spans="2:16" x14ac:dyDescent="0.25">
      <c r="B2104" s="24"/>
      <c r="E2104" s="24"/>
      <c r="G2104" s="24"/>
      <c r="H2104" s="24"/>
      <c r="J2104" s="24"/>
      <c r="K2104" s="24"/>
      <c r="M2104" s="24"/>
      <c r="N2104" s="24"/>
      <c r="P2104" s="24"/>
    </row>
    <row r="2105" spans="2:16" x14ac:dyDescent="0.25">
      <c r="B2105" s="24"/>
      <c r="E2105" s="24"/>
      <c r="G2105" s="24"/>
      <c r="H2105" s="24"/>
      <c r="J2105" s="24"/>
      <c r="K2105" s="24"/>
      <c r="M2105" s="24"/>
      <c r="N2105" s="24"/>
      <c r="P2105" s="24"/>
    </row>
    <row r="2106" spans="2:16" x14ac:dyDescent="0.25">
      <c r="B2106" s="24"/>
      <c r="E2106" s="24"/>
      <c r="G2106" s="24"/>
      <c r="H2106" s="24"/>
      <c r="J2106" s="24"/>
      <c r="K2106" s="24"/>
      <c r="M2106" s="24"/>
      <c r="N2106" s="24"/>
      <c r="P2106" s="24"/>
    </row>
    <row r="2107" spans="2:16" x14ac:dyDescent="0.25">
      <c r="B2107" s="24"/>
      <c r="E2107" s="24"/>
      <c r="G2107" s="24"/>
      <c r="H2107" s="24"/>
      <c r="J2107" s="24"/>
      <c r="K2107" s="24"/>
      <c r="M2107" s="24"/>
      <c r="N2107" s="24"/>
      <c r="P2107" s="24"/>
    </row>
    <row r="2108" spans="2:16" x14ac:dyDescent="0.25">
      <c r="B2108" s="24"/>
      <c r="E2108" s="24"/>
      <c r="G2108" s="24"/>
      <c r="H2108" s="24"/>
      <c r="J2108" s="24"/>
      <c r="K2108" s="24"/>
      <c r="M2108" s="24"/>
      <c r="N2108" s="24"/>
      <c r="P2108" s="24"/>
    </row>
    <row r="2109" spans="2:16" x14ac:dyDescent="0.25">
      <c r="B2109" s="24"/>
      <c r="E2109" s="24"/>
      <c r="G2109" s="24"/>
      <c r="H2109" s="24"/>
      <c r="J2109" s="24"/>
      <c r="K2109" s="24"/>
      <c r="M2109" s="24"/>
      <c r="N2109" s="24"/>
      <c r="P2109" s="24"/>
    </row>
    <row r="2110" spans="2:16" x14ac:dyDescent="0.25">
      <c r="B2110" s="24"/>
      <c r="E2110" s="24"/>
      <c r="G2110" s="24"/>
      <c r="H2110" s="24"/>
      <c r="J2110" s="24"/>
      <c r="K2110" s="24"/>
      <c r="M2110" s="24"/>
      <c r="N2110" s="24"/>
      <c r="P2110" s="24"/>
    </row>
    <row r="2111" spans="2:16" x14ac:dyDescent="0.25">
      <c r="B2111" s="24"/>
      <c r="E2111" s="24"/>
      <c r="G2111" s="24"/>
      <c r="H2111" s="24"/>
      <c r="J2111" s="24"/>
      <c r="K2111" s="24"/>
      <c r="M2111" s="24"/>
      <c r="N2111" s="24"/>
      <c r="P2111" s="24"/>
    </row>
    <row r="2112" spans="2:16" x14ac:dyDescent="0.25">
      <c r="B2112" s="24"/>
      <c r="E2112" s="24"/>
      <c r="G2112" s="24"/>
      <c r="H2112" s="24"/>
      <c r="J2112" s="24"/>
      <c r="K2112" s="24"/>
      <c r="M2112" s="24"/>
      <c r="N2112" s="24"/>
      <c r="P2112" s="24"/>
    </row>
    <row r="2113" spans="2:16" x14ac:dyDescent="0.25">
      <c r="B2113" s="24"/>
      <c r="E2113" s="24"/>
      <c r="G2113" s="24"/>
      <c r="H2113" s="24"/>
      <c r="J2113" s="24"/>
      <c r="K2113" s="24"/>
      <c r="M2113" s="24"/>
      <c r="N2113" s="24"/>
      <c r="P2113" s="24"/>
    </row>
    <row r="2114" spans="2:16" x14ac:dyDescent="0.25">
      <c r="B2114" s="24"/>
      <c r="E2114" s="24"/>
      <c r="G2114" s="24"/>
      <c r="H2114" s="24"/>
      <c r="J2114" s="24"/>
      <c r="K2114" s="24"/>
      <c r="M2114" s="24"/>
      <c r="N2114" s="24"/>
      <c r="P2114" s="24"/>
    </row>
    <row r="2115" spans="2:16" x14ac:dyDescent="0.25">
      <c r="B2115" s="24"/>
      <c r="E2115" s="24"/>
      <c r="G2115" s="24"/>
      <c r="H2115" s="24"/>
      <c r="J2115" s="24"/>
      <c r="K2115" s="24"/>
      <c r="M2115" s="24"/>
      <c r="N2115" s="24"/>
      <c r="P2115" s="24"/>
    </row>
    <row r="2116" spans="2:16" x14ac:dyDescent="0.25">
      <c r="B2116" s="24"/>
      <c r="E2116" s="24"/>
      <c r="G2116" s="24"/>
      <c r="H2116" s="24"/>
      <c r="J2116" s="24"/>
      <c r="K2116" s="24"/>
      <c r="M2116" s="24"/>
      <c r="N2116" s="24"/>
      <c r="P2116" s="24"/>
    </row>
    <row r="2117" spans="2:16" x14ac:dyDescent="0.25">
      <c r="B2117" s="24"/>
      <c r="E2117" s="24"/>
      <c r="G2117" s="24"/>
      <c r="H2117" s="24"/>
      <c r="J2117" s="24"/>
      <c r="K2117" s="24"/>
      <c r="M2117" s="24"/>
      <c r="N2117" s="24"/>
      <c r="P2117" s="24"/>
    </row>
    <row r="2118" spans="2:16" x14ac:dyDescent="0.25">
      <c r="B2118" s="24"/>
      <c r="E2118" s="24"/>
      <c r="G2118" s="24"/>
      <c r="H2118" s="24"/>
      <c r="J2118" s="24"/>
      <c r="K2118" s="24"/>
      <c r="M2118" s="24"/>
      <c r="N2118" s="24"/>
      <c r="P2118" s="24"/>
    </row>
    <row r="2119" spans="2:16" x14ac:dyDescent="0.25">
      <c r="B2119" s="24"/>
      <c r="E2119" s="24"/>
      <c r="G2119" s="24"/>
      <c r="H2119" s="24"/>
      <c r="J2119" s="24"/>
      <c r="K2119" s="24"/>
      <c r="M2119" s="24"/>
      <c r="N2119" s="24"/>
      <c r="P2119" s="24"/>
    </row>
    <row r="2120" spans="2:16" x14ac:dyDescent="0.25">
      <c r="B2120" s="24"/>
      <c r="E2120" s="24"/>
      <c r="G2120" s="24"/>
      <c r="H2120" s="24"/>
      <c r="J2120" s="24"/>
      <c r="K2120" s="24"/>
      <c r="M2120" s="24"/>
      <c r="N2120" s="24"/>
      <c r="P2120" s="24"/>
    </row>
    <row r="2121" spans="2:16" x14ac:dyDescent="0.25">
      <c r="B2121" s="24"/>
      <c r="E2121" s="24"/>
      <c r="G2121" s="24"/>
      <c r="H2121" s="24"/>
      <c r="J2121" s="24"/>
      <c r="K2121" s="24"/>
      <c r="M2121" s="24"/>
      <c r="N2121" s="24"/>
      <c r="P2121" s="24"/>
    </row>
    <row r="2122" spans="2:16" x14ac:dyDescent="0.25">
      <c r="B2122" s="24"/>
      <c r="E2122" s="24"/>
      <c r="G2122" s="24"/>
      <c r="H2122" s="24"/>
      <c r="J2122" s="24"/>
      <c r="K2122" s="24"/>
      <c r="M2122" s="24"/>
      <c r="N2122" s="24"/>
      <c r="P2122" s="24"/>
    </row>
    <row r="2123" spans="2:16" x14ac:dyDescent="0.25">
      <c r="B2123" s="24"/>
      <c r="E2123" s="24"/>
      <c r="G2123" s="24"/>
      <c r="H2123" s="24"/>
      <c r="J2123" s="24"/>
      <c r="K2123" s="24"/>
      <c r="M2123" s="24"/>
      <c r="N2123" s="24"/>
      <c r="P2123" s="24"/>
    </row>
    <row r="2124" spans="2:16" x14ac:dyDescent="0.25">
      <c r="B2124" s="24"/>
      <c r="E2124" s="24"/>
      <c r="G2124" s="24"/>
      <c r="H2124" s="24"/>
      <c r="J2124" s="24"/>
      <c r="K2124" s="24"/>
      <c r="M2124" s="24"/>
      <c r="N2124" s="24"/>
      <c r="P2124" s="24"/>
    </row>
    <row r="2125" spans="2:16" x14ac:dyDescent="0.25">
      <c r="B2125" s="24"/>
      <c r="E2125" s="24"/>
      <c r="G2125" s="24"/>
      <c r="H2125" s="24"/>
      <c r="J2125" s="24"/>
      <c r="K2125" s="24"/>
      <c r="M2125" s="24"/>
      <c r="N2125" s="24"/>
      <c r="P2125" s="24"/>
    </row>
    <row r="2126" spans="2:16" x14ac:dyDescent="0.25">
      <c r="B2126" s="24"/>
      <c r="E2126" s="24"/>
      <c r="G2126" s="24"/>
      <c r="H2126" s="24"/>
      <c r="J2126" s="24"/>
      <c r="K2126" s="24"/>
      <c r="M2126" s="24"/>
      <c r="N2126" s="24"/>
      <c r="P2126" s="24"/>
    </row>
    <row r="2127" spans="2:16" x14ac:dyDescent="0.25">
      <c r="B2127" s="24"/>
      <c r="E2127" s="24"/>
      <c r="G2127" s="24"/>
      <c r="H2127" s="24"/>
      <c r="J2127" s="24"/>
      <c r="K2127" s="24"/>
      <c r="M2127" s="24"/>
      <c r="N2127" s="24"/>
      <c r="P2127" s="24"/>
    </row>
    <row r="2128" spans="2:16" x14ac:dyDescent="0.25">
      <c r="B2128" s="24"/>
      <c r="E2128" s="24"/>
      <c r="G2128" s="24"/>
      <c r="H2128" s="24"/>
      <c r="J2128" s="24"/>
      <c r="K2128" s="24"/>
      <c r="M2128" s="24"/>
      <c r="N2128" s="24"/>
      <c r="P2128" s="24"/>
    </row>
    <row r="2129" spans="2:16" x14ac:dyDescent="0.25">
      <c r="B2129" s="24"/>
      <c r="E2129" s="24"/>
      <c r="G2129" s="24"/>
      <c r="H2129" s="24"/>
      <c r="J2129" s="24"/>
      <c r="K2129" s="24"/>
      <c r="M2129" s="24"/>
      <c r="N2129" s="24"/>
      <c r="P2129" s="24"/>
    </row>
    <row r="2130" spans="2:16" x14ac:dyDescent="0.25">
      <c r="B2130" s="24"/>
      <c r="E2130" s="24"/>
      <c r="G2130" s="24"/>
      <c r="H2130" s="24"/>
      <c r="J2130" s="24"/>
      <c r="K2130" s="24"/>
      <c r="M2130" s="24"/>
      <c r="N2130" s="24"/>
      <c r="P2130" s="24"/>
    </row>
    <row r="2131" spans="2:16" x14ac:dyDescent="0.25">
      <c r="B2131" s="24"/>
      <c r="E2131" s="24"/>
      <c r="G2131" s="24"/>
      <c r="H2131" s="24"/>
      <c r="J2131" s="24"/>
      <c r="K2131" s="24"/>
      <c r="M2131" s="24"/>
      <c r="N2131" s="24"/>
      <c r="P2131" s="24"/>
    </row>
    <row r="2132" spans="2:16" x14ac:dyDescent="0.25">
      <c r="B2132" s="24"/>
      <c r="E2132" s="24"/>
      <c r="G2132" s="24"/>
      <c r="H2132" s="24"/>
      <c r="J2132" s="24"/>
      <c r="K2132" s="24"/>
      <c r="M2132" s="24"/>
      <c r="N2132" s="24"/>
      <c r="P2132" s="24"/>
    </row>
    <row r="2133" spans="2:16" x14ac:dyDescent="0.25">
      <c r="B2133" s="24"/>
      <c r="E2133" s="24"/>
      <c r="G2133" s="24"/>
      <c r="H2133" s="24"/>
      <c r="J2133" s="24"/>
      <c r="K2133" s="24"/>
      <c r="M2133" s="24"/>
      <c r="N2133" s="24"/>
      <c r="P2133" s="24"/>
    </row>
    <row r="2134" spans="2:16" x14ac:dyDescent="0.25">
      <c r="B2134" s="24"/>
      <c r="E2134" s="24"/>
      <c r="G2134" s="24"/>
      <c r="H2134" s="24"/>
      <c r="J2134" s="24"/>
      <c r="K2134" s="24"/>
      <c r="M2134" s="24"/>
      <c r="N2134" s="24"/>
      <c r="P2134" s="24"/>
    </row>
    <row r="2135" spans="2:16" x14ac:dyDescent="0.25">
      <c r="B2135" s="24"/>
      <c r="E2135" s="24"/>
      <c r="G2135" s="24"/>
      <c r="H2135" s="24"/>
      <c r="J2135" s="24"/>
      <c r="K2135" s="24"/>
      <c r="M2135" s="24"/>
      <c r="N2135" s="24"/>
      <c r="P2135" s="24"/>
    </row>
    <row r="2136" spans="2:16" x14ac:dyDescent="0.25">
      <c r="B2136" s="24"/>
      <c r="E2136" s="24"/>
      <c r="G2136" s="24"/>
      <c r="H2136" s="24"/>
      <c r="J2136" s="24"/>
      <c r="K2136" s="24"/>
      <c r="M2136" s="24"/>
      <c r="N2136" s="24"/>
      <c r="P2136" s="24"/>
    </row>
    <row r="2137" spans="2:16" x14ac:dyDescent="0.25">
      <c r="B2137" s="24"/>
      <c r="E2137" s="24"/>
      <c r="G2137" s="24"/>
      <c r="H2137" s="24"/>
      <c r="J2137" s="24"/>
      <c r="K2137" s="24"/>
      <c r="M2137" s="24"/>
      <c r="N2137" s="24"/>
      <c r="P2137" s="24"/>
    </row>
    <row r="2138" spans="2:16" x14ac:dyDescent="0.25">
      <c r="B2138" s="24"/>
      <c r="E2138" s="24"/>
      <c r="G2138" s="24"/>
      <c r="H2138" s="24"/>
      <c r="J2138" s="24"/>
      <c r="K2138" s="24"/>
      <c r="M2138" s="24"/>
      <c r="N2138" s="24"/>
      <c r="P2138" s="24"/>
    </row>
    <row r="2139" spans="2:16" x14ac:dyDescent="0.25">
      <c r="B2139" s="24"/>
      <c r="E2139" s="24"/>
      <c r="G2139" s="24"/>
      <c r="H2139" s="24"/>
      <c r="J2139" s="24"/>
      <c r="K2139" s="24"/>
      <c r="M2139" s="24"/>
      <c r="N2139" s="24"/>
      <c r="P2139" s="24"/>
    </row>
    <row r="2140" spans="2:16" x14ac:dyDescent="0.25">
      <c r="B2140" s="24"/>
      <c r="E2140" s="24"/>
      <c r="G2140" s="24"/>
      <c r="H2140" s="24"/>
      <c r="J2140" s="24"/>
      <c r="K2140" s="24"/>
      <c r="M2140" s="24"/>
      <c r="N2140" s="24"/>
      <c r="P2140" s="24"/>
    </row>
    <row r="2141" spans="2:16" x14ac:dyDescent="0.25">
      <c r="B2141" s="24"/>
      <c r="E2141" s="24"/>
      <c r="G2141" s="24"/>
      <c r="H2141" s="24"/>
      <c r="J2141" s="24"/>
      <c r="K2141" s="24"/>
      <c r="M2141" s="24"/>
      <c r="N2141" s="24"/>
      <c r="P2141" s="24"/>
    </row>
    <row r="2142" spans="2:16" x14ac:dyDescent="0.25">
      <c r="B2142" s="24"/>
      <c r="E2142" s="24"/>
      <c r="G2142" s="24"/>
      <c r="H2142" s="24"/>
      <c r="J2142" s="24"/>
      <c r="K2142" s="24"/>
      <c r="M2142" s="24"/>
      <c r="N2142" s="24"/>
      <c r="P2142" s="24"/>
    </row>
    <row r="2143" spans="2:16" x14ac:dyDescent="0.25">
      <c r="B2143" s="24"/>
      <c r="E2143" s="24"/>
      <c r="G2143" s="24"/>
      <c r="H2143" s="24"/>
      <c r="J2143" s="24"/>
      <c r="K2143" s="24"/>
      <c r="M2143" s="24"/>
      <c r="N2143" s="24"/>
      <c r="P2143" s="24"/>
    </row>
    <row r="2144" spans="2:16" x14ac:dyDescent="0.25">
      <c r="B2144" s="24"/>
      <c r="E2144" s="24"/>
      <c r="G2144" s="24"/>
      <c r="H2144" s="24"/>
      <c r="J2144" s="24"/>
      <c r="K2144" s="24"/>
      <c r="M2144" s="24"/>
      <c r="N2144" s="24"/>
      <c r="P2144" s="24"/>
    </row>
    <row r="2145" spans="2:16" x14ac:dyDescent="0.25">
      <c r="B2145" s="24"/>
      <c r="E2145" s="24"/>
      <c r="G2145" s="24"/>
      <c r="H2145" s="24"/>
      <c r="J2145" s="24"/>
      <c r="K2145" s="24"/>
      <c r="M2145" s="24"/>
      <c r="N2145" s="24"/>
      <c r="P2145" s="24"/>
    </row>
    <row r="2146" spans="2:16" x14ac:dyDescent="0.25">
      <c r="B2146" s="24"/>
      <c r="E2146" s="24"/>
      <c r="G2146" s="24"/>
      <c r="H2146" s="24"/>
      <c r="J2146" s="24"/>
      <c r="K2146" s="24"/>
      <c r="M2146" s="24"/>
      <c r="N2146" s="24"/>
      <c r="P2146" s="24"/>
    </row>
    <row r="2147" spans="2:16" x14ac:dyDescent="0.25">
      <c r="B2147" s="24"/>
      <c r="E2147" s="24"/>
      <c r="G2147" s="24"/>
      <c r="H2147" s="24"/>
      <c r="J2147" s="24"/>
      <c r="K2147" s="24"/>
      <c r="M2147" s="24"/>
      <c r="N2147" s="24"/>
      <c r="P2147" s="24"/>
    </row>
    <row r="2148" spans="2:16" x14ac:dyDescent="0.25">
      <c r="B2148" s="24"/>
      <c r="E2148" s="24"/>
      <c r="G2148" s="24"/>
      <c r="H2148" s="24"/>
      <c r="J2148" s="24"/>
      <c r="K2148" s="24"/>
      <c r="M2148" s="24"/>
      <c r="N2148" s="24"/>
      <c r="P2148" s="24"/>
    </row>
    <row r="2149" spans="2:16" x14ac:dyDescent="0.25">
      <c r="B2149" s="24"/>
      <c r="E2149" s="24"/>
      <c r="G2149" s="24"/>
      <c r="H2149" s="24"/>
      <c r="J2149" s="24"/>
      <c r="K2149" s="24"/>
      <c r="M2149" s="24"/>
      <c r="N2149" s="24"/>
      <c r="P2149" s="24"/>
    </row>
    <row r="2150" spans="2:16" x14ac:dyDescent="0.25">
      <c r="B2150" s="24"/>
      <c r="E2150" s="24"/>
      <c r="G2150" s="24"/>
      <c r="H2150" s="24"/>
      <c r="J2150" s="24"/>
      <c r="K2150" s="24"/>
      <c r="M2150" s="24"/>
      <c r="N2150" s="24"/>
      <c r="P2150" s="24"/>
    </row>
    <row r="2151" spans="2:16" x14ac:dyDescent="0.25">
      <c r="B2151" s="24"/>
      <c r="E2151" s="24"/>
      <c r="G2151" s="24"/>
      <c r="H2151" s="24"/>
      <c r="J2151" s="24"/>
      <c r="K2151" s="24"/>
      <c r="M2151" s="24"/>
      <c r="N2151" s="24"/>
      <c r="P2151" s="24"/>
    </row>
    <row r="2152" spans="2:16" x14ac:dyDescent="0.25">
      <c r="B2152" s="24"/>
      <c r="E2152" s="24"/>
      <c r="G2152" s="24"/>
      <c r="H2152" s="24"/>
      <c r="J2152" s="24"/>
      <c r="K2152" s="24"/>
      <c r="M2152" s="24"/>
      <c r="N2152" s="24"/>
      <c r="P2152" s="24"/>
    </row>
    <row r="2153" spans="2:16" x14ac:dyDescent="0.25">
      <c r="B2153" s="24"/>
      <c r="E2153" s="24"/>
      <c r="G2153" s="24"/>
      <c r="H2153" s="24"/>
      <c r="J2153" s="24"/>
      <c r="K2153" s="24"/>
      <c r="M2153" s="24"/>
      <c r="N2153" s="24"/>
      <c r="P2153" s="24"/>
    </row>
    <row r="2154" spans="2:16" x14ac:dyDescent="0.25">
      <c r="B2154" s="24"/>
      <c r="E2154" s="24"/>
      <c r="G2154" s="24"/>
      <c r="H2154" s="24"/>
      <c r="J2154" s="24"/>
      <c r="K2154" s="24"/>
      <c r="M2154" s="24"/>
      <c r="N2154" s="24"/>
      <c r="P2154" s="24"/>
    </row>
    <row r="2155" spans="2:16" x14ac:dyDescent="0.25">
      <c r="B2155" s="24"/>
      <c r="E2155" s="24"/>
      <c r="G2155" s="24"/>
      <c r="H2155" s="24"/>
      <c r="J2155" s="24"/>
      <c r="K2155" s="24"/>
      <c r="M2155" s="24"/>
      <c r="N2155" s="24"/>
      <c r="P2155" s="24"/>
    </row>
    <row r="2156" spans="2:16" x14ac:dyDescent="0.25">
      <c r="B2156" s="24"/>
      <c r="E2156" s="24"/>
      <c r="G2156" s="24"/>
      <c r="H2156" s="24"/>
      <c r="J2156" s="24"/>
      <c r="K2156" s="24"/>
      <c r="M2156" s="24"/>
      <c r="N2156" s="24"/>
      <c r="P2156" s="24"/>
    </row>
    <row r="2157" spans="2:16" x14ac:dyDescent="0.25">
      <c r="B2157" s="24"/>
      <c r="E2157" s="24"/>
      <c r="G2157" s="24"/>
      <c r="H2157" s="24"/>
      <c r="J2157" s="24"/>
      <c r="K2157" s="24"/>
      <c r="M2157" s="24"/>
      <c r="N2157" s="24"/>
      <c r="P2157" s="24"/>
    </row>
    <row r="2158" spans="2:16" x14ac:dyDescent="0.25">
      <c r="B2158" s="24"/>
      <c r="E2158" s="24"/>
      <c r="G2158" s="24"/>
      <c r="H2158" s="24"/>
      <c r="J2158" s="24"/>
      <c r="K2158" s="24"/>
      <c r="M2158" s="24"/>
      <c r="N2158" s="24"/>
      <c r="P2158" s="24"/>
    </row>
    <row r="2159" spans="2:16" x14ac:dyDescent="0.25">
      <c r="B2159" s="24"/>
      <c r="E2159" s="24"/>
      <c r="G2159" s="24"/>
      <c r="H2159" s="24"/>
      <c r="J2159" s="24"/>
      <c r="K2159" s="24"/>
      <c r="M2159" s="24"/>
      <c r="N2159" s="24"/>
      <c r="P2159" s="24"/>
    </row>
    <row r="2160" spans="2:16" x14ac:dyDescent="0.25">
      <c r="B2160" s="24"/>
      <c r="E2160" s="24"/>
      <c r="G2160" s="24"/>
      <c r="H2160" s="24"/>
      <c r="J2160" s="24"/>
      <c r="K2160" s="24"/>
      <c r="M2160" s="24"/>
      <c r="N2160" s="24"/>
      <c r="P2160" s="24"/>
    </row>
    <row r="2161" spans="2:16" x14ac:dyDescent="0.25">
      <c r="B2161" s="24"/>
      <c r="E2161" s="24"/>
      <c r="G2161" s="24"/>
      <c r="H2161" s="24"/>
      <c r="J2161" s="24"/>
      <c r="K2161" s="24"/>
      <c r="M2161" s="24"/>
      <c r="N2161" s="24"/>
      <c r="P2161" s="24"/>
    </row>
    <row r="2162" spans="2:16" x14ac:dyDescent="0.25">
      <c r="B2162" s="24"/>
      <c r="E2162" s="24"/>
      <c r="G2162" s="24"/>
      <c r="H2162" s="24"/>
      <c r="J2162" s="24"/>
      <c r="K2162" s="24"/>
      <c r="M2162" s="24"/>
      <c r="N2162" s="24"/>
      <c r="P2162" s="24"/>
    </row>
    <row r="2163" spans="2:16" x14ac:dyDescent="0.25">
      <c r="B2163" s="24"/>
      <c r="E2163" s="24"/>
      <c r="G2163" s="24"/>
      <c r="H2163" s="24"/>
      <c r="J2163" s="24"/>
      <c r="K2163" s="24"/>
      <c r="M2163" s="24"/>
      <c r="N2163" s="24"/>
      <c r="P2163" s="24"/>
    </row>
    <row r="2164" spans="2:16" x14ac:dyDescent="0.25">
      <c r="B2164" s="24"/>
      <c r="E2164" s="24"/>
      <c r="G2164" s="24"/>
      <c r="H2164" s="24"/>
      <c r="J2164" s="24"/>
      <c r="K2164" s="24"/>
      <c r="M2164" s="24"/>
      <c r="N2164" s="24"/>
      <c r="P2164" s="24"/>
    </row>
    <row r="2165" spans="2:16" x14ac:dyDescent="0.25">
      <c r="B2165" s="24"/>
      <c r="E2165" s="24"/>
      <c r="G2165" s="24"/>
      <c r="H2165" s="24"/>
      <c r="J2165" s="24"/>
      <c r="K2165" s="24"/>
      <c r="M2165" s="24"/>
      <c r="N2165" s="24"/>
      <c r="P2165" s="24"/>
    </row>
    <row r="2166" spans="2:16" x14ac:dyDescent="0.25">
      <c r="B2166" s="24"/>
      <c r="E2166" s="24"/>
      <c r="G2166" s="24"/>
      <c r="H2166" s="24"/>
      <c r="J2166" s="24"/>
      <c r="K2166" s="24"/>
      <c r="M2166" s="24"/>
      <c r="N2166" s="24"/>
      <c r="P2166" s="24"/>
    </row>
    <row r="2167" spans="2:16" x14ac:dyDescent="0.25">
      <c r="B2167" s="24"/>
      <c r="E2167" s="24"/>
      <c r="G2167" s="24"/>
      <c r="H2167" s="24"/>
      <c r="J2167" s="24"/>
      <c r="K2167" s="24"/>
      <c r="M2167" s="24"/>
      <c r="N2167" s="24"/>
      <c r="P2167" s="24"/>
    </row>
    <row r="2168" spans="2:16" x14ac:dyDescent="0.25">
      <c r="B2168" s="24"/>
      <c r="E2168" s="24"/>
      <c r="G2168" s="24"/>
      <c r="H2168" s="24"/>
      <c r="J2168" s="24"/>
      <c r="K2168" s="24"/>
      <c r="M2168" s="24"/>
      <c r="N2168" s="24"/>
      <c r="P2168" s="24"/>
    </row>
    <row r="2169" spans="2:16" x14ac:dyDescent="0.25">
      <c r="B2169" s="24"/>
      <c r="E2169" s="24"/>
      <c r="G2169" s="24"/>
      <c r="H2169" s="24"/>
      <c r="J2169" s="24"/>
      <c r="K2169" s="24"/>
      <c r="M2169" s="24"/>
      <c r="N2169" s="24"/>
      <c r="P2169" s="24"/>
    </row>
    <row r="2170" spans="2:16" x14ac:dyDescent="0.25">
      <c r="B2170" s="24"/>
      <c r="E2170" s="24"/>
      <c r="G2170" s="24"/>
      <c r="H2170" s="24"/>
      <c r="J2170" s="24"/>
      <c r="K2170" s="24"/>
      <c r="M2170" s="24"/>
      <c r="N2170" s="24"/>
      <c r="P2170" s="24"/>
    </row>
    <row r="2171" spans="2:16" x14ac:dyDescent="0.25">
      <c r="B2171" s="24"/>
      <c r="E2171" s="24"/>
      <c r="G2171" s="24"/>
      <c r="H2171" s="24"/>
      <c r="J2171" s="24"/>
      <c r="K2171" s="24"/>
      <c r="M2171" s="24"/>
      <c r="N2171" s="24"/>
      <c r="P2171" s="24"/>
    </row>
    <row r="2172" spans="2:16" x14ac:dyDescent="0.25">
      <c r="B2172" s="24"/>
      <c r="E2172" s="24"/>
      <c r="G2172" s="24"/>
      <c r="H2172" s="24"/>
      <c r="J2172" s="24"/>
      <c r="K2172" s="24"/>
      <c r="M2172" s="24"/>
      <c r="N2172" s="24"/>
      <c r="P2172" s="24"/>
    </row>
    <row r="2173" spans="2:16" x14ac:dyDescent="0.25">
      <c r="B2173" s="24"/>
      <c r="E2173" s="24"/>
      <c r="G2173" s="24"/>
      <c r="H2173" s="24"/>
      <c r="J2173" s="24"/>
      <c r="K2173" s="24"/>
      <c r="M2173" s="24"/>
      <c r="N2173" s="24"/>
      <c r="P2173" s="24"/>
    </row>
    <row r="2174" spans="2:16" x14ac:dyDescent="0.25">
      <c r="B2174" s="24"/>
      <c r="E2174" s="24"/>
      <c r="G2174" s="24"/>
      <c r="H2174" s="24"/>
      <c r="J2174" s="24"/>
      <c r="K2174" s="24"/>
      <c r="M2174" s="24"/>
      <c r="N2174" s="24"/>
      <c r="P2174" s="24"/>
    </row>
    <row r="2175" spans="2:16" x14ac:dyDescent="0.25">
      <c r="B2175" s="24"/>
      <c r="E2175" s="24"/>
      <c r="G2175" s="24"/>
      <c r="H2175" s="24"/>
      <c r="J2175" s="24"/>
      <c r="K2175" s="24"/>
      <c r="M2175" s="24"/>
      <c r="N2175" s="24"/>
      <c r="P2175" s="24"/>
    </row>
    <row r="2176" spans="2:16" x14ac:dyDescent="0.25">
      <c r="B2176" s="24"/>
      <c r="E2176" s="24"/>
      <c r="G2176" s="24"/>
      <c r="H2176" s="24"/>
      <c r="J2176" s="24"/>
      <c r="K2176" s="24"/>
      <c r="M2176" s="24"/>
      <c r="N2176" s="24"/>
      <c r="P2176" s="24"/>
    </row>
    <row r="2177" spans="2:16" x14ac:dyDescent="0.25">
      <c r="B2177" s="24"/>
      <c r="E2177" s="24"/>
      <c r="G2177" s="24"/>
      <c r="H2177" s="24"/>
      <c r="J2177" s="24"/>
      <c r="K2177" s="24"/>
      <c r="M2177" s="24"/>
      <c r="N2177" s="24"/>
      <c r="P2177" s="24"/>
    </row>
    <row r="2178" spans="2:16" x14ac:dyDescent="0.25">
      <c r="B2178" s="24"/>
      <c r="E2178" s="24"/>
      <c r="G2178" s="24"/>
      <c r="H2178" s="24"/>
      <c r="J2178" s="24"/>
      <c r="K2178" s="24"/>
      <c r="M2178" s="24"/>
      <c r="N2178" s="24"/>
      <c r="P2178" s="24"/>
    </row>
    <row r="2179" spans="2:16" x14ac:dyDescent="0.25">
      <c r="B2179" s="24"/>
      <c r="E2179" s="24"/>
      <c r="G2179" s="24"/>
      <c r="H2179" s="24"/>
      <c r="J2179" s="24"/>
      <c r="K2179" s="24"/>
      <c r="M2179" s="24"/>
      <c r="N2179" s="24"/>
      <c r="P2179" s="24"/>
    </row>
    <row r="2180" spans="2:16" x14ac:dyDescent="0.25">
      <c r="B2180" s="24"/>
      <c r="E2180" s="24"/>
      <c r="G2180" s="24"/>
      <c r="H2180" s="24"/>
      <c r="J2180" s="24"/>
      <c r="K2180" s="24"/>
      <c r="M2180" s="24"/>
      <c r="N2180" s="24"/>
      <c r="P2180" s="24"/>
    </row>
    <row r="2181" spans="2:16" x14ac:dyDescent="0.25">
      <c r="B2181" s="24"/>
      <c r="E2181" s="24"/>
      <c r="G2181" s="24"/>
      <c r="H2181" s="24"/>
      <c r="J2181" s="24"/>
      <c r="K2181" s="24"/>
      <c r="M2181" s="24"/>
      <c r="N2181" s="24"/>
      <c r="P2181" s="24"/>
    </row>
    <row r="2182" spans="2:16" x14ac:dyDescent="0.25">
      <c r="B2182" s="24"/>
      <c r="E2182" s="24"/>
      <c r="G2182" s="24"/>
      <c r="H2182" s="24"/>
      <c r="J2182" s="24"/>
      <c r="K2182" s="24"/>
      <c r="M2182" s="24"/>
      <c r="N2182" s="24"/>
      <c r="P2182" s="24"/>
    </row>
    <row r="2183" spans="2:16" x14ac:dyDescent="0.25">
      <c r="B2183" s="24"/>
      <c r="E2183" s="24"/>
      <c r="G2183" s="24"/>
      <c r="H2183" s="24"/>
      <c r="J2183" s="24"/>
      <c r="K2183" s="24"/>
      <c r="M2183" s="24"/>
      <c r="N2183" s="24"/>
      <c r="P2183" s="24"/>
    </row>
    <row r="2184" spans="2:16" x14ac:dyDescent="0.25">
      <c r="B2184" s="24"/>
      <c r="E2184" s="24"/>
      <c r="G2184" s="24"/>
      <c r="H2184" s="24"/>
      <c r="J2184" s="24"/>
      <c r="K2184" s="24"/>
      <c r="M2184" s="24"/>
      <c r="N2184" s="24"/>
      <c r="P2184" s="24"/>
    </row>
    <row r="2185" spans="2:16" x14ac:dyDescent="0.25">
      <c r="B2185" s="24"/>
      <c r="E2185" s="24"/>
      <c r="G2185" s="24"/>
      <c r="H2185" s="24"/>
      <c r="J2185" s="24"/>
      <c r="K2185" s="24"/>
      <c r="M2185" s="24"/>
      <c r="N2185" s="24"/>
      <c r="P2185" s="24"/>
    </row>
    <row r="2186" spans="2:16" x14ac:dyDescent="0.25">
      <c r="B2186" s="24"/>
      <c r="E2186" s="24"/>
      <c r="G2186" s="24"/>
      <c r="H2186" s="24"/>
      <c r="J2186" s="24"/>
      <c r="K2186" s="24"/>
      <c r="M2186" s="24"/>
      <c r="N2186" s="24"/>
      <c r="P2186" s="24"/>
    </row>
    <row r="2187" spans="2:16" x14ac:dyDescent="0.25">
      <c r="B2187" s="24"/>
      <c r="E2187" s="24"/>
      <c r="G2187" s="24"/>
      <c r="H2187" s="24"/>
      <c r="J2187" s="24"/>
      <c r="K2187" s="24"/>
      <c r="M2187" s="24"/>
      <c r="N2187" s="24"/>
      <c r="P2187" s="24"/>
    </row>
    <row r="2188" spans="2:16" x14ac:dyDescent="0.25">
      <c r="B2188" s="24"/>
      <c r="E2188" s="24"/>
      <c r="G2188" s="24"/>
      <c r="H2188" s="24"/>
      <c r="J2188" s="24"/>
      <c r="K2188" s="24"/>
      <c r="M2188" s="24"/>
      <c r="N2188" s="24"/>
      <c r="P2188" s="24"/>
    </row>
    <row r="2189" spans="2:16" x14ac:dyDescent="0.25">
      <c r="B2189" s="24"/>
      <c r="E2189" s="24"/>
      <c r="G2189" s="24"/>
      <c r="H2189" s="24"/>
      <c r="J2189" s="24"/>
      <c r="K2189" s="24"/>
      <c r="M2189" s="24"/>
      <c r="N2189" s="24"/>
      <c r="P2189" s="24"/>
    </row>
    <row r="2190" spans="2:16" x14ac:dyDescent="0.25">
      <c r="B2190" s="24"/>
      <c r="E2190" s="24"/>
      <c r="G2190" s="24"/>
      <c r="H2190" s="24"/>
      <c r="J2190" s="24"/>
      <c r="K2190" s="24"/>
      <c r="M2190" s="24"/>
      <c r="N2190" s="24"/>
      <c r="P2190" s="24"/>
    </row>
    <row r="2191" spans="2:16" x14ac:dyDescent="0.25">
      <c r="B2191" s="24"/>
      <c r="E2191" s="24"/>
      <c r="G2191" s="24"/>
      <c r="H2191" s="24"/>
      <c r="J2191" s="24"/>
      <c r="K2191" s="24"/>
      <c r="M2191" s="24"/>
      <c r="N2191" s="24"/>
      <c r="P2191" s="24"/>
    </row>
    <row r="2192" spans="2:16" x14ac:dyDescent="0.25">
      <c r="B2192" s="24"/>
      <c r="E2192" s="24"/>
      <c r="G2192" s="24"/>
      <c r="H2192" s="24"/>
      <c r="J2192" s="24"/>
      <c r="K2192" s="24"/>
      <c r="M2192" s="24"/>
      <c r="N2192" s="24"/>
      <c r="P2192" s="24"/>
    </row>
    <row r="2193" spans="2:16" x14ac:dyDescent="0.25">
      <c r="B2193" s="24"/>
      <c r="E2193" s="24"/>
      <c r="G2193" s="24"/>
      <c r="H2193" s="24"/>
      <c r="J2193" s="24"/>
      <c r="K2193" s="24"/>
      <c r="M2193" s="24"/>
      <c r="N2193" s="24"/>
      <c r="P2193" s="24"/>
    </row>
    <row r="2194" spans="2:16" x14ac:dyDescent="0.25">
      <c r="B2194" s="24"/>
      <c r="E2194" s="24"/>
      <c r="G2194" s="24"/>
      <c r="H2194" s="24"/>
      <c r="J2194" s="24"/>
      <c r="K2194" s="24"/>
      <c r="M2194" s="24"/>
      <c r="N2194" s="24"/>
      <c r="P2194" s="24"/>
    </row>
    <row r="2195" spans="2:16" x14ac:dyDescent="0.25">
      <c r="B2195" s="24"/>
      <c r="E2195" s="24"/>
      <c r="G2195" s="24"/>
      <c r="H2195" s="24"/>
      <c r="J2195" s="24"/>
      <c r="K2195" s="24"/>
      <c r="M2195" s="24"/>
      <c r="N2195" s="24"/>
      <c r="P2195" s="24"/>
    </row>
    <row r="2196" spans="2:16" x14ac:dyDescent="0.25">
      <c r="B2196" s="24"/>
      <c r="E2196" s="24"/>
      <c r="G2196" s="24"/>
      <c r="H2196" s="24"/>
      <c r="J2196" s="24"/>
      <c r="K2196" s="24"/>
      <c r="M2196" s="24"/>
      <c r="N2196" s="24"/>
      <c r="P2196" s="24"/>
    </row>
    <row r="2197" spans="2:16" x14ac:dyDescent="0.25">
      <c r="B2197" s="24"/>
      <c r="E2197" s="24"/>
      <c r="G2197" s="24"/>
      <c r="H2197" s="24"/>
      <c r="J2197" s="24"/>
      <c r="K2197" s="24"/>
      <c r="M2197" s="24"/>
      <c r="N2197" s="24"/>
      <c r="P2197" s="24"/>
    </row>
    <row r="2198" spans="2:16" x14ac:dyDescent="0.25">
      <c r="B2198" s="24"/>
      <c r="E2198" s="24"/>
      <c r="G2198" s="24"/>
      <c r="H2198" s="24"/>
      <c r="J2198" s="24"/>
      <c r="K2198" s="24"/>
      <c r="M2198" s="24"/>
      <c r="N2198" s="24"/>
      <c r="P2198" s="24"/>
    </row>
    <row r="2199" spans="2:16" x14ac:dyDescent="0.25">
      <c r="B2199" s="24"/>
      <c r="E2199" s="24"/>
      <c r="G2199" s="24"/>
      <c r="H2199" s="24"/>
      <c r="J2199" s="24"/>
      <c r="K2199" s="24"/>
      <c r="M2199" s="24"/>
      <c r="N2199" s="24"/>
      <c r="P2199" s="24"/>
    </row>
    <row r="2200" spans="2:16" x14ac:dyDescent="0.25">
      <c r="B2200" s="24"/>
      <c r="E2200" s="24"/>
      <c r="G2200" s="24"/>
      <c r="H2200" s="24"/>
      <c r="J2200" s="24"/>
      <c r="K2200" s="24"/>
      <c r="M2200" s="24"/>
      <c r="N2200" s="24"/>
      <c r="P2200" s="24"/>
    </row>
    <row r="2201" spans="2:16" x14ac:dyDescent="0.25">
      <c r="B2201" s="24"/>
      <c r="E2201" s="24"/>
      <c r="G2201" s="24"/>
      <c r="H2201" s="24"/>
      <c r="J2201" s="24"/>
      <c r="K2201" s="24"/>
      <c r="M2201" s="24"/>
      <c r="N2201" s="24"/>
      <c r="P2201" s="24"/>
    </row>
    <row r="2202" spans="2:16" x14ac:dyDescent="0.25">
      <c r="B2202" s="24"/>
      <c r="E2202" s="24"/>
      <c r="G2202" s="24"/>
      <c r="H2202" s="24"/>
      <c r="J2202" s="24"/>
      <c r="K2202" s="24"/>
      <c r="M2202" s="24"/>
      <c r="N2202" s="24"/>
      <c r="P2202" s="24"/>
    </row>
    <row r="2203" spans="2:16" x14ac:dyDescent="0.25">
      <c r="B2203" s="24"/>
      <c r="E2203" s="24"/>
      <c r="G2203" s="24"/>
      <c r="H2203" s="24"/>
      <c r="J2203" s="24"/>
      <c r="K2203" s="24"/>
      <c r="M2203" s="24"/>
      <c r="N2203" s="24"/>
      <c r="P2203" s="24"/>
    </row>
    <row r="2204" spans="2:16" x14ac:dyDescent="0.25">
      <c r="B2204" s="24"/>
      <c r="E2204" s="24"/>
      <c r="G2204" s="24"/>
      <c r="H2204" s="24"/>
      <c r="J2204" s="24"/>
      <c r="K2204" s="24"/>
      <c r="M2204" s="24"/>
      <c r="N2204" s="24"/>
      <c r="P2204" s="24"/>
    </row>
    <row r="2205" spans="2:16" x14ac:dyDescent="0.25">
      <c r="B2205" s="24"/>
      <c r="E2205" s="24"/>
      <c r="G2205" s="24"/>
      <c r="H2205" s="24"/>
      <c r="J2205" s="24"/>
      <c r="K2205" s="24"/>
      <c r="M2205" s="24"/>
      <c r="N2205" s="24"/>
      <c r="P2205" s="24"/>
    </row>
    <row r="2206" spans="2:16" x14ac:dyDescent="0.25">
      <c r="B2206" s="24"/>
      <c r="E2206" s="24"/>
      <c r="G2206" s="24"/>
      <c r="H2206" s="24"/>
      <c r="J2206" s="24"/>
      <c r="K2206" s="24"/>
      <c r="M2206" s="24"/>
      <c r="N2206" s="24"/>
      <c r="P2206" s="24"/>
    </row>
    <row r="2207" spans="2:16" x14ac:dyDescent="0.25">
      <c r="B2207" s="24"/>
      <c r="E2207" s="24"/>
      <c r="G2207" s="24"/>
      <c r="H2207" s="24"/>
      <c r="J2207" s="24"/>
      <c r="K2207" s="24"/>
      <c r="M2207" s="24"/>
      <c r="N2207" s="24"/>
      <c r="P2207" s="24"/>
    </row>
    <row r="2208" spans="2:16" x14ac:dyDescent="0.25">
      <c r="B2208" s="24"/>
      <c r="E2208" s="24"/>
      <c r="G2208" s="24"/>
      <c r="H2208" s="24"/>
      <c r="J2208" s="24"/>
      <c r="K2208" s="24"/>
      <c r="M2208" s="24"/>
      <c r="N2208" s="24"/>
      <c r="P2208" s="24"/>
    </row>
    <row r="2209" spans="2:16" x14ac:dyDescent="0.25">
      <c r="B2209" s="24"/>
      <c r="E2209" s="24"/>
      <c r="G2209" s="24"/>
      <c r="H2209" s="24"/>
      <c r="J2209" s="24"/>
      <c r="K2209" s="24"/>
      <c r="M2209" s="24"/>
      <c r="N2209" s="24"/>
      <c r="P2209" s="24"/>
    </row>
    <row r="2210" spans="2:16" x14ac:dyDescent="0.25">
      <c r="B2210" s="24"/>
      <c r="E2210" s="24"/>
      <c r="G2210" s="24"/>
      <c r="H2210" s="24"/>
      <c r="J2210" s="24"/>
      <c r="K2210" s="24"/>
      <c r="M2210" s="24"/>
      <c r="N2210" s="24"/>
      <c r="P2210" s="24"/>
    </row>
    <row r="2211" spans="2:16" x14ac:dyDescent="0.25">
      <c r="B2211" s="24"/>
      <c r="E2211" s="24"/>
      <c r="G2211" s="24"/>
      <c r="H2211" s="24"/>
      <c r="J2211" s="24"/>
      <c r="K2211" s="24"/>
      <c r="M2211" s="24"/>
      <c r="N2211" s="24"/>
      <c r="P2211" s="24"/>
    </row>
    <row r="2212" spans="2:16" x14ac:dyDescent="0.25">
      <c r="B2212" s="24"/>
      <c r="E2212" s="24"/>
      <c r="G2212" s="24"/>
      <c r="H2212" s="24"/>
      <c r="J2212" s="24"/>
      <c r="K2212" s="24"/>
      <c r="M2212" s="24"/>
      <c r="N2212" s="24"/>
      <c r="P2212" s="24"/>
    </row>
    <row r="2213" spans="2:16" x14ac:dyDescent="0.25">
      <c r="B2213" s="24"/>
      <c r="E2213" s="24"/>
      <c r="G2213" s="24"/>
      <c r="H2213" s="24"/>
      <c r="J2213" s="24"/>
      <c r="K2213" s="24"/>
      <c r="M2213" s="24"/>
      <c r="N2213" s="24"/>
      <c r="P2213" s="24"/>
    </row>
    <row r="2214" spans="2:16" x14ac:dyDescent="0.25">
      <c r="B2214" s="24"/>
      <c r="E2214" s="24"/>
      <c r="G2214" s="24"/>
      <c r="H2214" s="24"/>
      <c r="J2214" s="24"/>
      <c r="K2214" s="24"/>
      <c r="M2214" s="24"/>
      <c r="N2214" s="24"/>
      <c r="P2214" s="24"/>
    </row>
    <row r="2215" spans="2:16" x14ac:dyDescent="0.25">
      <c r="B2215" s="24"/>
      <c r="E2215" s="24"/>
      <c r="G2215" s="24"/>
      <c r="H2215" s="24"/>
      <c r="J2215" s="24"/>
      <c r="K2215" s="24"/>
      <c r="M2215" s="24"/>
      <c r="N2215" s="24"/>
      <c r="P2215" s="24"/>
    </row>
    <row r="2216" spans="2:16" x14ac:dyDescent="0.25">
      <c r="B2216" s="24"/>
      <c r="E2216" s="24"/>
      <c r="G2216" s="24"/>
      <c r="H2216" s="24"/>
      <c r="J2216" s="24"/>
      <c r="K2216" s="24"/>
      <c r="M2216" s="24"/>
      <c r="N2216" s="24"/>
      <c r="P2216" s="24"/>
    </row>
    <row r="2217" spans="2:16" x14ac:dyDescent="0.25">
      <c r="B2217" s="24"/>
      <c r="E2217" s="24"/>
      <c r="G2217" s="24"/>
      <c r="H2217" s="24"/>
      <c r="J2217" s="24"/>
      <c r="K2217" s="24"/>
      <c r="M2217" s="24"/>
      <c r="N2217" s="24"/>
      <c r="P2217" s="24"/>
    </row>
    <row r="2218" spans="2:16" x14ac:dyDescent="0.25">
      <c r="B2218" s="24"/>
      <c r="E2218" s="24"/>
      <c r="G2218" s="24"/>
      <c r="H2218" s="24"/>
      <c r="J2218" s="24"/>
      <c r="K2218" s="24"/>
      <c r="M2218" s="24"/>
      <c r="N2218" s="24"/>
      <c r="P2218" s="24"/>
    </row>
    <row r="2219" spans="2:16" x14ac:dyDescent="0.25">
      <c r="B2219" s="24"/>
      <c r="E2219" s="24"/>
      <c r="G2219" s="24"/>
      <c r="H2219" s="24"/>
      <c r="J2219" s="24"/>
      <c r="K2219" s="24"/>
      <c r="M2219" s="24"/>
      <c r="N2219" s="24"/>
      <c r="P2219" s="24"/>
    </row>
    <row r="2220" spans="2:16" x14ac:dyDescent="0.25">
      <c r="B2220" s="24"/>
      <c r="E2220" s="24"/>
      <c r="G2220" s="24"/>
      <c r="H2220" s="24"/>
      <c r="J2220" s="24"/>
      <c r="K2220" s="24"/>
      <c r="M2220" s="24"/>
      <c r="N2220" s="24"/>
      <c r="P2220" s="24"/>
    </row>
    <row r="2221" spans="2:16" x14ac:dyDescent="0.25">
      <c r="B2221" s="24"/>
      <c r="E2221" s="24"/>
      <c r="G2221" s="24"/>
      <c r="H2221" s="24"/>
      <c r="J2221" s="24"/>
      <c r="K2221" s="24"/>
      <c r="M2221" s="24"/>
      <c r="N2221" s="24"/>
      <c r="P2221" s="24"/>
    </row>
    <row r="2222" spans="2:16" x14ac:dyDescent="0.25">
      <c r="B2222" s="24"/>
      <c r="E2222" s="24"/>
      <c r="G2222" s="24"/>
      <c r="H2222" s="24"/>
      <c r="J2222" s="24"/>
      <c r="K2222" s="24"/>
      <c r="M2222" s="24"/>
      <c r="N2222" s="24"/>
      <c r="P2222" s="24"/>
    </row>
    <row r="2223" spans="2:16" x14ac:dyDescent="0.25">
      <c r="B2223" s="24"/>
      <c r="E2223" s="24"/>
      <c r="G2223" s="24"/>
      <c r="H2223" s="24"/>
      <c r="J2223" s="24"/>
      <c r="K2223" s="24"/>
      <c r="M2223" s="24"/>
      <c r="N2223" s="24"/>
      <c r="P2223" s="24"/>
    </row>
    <row r="2224" spans="2:16" x14ac:dyDescent="0.25">
      <c r="B2224" s="24"/>
      <c r="E2224" s="24"/>
      <c r="G2224" s="24"/>
      <c r="H2224" s="24"/>
      <c r="J2224" s="24"/>
      <c r="K2224" s="24"/>
      <c r="M2224" s="24"/>
      <c r="N2224" s="24"/>
      <c r="P2224" s="24"/>
    </row>
    <row r="2225" spans="2:16" x14ac:dyDescent="0.25">
      <c r="B2225" s="24"/>
      <c r="E2225" s="24"/>
      <c r="G2225" s="24"/>
      <c r="H2225" s="24"/>
      <c r="J2225" s="24"/>
      <c r="K2225" s="24"/>
      <c r="M2225" s="24"/>
      <c r="N2225" s="24"/>
      <c r="P2225" s="24"/>
    </row>
    <row r="2226" spans="2:16" x14ac:dyDescent="0.25">
      <c r="B2226" s="24"/>
      <c r="E2226" s="24"/>
      <c r="G2226" s="24"/>
      <c r="H2226" s="24"/>
      <c r="J2226" s="24"/>
      <c r="K2226" s="24"/>
      <c r="M2226" s="24"/>
      <c r="N2226" s="24"/>
      <c r="P2226" s="24"/>
    </row>
    <row r="2227" spans="2:16" x14ac:dyDescent="0.25">
      <c r="B2227" s="24"/>
      <c r="E2227" s="24"/>
      <c r="G2227" s="24"/>
      <c r="H2227" s="24"/>
      <c r="J2227" s="24"/>
      <c r="K2227" s="24"/>
      <c r="M2227" s="24"/>
      <c r="N2227" s="24"/>
      <c r="P2227" s="24"/>
    </row>
    <row r="2228" spans="2:16" x14ac:dyDescent="0.25">
      <c r="B2228" s="24"/>
      <c r="E2228" s="24"/>
      <c r="G2228" s="24"/>
      <c r="H2228" s="24"/>
      <c r="J2228" s="24"/>
      <c r="K2228" s="24"/>
      <c r="M2228" s="24"/>
      <c r="N2228" s="24"/>
      <c r="P2228" s="24"/>
    </row>
    <row r="2229" spans="2:16" x14ac:dyDescent="0.25">
      <c r="B2229" s="24"/>
      <c r="E2229" s="24"/>
      <c r="G2229" s="24"/>
      <c r="H2229" s="24"/>
      <c r="J2229" s="24"/>
      <c r="K2229" s="24"/>
      <c r="M2229" s="24"/>
      <c r="N2229" s="24"/>
      <c r="P2229" s="24"/>
    </row>
    <row r="2230" spans="2:16" x14ac:dyDescent="0.25">
      <c r="B2230" s="24"/>
      <c r="E2230" s="24"/>
      <c r="G2230" s="24"/>
      <c r="H2230" s="24"/>
      <c r="J2230" s="24"/>
      <c r="K2230" s="24"/>
      <c r="M2230" s="24"/>
      <c r="N2230" s="24"/>
      <c r="P2230" s="24"/>
    </row>
    <row r="2231" spans="2:16" x14ac:dyDescent="0.25">
      <c r="B2231" s="24"/>
      <c r="E2231" s="24"/>
      <c r="G2231" s="24"/>
      <c r="H2231" s="24"/>
      <c r="J2231" s="24"/>
      <c r="K2231" s="24"/>
      <c r="M2231" s="24"/>
      <c r="N2231" s="24"/>
      <c r="P2231" s="24"/>
    </row>
    <row r="2232" spans="2:16" x14ac:dyDescent="0.25">
      <c r="B2232" s="24"/>
      <c r="E2232" s="24"/>
      <c r="G2232" s="24"/>
      <c r="H2232" s="24"/>
      <c r="J2232" s="24"/>
      <c r="K2232" s="24"/>
      <c r="M2232" s="24"/>
      <c r="N2232" s="24"/>
      <c r="P2232" s="24"/>
    </row>
    <row r="2233" spans="2:16" x14ac:dyDescent="0.25">
      <c r="B2233" s="24"/>
      <c r="E2233" s="24"/>
      <c r="G2233" s="24"/>
      <c r="H2233" s="24"/>
      <c r="J2233" s="24"/>
      <c r="K2233" s="24"/>
      <c r="M2233" s="24"/>
      <c r="N2233" s="24"/>
      <c r="P2233" s="24"/>
    </row>
    <row r="2234" spans="2:16" x14ac:dyDescent="0.25">
      <c r="B2234" s="24"/>
      <c r="E2234" s="24"/>
      <c r="G2234" s="24"/>
      <c r="H2234" s="24"/>
      <c r="J2234" s="24"/>
      <c r="K2234" s="24"/>
      <c r="M2234" s="24"/>
      <c r="N2234" s="24"/>
      <c r="P2234" s="24"/>
    </row>
    <row r="2235" spans="2:16" x14ac:dyDescent="0.25">
      <c r="B2235" s="24"/>
      <c r="E2235" s="24"/>
      <c r="G2235" s="24"/>
      <c r="H2235" s="24"/>
      <c r="J2235" s="24"/>
      <c r="K2235" s="24"/>
      <c r="M2235" s="24"/>
      <c r="N2235" s="24"/>
      <c r="P2235" s="24"/>
    </row>
    <row r="2236" spans="2:16" x14ac:dyDescent="0.25">
      <c r="B2236" s="24"/>
      <c r="E2236" s="24"/>
      <c r="G2236" s="24"/>
      <c r="H2236" s="24"/>
      <c r="J2236" s="24"/>
      <c r="K2236" s="24"/>
      <c r="M2236" s="24"/>
      <c r="N2236" s="24"/>
      <c r="P2236" s="24"/>
    </row>
    <row r="2237" spans="2:16" x14ac:dyDescent="0.25">
      <c r="B2237" s="24"/>
      <c r="E2237" s="24"/>
      <c r="G2237" s="24"/>
      <c r="H2237" s="24"/>
      <c r="J2237" s="24"/>
      <c r="K2237" s="24"/>
      <c r="M2237" s="24"/>
      <c r="N2237" s="24"/>
      <c r="P2237" s="24"/>
    </row>
    <row r="2238" spans="2:16" x14ac:dyDescent="0.25">
      <c r="B2238" s="24"/>
      <c r="E2238" s="24"/>
      <c r="G2238" s="24"/>
      <c r="H2238" s="24"/>
      <c r="J2238" s="24"/>
      <c r="K2238" s="24"/>
      <c r="M2238" s="24"/>
      <c r="N2238" s="24"/>
      <c r="P2238" s="24"/>
    </row>
    <row r="2239" spans="2:16" x14ac:dyDescent="0.25">
      <c r="B2239" s="24"/>
      <c r="E2239" s="24"/>
      <c r="G2239" s="24"/>
      <c r="H2239" s="24"/>
      <c r="J2239" s="24"/>
      <c r="K2239" s="24"/>
      <c r="M2239" s="24"/>
      <c r="N2239" s="24"/>
      <c r="P2239" s="24"/>
    </row>
    <row r="2240" spans="2:16" x14ac:dyDescent="0.25">
      <c r="B2240" s="24"/>
      <c r="E2240" s="24"/>
      <c r="G2240" s="24"/>
      <c r="H2240" s="24"/>
      <c r="J2240" s="24"/>
      <c r="K2240" s="24"/>
      <c r="M2240" s="24"/>
      <c r="N2240" s="24"/>
      <c r="P2240" s="24"/>
    </row>
    <row r="2241" spans="2:16" x14ac:dyDescent="0.25">
      <c r="B2241" s="24"/>
      <c r="E2241" s="24"/>
      <c r="G2241" s="24"/>
      <c r="H2241" s="24"/>
      <c r="J2241" s="24"/>
      <c r="K2241" s="24"/>
      <c r="M2241" s="24"/>
      <c r="N2241" s="24"/>
      <c r="P2241" s="24"/>
    </row>
    <row r="2242" spans="2:16" x14ac:dyDescent="0.25">
      <c r="B2242" s="24"/>
      <c r="E2242" s="24"/>
      <c r="G2242" s="24"/>
      <c r="H2242" s="24"/>
      <c r="J2242" s="24"/>
      <c r="K2242" s="24"/>
      <c r="M2242" s="24"/>
      <c r="N2242" s="24"/>
      <c r="P2242" s="24"/>
    </row>
    <row r="2243" spans="2:16" x14ac:dyDescent="0.25">
      <c r="B2243" s="24"/>
      <c r="E2243" s="24"/>
      <c r="G2243" s="24"/>
      <c r="H2243" s="24"/>
      <c r="J2243" s="24"/>
      <c r="K2243" s="24"/>
      <c r="M2243" s="24"/>
      <c r="N2243" s="24"/>
      <c r="P2243" s="24"/>
    </row>
    <row r="2244" spans="2:16" x14ac:dyDescent="0.25">
      <c r="B2244" s="24"/>
      <c r="E2244" s="24"/>
      <c r="G2244" s="24"/>
      <c r="H2244" s="24"/>
      <c r="J2244" s="24"/>
      <c r="K2244" s="24"/>
      <c r="M2244" s="24"/>
      <c r="N2244" s="24"/>
      <c r="P2244" s="24"/>
    </row>
    <row r="2245" spans="2:16" x14ac:dyDescent="0.25">
      <c r="B2245" s="24"/>
      <c r="E2245" s="24"/>
      <c r="G2245" s="24"/>
      <c r="H2245" s="24"/>
      <c r="J2245" s="24"/>
      <c r="K2245" s="24"/>
      <c r="M2245" s="24"/>
      <c r="N2245" s="24"/>
      <c r="P2245" s="24"/>
    </row>
    <row r="2246" spans="2:16" x14ac:dyDescent="0.25">
      <c r="B2246" s="24"/>
      <c r="E2246" s="24"/>
      <c r="G2246" s="24"/>
      <c r="H2246" s="24"/>
      <c r="J2246" s="24"/>
      <c r="K2246" s="24"/>
      <c r="M2246" s="24"/>
      <c r="N2246" s="24"/>
      <c r="P2246" s="24"/>
    </row>
    <row r="2247" spans="2:16" x14ac:dyDescent="0.25">
      <c r="B2247" s="24"/>
      <c r="E2247" s="24"/>
      <c r="G2247" s="24"/>
      <c r="H2247" s="24"/>
      <c r="J2247" s="24"/>
      <c r="K2247" s="24"/>
      <c r="M2247" s="24"/>
      <c r="N2247" s="24"/>
      <c r="P2247" s="24"/>
    </row>
    <row r="2248" spans="2:16" x14ac:dyDescent="0.25">
      <c r="B2248" s="24"/>
      <c r="E2248" s="24"/>
      <c r="G2248" s="24"/>
      <c r="H2248" s="24"/>
      <c r="J2248" s="24"/>
      <c r="K2248" s="24"/>
      <c r="M2248" s="24"/>
      <c r="N2248" s="24"/>
      <c r="P2248" s="24"/>
    </row>
    <row r="2249" spans="2:16" x14ac:dyDescent="0.25">
      <c r="B2249" s="24"/>
      <c r="E2249" s="24"/>
      <c r="G2249" s="24"/>
      <c r="H2249" s="24"/>
      <c r="J2249" s="24"/>
      <c r="K2249" s="24"/>
      <c r="M2249" s="24"/>
      <c r="N2249" s="24"/>
      <c r="P2249" s="24"/>
    </row>
    <row r="2250" spans="2:16" x14ac:dyDescent="0.25">
      <c r="B2250" s="24"/>
      <c r="E2250" s="24"/>
      <c r="G2250" s="24"/>
      <c r="H2250" s="24"/>
      <c r="J2250" s="24"/>
      <c r="K2250" s="24"/>
      <c r="M2250" s="24"/>
      <c r="N2250" s="24"/>
      <c r="P2250" s="24"/>
    </row>
    <row r="2251" spans="2:16" x14ac:dyDescent="0.25">
      <c r="B2251" s="24"/>
      <c r="E2251" s="24"/>
      <c r="G2251" s="24"/>
      <c r="H2251" s="24"/>
      <c r="J2251" s="24"/>
      <c r="K2251" s="24"/>
      <c r="M2251" s="24"/>
      <c r="N2251" s="24"/>
      <c r="P2251" s="24"/>
    </row>
    <row r="2252" spans="2:16" x14ac:dyDescent="0.25">
      <c r="B2252" s="24"/>
      <c r="E2252" s="24"/>
      <c r="G2252" s="24"/>
      <c r="H2252" s="24"/>
      <c r="J2252" s="24"/>
      <c r="K2252" s="24"/>
      <c r="M2252" s="24"/>
      <c r="N2252" s="24"/>
      <c r="P2252" s="24"/>
    </row>
    <row r="2253" spans="2:16" x14ac:dyDescent="0.25">
      <c r="B2253" s="24"/>
      <c r="E2253" s="24"/>
      <c r="G2253" s="24"/>
      <c r="H2253" s="24"/>
      <c r="J2253" s="24"/>
      <c r="K2253" s="24"/>
      <c r="M2253" s="24"/>
      <c r="N2253" s="24"/>
      <c r="P2253" s="24"/>
    </row>
    <row r="2254" spans="2:16" x14ac:dyDescent="0.25">
      <c r="B2254" s="24"/>
      <c r="E2254" s="24"/>
      <c r="G2254" s="24"/>
      <c r="H2254" s="24"/>
      <c r="J2254" s="24"/>
      <c r="K2254" s="24"/>
      <c r="M2254" s="24"/>
      <c r="N2254" s="24"/>
      <c r="P2254" s="24"/>
    </row>
    <row r="2255" spans="2:16" x14ac:dyDescent="0.25">
      <c r="B2255" s="24"/>
      <c r="E2255" s="24"/>
      <c r="G2255" s="24"/>
      <c r="H2255" s="24"/>
      <c r="J2255" s="24"/>
      <c r="K2255" s="24"/>
      <c r="M2255" s="24"/>
      <c r="N2255" s="24"/>
      <c r="P2255" s="24"/>
    </row>
    <row r="2256" spans="2:16" x14ac:dyDescent="0.25">
      <c r="B2256" s="24"/>
      <c r="E2256" s="24"/>
      <c r="G2256" s="24"/>
      <c r="H2256" s="24"/>
      <c r="J2256" s="24"/>
      <c r="K2256" s="24"/>
      <c r="M2256" s="24"/>
      <c r="N2256" s="24"/>
      <c r="P2256" s="24"/>
    </row>
    <row r="2257" spans="2:16" x14ac:dyDescent="0.25">
      <c r="B2257" s="24"/>
      <c r="E2257" s="24"/>
      <c r="G2257" s="24"/>
      <c r="H2257" s="24"/>
      <c r="J2257" s="24"/>
      <c r="K2257" s="24"/>
      <c r="M2257" s="24"/>
      <c r="N2257" s="24"/>
      <c r="P2257" s="24"/>
    </row>
    <row r="2258" spans="2:16" x14ac:dyDescent="0.25">
      <c r="B2258" s="24"/>
      <c r="E2258" s="24"/>
      <c r="G2258" s="24"/>
      <c r="H2258" s="24"/>
      <c r="J2258" s="24"/>
      <c r="K2258" s="24"/>
      <c r="M2258" s="24"/>
      <c r="N2258" s="24"/>
      <c r="P2258" s="24"/>
    </row>
    <row r="2259" spans="2:16" x14ac:dyDescent="0.25">
      <c r="B2259" s="24"/>
      <c r="E2259" s="24"/>
      <c r="G2259" s="24"/>
      <c r="H2259" s="24"/>
      <c r="J2259" s="24"/>
      <c r="K2259" s="24"/>
      <c r="M2259" s="24"/>
      <c r="N2259" s="24"/>
      <c r="P2259" s="24"/>
    </row>
    <row r="2260" spans="2:16" x14ac:dyDescent="0.25">
      <c r="B2260" s="24"/>
      <c r="E2260" s="24"/>
      <c r="G2260" s="24"/>
      <c r="H2260" s="24"/>
      <c r="J2260" s="24"/>
      <c r="K2260" s="24"/>
      <c r="M2260" s="24"/>
      <c r="N2260" s="24"/>
      <c r="P2260" s="24"/>
    </row>
    <row r="2261" spans="2:16" x14ac:dyDescent="0.25">
      <c r="B2261" s="24"/>
      <c r="E2261" s="24"/>
      <c r="G2261" s="24"/>
      <c r="H2261" s="24"/>
      <c r="J2261" s="24"/>
      <c r="K2261" s="24"/>
      <c r="M2261" s="24"/>
      <c r="N2261" s="24"/>
      <c r="P2261" s="24"/>
    </row>
    <row r="2262" spans="2:16" x14ac:dyDescent="0.25">
      <c r="B2262" s="24"/>
      <c r="E2262" s="24"/>
      <c r="G2262" s="24"/>
      <c r="H2262" s="24"/>
      <c r="J2262" s="24"/>
      <c r="K2262" s="24"/>
      <c r="M2262" s="24"/>
      <c r="N2262" s="24"/>
      <c r="P2262" s="24"/>
    </row>
    <row r="2263" spans="2:16" x14ac:dyDescent="0.25">
      <c r="B2263" s="24"/>
      <c r="E2263" s="24"/>
      <c r="G2263" s="24"/>
      <c r="H2263" s="24"/>
      <c r="J2263" s="24"/>
      <c r="K2263" s="24"/>
      <c r="M2263" s="24"/>
      <c r="N2263" s="24"/>
      <c r="P2263" s="24"/>
    </row>
    <row r="2264" spans="2:16" x14ac:dyDescent="0.25">
      <c r="B2264" s="24"/>
      <c r="E2264" s="24"/>
      <c r="G2264" s="24"/>
      <c r="H2264" s="24"/>
      <c r="J2264" s="24"/>
      <c r="K2264" s="24"/>
      <c r="M2264" s="24"/>
      <c r="N2264" s="24"/>
      <c r="P2264" s="24"/>
    </row>
    <row r="2265" spans="2:16" x14ac:dyDescent="0.25">
      <c r="B2265" s="24"/>
      <c r="E2265" s="24"/>
      <c r="G2265" s="24"/>
      <c r="H2265" s="24"/>
      <c r="J2265" s="24"/>
      <c r="K2265" s="24"/>
      <c r="M2265" s="24"/>
      <c r="N2265" s="24"/>
      <c r="P2265" s="24"/>
    </row>
    <row r="2266" spans="2:16" x14ac:dyDescent="0.25">
      <c r="B2266" s="24"/>
      <c r="E2266" s="24"/>
      <c r="G2266" s="24"/>
      <c r="H2266" s="24"/>
      <c r="J2266" s="24"/>
      <c r="K2266" s="24"/>
      <c r="M2266" s="24"/>
      <c r="N2266" s="24"/>
      <c r="P2266" s="24"/>
    </row>
    <row r="2267" spans="2:16" x14ac:dyDescent="0.25">
      <c r="B2267" s="24"/>
      <c r="E2267" s="24"/>
      <c r="G2267" s="24"/>
      <c r="H2267" s="24"/>
      <c r="J2267" s="24"/>
      <c r="K2267" s="24"/>
      <c r="M2267" s="24"/>
      <c r="N2267" s="24"/>
      <c r="P2267" s="24"/>
    </row>
    <row r="2268" spans="2:16" x14ac:dyDescent="0.25">
      <c r="B2268" s="24"/>
      <c r="E2268" s="24"/>
      <c r="G2268" s="24"/>
      <c r="H2268" s="24"/>
      <c r="J2268" s="24"/>
      <c r="K2268" s="24"/>
      <c r="M2268" s="24"/>
      <c r="N2268" s="24"/>
      <c r="P2268" s="24"/>
    </row>
    <row r="2269" spans="2:16" x14ac:dyDescent="0.25">
      <c r="B2269" s="24"/>
      <c r="E2269" s="24"/>
      <c r="G2269" s="24"/>
      <c r="H2269" s="24"/>
      <c r="J2269" s="24"/>
      <c r="K2269" s="24"/>
      <c r="M2269" s="24"/>
      <c r="N2269" s="24"/>
      <c r="P2269" s="24"/>
    </row>
    <row r="2270" spans="2:16" x14ac:dyDescent="0.25">
      <c r="B2270" s="24"/>
      <c r="E2270" s="24"/>
      <c r="G2270" s="24"/>
      <c r="H2270" s="24"/>
      <c r="J2270" s="24"/>
      <c r="K2270" s="24"/>
      <c r="M2270" s="24"/>
      <c r="N2270" s="24"/>
      <c r="P2270" s="24"/>
    </row>
    <row r="2271" spans="2:16" x14ac:dyDescent="0.25">
      <c r="B2271" s="24"/>
      <c r="E2271" s="24"/>
      <c r="G2271" s="24"/>
      <c r="H2271" s="24"/>
      <c r="J2271" s="24"/>
      <c r="K2271" s="24"/>
      <c r="M2271" s="24"/>
      <c r="N2271" s="24"/>
      <c r="P2271" s="24"/>
    </row>
    <row r="2272" spans="2:16" x14ac:dyDescent="0.25">
      <c r="B2272" s="24"/>
      <c r="E2272" s="24"/>
      <c r="G2272" s="24"/>
      <c r="H2272" s="24"/>
      <c r="J2272" s="24"/>
      <c r="K2272" s="24"/>
      <c r="M2272" s="24"/>
      <c r="N2272" s="24"/>
      <c r="P2272" s="24"/>
    </row>
    <row r="2273" spans="2:16" x14ac:dyDescent="0.25">
      <c r="B2273" s="24"/>
      <c r="E2273" s="24"/>
      <c r="G2273" s="24"/>
      <c r="H2273" s="24"/>
      <c r="J2273" s="24"/>
      <c r="K2273" s="24"/>
      <c r="M2273" s="24"/>
      <c r="N2273" s="24"/>
      <c r="P2273" s="24"/>
    </row>
    <row r="2274" spans="2:16" x14ac:dyDescent="0.25">
      <c r="B2274" s="24"/>
      <c r="E2274" s="24"/>
      <c r="G2274" s="24"/>
      <c r="H2274" s="24"/>
      <c r="J2274" s="24"/>
      <c r="K2274" s="24"/>
      <c r="M2274" s="24"/>
      <c r="N2274" s="24"/>
      <c r="P2274" s="24"/>
    </row>
    <row r="2275" spans="2:16" x14ac:dyDescent="0.25">
      <c r="B2275" s="24"/>
      <c r="E2275" s="24"/>
      <c r="G2275" s="24"/>
      <c r="H2275" s="24"/>
      <c r="J2275" s="24"/>
      <c r="K2275" s="24"/>
      <c r="M2275" s="24"/>
      <c r="N2275" s="24"/>
      <c r="P2275" s="24"/>
    </row>
    <row r="2276" spans="2:16" x14ac:dyDescent="0.25">
      <c r="B2276" s="24"/>
      <c r="E2276" s="24"/>
      <c r="G2276" s="24"/>
      <c r="H2276" s="24"/>
      <c r="J2276" s="24"/>
      <c r="K2276" s="24"/>
      <c r="M2276" s="24"/>
      <c r="N2276" s="24"/>
      <c r="P2276" s="24"/>
    </row>
    <row r="2277" spans="2:16" x14ac:dyDescent="0.25">
      <c r="B2277" s="24"/>
      <c r="E2277" s="24"/>
      <c r="G2277" s="24"/>
      <c r="H2277" s="24"/>
      <c r="J2277" s="24"/>
      <c r="K2277" s="24"/>
      <c r="M2277" s="24"/>
      <c r="N2277" s="24"/>
      <c r="P2277" s="24"/>
    </row>
    <row r="2278" spans="2:16" x14ac:dyDescent="0.25">
      <c r="B2278" s="24"/>
      <c r="E2278" s="24"/>
      <c r="G2278" s="24"/>
      <c r="H2278" s="24"/>
      <c r="J2278" s="24"/>
      <c r="K2278" s="24"/>
      <c r="M2278" s="24"/>
      <c r="N2278" s="24"/>
      <c r="P2278" s="24"/>
    </row>
    <row r="2279" spans="2:16" x14ac:dyDescent="0.25">
      <c r="B2279" s="24"/>
      <c r="E2279" s="24"/>
      <c r="G2279" s="24"/>
      <c r="H2279" s="24"/>
      <c r="J2279" s="24"/>
      <c r="K2279" s="24"/>
      <c r="M2279" s="24"/>
      <c r="N2279" s="24"/>
      <c r="P2279" s="24"/>
    </row>
    <row r="2280" spans="2:16" x14ac:dyDescent="0.25">
      <c r="B2280" s="24"/>
      <c r="E2280" s="24"/>
      <c r="G2280" s="24"/>
      <c r="H2280" s="24"/>
      <c r="J2280" s="24"/>
      <c r="K2280" s="24"/>
      <c r="M2280" s="24"/>
      <c r="N2280" s="24"/>
      <c r="P2280" s="24"/>
    </row>
    <row r="2281" spans="2:16" x14ac:dyDescent="0.25">
      <c r="B2281" s="24"/>
      <c r="E2281" s="24"/>
      <c r="G2281" s="24"/>
      <c r="H2281" s="24"/>
      <c r="J2281" s="24"/>
      <c r="K2281" s="24"/>
      <c r="M2281" s="24"/>
      <c r="N2281" s="24"/>
      <c r="P2281" s="24"/>
    </row>
    <row r="2282" spans="2:16" x14ac:dyDescent="0.25">
      <c r="B2282" s="24"/>
      <c r="E2282" s="24"/>
      <c r="G2282" s="24"/>
      <c r="H2282" s="24"/>
      <c r="J2282" s="24"/>
      <c r="K2282" s="24"/>
      <c r="M2282" s="24"/>
      <c r="N2282" s="24"/>
      <c r="P2282" s="24"/>
    </row>
    <row r="2283" spans="2:16" x14ac:dyDescent="0.25">
      <c r="B2283" s="24"/>
      <c r="E2283" s="24"/>
      <c r="G2283" s="24"/>
      <c r="H2283" s="24"/>
      <c r="J2283" s="24"/>
      <c r="K2283" s="24"/>
      <c r="M2283" s="24"/>
      <c r="N2283" s="24"/>
      <c r="P2283" s="24"/>
    </row>
    <row r="2284" spans="2:16" x14ac:dyDescent="0.25">
      <c r="B2284" s="24"/>
      <c r="E2284" s="24"/>
      <c r="G2284" s="24"/>
      <c r="H2284" s="24"/>
      <c r="J2284" s="24"/>
      <c r="K2284" s="24"/>
      <c r="M2284" s="24"/>
      <c r="N2284" s="24"/>
      <c r="P2284" s="24"/>
    </row>
    <row r="2285" spans="2:16" x14ac:dyDescent="0.25">
      <c r="B2285" s="24"/>
      <c r="E2285" s="24"/>
      <c r="G2285" s="24"/>
      <c r="H2285" s="24"/>
      <c r="J2285" s="24"/>
      <c r="K2285" s="24"/>
      <c r="M2285" s="24"/>
      <c r="N2285" s="24"/>
      <c r="P2285" s="24"/>
    </row>
    <row r="2286" spans="2:16" x14ac:dyDescent="0.25">
      <c r="B2286" s="24"/>
      <c r="E2286" s="24"/>
      <c r="G2286" s="24"/>
      <c r="H2286" s="24"/>
      <c r="J2286" s="24"/>
      <c r="K2286" s="24"/>
      <c r="M2286" s="24"/>
      <c r="N2286" s="24"/>
      <c r="P2286" s="24"/>
    </row>
    <row r="2287" spans="2:16" x14ac:dyDescent="0.25">
      <c r="B2287" s="24"/>
      <c r="E2287" s="24"/>
      <c r="G2287" s="24"/>
      <c r="H2287" s="24"/>
      <c r="J2287" s="24"/>
      <c r="K2287" s="24"/>
      <c r="M2287" s="24"/>
      <c r="N2287" s="24"/>
      <c r="P2287" s="24"/>
    </row>
    <row r="2288" spans="2:16" x14ac:dyDescent="0.25">
      <c r="B2288" s="24"/>
      <c r="E2288" s="24"/>
      <c r="G2288" s="24"/>
      <c r="H2288" s="24"/>
      <c r="J2288" s="24"/>
      <c r="K2288" s="24"/>
      <c r="M2288" s="24"/>
      <c r="N2288" s="24"/>
      <c r="P2288" s="24"/>
    </row>
    <row r="2289" spans="2:16" x14ac:dyDescent="0.25">
      <c r="B2289" s="24"/>
      <c r="E2289" s="24"/>
      <c r="G2289" s="24"/>
      <c r="H2289" s="24"/>
      <c r="J2289" s="24"/>
      <c r="K2289" s="24"/>
      <c r="M2289" s="24"/>
      <c r="N2289" s="24"/>
      <c r="P2289" s="24"/>
    </row>
    <row r="2290" spans="2:16" x14ac:dyDescent="0.25">
      <c r="B2290" s="24"/>
      <c r="E2290" s="24"/>
      <c r="G2290" s="24"/>
      <c r="H2290" s="24"/>
      <c r="J2290" s="24"/>
      <c r="K2290" s="24"/>
      <c r="M2290" s="24"/>
      <c r="N2290" s="24"/>
      <c r="P2290" s="24"/>
    </row>
    <row r="2291" spans="2:16" x14ac:dyDescent="0.25">
      <c r="B2291" s="24"/>
      <c r="E2291" s="24"/>
      <c r="G2291" s="24"/>
      <c r="H2291" s="24"/>
      <c r="J2291" s="24"/>
      <c r="K2291" s="24"/>
      <c r="M2291" s="24"/>
      <c r="N2291" s="24"/>
      <c r="P2291" s="24"/>
    </row>
    <row r="2292" spans="2:16" x14ac:dyDescent="0.25">
      <c r="B2292" s="24"/>
      <c r="E2292" s="24"/>
      <c r="G2292" s="24"/>
      <c r="H2292" s="24"/>
      <c r="J2292" s="24"/>
      <c r="K2292" s="24"/>
      <c r="M2292" s="24"/>
      <c r="N2292" s="24"/>
      <c r="P2292" s="24"/>
    </row>
    <row r="2293" spans="2:16" x14ac:dyDescent="0.25">
      <c r="B2293" s="24"/>
      <c r="E2293" s="24"/>
      <c r="G2293" s="24"/>
      <c r="H2293" s="24"/>
      <c r="J2293" s="24"/>
      <c r="K2293" s="24"/>
      <c r="M2293" s="24"/>
      <c r="N2293" s="24"/>
      <c r="P2293" s="24"/>
    </row>
    <row r="2294" spans="2:16" x14ac:dyDescent="0.25">
      <c r="B2294" s="24"/>
      <c r="E2294" s="24"/>
      <c r="G2294" s="24"/>
      <c r="H2294" s="24"/>
      <c r="J2294" s="24"/>
      <c r="K2294" s="24"/>
      <c r="M2294" s="24"/>
      <c r="N2294" s="24"/>
      <c r="P2294" s="24"/>
    </row>
    <row r="2295" spans="2:16" x14ac:dyDescent="0.25">
      <c r="B2295" s="24"/>
      <c r="E2295" s="24"/>
      <c r="G2295" s="24"/>
      <c r="H2295" s="24"/>
      <c r="J2295" s="24"/>
      <c r="K2295" s="24"/>
      <c r="M2295" s="24"/>
      <c r="N2295" s="24"/>
      <c r="P2295" s="24"/>
    </row>
    <row r="2296" spans="2:16" x14ac:dyDescent="0.25">
      <c r="B2296" s="24"/>
      <c r="E2296" s="24"/>
      <c r="G2296" s="24"/>
      <c r="H2296" s="24"/>
      <c r="J2296" s="24"/>
      <c r="K2296" s="24"/>
      <c r="M2296" s="24"/>
      <c r="N2296" s="24"/>
      <c r="P2296" s="24"/>
    </row>
    <row r="2297" spans="2:16" x14ac:dyDescent="0.25">
      <c r="B2297" s="24"/>
      <c r="E2297" s="24"/>
      <c r="G2297" s="24"/>
      <c r="H2297" s="24"/>
      <c r="J2297" s="24"/>
      <c r="K2297" s="24"/>
      <c r="M2297" s="24"/>
      <c r="N2297" s="24"/>
      <c r="P2297" s="24"/>
    </row>
    <row r="2298" spans="2:16" x14ac:dyDescent="0.25">
      <c r="B2298" s="24"/>
      <c r="E2298" s="24"/>
      <c r="G2298" s="24"/>
      <c r="H2298" s="24"/>
      <c r="J2298" s="24"/>
      <c r="K2298" s="24"/>
      <c r="M2298" s="24"/>
      <c r="N2298" s="24"/>
      <c r="P2298" s="24"/>
    </row>
    <row r="2299" spans="2:16" x14ac:dyDescent="0.25">
      <c r="B2299" s="24"/>
      <c r="E2299" s="24"/>
      <c r="G2299" s="24"/>
      <c r="H2299" s="24"/>
      <c r="J2299" s="24"/>
      <c r="K2299" s="24"/>
      <c r="M2299" s="24"/>
      <c r="N2299" s="24"/>
      <c r="P2299" s="24"/>
    </row>
    <row r="2300" spans="2:16" x14ac:dyDescent="0.25">
      <c r="B2300" s="24"/>
      <c r="E2300" s="24"/>
      <c r="G2300" s="24"/>
      <c r="H2300" s="24"/>
      <c r="J2300" s="24"/>
      <c r="K2300" s="24"/>
      <c r="M2300" s="24"/>
      <c r="N2300" s="24"/>
      <c r="P2300" s="24"/>
    </row>
    <row r="2301" spans="2:16" x14ac:dyDescent="0.25">
      <c r="B2301" s="24"/>
      <c r="E2301" s="24"/>
      <c r="G2301" s="24"/>
      <c r="H2301" s="24"/>
      <c r="J2301" s="24"/>
      <c r="K2301" s="24"/>
      <c r="M2301" s="24"/>
      <c r="N2301" s="24"/>
      <c r="P2301" s="24"/>
    </row>
    <row r="2302" spans="2:16" x14ac:dyDescent="0.25">
      <c r="B2302" s="24"/>
      <c r="E2302" s="24"/>
      <c r="G2302" s="24"/>
      <c r="H2302" s="24"/>
      <c r="J2302" s="24"/>
      <c r="K2302" s="24"/>
      <c r="M2302" s="24"/>
      <c r="N2302" s="24"/>
      <c r="P2302" s="24"/>
    </row>
    <row r="2303" spans="2:16" x14ac:dyDescent="0.25">
      <c r="B2303" s="24"/>
      <c r="E2303" s="24"/>
      <c r="G2303" s="24"/>
      <c r="H2303" s="24"/>
      <c r="J2303" s="24"/>
      <c r="K2303" s="24"/>
      <c r="M2303" s="24"/>
      <c r="N2303" s="24"/>
      <c r="P2303" s="24"/>
    </row>
    <row r="2304" spans="2:16" x14ac:dyDescent="0.25">
      <c r="B2304" s="24"/>
      <c r="E2304" s="24"/>
      <c r="G2304" s="24"/>
      <c r="H2304" s="24"/>
      <c r="J2304" s="24"/>
      <c r="K2304" s="24"/>
      <c r="M2304" s="24"/>
      <c r="N2304" s="24"/>
      <c r="P2304" s="24"/>
    </row>
    <row r="2305" spans="2:16" x14ac:dyDescent="0.25">
      <c r="B2305" s="24"/>
      <c r="E2305" s="24"/>
      <c r="G2305" s="24"/>
      <c r="H2305" s="24"/>
      <c r="J2305" s="24"/>
      <c r="K2305" s="24"/>
      <c r="M2305" s="24"/>
      <c r="N2305" s="24"/>
      <c r="P2305" s="24"/>
    </row>
    <row r="2306" spans="2:16" x14ac:dyDescent="0.25">
      <c r="B2306" s="24"/>
      <c r="E2306" s="24"/>
      <c r="G2306" s="24"/>
      <c r="H2306" s="24"/>
      <c r="J2306" s="24"/>
      <c r="K2306" s="24"/>
      <c r="M2306" s="24"/>
      <c r="N2306" s="24"/>
      <c r="P2306" s="24"/>
    </row>
    <row r="2307" spans="2:16" x14ac:dyDescent="0.25">
      <c r="B2307" s="24"/>
      <c r="E2307" s="24"/>
      <c r="G2307" s="24"/>
      <c r="H2307" s="24"/>
      <c r="J2307" s="24"/>
      <c r="K2307" s="24"/>
      <c r="M2307" s="24"/>
      <c r="N2307" s="24"/>
      <c r="P2307" s="24"/>
    </row>
    <row r="2308" spans="2:16" x14ac:dyDescent="0.25">
      <c r="B2308" s="24"/>
      <c r="E2308" s="24"/>
      <c r="G2308" s="24"/>
      <c r="H2308" s="24"/>
      <c r="J2308" s="24"/>
      <c r="K2308" s="24"/>
      <c r="M2308" s="24"/>
      <c r="N2308" s="24"/>
      <c r="P2308" s="24"/>
    </row>
    <row r="2309" spans="2:16" x14ac:dyDescent="0.25">
      <c r="B2309" s="24"/>
      <c r="E2309" s="24"/>
      <c r="G2309" s="24"/>
      <c r="H2309" s="24"/>
      <c r="J2309" s="24"/>
      <c r="K2309" s="24"/>
      <c r="M2309" s="24"/>
      <c r="N2309" s="24"/>
      <c r="P2309" s="24"/>
    </row>
    <row r="2310" spans="2:16" x14ac:dyDescent="0.25">
      <c r="B2310" s="24"/>
      <c r="E2310" s="24"/>
      <c r="G2310" s="24"/>
      <c r="H2310" s="24"/>
      <c r="J2310" s="24"/>
      <c r="K2310" s="24"/>
      <c r="M2310" s="24"/>
      <c r="N2310" s="24"/>
      <c r="P2310" s="24"/>
    </row>
    <row r="2311" spans="2:16" x14ac:dyDescent="0.25">
      <c r="B2311" s="24"/>
      <c r="E2311" s="24"/>
      <c r="G2311" s="24"/>
      <c r="H2311" s="24"/>
      <c r="J2311" s="24"/>
      <c r="K2311" s="24"/>
      <c r="M2311" s="24"/>
      <c r="N2311" s="24"/>
      <c r="P2311" s="24"/>
    </row>
    <row r="2312" spans="2:16" x14ac:dyDescent="0.25">
      <c r="B2312" s="24"/>
      <c r="E2312" s="24"/>
      <c r="G2312" s="24"/>
      <c r="H2312" s="24"/>
      <c r="J2312" s="24"/>
      <c r="K2312" s="24"/>
      <c r="M2312" s="24"/>
      <c r="N2312" s="24"/>
      <c r="P2312" s="24"/>
    </row>
    <row r="2313" spans="2:16" x14ac:dyDescent="0.25">
      <c r="B2313" s="24"/>
      <c r="E2313" s="24"/>
      <c r="G2313" s="24"/>
      <c r="H2313" s="24"/>
      <c r="J2313" s="24"/>
      <c r="K2313" s="24"/>
      <c r="M2313" s="24"/>
      <c r="N2313" s="24"/>
      <c r="P2313" s="24"/>
    </row>
    <row r="2314" spans="2:16" x14ac:dyDescent="0.25">
      <c r="B2314" s="24"/>
      <c r="E2314" s="24"/>
      <c r="G2314" s="24"/>
      <c r="H2314" s="24"/>
      <c r="J2314" s="24"/>
      <c r="K2314" s="24"/>
      <c r="M2314" s="24"/>
      <c r="N2314" s="24"/>
      <c r="P2314" s="24"/>
    </row>
    <row r="2315" spans="2:16" x14ac:dyDescent="0.25">
      <c r="B2315" s="24"/>
      <c r="E2315" s="24"/>
      <c r="G2315" s="24"/>
      <c r="H2315" s="24"/>
      <c r="J2315" s="24"/>
      <c r="K2315" s="24"/>
      <c r="M2315" s="24"/>
      <c r="N2315" s="24"/>
      <c r="P2315" s="24"/>
    </row>
    <row r="2316" spans="2:16" x14ac:dyDescent="0.25">
      <c r="B2316" s="24"/>
      <c r="E2316" s="24"/>
      <c r="G2316" s="24"/>
      <c r="H2316" s="24"/>
      <c r="J2316" s="24"/>
      <c r="K2316" s="24"/>
      <c r="M2316" s="24"/>
      <c r="N2316" s="24"/>
      <c r="P2316" s="24"/>
    </row>
    <row r="2317" spans="2:16" x14ac:dyDescent="0.25">
      <c r="B2317" s="24"/>
      <c r="E2317" s="24"/>
      <c r="G2317" s="24"/>
      <c r="H2317" s="24"/>
      <c r="J2317" s="24"/>
      <c r="K2317" s="24"/>
      <c r="M2317" s="24"/>
      <c r="N2317" s="24"/>
      <c r="P2317" s="24"/>
    </row>
    <row r="2318" spans="2:16" x14ac:dyDescent="0.25">
      <c r="B2318" s="24"/>
      <c r="E2318" s="24"/>
      <c r="G2318" s="24"/>
      <c r="H2318" s="24"/>
      <c r="J2318" s="24"/>
      <c r="K2318" s="24"/>
      <c r="M2318" s="24"/>
      <c r="N2318" s="24"/>
      <c r="P2318" s="24"/>
    </row>
    <row r="2319" spans="2:16" x14ac:dyDescent="0.25">
      <c r="B2319" s="24"/>
      <c r="E2319" s="24"/>
      <c r="G2319" s="24"/>
      <c r="H2319" s="24"/>
      <c r="J2319" s="24"/>
      <c r="K2319" s="24"/>
      <c r="M2319" s="24"/>
      <c r="N2319" s="24"/>
      <c r="P2319" s="24"/>
    </row>
    <row r="2320" spans="2:16" x14ac:dyDescent="0.25">
      <c r="B2320" s="24"/>
      <c r="E2320" s="24"/>
      <c r="G2320" s="24"/>
      <c r="H2320" s="24"/>
      <c r="J2320" s="24"/>
      <c r="K2320" s="24"/>
      <c r="M2320" s="24"/>
      <c r="N2320" s="24"/>
      <c r="P2320" s="24"/>
    </row>
    <row r="2321" spans="2:16" x14ac:dyDescent="0.25">
      <c r="B2321" s="24"/>
      <c r="E2321" s="24"/>
      <c r="G2321" s="24"/>
      <c r="H2321" s="24"/>
      <c r="J2321" s="24"/>
      <c r="K2321" s="24"/>
      <c r="M2321" s="24"/>
      <c r="N2321" s="24"/>
      <c r="P2321" s="24"/>
    </row>
    <row r="2322" spans="2:16" x14ac:dyDescent="0.25">
      <c r="B2322" s="24"/>
      <c r="E2322" s="24"/>
      <c r="G2322" s="24"/>
      <c r="H2322" s="24"/>
      <c r="J2322" s="24"/>
      <c r="K2322" s="24"/>
      <c r="M2322" s="24"/>
      <c r="N2322" s="24"/>
      <c r="P2322" s="24"/>
    </row>
    <row r="2323" spans="2:16" x14ac:dyDescent="0.25">
      <c r="B2323" s="24"/>
      <c r="E2323" s="24"/>
      <c r="G2323" s="24"/>
      <c r="H2323" s="24"/>
      <c r="J2323" s="24"/>
      <c r="K2323" s="24"/>
      <c r="M2323" s="24"/>
      <c r="N2323" s="24"/>
      <c r="P2323" s="24"/>
    </row>
    <row r="2324" spans="2:16" x14ac:dyDescent="0.25">
      <c r="B2324" s="24"/>
      <c r="E2324" s="24"/>
      <c r="G2324" s="24"/>
      <c r="H2324" s="24"/>
      <c r="J2324" s="24"/>
      <c r="K2324" s="24"/>
      <c r="M2324" s="24"/>
      <c r="N2324" s="24"/>
      <c r="P2324" s="24"/>
    </row>
    <row r="2325" spans="2:16" x14ac:dyDescent="0.25">
      <c r="B2325" s="24"/>
      <c r="E2325" s="24"/>
      <c r="G2325" s="24"/>
      <c r="H2325" s="24"/>
      <c r="J2325" s="24"/>
      <c r="K2325" s="24"/>
      <c r="M2325" s="24"/>
      <c r="N2325" s="24"/>
      <c r="P2325" s="24"/>
    </row>
    <row r="2326" spans="2:16" x14ac:dyDescent="0.25">
      <c r="B2326" s="24"/>
      <c r="E2326" s="24"/>
      <c r="G2326" s="24"/>
      <c r="H2326" s="24"/>
      <c r="J2326" s="24"/>
      <c r="K2326" s="24"/>
      <c r="M2326" s="24"/>
      <c r="N2326" s="24"/>
      <c r="P2326" s="24"/>
    </row>
    <row r="2327" spans="2:16" x14ac:dyDescent="0.25">
      <c r="B2327" s="24"/>
      <c r="E2327" s="24"/>
      <c r="G2327" s="24"/>
      <c r="H2327" s="24"/>
      <c r="J2327" s="24"/>
      <c r="K2327" s="24"/>
      <c r="M2327" s="24"/>
      <c r="N2327" s="24"/>
      <c r="P2327" s="24"/>
    </row>
    <row r="2328" spans="2:16" x14ac:dyDescent="0.25">
      <c r="B2328" s="24"/>
      <c r="E2328" s="24"/>
      <c r="G2328" s="24"/>
      <c r="H2328" s="24"/>
      <c r="J2328" s="24"/>
      <c r="K2328" s="24"/>
      <c r="M2328" s="24"/>
      <c r="N2328" s="24"/>
      <c r="P2328" s="24"/>
    </row>
    <row r="2329" spans="2:16" x14ac:dyDescent="0.25">
      <c r="B2329" s="24"/>
      <c r="E2329" s="24"/>
      <c r="G2329" s="24"/>
      <c r="H2329" s="24"/>
      <c r="J2329" s="24"/>
      <c r="K2329" s="24"/>
      <c r="M2329" s="24"/>
      <c r="N2329" s="24"/>
      <c r="P2329" s="24"/>
    </row>
    <row r="2330" spans="2:16" x14ac:dyDescent="0.25">
      <c r="B2330" s="24"/>
      <c r="E2330" s="24"/>
      <c r="G2330" s="24"/>
      <c r="H2330" s="24"/>
      <c r="J2330" s="24"/>
      <c r="K2330" s="24"/>
      <c r="M2330" s="24"/>
      <c r="N2330" s="24"/>
      <c r="P2330" s="24"/>
    </row>
    <row r="2331" spans="2:16" x14ac:dyDescent="0.25">
      <c r="B2331" s="24"/>
      <c r="E2331" s="24"/>
      <c r="G2331" s="24"/>
      <c r="H2331" s="24"/>
      <c r="J2331" s="24"/>
      <c r="K2331" s="24"/>
      <c r="M2331" s="24"/>
      <c r="N2331" s="24"/>
      <c r="P2331" s="24"/>
    </row>
    <row r="2332" spans="2:16" x14ac:dyDescent="0.25">
      <c r="B2332" s="24"/>
      <c r="E2332" s="24"/>
      <c r="G2332" s="24"/>
      <c r="H2332" s="24"/>
      <c r="J2332" s="24"/>
      <c r="K2332" s="24"/>
      <c r="M2332" s="24"/>
      <c r="N2332" s="24"/>
      <c r="P2332" s="24"/>
    </row>
    <row r="2333" spans="2:16" x14ac:dyDescent="0.25">
      <c r="B2333" s="24"/>
      <c r="E2333" s="24"/>
      <c r="G2333" s="24"/>
      <c r="H2333" s="24"/>
      <c r="J2333" s="24"/>
      <c r="K2333" s="24"/>
      <c r="M2333" s="24"/>
      <c r="N2333" s="24"/>
      <c r="P2333" s="24"/>
    </row>
    <row r="2334" spans="2:16" x14ac:dyDescent="0.25">
      <c r="B2334" s="24"/>
      <c r="E2334" s="24"/>
      <c r="G2334" s="24"/>
      <c r="H2334" s="24"/>
      <c r="J2334" s="24"/>
      <c r="K2334" s="24"/>
      <c r="M2334" s="24"/>
      <c r="N2334" s="24"/>
      <c r="P2334" s="24"/>
    </row>
    <row r="2335" spans="2:16" x14ac:dyDescent="0.25">
      <c r="B2335" s="24"/>
      <c r="E2335" s="24"/>
      <c r="G2335" s="24"/>
      <c r="H2335" s="24"/>
      <c r="J2335" s="24"/>
      <c r="K2335" s="24"/>
      <c r="M2335" s="24"/>
      <c r="N2335" s="24"/>
      <c r="P2335" s="24"/>
    </row>
    <row r="2336" spans="2:16" x14ac:dyDescent="0.25">
      <c r="B2336" s="24"/>
      <c r="E2336" s="24"/>
      <c r="G2336" s="24"/>
      <c r="H2336" s="24"/>
      <c r="J2336" s="24"/>
      <c r="K2336" s="24"/>
      <c r="M2336" s="24"/>
      <c r="N2336" s="24"/>
      <c r="P2336" s="24"/>
    </row>
    <row r="2337" spans="2:16" x14ac:dyDescent="0.25">
      <c r="B2337" s="24"/>
      <c r="E2337" s="24"/>
      <c r="G2337" s="24"/>
      <c r="H2337" s="24"/>
      <c r="J2337" s="24"/>
      <c r="K2337" s="24"/>
      <c r="M2337" s="24"/>
      <c r="N2337" s="24"/>
      <c r="P2337" s="24"/>
    </row>
    <row r="2338" spans="2:16" x14ac:dyDescent="0.25">
      <c r="B2338" s="24"/>
      <c r="E2338" s="24"/>
      <c r="G2338" s="24"/>
      <c r="H2338" s="24"/>
      <c r="J2338" s="24"/>
      <c r="K2338" s="24"/>
      <c r="M2338" s="24"/>
      <c r="N2338" s="24"/>
      <c r="P2338" s="24"/>
    </row>
    <row r="2339" spans="2:16" x14ac:dyDescent="0.25">
      <c r="B2339" s="24"/>
      <c r="E2339" s="24"/>
      <c r="G2339" s="24"/>
      <c r="H2339" s="24"/>
      <c r="J2339" s="24"/>
      <c r="K2339" s="24"/>
      <c r="M2339" s="24"/>
      <c r="N2339" s="24"/>
      <c r="P2339" s="24"/>
    </row>
    <row r="2340" spans="2:16" x14ac:dyDescent="0.25">
      <c r="B2340" s="24"/>
      <c r="E2340" s="24"/>
      <c r="G2340" s="24"/>
      <c r="H2340" s="24"/>
      <c r="J2340" s="24"/>
      <c r="K2340" s="24"/>
      <c r="M2340" s="24"/>
      <c r="N2340" s="24"/>
      <c r="P2340" s="24"/>
    </row>
    <row r="2341" spans="2:16" x14ac:dyDescent="0.25">
      <c r="B2341" s="24"/>
      <c r="E2341" s="24"/>
      <c r="G2341" s="24"/>
      <c r="H2341" s="24"/>
      <c r="J2341" s="24"/>
      <c r="K2341" s="24"/>
      <c r="M2341" s="24"/>
      <c r="N2341" s="24"/>
      <c r="P2341" s="24"/>
    </row>
    <row r="2342" spans="2:16" x14ac:dyDescent="0.25">
      <c r="B2342" s="24"/>
      <c r="E2342" s="24"/>
      <c r="G2342" s="24"/>
      <c r="H2342" s="24"/>
      <c r="J2342" s="24"/>
      <c r="K2342" s="24"/>
      <c r="M2342" s="24"/>
      <c r="N2342" s="24"/>
      <c r="P2342" s="24"/>
    </row>
    <row r="2343" spans="2:16" x14ac:dyDescent="0.25">
      <c r="B2343" s="24"/>
      <c r="E2343" s="24"/>
      <c r="G2343" s="24"/>
      <c r="H2343" s="24"/>
      <c r="J2343" s="24"/>
      <c r="K2343" s="24"/>
      <c r="M2343" s="24"/>
      <c r="N2343" s="24"/>
      <c r="P2343" s="24"/>
    </row>
    <row r="2344" spans="2:16" x14ac:dyDescent="0.25">
      <c r="B2344" s="24"/>
      <c r="E2344" s="24"/>
      <c r="G2344" s="24"/>
      <c r="H2344" s="24"/>
      <c r="J2344" s="24"/>
      <c r="K2344" s="24"/>
      <c r="M2344" s="24"/>
      <c r="N2344" s="24"/>
      <c r="P2344" s="24"/>
    </row>
    <row r="2345" spans="2:16" x14ac:dyDescent="0.25">
      <c r="B2345" s="24"/>
      <c r="E2345" s="24"/>
      <c r="G2345" s="24"/>
      <c r="H2345" s="24"/>
      <c r="J2345" s="24"/>
      <c r="K2345" s="24"/>
      <c r="M2345" s="24"/>
      <c r="N2345" s="24"/>
      <c r="P2345" s="24"/>
    </row>
    <row r="2346" spans="2:16" x14ac:dyDescent="0.25">
      <c r="B2346" s="24"/>
      <c r="E2346" s="24"/>
      <c r="G2346" s="24"/>
      <c r="H2346" s="24"/>
      <c r="J2346" s="24"/>
      <c r="K2346" s="24"/>
      <c r="M2346" s="24"/>
      <c r="N2346" s="24"/>
      <c r="P2346" s="24"/>
    </row>
    <row r="2347" spans="2:16" x14ac:dyDescent="0.25">
      <c r="B2347" s="24"/>
      <c r="E2347" s="24"/>
      <c r="G2347" s="24"/>
      <c r="H2347" s="24"/>
      <c r="J2347" s="24"/>
      <c r="K2347" s="24"/>
      <c r="M2347" s="24"/>
      <c r="N2347" s="24"/>
      <c r="P2347" s="24"/>
    </row>
    <row r="2348" spans="2:16" x14ac:dyDescent="0.25">
      <c r="B2348" s="24"/>
      <c r="E2348" s="24"/>
      <c r="G2348" s="24"/>
      <c r="H2348" s="24"/>
      <c r="J2348" s="24"/>
      <c r="K2348" s="24"/>
      <c r="M2348" s="24"/>
      <c r="N2348" s="24"/>
      <c r="P2348" s="24"/>
    </row>
    <row r="2349" spans="2:16" x14ac:dyDescent="0.25">
      <c r="B2349" s="24"/>
      <c r="E2349" s="24"/>
      <c r="G2349" s="24"/>
      <c r="H2349" s="24"/>
      <c r="J2349" s="24"/>
      <c r="K2349" s="24"/>
      <c r="M2349" s="24"/>
      <c r="N2349" s="24"/>
      <c r="P2349" s="24"/>
    </row>
    <row r="2350" spans="2:16" x14ac:dyDescent="0.25">
      <c r="B2350" s="24"/>
      <c r="E2350" s="24"/>
      <c r="G2350" s="24"/>
      <c r="H2350" s="24"/>
      <c r="J2350" s="24"/>
      <c r="K2350" s="24"/>
      <c r="M2350" s="24"/>
      <c r="N2350" s="24"/>
      <c r="P2350" s="24"/>
    </row>
    <row r="2351" spans="2:16" x14ac:dyDescent="0.25">
      <c r="B2351" s="24"/>
      <c r="E2351" s="24"/>
      <c r="G2351" s="24"/>
      <c r="H2351" s="24"/>
      <c r="J2351" s="24"/>
      <c r="K2351" s="24"/>
      <c r="M2351" s="24"/>
      <c r="N2351" s="24"/>
      <c r="P2351" s="24"/>
    </row>
    <row r="2352" spans="2:16" x14ac:dyDescent="0.25">
      <c r="B2352" s="24"/>
      <c r="E2352" s="24"/>
      <c r="G2352" s="24"/>
      <c r="H2352" s="24"/>
      <c r="J2352" s="24"/>
      <c r="K2352" s="24"/>
      <c r="M2352" s="24"/>
      <c r="N2352" s="24"/>
      <c r="P2352" s="24"/>
    </row>
    <row r="2353" spans="2:16" x14ac:dyDescent="0.25">
      <c r="B2353" s="24"/>
      <c r="E2353" s="24"/>
      <c r="G2353" s="24"/>
      <c r="H2353" s="24"/>
      <c r="J2353" s="24"/>
      <c r="K2353" s="24"/>
      <c r="M2353" s="24"/>
      <c r="N2353" s="24"/>
      <c r="P2353" s="24"/>
    </row>
    <row r="2354" spans="2:16" x14ac:dyDescent="0.25">
      <c r="B2354" s="24"/>
      <c r="E2354" s="24"/>
      <c r="G2354" s="24"/>
      <c r="H2354" s="24"/>
      <c r="J2354" s="24"/>
      <c r="K2354" s="24"/>
      <c r="M2354" s="24"/>
      <c r="N2354" s="24"/>
      <c r="P2354" s="24"/>
    </row>
    <row r="2355" spans="2:16" x14ac:dyDescent="0.25">
      <c r="B2355" s="24"/>
      <c r="E2355" s="24"/>
      <c r="G2355" s="24"/>
      <c r="H2355" s="24"/>
      <c r="J2355" s="24"/>
      <c r="K2355" s="24"/>
      <c r="M2355" s="24"/>
      <c r="N2355" s="24"/>
      <c r="P2355" s="24"/>
    </row>
    <row r="2356" spans="2:16" x14ac:dyDescent="0.25">
      <c r="B2356" s="24"/>
      <c r="E2356" s="24"/>
      <c r="G2356" s="24"/>
      <c r="H2356" s="24"/>
      <c r="J2356" s="24"/>
      <c r="K2356" s="24"/>
      <c r="M2356" s="24"/>
      <c r="N2356" s="24"/>
      <c r="P2356" s="24"/>
    </row>
    <row r="2357" spans="2:16" x14ac:dyDescent="0.25">
      <c r="B2357" s="24"/>
      <c r="E2357" s="24"/>
      <c r="G2357" s="24"/>
      <c r="H2357" s="24"/>
      <c r="J2357" s="24"/>
      <c r="K2357" s="24"/>
      <c r="M2357" s="24"/>
      <c r="N2357" s="24"/>
      <c r="P2357" s="24"/>
    </row>
    <row r="2358" spans="2:16" x14ac:dyDescent="0.25">
      <c r="B2358" s="24"/>
      <c r="E2358" s="24"/>
      <c r="G2358" s="24"/>
      <c r="H2358" s="24"/>
      <c r="J2358" s="24"/>
      <c r="K2358" s="24"/>
      <c r="M2358" s="24"/>
      <c r="N2358" s="24"/>
      <c r="P2358" s="24"/>
    </row>
    <row r="2359" spans="2:16" x14ac:dyDescent="0.25">
      <c r="B2359" s="24"/>
      <c r="E2359" s="24"/>
      <c r="G2359" s="24"/>
      <c r="H2359" s="24"/>
      <c r="J2359" s="24"/>
      <c r="K2359" s="24"/>
      <c r="M2359" s="24"/>
      <c r="N2359" s="24"/>
      <c r="P2359" s="24"/>
    </row>
    <row r="2360" spans="2:16" x14ac:dyDescent="0.25">
      <c r="B2360" s="24"/>
      <c r="E2360" s="24"/>
      <c r="G2360" s="24"/>
      <c r="H2360" s="24"/>
      <c r="J2360" s="24"/>
      <c r="K2360" s="24"/>
      <c r="M2360" s="24"/>
      <c r="N2360" s="24"/>
      <c r="P2360" s="24"/>
    </row>
    <row r="2361" spans="2:16" x14ac:dyDescent="0.25">
      <c r="B2361" s="24"/>
      <c r="E2361" s="24"/>
      <c r="G2361" s="24"/>
      <c r="H2361" s="24"/>
      <c r="J2361" s="24"/>
      <c r="K2361" s="24"/>
      <c r="M2361" s="24"/>
      <c r="N2361" s="24"/>
      <c r="P2361" s="24"/>
    </row>
    <row r="2362" spans="2:16" x14ac:dyDescent="0.25">
      <c r="B2362" s="24"/>
      <c r="E2362" s="24"/>
      <c r="G2362" s="24"/>
      <c r="H2362" s="24"/>
      <c r="J2362" s="24"/>
      <c r="K2362" s="24"/>
      <c r="M2362" s="24"/>
      <c r="N2362" s="24"/>
      <c r="P2362" s="24"/>
    </row>
    <row r="2363" spans="2:16" x14ac:dyDescent="0.25">
      <c r="B2363" s="24"/>
      <c r="E2363" s="24"/>
      <c r="G2363" s="24"/>
      <c r="H2363" s="24"/>
      <c r="J2363" s="24"/>
      <c r="K2363" s="24"/>
      <c r="M2363" s="24"/>
      <c r="N2363" s="24"/>
      <c r="P2363" s="24"/>
    </row>
    <row r="2364" spans="2:16" x14ac:dyDescent="0.25">
      <c r="B2364" s="24"/>
      <c r="E2364" s="24"/>
      <c r="G2364" s="24"/>
      <c r="H2364" s="24"/>
      <c r="J2364" s="24"/>
      <c r="K2364" s="24"/>
      <c r="M2364" s="24"/>
      <c r="N2364" s="24"/>
      <c r="P2364" s="24"/>
    </row>
    <row r="2365" spans="2:16" x14ac:dyDescent="0.25">
      <c r="B2365" s="24"/>
      <c r="E2365" s="24"/>
      <c r="G2365" s="24"/>
      <c r="H2365" s="24"/>
      <c r="J2365" s="24"/>
      <c r="K2365" s="24"/>
      <c r="M2365" s="24"/>
      <c r="N2365" s="24"/>
      <c r="P2365" s="24"/>
    </row>
    <row r="2366" spans="2:16" x14ac:dyDescent="0.25">
      <c r="B2366" s="24"/>
      <c r="E2366" s="24"/>
      <c r="G2366" s="24"/>
      <c r="H2366" s="24"/>
      <c r="J2366" s="24"/>
      <c r="K2366" s="24"/>
      <c r="M2366" s="24"/>
      <c r="N2366" s="24"/>
      <c r="P2366" s="24"/>
    </row>
    <row r="2367" spans="2:16" x14ac:dyDescent="0.25">
      <c r="B2367" s="24"/>
      <c r="E2367" s="24"/>
      <c r="G2367" s="24"/>
      <c r="H2367" s="24"/>
      <c r="J2367" s="24"/>
      <c r="K2367" s="24"/>
      <c r="M2367" s="24"/>
      <c r="N2367" s="24"/>
      <c r="P2367" s="24"/>
    </row>
    <row r="2368" spans="2:16" x14ac:dyDescent="0.25">
      <c r="B2368" s="24"/>
      <c r="E2368" s="24"/>
      <c r="G2368" s="24"/>
      <c r="H2368" s="24"/>
      <c r="J2368" s="24"/>
      <c r="K2368" s="24"/>
      <c r="M2368" s="24"/>
      <c r="N2368" s="24"/>
      <c r="P2368" s="24"/>
    </row>
    <row r="2369" spans="2:16" x14ac:dyDescent="0.25">
      <c r="B2369" s="24"/>
      <c r="E2369" s="24"/>
      <c r="G2369" s="24"/>
      <c r="H2369" s="24"/>
      <c r="J2369" s="24"/>
      <c r="K2369" s="24"/>
      <c r="M2369" s="24"/>
      <c r="N2369" s="24"/>
      <c r="P2369" s="24"/>
    </row>
    <row r="2370" spans="2:16" x14ac:dyDescent="0.25">
      <c r="B2370" s="24"/>
      <c r="E2370" s="24"/>
      <c r="G2370" s="24"/>
      <c r="H2370" s="24"/>
      <c r="J2370" s="24"/>
      <c r="K2370" s="24"/>
      <c r="M2370" s="24"/>
      <c r="N2370" s="24"/>
      <c r="P2370" s="24"/>
    </row>
    <row r="2371" spans="2:16" x14ac:dyDescent="0.25">
      <c r="B2371" s="24"/>
      <c r="E2371" s="24"/>
      <c r="G2371" s="24"/>
      <c r="H2371" s="24"/>
      <c r="J2371" s="24"/>
      <c r="K2371" s="24"/>
      <c r="M2371" s="24"/>
      <c r="N2371" s="24"/>
      <c r="P2371" s="24"/>
    </row>
    <row r="2372" spans="2:16" x14ac:dyDescent="0.25">
      <c r="B2372" s="24"/>
      <c r="E2372" s="24"/>
      <c r="G2372" s="24"/>
      <c r="H2372" s="24"/>
      <c r="J2372" s="24"/>
      <c r="K2372" s="24"/>
      <c r="M2372" s="24"/>
      <c r="N2372" s="24"/>
      <c r="P2372" s="24"/>
    </row>
    <row r="2373" spans="2:16" x14ac:dyDescent="0.25">
      <c r="B2373" s="24"/>
      <c r="E2373" s="24"/>
      <c r="G2373" s="24"/>
      <c r="H2373" s="24"/>
      <c r="J2373" s="24"/>
      <c r="K2373" s="24"/>
      <c r="M2373" s="24"/>
      <c r="N2373" s="24"/>
      <c r="P2373" s="24"/>
    </row>
    <row r="2374" spans="2:16" x14ac:dyDescent="0.25">
      <c r="B2374" s="24"/>
      <c r="E2374" s="24"/>
      <c r="G2374" s="24"/>
      <c r="H2374" s="24"/>
      <c r="J2374" s="24"/>
      <c r="K2374" s="24"/>
      <c r="M2374" s="24"/>
      <c r="N2374" s="24"/>
      <c r="P2374" s="24"/>
    </row>
    <row r="2375" spans="2:16" x14ac:dyDescent="0.25">
      <c r="B2375" s="24"/>
      <c r="E2375" s="24"/>
      <c r="G2375" s="24"/>
      <c r="H2375" s="24"/>
      <c r="J2375" s="24"/>
      <c r="K2375" s="24"/>
      <c r="M2375" s="24"/>
      <c r="N2375" s="24"/>
      <c r="P2375" s="24"/>
    </row>
    <row r="2376" spans="2:16" x14ac:dyDescent="0.25">
      <c r="B2376" s="24"/>
      <c r="E2376" s="24"/>
      <c r="G2376" s="24"/>
      <c r="H2376" s="24"/>
      <c r="J2376" s="24"/>
      <c r="K2376" s="24"/>
      <c r="M2376" s="24"/>
      <c r="N2376" s="24"/>
      <c r="P2376" s="24"/>
    </row>
    <row r="2377" spans="2:16" x14ac:dyDescent="0.25">
      <c r="B2377" s="24"/>
      <c r="E2377" s="24"/>
      <c r="G2377" s="24"/>
      <c r="H2377" s="24"/>
      <c r="J2377" s="24"/>
      <c r="K2377" s="24"/>
      <c r="M2377" s="24"/>
      <c r="N2377" s="24"/>
      <c r="P2377" s="24"/>
    </row>
    <row r="2378" spans="2:16" x14ac:dyDescent="0.25">
      <c r="B2378" s="24"/>
      <c r="E2378" s="24"/>
      <c r="G2378" s="24"/>
      <c r="H2378" s="24"/>
      <c r="J2378" s="24"/>
      <c r="K2378" s="24"/>
      <c r="M2378" s="24"/>
      <c r="N2378" s="24"/>
      <c r="P2378" s="24"/>
    </row>
    <row r="2379" spans="2:16" x14ac:dyDescent="0.25">
      <c r="B2379" s="24"/>
      <c r="E2379" s="24"/>
      <c r="G2379" s="24"/>
      <c r="H2379" s="24"/>
      <c r="J2379" s="24"/>
      <c r="K2379" s="24"/>
      <c r="M2379" s="24"/>
      <c r="N2379" s="24"/>
      <c r="P2379" s="24"/>
    </row>
    <row r="2380" spans="2:16" x14ac:dyDescent="0.25">
      <c r="B2380" s="24"/>
      <c r="E2380" s="24"/>
      <c r="G2380" s="24"/>
      <c r="H2380" s="24"/>
      <c r="J2380" s="24"/>
      <c r="K2380" s="24"/>
      <c r="M2380" s="24"/>
      <c r="N2380" s="24"/>
      <c r="P2380" s="24"/>
    </row>
    <row r="2381" spans="2:16" x14ac:dyDescent="0.25">
      <c r="B2381" s="24"/>
      <c r="E2381" s="24"/>
      <c r="G2381" s="24"/>
      <c r="H2381" s="24"/>
      <c r="J2381" s="24"/>
      <c r="K2381" s="24"/>
      <c r="M2381" s="24"/>
      <c r="N2381" s="24"/>
      <c r="P2381" s="24"/>
    </row>
    <row r="2382" spans="2:16" x14ac:dyDescent="0.25">
      <c r="B2382" s="24"/>
      <c r="E2382" s="24"/>
      <c r="G2382" s="24"/>
      <c r="H2382" s="24"/>
      <c r="J2382" s="24"/>
      <c r="K2382" s="24"/>
      <c r="M2382" s="24"/>
      <c r="N2382" s="24"/>
      <c r="P2382" s="24"/>
    </row>
    <row r="2383" spans="2:16" x14ac:dyDescent="0.25">
      <c r="B2383" s="24"/>
      <c r="E2383" s="24"/>
      <c r="G2383" s="24"/>
      <c r="H2383" s="24"/>
      <c r="J2383" s="24"/>
      <c r="K2383" s="24"/>
      <c r="M2383" s="24"/>
      <c r="N2383" s="24"/>
      <c r="P2383" s="24"/>
    </row>
    <row r="2384" spans="2:16" x14ac:dyDescent="0.25">
      <c r="B2384" s="24"/>
      <c r="E2384" s="24"/>
      <c r="G2384" s="24"/>
      <c r="H2384" s="24"/>
      <c r="J2384" s="24"/>
      <c r="K2384" s="24"/>
      <c r="M2384" s="24"/>
      <c r="N2384" s="24"/>
      <c r="P2384" s="24"/>
    </row>
    <row r="2385" spans="2:16" x14ac:dyDescent="0.25">
      <c r="B2385" s="24"/>
      <c r="E2385" s="24"/>
      <c r="G2385" s="24"/>
      <c r="H2385" s="24"/>
      <c r="J2385" s="24"/>
      <c r="K2385" s="24"/>
      <c r="M2385" s="24"/>
      <c r="N2385" s="24"/>
      <c r="P2385" s="24"/>
    </row>
    <row r="2386" spans="2:16" x14ac:dyDescent="0.25">
      <c r="B2386" s="24"/>
      <c r="E2386" s="24"/>
      <c r="G2386" s="24"/>
      <c r="H2386" s="24"/>
      <c r="J2386" s="24"/>
      <c r="K2386" s="24"/>
      <c r="M2386" s="24"/>
      <c r="N2386" s="24"/>
      <c r="P2386" s="24"/>
    </row>
    <row r="2387" spans="2:16" x14ac:dyDescent="0.25">
      <c r="B2387" s="24"/>
      <c r="E2387" s="24"/>
      <c r="G2387" s="24"/>
      <c r="H2387" s="24"/>
      <c r="J2387" s="24"/>
      <c r="K2387" s="24"/>
      <c r="M2387" s="24"/>
      <c r="N2387" s="24"/>
      <c r="P2387" s="24"/>
    </row>
    <row r="2388" spans="2:16" x14ac:dyDescent="0.25">
      <c r="B2388" s="24"/>
      <c r="E2388" s="24"/>
      <c r="G2388" s="24"/>
      <c r="H2388" s="24"/>
      <c r="J2388" s="24"/>
      <c r="K2388" s="24"/>
      <c r="M2388" s="24"/>
      <c r="N2388" s="24"/>
      <c r="P2388" s="24"/>
    </row>
    <row r="2389" spans="2:16" x14ac:dyDescent="0.25">
      <c r="B2389" s="24"/>
      <c r="E2389" s="24"/>
      <c r="G2389" s="24"/>
      <c r="H2389" s="24"/>
      <c r="J2389" s="24"/>
      <c r="K2389" s="24"/>
      <c r="M2389" s="24"/>
      <c r="N2389" s="24"/>
      <c r="P2389" s="24"/>
    </row>
    <row r="2390" spans="2:16" x14ac:dyDescent="0.25">
      <c r="B2390" s="24"/>
      <c r="E2390" s="24"/>
      <c r="G2390" s="24"/>
      <c r="H2390" s="24"/>
      <c r="J2390" s="24"/>
      <c r="K2390" s="24"/>
      <c r="M2390" s="24"/>
      <c r="N2390" s="24"/>
      <c r="P2390" s="24"/>
    </row>
    <row r="2391" spans="2:16" x14ac:dyDescent="0.25">
      <c r="B2391" s="24"/>
      <c r="E2391" s="24"/>
      <c r="G2391" s="24"/>
      <c r="H2391" s="24"/>
      <c r="J2391" s="24"/>
      <c r="K2391" s="24"/>
      <c r="M2391" s="24"/>
      <c r="N2391" s="24"/>
      <c r="P2391" s="24"/>
    </row>
    <row r="2392" spans="2:16" x14ac:dyDescent="0.25">
      <c r="B2392" s="24"/>
      <c r="E2392" s="24"/>
      <c r="G2392" s="24"/>
      <c r="H2392" s="24"/>
      <c r="J2392" s="24"/>
      <c r="K2392" s="24"/>
      <c r="M2392" s="24"/>
      <c r="N2392" s="24"/>
      <c r="P2392" s="24"/>
    </row>
    <row r="2393" spans="2:16" x14ac:dyDescent="0.25">
      <c r="B2393" s="24"/>
      <c r="E2393" s="24"/>
      <c r="G2393" s="24"/>
      <c r="H2393" s="24"/>
      <c r="J2393" s="24"/>
      <c r="K2393" s="24"/>
      <c r="M2393" s="24"/>
      <c r="N2393" s="24"/>
      <c r="P2393" s="24"/>
    </row>
    <row r="2394" spans="2:16" x14ac:dyDescent="0.25">
      <c r="B2394" s="24"/>
      <c r="E2394" s="24"/>
      <c r="G2394" s="24"/>
      <c r="H2394" s="24"/>
      <c r="J2394" s="24"/>
      <c r="K2394" s="24"/>
      <c r="M2394" s="24"/>
      <c r="N2394" s="24"/>
      <c r="P2394" s="24"/>
    </row>
    <row r="2395" spans="2:16" x14ac:dyDescent="0.25">
      <c r="B2395" s="24"/>
      <c r="E2395" s="24"/>
      <c r="G2395" s="24"/>
      <c r="H2395" s="24"/>
      <c r="J2395" s="24"/>
      <c r="K2395" s="24"/>
      <c r="M2395" s="24"/>
      <c r="N2395" s="24"/>
      <c r="P2395" s="24"/>
    </row>
    <row r="2396" spans="2:16" x14ac:dyDescent="0.25">
      <c r="B2396" s="24"/>
      <c r="E2396" s="24"/>
      <c r="G2396" s="24"/>
      <c r="H2396" s="24"/>
      <c r="J2396" s="24"/>
      <c r="K2396" s="24"/>
      <c r="M2396" s="24"/>
      <c r="N2396" s="24"/>
      <c r="P2396" s="24"/>
    </row>
    <row r="2397" spans="2:16" x14ac:dyDescent="0.25">
      <c r="B2397" s="24"/>
      <c r="E2397" s="24"/>
      <c r="G2397" s="24"/>
      <c r="H2397" s="24"/>
      <c r="J2397" s="24"/>
      <c r="K2397" s="24"/>
      <c r="M2397" s="24"/>
      <c r="N2397" s="24"/>
      <c r="P2397" s="24"/>
    </row>
    <row r="2398" spans="2:16" x14ac:dyDescent="0.25">
      <c r="B2398" s="24"/>
      <c r="E2398" s="24"/>
      <c r="G2398" s="24"/>
      <c r="H2398" s="24"/>
      <c r="J2398" s="24"/>
      <c r="K2398" s="24"/>
      <c r="M2398" s="24"/>
      <c r="N2398" s="24"/>
      <c r="P2398" s="24"/>
    </row>
    <row r="2399" spans="2:16" x14ac:dyDescent="0.25">
      <c r="B2399" s="24"/>
      <c r="E2399" s="24"/>
      <c r="G2399" s="24"/>
      <c r="H2399" s="24"/>
      <c r="J2399" s="24"/>
      <c r="K2399" s="24"/>
      <c r="M2399" s="24"/>
      <c r="N2399" s="24"/>
      <c r="P2399" s="24"/>
    </row>
    <row r="2400" spans="2:16" x14ac:dyDescent="0.25">
      <c r="B2400" s="24"/>
      <c r="E2400" s="24"/>
      <c r="G2400" s="24"/>
      <c r="H2400" s="24"/>
      <c r="J2400" s="24"/>
      <c r="K2400" s="24"/>
      <c r="M2400" s="24"/>
      <c r="N2400" s="24"/>
      <c r="P2400" s="24"/>
    </row>
    <row r="2401" spans="2:16" x14ac:dyDescent="0.25">
      <c r="B2401" s="24"/>
      <c r="E2401" s="24"/>
      <c r="G2401" s="24"/>
      <c r="H2401" s="24"/>
      <c r="J2401" s="24"/>
      <c r="K2401" s="24"/>
      <c r="M2401" s="24"/>
      <c r="N2401" s="24"/>
      <c r="P2401" s="24"/>
    </row>
    <row r="2402" spans="2:16" x14ac:dyDescent="0.25">
      <c r="B2402" s="24"/>
      <c r="E2402" s="24"/>
      <c r="G2402" s="24"/>
      <c r="H2402" s="24"/>
      <c r="J2402" s="24"/>
      <c r="K2402" s="24"/>
      <c r="M2402" s="24"/>
      <c r="N2402" s="24"/>
      <c r="P2402" s="24"/>
    </row>
    <row r="2403" spans="2:16" x14ac:dyDescent="0.25">
      <c r="B2403" s="24"/>
      <c r="E2403" s="24"/>
      <c r="G2403" s="24"/>
      <c r="H2403" s="24"/>
      <c r="J2403" s="24"/>
      <c r="K2403" s="24"/>
      <c r="M2403" s="24"/>
      <c r="N2403" s="24"/>
      <c r="P2403" s="24"/>
    </row>
    <row r="2404" spans="2:16" x14ac:dyDescent="0.25">
      <c r="B2404" s="24"/>
      <c r="E2404" s="24"/>
      <c r="G2404" s="24"/>
      <c r="H2404" s="24"/>
      <c r="J2404" s="24"/>
      <c r="K2404" s="24"/>
      <c r="M2404" s="24"/>
      <c r="N2404" s="24"/>
      <c r="P2404" s="24"/>
    </row>
    <row r="2405" spans="2:16" x14ac:dyDescent="0.25">
      <c r="B2405" s="24"/>
      <c r="E2405" s="24"/>
      <c r="G2405" s="24"/>
      <c r="H2405" s="24"/>
      <c r="J2405" s="24"/>
      <c r="K2405" s="24"/>
      <c r="M2405" s="24"/>
      <c r="N2405" s="24"/>
      <c r="P2405" s="24"/>
    </row>
    <row r="2406" spans="2:16" x14ac:dyDescent="0.25">
      <c r="B2406" s="24"/>
      <c r="E2406" s="24"/>
      <c r="G2406" s="24"/>
      <c r="H2406" s="24"/>
      <c r="J2406" s="24"/>
      <c r="K2406" s="24"/>
      <c r="M2406" s="24"/>
      <c r="N2406" s="24"/>
      <c r="P2406" s="24"/>
    </row>
    <row r="2407" spans="2:16" x14ac:dyDescent="0.25">
      <c r="B2407" s="24"/>
      <c r="E2407" s="24"/>
      <c r="G2407" s="24"/>
      <c r="H2407" s="24"/>
      <c r="J2407" s="24"/>
      <c r="K2407" s="24"/>
      <c r="M2407" s="24"/>
      <c r="N2407" s="24"/>
      <c r="P2407" s="24"/>
    </row>
    <row r="2408" spans="2:16" x14ac:dyDescent="0.25">
      <c r="B2408" s="24"/>
      <c r="E2408" s="24"/>
      <c r="G2408" s="24"/>
      <c r="H2408" s="24"/>
      <c r="J2408" s="24"/>
      <c r="K2408" s="24"/>
      <c r="M2408" s="24"/>
      <c r="N2408" s="24"/>
      <c r="P2408" s="24"/>
    </row>
    <row r="2409" spans="2:16" x14ac:dyDescent="0.25">
      <c r="B2409" s="24"/>
      <c r="E2409" s="24"/>
      <c r="G2409" s="24"/>
      <c r="H2409" s="24"/>
      <c r="J2409" s="24"/>
      <c r="K2409" s="24"/>
      <c r="M2409" s="24"/>
      <c r="N2409" s="24"/>
      <c r="P2409" s="24"/>
    </row>
    <row r="2410" spans="2:16" x14ac:dyDescent="0.25">
      <c r="B2410" s="24"/>
      <c r="E2410" s="24"/>
      <c r="G2410" s="24"/>
      <c r="H2410" s="24"/>
      <c r="J2410" s="24"/>
      <c r="K2410" s="24"/>
      <c r="M2410" s="24"/>
      <c r="N2410" s="24"/>
      <c r="P2410" s="24"/>
    </row>
    <row r="2411" spans="2:16" x14ac:dyDescent="0.25">
      <c r="B2411" s="24"/>
      <c r="E2411" s="24"/>
      <c r="G2411" s="24"/>
      <c r="H2411" s="24"/>
      <c r="J2411" s="24"/>
      <c r="K2411" s="24"/>
      <c r="M2411" s="24"/>
      <c r="N2411" s="24"/>
      <c r="P2411" s="24"/>
    </row>
    <row r="2412" spans="2:16" x14ac:dyDescent="0.25">
      <c r="B2412" s="24"/>
      <c r="E2412" s="24"/>
      <c r="G2412" s="24"/>
      <c r="H2412" s="24"/>
      <c r="J2412" s="24"/>
      <c r="K2412" s="24"/>
      <c r="M2412" s="24"/>
      <c r="N2412" s="24"/>
      <c r="P2412" s="24"/>
    </row>
    <row r="2413" spans="2:16" x14ac:dyDescent="0.25">
      <c r="B2413" s="24"/>
      <c r="E2413" s="24"/>
      <c r="G2413" s="24"/>
      <c r="H2413" s="24"/>
      <c r="J2413" s="24"/>
      <c r="K2413" s="24"/>
      <c r="M2413" s="24"/>
      <c r="N2413" s="24"/>
      <c r="P2413" s="24"/>
    </row>
    <row r="2414" spans="2:16" x14ac:dyDescent="0.25">
      <c r="B2414" s="24"/>
      <c r="E2414" s="24"/>
      <c r="G2414" s="24"/>
      <c r="H2414" s="24"/>
      <c r="J2414" s="24"/>
      <c r="K2414" s="24"/>
      <c r="M2414" s="24"/>
      <c r="N2414" s="24"/>
      <c r="P2414" s="24"/>
    </row>
    <row r="2415" spans="2:16" x14ac:dyDescent="0.25">
      <c r="B2415" s="24"/>
      <c r="E2415" s="24"/>
      <c r="G2415" s="24"/>
      <c r="H2415" s="24"/>
      <c r="J2415" s="24"/>
      <c r="K2415" s="24"/>
      <c r="M2415" s="24"/>
      <c r="N2415" s="24"/>
      <c r="P2415" s="24"/>
    </row>
    <row r="2416" spans="2:16" x14ac:dyDescent="0.25">
      <c r="B2416" s="24"/>
      <c r="E2416" s="24"/>
      <c r="G2416" s="24"/>
      <c r="H2416" s="24"/>
      <c r="J2416" s="24"/>
      <c r="K2416" s="24"/>
      <c r="M2416" s="24"/>
      <c r="N2416" s="24"/>
      <c r="P2416" s="24"/>
    </row>
    <row r="2417" spans="2:16" x14ac:dyDescent="0.25">
      <c r="B2417" s="24"/>
      <c r="E2417" s="24"/>
      <c r="G2417" s="24"/>
      <c r="H2417" s="24"/>
      <c r="J2417" s="24"/>
      <c r="K2417" s="24"/>
      <c r="M2417" s="24"/>
      <c r="N2417" s="24"/>
      <c r="P2417" s="24"/>
    </row>
    <row r="2418" spans="2:16" x14ac:dyDescent="0.25">
      <c r="B2418" s="24"/>
      <c r="E2418" s="24"/>
      <c r="G2418" s="24"/>
      <c r="H2418" s="24"/>
      <c r="J2418" s="24"/>
      <c r="K2418" s="24"/>
      <c r="M2418" s="24"/>
      <c r="N2418" s="24"/>
      <c r="P2418" s="24"/>
    </row>
    <row r="2419" spans="2:16" x14ac:dyDescent="0.25">
      <c r="B2419" s="24"/>
      <c r="E2419" s="24"/>
      <c r="G2419" s="24"/>
      <c r="H2419" s="24"/>
      <c r="J2419" s="24"/>
      <c r="K2419" s="24"/>
      <c r="M2419" s="24"/>
      <c r="N2419" s="24"/>
      <c r="P2419" s="24"/>
    </row>
    <row r="2420" spans="2:16" x14ac:dyDescent="0.25">
      <c r="B2420" s="24"/>
      <c r="E2420" s="24"/>
      <c r="G2420" s="24"/>
      <c r="H2420" s="24"/>
      <c r="J2420" s="24"/>
      <c r="K2420" s="24"/>
      <c r="M2420" s="24"/>
      <c r="N2420" s="24"/>
      <c r="P2420" s="24"/>
    </row>
    <row r="2421" spans="2:16" x14ac:dyDescent="0.25">
      <c r="B2421" s="24"/>
      <c r="E2421" s="24"/>
      <c r="G2421" s="24"/>
      <c r="H2421" s="24"/>
      <c r="J2421" s="24"/>
      <c r="K2421" s="24"/>
      <c r="M2421" s="24"/>
      <c r="N2421" s="24"/>
      <c r="P2421" s="24"/>
    </row>
    <row r="2422" spans="2:16" x14ac:dyDescent="0.25">
      <c r="B2422" s="24"/>
      <c r="E2422" s="24"/>
      <c r="G2422" s="24"/>
      <c r="H2422" s="24"/>
      <c r="J2422" s="24"/>
      <c r="K2422" s="24"/>
      <c r="M2422" s="24"/>
      <c r="N2422" s="24"/>
      <c r="P2422" s="24"/>
    </row>
    <row r="2423" spans="2:16" x14ac:dyDescent="0.25">
      <c r="B2423" s="24"/>
      <c r="E2423" s="24"/>
      <c r="G2423" s="24"/>
      <c r="H2423" s="24"/>
      <c r="J2423" s="24"/>
      <c r="K2423" s="24"/>
      <c r="M2423" s="24"/>
      <c r="N2423" s="24"/>
      <c r="P2423" s="24"/>
    </row>
    <row r="2424" spans="2:16" x14ac:dyDescent="0.25">
      <c r="B2424" s="24"/>
      <c r="E2424" s="24"/>
      <c r="G2424" s="24"/>
      <c r="H2424" s="24"/>
      <c r="J2424" s="24"/>
      <c r="K2424" s="24"/>
      <c r="M2424" s="24"/>
      <c r="N2424" s="24"/>
      <c r="P2424" s="24"/>
    </row>
    <row r="2425" spans="2:16" x14ac:dyDescent="0.25">
      <c r="B2425" s="24"/>
      <c r="E2425" s="24"/>
      <c r="G2425" s="24"/>
      <c r="H2425" s="24"/>
      <c r="J2425" s="24"/>
      <c r="K2425" s="24"/>
      <c r="M2425" s="24"/>
      <c r="N2425" s="24"/>
      <c r="P2425" s="24"/>
    </row>
    <row r="2426" spans="2:16" x14ac:dyDescent="0.25">
      <c r="B2426" s="24"/>
      <c r="E2426" s="24"/>
      <c r="G2426" s="24"/>
      <c r="H2426" s="24"/>
      <c r="J2426" s="24"/>
      <c r="K2426" s="24"/>
      <c r="M2426" s="24"/>
      <c r="N2426" s="24"/>
      <c r="P2426" s="24"/>
    </row>
    <row r="2427" spans="2:16" x14ac:dyDescent="0.25">
      <c r="B2427" s="24"/>
      <c r="E2427" s="24"/>
      <c r="G2427" s="24"/>
      <c r="H2427" s="24"/>
      <c r="J2427" s="24"/>
      <c r="K2427" s="24"/>
      <c r="M2427" s="24"/>
      <c r="N2427" s="24"/>
      <c r="P2427" s="24"/>
    </row>
    <row r="2428" spans="2:16" x14ac:dyDescent="0.25">
      <c r="B2428" s="24"/>
      <c r="E2428" s="24"/>
      <c r="G2428" s="24"/>
      <c r="H2428" s="24"/>
      <c r="J2428" s="24"/>
      <c r="K2428" s="24"/>
      <c r="M2428" s="24"/>
      <c r="N2428" s="24"/>
      <c r="P2428" s="24"/>
    </row>
    <row r="2429" spans="2:16" x14ac:dyDescent="0.25">
      <c r="B2429" s="24"/>
      <c r="E2429" s="24"/>
      <c r="G2429" s="24"/>
      <c r="H2429" s="24"/>
      <c r="J2429" s="24"/>
      <c r="K2429" s="24"/>
      <c r="M2429" s="24"/>
      <c r="N2429" s="24"/>
      <c r="P2429" s="24"/>
    </row>
    <row r="2430" spans="2:16" x14ac:dyDescent="0.25">
      <c r="B2430" s="24"/>
      <c r="E2430" s="24"/>
      <c r="G2430" s="24"/>
      <c r="H2430" s="24"/>
      <c r="J2430" s="24"/>
      <c r="K2430" s="24"/>
      <c r="M2430" s="24"/>
      <c r="N2430" s="24"/>
      <c r="P2430" s="24"/>
    </row>
    <row r="2431" spans="2:16" x14ac:dyDescent="0.25">
      <c r="B2431" s="24"/>
      <c r="E2431" s="24"/>
      <c r="G2431" s="24"/>
      <c r="H2431" s="24"/>
      <c r="J2431" s="24"/>
      <c r="K2431" s="24"/>
      <c r="M2431" s="24"/>
      <c r="N2431" s="24"/>
      <c r="P2431" s="24"/>
    </row>
    <row r="2432" spans="2:16" x14ac:dyDescent="0.25">
      <c r="B2432" s="24"/>
      <c r="E2432" s="24"/>
      <c r="G2432" s="24"/>
      <c r="H2432" s="24"/>
      <c r="J2432" s="24"/>
      <c r="K2432" s="24"/>
      <c r="M2432" s="24"/>
      <c r="N2432" s="24"/>
      <c r="P2432" s="24"/>
    </row>
    <row r="2433" spans="2:16" x14ac:dyDescent="0.25">
      <c r="B2433" s="24"/>
      <c r="E2433" s="24"/>
      <c r="G2433" s="24"/>
      <c r="H2433" s="24"/>
      <c r="J2433" s="24"/>
      <c r="K2433" s="24"/>
      <c r="M2433" s="24"/>
      <c r="N2433" s="24"/>
      <c r="P2433" s="24"/>
    </row>
    <row r="2434" spans="2:16" x14ac:dyDescent="0.25">
      <c r="B2434" s="24"/>
      <c r="E2434" s="24"/>
      <c r="G2434" s="24"/>
      <c r="H2434" s="24"/>
      <c r="J2434" s="24"/>
      <c r="K2434" s="24"/>
      <c r="M2434" s="24"/>
      <c r="N2434" s="24"/>
      <c r="P2434" s="24"/>
    </row>
    <row r="2435" spans="2:16" x14ac:dyDescent="0.25">
      <c r="B2435" s="24"/>
      <c r="E2435" s="24"/>
      <c r="G2435" s="24"/>
      <c r="H2435" s="24"/>
      <c r="J2435" s="24"/>
      <c r="K2435" s="24"/>
      <c r="M2435" s="24"/>
      <c r="N2435" s="24"/>
      <c r="P2435" s="24"/>
    </row>
    <row r="2436" spans="2:16" x14ac:dyDescent="0.25">
      <c r="B2436" s="24"/>
      <c r="E2436" s="24"/>
      <c r="G2436" s="24"/>
      <c r="H2436" s="24"/>
      <c r="J2436" s="24"/>
      <c r="K2436" s="24"/>
      <c r="M2436" s="24"/>
      <c r="N2436" s="24"/>
      <c r="P2436" s="24"/>
    </row>
    <row r="2437" spans="2:16" x14ac:dyDescent="0.25">
      <c r="B2437" s="24"/>
      <c r="E2437" s="24"/>
      <c r="G2437" s="24"/>
      <c r="H2437" s="24"/>
      <c r="J2437" s="24"/>
      <c r="K2437" s="24"/>
      <c r="M2437" s="24"/>
      <c r="N2437" s="24"/>
      <c r="P2437" s="24"/>
    </row>
    <row r="2438" spans="2:16" x14ac:dyDescent="0.25">
      <c r="B2438" s="24"/>
      <c r="E2438" s="24"/>
      <c r="G2438" s="24"/>
      <c r="H2438" s="24"/>
      <c r="J2438" s="24"/>
      <c r="K2438" s="24"/>
      <c r="M2438" s="24"/>
      <c r="N2438" s="24"/>
      <c r="P2438" s="24"/>
    </row>
    <row r="2439" spans="2:16" x14ac:dyDescent="0.25">
      <c r="B2439" s="24"/>
      <c r="E2439" s="24"/>
      <c r="G2439" s="24"/>
      <c r="H2439" s="24"/>
      <c r="J2439" s="24"/>
      <c r="K2439" s="24"/>
      <c r="M2439" s="24"/>
      <c r="N2439" s="24"/>
      <c r="P2439" s="24"/>
    </row>
    <row r="2440" spans="2:16" x14ac:dyDescent="0.25">
      <c r="B2440" s="24"/>
      <c r="E2440" s="24"/>
      <c r="G2440" s="24"/>
      <c r="H2440" s="24"/>
      <c r="J2440" s="24"/>
      <c r="K2440" s="24"/>
      <c r="M2440" s="24"/>
      <c r="N2440" s="24"/>
      <c r="P2440" s="24"/>
    </row>
    <row r="2441" spans="2:16" x14ac:dyDescent="0.25">
      <c r="B2441" s="24"/>
      <c r="E2441" s="24"/>
      <c r="G2441" s="24"/>
      <c r="H2441" s="24"/>
      <c r="J2441" s="24"/>
      <c r="K2441" s="24"/>
      <c r="M2441" s="24"/>
      <c r="N2441" s="24"/>
      <c r="P2441" s="24"/>
    </row>
    <row r="2442" spans="2:16" x14ac:dyDescent="0.25">
      <c r="B2442" s="24"/>
      <c r="E2442" s="24"/>
      <c r="G2442" s="24"/>
      <c r="H2442" s="24"/>
      <c r="J2442" s="24"/>
      <c r="K2442" s="24"/>
      <c r="M2442" s="24"/>
      <c r="N2442" s="24"/>
      <c r="P2442" s="24"/>
    </row>
    <row r="2443" spans="2:16" x14ac:dyDescent="0.25">
      <c r="B2443" s="24"/>
      <c r="E2443" s="24"/>
      <c r="G2443" s="24"/>
      <c r="H2443" s="24"/>
      <c r="J2443" s="24"/>
      <c r="K2443" s="24"/>
      <c r="M2443" s="24"/>
      <c r="N2443" s="24"/>
      <c r="P2443" s="24"/>
    </row>
    <row r="2444" spans="2:16" x14ac:dyDescent="0.25">
      <c r="B2444" s="24"/>
      <c r="E2444" s="24"/>
      <c r="G2444" s="24"/>
      <c r="H2444" s="24"/>
      <c r="J2444" s="24"/>
      <c r="K2444" s="24"/>
      <c r="M2444" s="24"/>
      <c r="N2444" s="24"/>
      <c r="P2444" s="24"/>
    </row>
    <row r="2445" spans="2:16" x14ac:dyDescent="0.25">
      <c r="B2445" s="24"/>
      <c r="E2445" s="24"/>
      <c r="G2445" s="24"/>
      <c r="H2445" s="24"/>
      <c r="J2445" s="24"/>
      <c r="K2445" s="24"/>
      <c r="M2445" s="24"/>
      <c r="N2445" s="24"/>
      <c r="P2445" s="24"/>
    </row>
    <row r="2446" spans="2:16" x14ac:dyDescent="0.25">
      <c r="B2446" s="24"/>
      <c r="E2446" s="24"/>
      <c r="G2446" s="24"/>
      <c r="H2446" s="24"/>
      <c r="J2446" s="24"/>
      <c r="K2446" s="24"/>
      <c r="M2446" s="24"/>
      <c r="N2446" s="24"/>
      <c r="P2446" s="24"/>
    </row>
    <row r="2447" spans="2:16" x14ac:dyDescent="0.25">
      <c r="B2447" s="24"/>
      <c r="E2447" s="24"/>
      <c r="G2447" s="24"/>
      <c r="H2447" s="24"/>
      <c r="J2447" s="24"/>
      <c r="K2447" s="24"/>
      <c r="M2447" s="24"/>
      <c r="N2447" s="24"/>
      <c r="P2447" s="24"/>
    </row>
    <row r="2448" spans="2:16" x14ac:dyDescent="0.25">
      <c r="B2448" s="24"/>
      <c r="E2448" s="24"/>
      <c r="G2448" s="24"/>
      <c r="H2448" s="24"/>
      <c r="J2448" s="24"/>
      <c r="K2448" s="24"/>
      <c r="M2448" s="24"/>
      <c r="N2448" s="24"/>
      <c r="P2448" s="24"/>
    </row>
    <row r="2449" spans="2:16" x14ac:dyDescent="0.25">
      <c r="B2449" s="24"/>
      <c r="E2449" s="24"/>
      <c r="G2449" s="24"/>
      <c r="H2449" s="24"/>
      <c r="J2449" s="24"/>
      <c r="K2449" s="24"/>
      <c r="M2449" s="24"/>
      <c r="N2449" s="24"/>
      <c r="P2449" s="24"/>
    </row>
    <row r="2450" spans="2:16" x14ac:dyDescent="0.25">
      <c r="B2450" s="24"/>
      <c r="E2450" s="24"/>
      <c r="G2450" s="24"/>
      <c r="H2450" s="24"/>
      <c r="J2450" s="24"/>
      <c r="K2450" s="24"/>
      <c r="M2450" s="24"/>
      <c r="N2450" s="24"/>
      <c r="P2450" s="24"/>
    </row>
    <row r="2451" spans="2:16" x14ac:dyDescent="0.25">
      <c r="B2451" s="24"/>
      <c r="E2451" s="24"/>
      <c r="G2451" s="24"/>
      <c r="H2451" s="24"/>
      <c r="J2451" s="24"/>
      <c r="K2451" s="24"/>
      <c r="M2451" s="24"/>
      <c r="N2451" s="24"/>
      <c r="P2451" s="24"/>
    </row>
    <row r="2452" spans="2:16" x14ac:dyDescent="0.25">
      <c r="B2452" s="24"/>
      <c r="E2452" s="24"/>
      <c r="G2452" s="24"/>
      <c r="H2452" s="24"/>
      <c r="J2452" s="24"/>
      <c r="K2452" s="24"/>
      <c r="M2452" s="24"/>
      <c r="N2452" s="24"/>
      <c r="P2452" s="24"/>
    </row>
    <row r="2453" spans="2:16" x14ac:dyDescent="0.25">
      <c r="B2453" s="24"/>
      <c r="E2453" s="24"/>
      <c r="G2453" s="24"/>
      <c r="H2453" s="24"/>
      <c r="J2453" s="24"/>
      <c r="K2453" s="24"/>
      <c r="M2453" s="24"/>
      <c r="N2453" s="24"/>
      <c r="P2453" s="24"/>
    </row>
    <row r="2454" spans="2:16" x14ac:dyDescent="0.25">
      <c r="B2454" s="24"/>
      <c r="E2454" s="24"/>
      <c r="G2454" s="24"/>
      <c r="H2454" s="24"/>
      <c r="J2454" s="24"/>
      <c r="K2454" s="24"/>
      <c r="M2454" s="24"/>
      <c r="N2454" s="24"/>
      <c r="P2454" s="24"/>
    </row>
    <row r="2455" spans="2:16" x14ac:dyDescent="0.25">
      <c r="B2455" s="24"/>
      <c r="E2455" s="24"/>
      <c r="G2455" s="24"/>
      <c r="H2455" s="24"/>
      <c r="J2455" s="24"/>
      <c r="K2455" s="24"/>
      <c r="M2455" s="24"/>
      <c r="N2455" s="24"/>
      <c r="P2455" s="24"/>
    </row>
    <row r="2456" spans="2:16" x14ac:dyDescent="0.25">
      <c r="B2456" s="24"/>
      <c r="E2456" s="24"/>
      <c r="G2456" s="24"/>
      <c r="H2456" s="24"/>
      <c r="J2456" s="24"/>
      <c r="K2456" s="24"/>
      <c r="M2456" s="24"/>
      <c r="N2456" s="24"/>
      <c r="P2456" s="24"/>
    </row>
    <row r="2457" spans="2:16" x14ac:dyDescent="0.25">
      <c r="B2457" s="24"/>
      <c r="E2457" s="24"/>
      <c r="G2457" s="24"/>
      <c r="H2457" s="24"/>
      <c r="J2457" s="24"/>
      <c r="K2457" s="24"/>
      <c r="M2457" s="24"/>
      <c r="N2457" s="24"/>
      <c r="P2457" s="24"/>
    </row>
    <row r="2458" spans="2:16" x14ac:dyDescent="0.25">
      <c r="B2458" s="24"/>
      <c r="E2458" s="24"/>
      <c r="G2458" s="24"/>
      <c r="H2458" s="24"/>
      <c r="J2458" s="24"/>
      <c r="K2458" s="24"/>
      <c r="M2458" s="24"/>
      <c r="N2458" s="24"/>
      <c r="P2458" s="24"/>
    </row>
    <row r="2459" spans="2:16" x14ac:dyDescent="0.25">
      <c r="B2459" s="24"/>
      <c r="E2459" s="24"/>
      <c r="G2459" s="24"/>
      <c r="H2459" s="24"/>
      <c r="J2459" s="24"/>
      <c r="K2459" s="24"/>
      <c r="M2459" s="24"/>
      <c r="N2459" s="24"/>
      <c r="P2459" s="24"/>
    </row>
    <row r="2460" spans="2:16" x14ac:dyDescent="0.25">
      <c r="B2460" s="24"/>
      <c r="E2460" s="24"/>
      <c r="G2460" s="24"/>
      <c r="H2460" s="24"/>
      <c r="J2460" s="24"/>
      <c r="K2460" s="24"/>
      <c r="M2460" s="24"/>
      <c r="N2460" s="24"/>
      <c r="P2460" s="24"/>
    </row>
    <row r="2461" spans="2:16" x14ac:dyDescent="0.25">
      <c r="B2461" s="24"/>
      <c r="E2461" s="24"/>
      <c r="G2461" s="24"/>
      <c r="H2461" s="24"/>
      <c r="J2461" s="24"/>
      <c r="K2461" s="24"/>
      <c r="M2461" s="24"/>
      <c r="N2461" s="24"/>
      <c r="P2461" s="24"/>
    </row>
    <row r="2462" spans="2:16" x14ac:dyDescent="0.25">
      <c r="B2462" s="24"/>
      <c r="E2462" s="24"/>
      <c r="G2462" s="24"/>
      <c r="H2462" s="24"/>
      <c r="J2462" s="24"/>
      <c r="K2462" s="24"/>
      <c r="M2462" s="24"/>
      <c r="N2462" s="24"/>
      <c r="P2462" s="24"/>
    </row>
    <row r="2463" spans="2:16" x14ac:dyDescent="0.25">
      <c r="B2463" s="24"/>
      <c r="E2463" s="24"/>
      <c r="G2463" s="24"/>
      <c r="H2463" s="24"/>
      <c r="J2463" s="24"/>
      <c r="K2463" s="24"/>
      <c r="M2463" s="24"/>
      <c r="N2463" s="24"/>
      <c r="P2463" s="24"/>
    </row>
    <row r="2464" spans="2:16" x14ac:dyDescent="0.25">
      <c r="B2464" s="24"/>
      <c r="E2464" s="24"/>
      <c r="G2464" s="24"/>
      <c r="H2464" s="24"/>
      <c r="J2464" s="24"/>
      <c r="K2464" s="24"/>
      <c r="M2464" s="24"/>
      <c r="N2464" s="24"/>
      <c r="P2464" s="24"/>
    </row>
    <row r="2465" spans="2:16" x14ac:dyDescent="0.25">
      <c r="B2465" s="24"/>
      <c r="E2465" s="24"/>
      <c r="G2465" s="24"/>
      <c r="H2465" s="24"/>
      <c r="J2465" s="24"/>
      <c r="K2465" s="24"/>
      <c r="M2465" s="24"/>
      <c r="N2465" s="24"/>
      <c r="P2465" s="24"/>
    </row>
    <row r="2466" spans="2:16" x14ac:dyDescent="0.25">
      <c r="B2466" s="24"/>
      <c r="E2466" s="24"/>
      <c r="G2466" s="24"/>
      <c r="H2466" s="24"/>
      <c r="J2466" s="24"/>
      <c r="K2466" s="24"/>
      <c r="M2466" s="24"/>
      <c r="N2466" s="24"/>
      <c r="P2466" s="24"/>
    </row>
    <row r="2467" spans="2:16" x14ac:dyDescent="0.25">
      <c r="B2467" s="24"/>
      <c r="E2467" s="24"/>
      <c r="G2467" s="24"/>
      <c r="H2467" s="24"/>
      <c r="J2467" s="24"/>
      <c r="K2467" s="24"/>
      <c r="M2467" s="24"/>
      <c r="N2467" s="24"/>
      <c r="P2467" s="24"/>
    </row>
    <row r="2468" spans="2:16" x14ac:dyDescent="0.25">
      <c r="B2468" s="24"/>
      <c r="E2468" s="24"/>
      <c r="G2468" s="24"/>
      <c r="H2468" s="24"/>
      <c r="J2468" s="24"/>
      <c r="K2468" s="24"/>
      <c r="M2468" s="24"/>
      <c r="N2468" s="24"/>
      <c r="P2468" s="24"/>
    </row>
    <row r="2469" spans="2:16" x14ac:dyDescent="0.25">
      <c r="B2469" s="24"/>
      <c r="E2469" s="24"/>
      <c r="G2469" s="24"/>
      <c r="H2469" s="24"/>
      <c r="J2469" s="24"/>
      <c r="K2469" s="24"/>
      <c r="M2469" s="24"/>
      <c r="N2469" s="24"/>
      <c r="P2469" s="24"/>
    </row>
    <row r="2470" spans="2:16" x14ac:dyDescent="0.25">
      <c r="B2470" s="24"/>
      <c r="E2470" s="24"/>
      <c r="G2470" s="24"/>
      <c r="H2470" s="24"/>
      <c r="J2470" s="24"/>
      <c r="K2470" s="24"/>
      <c r="M2470" s="24"/>
      <c r="N2470" s="24"/>
      <c r="P2470" s="24"/>
    </row>
    <row r="2471" spans="2:16" x14ac:dyDescent="0.25">
      <c r="B2471" s="24"/>
      <c r="E2471" s="24"/>
      <c r="G2471" s="24"/>
      <c r="H2471" s="24"/>
      <c r="J2471" s="24"/>
      <c r="K2471" s="24"/>
      <c r="M2471" s="24"/>
      <c r="N2471" s="24"/>
      <c r="P2471" s="24"/>
    </row>
    <row r="2472" spans="2:16" x14ac:dyDescent="0.25">
      <c r="B2472" s="24"/>
      <c r="E2472" s="24"/>
      <c r="G2472" s="24"/>
      <c r="H2472" s="24"/>
      <c r="J2472" s="24"/>
      <c r="K2472" s="24"/>
      <c r="M2472" s="24"/>
      <c r="N2472" s="24"/>
      <c r="P2472" s="24"/>
    </row>
    <row r="2473" spans="2:16" x14ac:dyDescent="0.25">
      <c r="B2473" s="24"/>
      <c r="E2473" s="24"/>
      <c r="G2473" s="24"/>
      <c r="H2473" s="24"/>
      <c r="J2473" s="24"/>
      <c r="K2473" s="24"/>
      <c r="M2473" s="24"/>
      <c r="N2473" s="24"/>
      <c r="P2473" s="24"/>
    </row>
    <row r="2474" spans="2:16" x14ac:dyDescent="0.25">
      <c r="B2474" s="24"/>
      <c r="E2474" s="24"/>
      <c r="G2474" s="24"/>
      <c r="H2474" s="24"/>
      <c r="J2474" s="24"/>
      <c r="K2474" s="24"/>
      <c r="M2474" s="24"/>
      <c r="N2474" s="24"/>
      <c r="P2474" s="24"/>
    </row>
    <row r="2475" spans="2:16" x14ac:dyDescent="0.25">
      <c r="B2475" s="24"/>
      <c r="E2475" s="24"/>
      <c r="G2475" s="24"/>
      <c r="H2475" s="24"/>
      <c r="J2475" s="24"/>
      <c r="K2475" s="24"/>
      <c r="M2475" s="24"/>
      <c r="N2475" s="24"/>
      <c r="P2475" s="24"/>
    </row>
    <row r="2476" spans="2:16" x14ac:dyDescent="0.25">
      <c r="B2476" s="24"/>
      <c r="E2476" s="24"/>
      <c r="G2476" s="24"/>
      <c r="H2476" s="24"/>
      <c r="J2476" s="24"/>
      <c r="K2476" s="24"/>
      <c r="M2476" s="24"/>
      <c r="N2476" s="24"/>
      <c r="P2476" s="24"/>
    </row>
    <row r="2477" spans="2:16" x14ac:dyDescent="0.25">
      <c r="B2477" s="24"/>
      <c r="E2477" s="24"/>
      <c r="G2477" s="24"/>
      <c r="H2477" s="24"/>
      <c r="J2477" s="24"/>
      <c r="K2477" s="24"/>
      <c r="M2477" s="24"/>
      <c r="N2477" s="24"/>
      <c r="P2477" s="24"/>
    </row>
    <row r="2478" spans="2:16" x14ac:dyDescent="0.25">
      <c r="B2478" s="24"/>
      <c r="E2478" s="24"/>
      <c r="G2478" s="24"/>
      <c r="H2478" s="24"/>
      <c r="J2478" s="24"/>
      <c r="K2478" s="24"/>
      <c r="M2478" s="24"/>
      <c r="N2478" s="24"/>
      <c r="P2478" s="24"/>
    </row>
    <row r="2479" spans="2:16" x14ac:dyDescent="0.25">
      <c r="B2479" s="24"/>
      <c r="E2479" s="24"/>
      <c r="G2479" s="24"/>
      <c r="H2479" s="24"/>
      <c r="J2479" s="24"/>
      <c r="K2479" s="24"/>
      <c r="M2479" s="24"/>
      <c r="N2479" s="24"/>
      <c r="P2479" s="24"/>
    </row>
    <row r="2480" spans="2:16" x14ac:dyDescent="0.25">
      <c r="B2480" s="24"/>
      <c r="E2480" s="24"/>
      <c r="G2480" s="24"/>
      <c r="H2480" s="24"/>
      <c r="J2480" s="24"/>
      <c r="K2480" s="24"/>
      <c r="M2480" s="24"/>
      <c r="N2480" s="24"/>
      <c r="P2480" s="24"/>
    </row>
    <row r="2481" spans="2:16" x14ac:dyDescent="0.25">
      <c r="B2481" s="24"/>
      <c r="E2481" s="24"/>
      <c r="G2481" s="24"/>
      <c r="H2481" s="24"/>
      <c r="J2481" s="24"/>
      <c r="K2481" s="24"/>
      <c r="M2481" s="24"/>
      <c r="N2481" s="24"/>
      <c r="P2481" s="24"/>
    </row>
    <row r="2482" spans="2:16" x14ac:dyDescent="0.25">
      <c r="B2482" s="24"/>
      <c r="E2482" s="24"/>
      <c r="G2482" s="24"/>
      <c r="H2482" s="24"/>
      <c r="J2482" s="24"/>
      <c r="K2482" s="24"/>
      <c r="M2482" s="24"/>
      <c r="N2482" s="24"/>
      <c r="P2482" s="24"/>
    </row>
    <row r="2483" spans="2:16" x14ac:dyDescent="0.25">
      <c r="B2483" s="24"/>
      <c r="E2483" s="24"/>
      <c r="G2483" s="24"/>
      <c r="H2483" s="24"/>
      <c r="J2483" s="24"/>
      <c r="K2483" s="24"/>
      <c r="M2483" s="24"/>
      <c r="N2483" s="24"/>
      <c r="P2483" s="24"/>
    </row>
    <row r="2484" spans="2:16" x14ac:dyDescent="0.25">
      <c r="B2484" s="24"/>
      <c r="E2484" s="24"/>
      <c r="G2484" s="24"/>
      <c r="H2484" s="24"/>
      <c r="J2484" s="24"/>
      <c r="K2484" s="24"/>
      <c r="M2484" s="24"/>
      <c r="N2484" s="24"/>
      <c r="P2484" s="24"/>
    </row>
    <row r="2485" spans="2:16" x14ac:dyDescent="0.25">
      <c r="B2485" s="24"/>
      <c r="E2485" s="24"/>
      <c r="G2485" s="24"/>
      <c r="H2485" s="24"/>
      <c r="J2485" s="24"/>
      <c r="K2485" s="24"/>
      <c r="M2485" s="24"/>
      <c r="N2485" s="24"/>
      <c r="P2485" s="24"/>
    </row>
    <row r="2486" spans="2:16" x14ac:dyDescent="0.25">
      <c r="B2486" s="24"/>
      <c r="E2486" s="24"/>
      <c r="G2486" s="24"/>
      <c r="H2486" s="24"/>
      <c r="J2486" s="24"/>
      <c r="K2486" s="24"/>
      <c r="M2486" s="24"/>
      <c r="N2486" s="24"/>
      <c r="P2486" s="24"/>
    </row>
    <row r="2487" spans="2:16" x14ac:dyDescent="0.25">
      <c r="B2487" s="24"/>
      <c r="E2487" s="24"/>
      <c r="G2487" s="24"/>
      <c r="H2487" s="24"/>
      <c r="J2487" s="24"/>
      <c r="K2487" s="24"/>
      <c r="M2487" s="24"/>
      <c r="N2487" s="24"/>
      <c r="P2487" s="24"/>
    </row>
    <row r="2488" spans="2:16" x14ac:dyDescent="0.25">
      <c r="B2488" s="24"/>
      <c r="E2488" s="24"/>
      <c r="G2488" s="24"/>
      <c r="H2488" s="24"/>
      <c r="J2488" s="24"/>
      <c r="K2488" s="24"/>
      <c r="M2488" s="24"/>
      <c r="N2488" s="24"/>
      <c r="P2488" s="24"/>
    </row>
    <row r="2489" spans="2:16" x14ac:dyDescent="0.25">
      <c r="B2489" s="24"/>
      <c r="E2489" s="24"/>
      <c r="G2489" s="24"/>
      <c r="H2489" s="24"/>
      <c r="J2489" s="24"/>
      <c r="K2489" s="24"/>
      <c r="M2489" s="24"/>
      <c r="N2489" s="24"/>
      <c r="P2489" s="24"/>
    </row>
    <row r="2490" spans="2:16" x14ac:dyDescent="0.25">
      <c r="B2490" s="24"/>
      <c r="E2490" s="24"/>
      <c r="G2490" s="24"/>
      <c r="H2490" s="24"/>
      <c r="J2490" s="24"/>
      <c r="K2490" s="24"/>
      <c r="M2490" s="24"/>
      <c r="N2490" s="24"/>
      <c r="P2490" s="24"/>
    </row>
    <row r="2491" spans="2:16" x14ac:dyDescent="0.25">
      <c r="B2491" s="24"/>
      <c r="E2491" s="24"/>
      <c r="G2491" s="24"/>
      <c r="H2491" s="24"/>
      <c r="J2491" s="24"/>
      <c r="K2491" s="24"/>
      <c r="M2491" s="24"/>
      <c r="N2491" s="24"/>
      <c r="P2491" s="24"/>
    </row>
    <row r="2492" spans="2:16" x14ac:dyDescent="0.25">
      <c r="B2492" s="24"/>
      <c r="E2492" s="24"/>
      <c r="G2492" s="24"/>
      <c r="H2492" s="24"/>
      <c r="J2492" s="24"/>
      <c r="K2492" s="24"/>
      <c r="M2492" s="24"/>
      <c r="N2492" s="24"/>
      <c r="P2492" s="24"/>
    </row>
    <row r="2493" spans="2:16" x14ac:dyDescent="0.25">
      <c r="B2493" s="24"/>
      <c r="E2493" s="24"/>
      <c r="G2493" s="24"/>
      <c r="H2493" s="24"/>
      <c r="J2493" s="24"/>
      <c r="K2493" s="24"/>
      <c r="M2493" s="24"/>
      <c r="N2493" s="24"/>
      <c r="P2493" s="24"/>
    </row>
    <row r="2494" spans="2:16" x14ac:dyDescent="0.25">
      <c r="B2494" s="24"/>
      <c r="E2494" s="24"/>
      <c r="G2494" s="24"/>
      <c r="H2494" s="24"/>
      <c r="J2494" s="24"/>
      <c r="K2494" s="24"/>
      <c r="M2494" s="24"/>
      <c r="N2494" s="24"/>
      <c r="P2494" s="24"/>
    </row>
    <row r="2495" spans="2:16" x14ac:dyDescent="0.25">
      <c r="B2495" s="24"/>
      <c r="E2495" s="24"/>
      <c r="G2495" s="24"/>
      <c r="H2495" s="24"/>
      <c r="J2495" s="24"/>
      <c r="K2495" s="24"/>
      <c r="M2495" s="24"/>
      <c r="N2495" s="24"/>
      <c r="P2495" s="24"/>
    </row>
    <row r="2496" spans="2:16" x14ac:dyDescent="0.25">
      <c r="B2496" s="24"/>
      <c r="E2496" s="24"/>
      <c r="G2496" s="24"/>
      <c r="H2496" s="24"/>
      <c r="J2496" s="24"/>
      <c r="K2496" s="24"/>
      <c r="M2496" s="24"/>
      <c r="N2496" s="24"/>
      <c r="P2496" s="24"/>
    </row>
    <row r="2497" spans="2:16" x14ac:dyDescent="0.25">
      <c r="B2497" s="24"/>
      <c r="E2497" s="24"/>
      <c r="G2497" s="24"/>
      <c r="H2497" s="24"/>
      <c r="J2497" s="24"/>
      <c r="K2497" s="24"/>
      <c r="M2497" s="24"/>
      <c r="N2497" s="24"/>
      <c r="P2497" s="24"/>
    </row>
    <row r="2498" spans="2:16" x14ac:dyDescent="0.25">
      <c r="B2498" s="24"/>
      <c r="E2498" s="24"/>
      <c r="G2498" s="24"/>
      <c r="H2498" s="24"/>
      <c r="J2498" s="24"/>
      <c r="K2498" s="24"/>
      <c r="M2498" s="24"/>
      <c r="N2498" s="24"/>
      <c r="P2498" s="24"/>
    </row>
    <row r="2499" spans="2:16" x14ac:dyDescent="0.25">
      <c r="B2499" s="24"/>
      <c r="E2499" s="24"/>
      <c r="G2499" s="24"/>
      <c r="H2499" s="24"/>
      <c r="J2499" s="24"/>
      <c r="K2499" s="24"/>
      <c r="M2499" s="24"/>
      <c r="N2499" s="24"/>
      <c r="P2499" s="24"/>
    </row>
    <row r="2500" spans="2:16" x14ac:dyDescent="0.25">
      <c r="B2500" s="24"/>
      <c r="E2500" s="24"/>
      <c r="G2500" s="24"/>
      <c r="H2500" s="24"/>
      <c r="J2500" s="24"/>
      <c r="K2500" s="24"/>
      <c r="M2500" s="24"/>
      <c r="N2500" s="24"/>
      <c r="P2500" s="24"/>
    </row>
    <row r="2501" spans="2:16" x14ac:dyDescent="0.25">
      <c r="B2501" s="24"/>
      <c r="E2501" s="24"/>
      <c r="G2501" s="24"/>
      <c r="H2501" s="24"/>
      <c r="J2501" s="24"/>
      <c r="K2501" s="24"/>
      <c r="M2501" s="24"/>
      <c r="N2501" s="24"/>
      <c r="P2501" s="24"/>
    </row>
    <row r="2502" spans="2:16" x14ac:dyDescent="0.25">
      <c r="B2502" s="24"/>
      <c r="E2502" s="24"/>
      <c r="G2502" s="24"/>
      <c r="H2502" s="24"/>
      <c r="J2502" s="24"/>
      <c r="K2502" s="24"/>
      <c r="M2502" s="24"/>
      <c r="N2502" s="24"/>
      <c r="P2502" s="24"/>
    </row>
    <row r="2503" spans="2:16" x14ac:dyDescent="0.25">
      <c r="B2503" s="24"/>
      <c r="E2503" s="24"/>
      <c r="G2503" s="24"/>
      <c r="H2503" s="24"/>
      <c r="J2503" s="24"/>
      <c r="K2503" s="24"/>
      <c r="M2503" s="24"/>
      <c r="N2503" s="24"/>
      <c r="P2503" s="24"/>
    </row>
    <row r="2504" spans="2:16" x14ac:dyDescent="0.25">
      <c r="B2504" s="24"/>
      <c r="E2504" s="24"/>
      <c r="G2504" s="24"/>
      <c r="H2504" s="24"/>
      <c r="J2504" s="24"/>
      <c r="K2504" s="24"/>
      <c r="M2504" s="24"/>
      <c r="N2504" s="24"/>
      <c r="P2504" s="24"/>
    </row>
    <row r="2505" spans="2:16" x14ac:dyDescent="0.25">
      <c r="B2505" s="24"/>
      <c r="E2505" s="24"/>
      <c r="G2505" s="24"/>
      <c r="H2505" s="24"/>
      <c r="J2505" s="24"/>
      <c r="K2505" s="24"/>
      <c r="M2505" s="24"/>
      <c r="N2505" s="24"/>
      <c r="P2505" s="24"/>
    </row>
    <row r="2506" spans="2:16" x14ac:dyDescent="0.25">
      <c r="B2506" s="24"/>
      <c r="E2506" s="24"/>
      <c r="G2506" s="24"/>
      <c r="H2506" s="24"/>
      <c r="J2506" s="24"/>
      <c r="K2506" s="24"/>
      <c r="M2506" s="24"/>
      <c r="N2506" s="24"/>
      <c r="P2506" s="24"/>
    </row>
    <row r="2507" spans="2:16" x14ac:dyDescent="0.25">
      <c r="B2507" s="24"/>
      <c r="E2507" s="24"/>
      <c r="G2507" s="24"/>
      <c r="H2507" s="24"/>
      <c r="J2507" s="24"/>
      <c r="K2507" s="24"/>
      <c r="M2507" s="24"/>
      <c r="N2507" s="24"/>
      <c r="P2507" s="24"/>
    </row>
    <row r="2508" spans="2:16" x14ac:dyDescent="0.25">
      <c r="B2508" s="24"/>
      <c r="E2508" s="24"/>
      <c r="G2508" s="24"/>
      <c r="H2508" s="24"/>
      <c r="J2508" s="24"/>
      <c r="K2508" s="24"/>
      <c r="M2508" s="24"/>
      <c r="N2508" s="24"/>
      <c r="P2508" s="24"/>
    </row>
    <row r="2509" spans="2:16" x14ac:dyDescent="0.25">
      <c r="B2509" s="24"/>
      <c r="E2509" s="24"/>
      <c r="G2509" s="24"/>
      <c r="H2509" s="24"/>
      <c r="J2509" s="24"/>
      <c r="K2509" s="24"/>
      <c r="M2509" s="24"/>
      <c r="N2509" s="24"/>
      <c r="P2509" s="24"/>
    </row>
    <row r="2510" spans="2:16" x14ac:dyDescent="0.25">
      <c r="B2510" s="24"/>
      <c r="E2510" s="24"/>
      <c r="G2510" s="24"/>
      <c r="H2510" s="24"/>
      <c r="J2510" s="24"/>
      <c r="K2510" s="24"/>
      <c r="M2510" s="24"/>
      <c r="N2510" s="24"/>
      <c r="P2510" s="24"/>
    </row>
    <row r="2511" spans="2:16" x14ac:dyDescent="0.25">
      <c r="B2511" s="24"/>
      <c r="E2511" s="24"/>
      <c r="G2511" s="24"/>
      <c r="H2511" s="24"/>
      <c r="J2511" s="24"/>
      <c r="K2511" s="24"/>
      <c r="M2511" s="24"/>
      <c r="N2511" s="24"/>
      <c r="P2511" s="24"/>
    </row>
    <row r="2512" spans="2:16" x14ac:dyDescent="0.25">
      <c r="B2512" s="24"/>
      <c r="E2512" s="24"/>
      <c r="G2512" s="24"/>
      <c r="H2512" s="24"/>
      <c r="J2512" s="24"/>
      <c r="K2512" s="24"/>
      <c r="M2512" s="24"/>
      <c r="N2512" s="24"/>
      <c r="P2512" s="24"/>
    </row>
    <row r="2513" spans="2:16" x14ac:dyDescent="0.25">
      <c r="B2513" s="24"/>
      <c r="E2513" s="24"/>
      <c r="G2513" s="24"/>
      <c r="H2513" s="24"/>
      <c r="J2513" s="24"/>
      <c r="K2513" s="24"/>
      <c r="M2513" s="24"/>
      <c r="N2513" s="24"/>
      <c r="P2513" s="24"/>
    </row>
    <row r="2514" spans="2:16" x14ac:dyDescent="0.25">
      <c r="B2514" s="24"/>
      <c r="E2514" s="24"/>
      <c r="G2514" s="24"/>
      <c r="H2514" s="24"/>
      <c r="J2514" s="24"/>
      <c r="K2514" s="24"/>
      <c r="M2514" s="24"/>
      <c r="N2514" s="24"/>
      <c r="P2514" s="24"/>
    </row>
    <row r="2515" spans="2:16" x14ac:dyDescent="0.25">
      <c r="B2515" s="24"/>
      <c r="E2515" s="24"/>
      <c r="G2515" s="24"/>
      <c r="H2515" s="24"/>
      <c r="J2515" s="24"/>
      <c r="K2515" s="24"/>
      <c r="M2515" s="24"/>
      <c r="N2515" s="24"/>
      <c r="P2515" s="24"/>
    </row>
    <row r="2516" spans="2:16" x14ac:dyDescent="0.25">
      <c r="B2516" s="24"/>
      <c r="E2516" s="24"/>
      <c r="G2516" s="24"/>
      <c r="H2516" s="24"/>
      <c r="J2516" s="24"/>
      <c r="K2516" s="24"/>
      <c r="M2516" s="24"/>
      <c r="N2516" s="24"/>
      <c r="P2516" s="24"/>
    </row>
    <row r="2517" spans="2:16" x14ac:dyDescent="0.25">
      <c r="B2517" s="24"/>
      <c r="E2517" s="24"/>
      <c r="G2517" s="24"/>
      <c r="H2517" s="24"/>
      <c r="J2517" s="24"/>
      <c r="K2517" s="24"/>
      <c r="M2517" s="24"/>
      <c r="N2517" s="24"/>
      <c r="P2517" s="24"/>
    </row>
    <row r="2518" spans="2:16" x14ac:dyDescent="0.25">
      <c r="B2518" s="24"/>
      <c r="E2518" s="24"/>
      <c r="G2518" s="24"/>
      <c r="H2518" s="24"/>
      <c r="J2518" s="24"/>
      <c r="K2518" s="24"/>
      <c r="M2518" s="24"/>
      <c r="N2518" s="24"/>
      <c r="P2518" s="24"/>
    </row>
    <row r="2519" spans="2:16" x14ac:dyDescent="0.25">
      <c r="B2519" s="24"/>
      <c r="E2519" s="24"/>
      <c r="G2519" s="24"/>
      <c r="H2519" s="24"/>
      <c r="J2519" s="24"/>
      <c r="K2519" s="24"/>
      <c r="M2519" s="24"/>
      <c r="N2519" s="24"/>
      <c r="P2519" s="24"/>
    </row>
    <row r="2520" spans="2:16" x14ac:dyDescent="0.25">
      <c r="B2520" s="24"/>
      <c r="E2520" s="24"/>
      <c r="G2520" s="24"/>
      <c r="H2520" s="24"/>
      <c r="J2520" s="24"/>
      <c r="K2520" s="24"/>
      <c r="M2520" s="24"/>
      <c r="N2520" s="24"/>
      <c r="P2520" s="24"/>
    </row>
    <row r="2521" spans="2:16" x14ac:dyDescent="0.25">
      <c r="B2521" s="24"/>
      <c r="E2521" s="24"/>
      <c r="G2521" s="24"/>
      <c r="H2521" s="24"/>
      <c r="J2521" s="24"/>
      <c r="K2521" s="24"/>
      <c r="M2521" s="24"/>
      <c r="N2521" s="24"/>
      <c r="P2521" s="24"/>
    </row>
    <row r="2522" spans="2:16" x14ac:dyDescent="0.25">
      <c r="B2522" s="24"/>
      <c r="E2522" s="24"/>
      <c r="G2522" s="24"/>
      <c r="H2522" s="24"/>
      <c r="J2522" s="24"/>
      <c r="K2522" s="24"/>
      <c r="M2522" s="24"/>
      <c r="N2522" s="24"/>
      <c r="P2522" s="24"/>
    </row>
    <row r="2523" spans="2:16" x14ac:dyDescent="0.25">
      <c r="B2523" s="24"/>
      <c r="E2523" s="24"/>
      <c r="G2523" s="24"/>
      <c r="H2523" s="24"/>
      <c r="J2523" s="24"/>
      <c r="K2523" s="24"/>
      <c r="M2523" s="24"/>
      <c r="N2523" s="24"/>
      <c r="P2523" s="24"/>
    </row>
    <row r="2524" spans="2:16" x14ac:dyDescent="0.25">
      <c r="B2524" s="24"/>
      <c r="E2524" s="24"/>
      <c r="G2524" s="24"/>
      <c r="H2524" s="24"/>
      <c r="J2524" s="24"/>
      <c r="K2524" s="24"/>
      <c r="M2524" s="24"/>
      <c r="N2524" s="24"/>
      <c r="P2524" s="24"/>
    </row>
    <row r="2525" spans="2:16" x14ac:dyDescent="0.25">
      <c r="B2525" s="24"/>
      <c r="E2525" s="24"/>
      <c r="G2525" s="24"/>
      <c r="H2525" s="24"/>
      <c r="J2525" s="24"/>
      <c r="K2525" s="24"/>
      <c r="M2525" s="24"/>
      <c r="N2525" s="24"/>
      <c r="P2525" s="24"/>
    </row>
    <row r="2526" spans="2:16" x14ac:dyDescent="0.25">
      <c r="B2526" s="24"/>
      <c r="E2526" s="24"/>
      <c r="G2526" s="24"/>
      <c r="H2526" s="24"/>
      <c r="J2526" s="24"/>
      <c r="K2526" s="24"/>
      <c r="M2526" s="24"/>
      <c r="N2526" s="24"/>
      <c r="P2526" s="24"/>
    </row>
    <row r="2527" spans="2:16" x14ac:dyDescent="0.25">
      <c r="B2527" s="24"/>
      <c r="E2527" s="24"/>
      <c r="G2527" s="24"/>
      <c r="H2527" s="24"/>
      <c r="J2527" s="24"/>
      <c r="K2527" s="24"/>
      <c r="M2527" s="24"/>
      <c r="N2527" s="24"/>
      <c r="P2527" s="24"/>
    </row>
    <row r="2528" spans="2:16" x14ac:dyDescent="0.25">
      <c r="B2528" s="24"/>
      <c r="E2528" s="24"/>
      <c r="G2528" s="24"/>
      <c r="H2528" s="24"/>
      <c r="J2528" s="24"/>
      <c r="K2528" s="24"/>
      <c r="M2528" s="24"/>
      <c r="N2528" s="24"/>
      <c r="P2528" s="24"/>
    </row>
    <row r="2529" spans="2:16" x14ac:dyDescent="0.25">
      <c r="B2529" s="24"/>
      <c r="E2529" s="24"/>
      <c r="G2529" s="24"/>
      <c r="H2529" s="24"/>
      <c r="J2529" s="24"/>
      <c r="K2529" s="24"/>
      <c r="M2529" s="24"/>
      <c r="N2529" s="24"/>
      <c r="P2529" s="24"/>
    </row>
    <row r="2530" spans="2:16" x14ac:dyDescent="0.25">
      <c r="B2530" s="24"/>
      <c r="E2530" s="24"/>
      <c r="G2530" s="24"/>
      <c r="H2530" s="24"/>
      <c r="J2530" s="24"/>
      <c r="K2530" s="24"/>
      <c r="M2530" s="24"/>
      <c r="N2530" s="24"/>
      <c r="P2530" s="24"/>
    </row>
    <row r="2531" spans="2:16" x14ac:dyDescent="0.25">
      <c r="B2531" s="24"/>
      <c r="E2531" s="24"/>
      <c r="G2531" s="24"/>
      <c r="H2531" s="24"/>
      <c r="J2531" s="24"/>
      <c r="K2531" s="24"/>
      <c r="M2531" s="24"/>
      <c r="N2531" s="24"/>
      <c r="P2531" s="24"/>
    </row>
    <row r="2532" spans="2:16" x14ac:dyDescent="0.25">
      <c r="B2532" s="24"/>
      <c r="E2532" s="24"/>
      <c r="G2532" s="24"/>
      <c r="H2532" s="24"/>
      <c r="J2532" s="24"/>
      <c r="K2532" s="24"/>
      <c r="M2532" s="24"/>
      <c r="N2532" s="24"/>
      <c r="P2532" s="24"/>
    </row>
    <row r="2533" spans="2:16" x14ac:dyDescent="0.25">
      <c r="B2533" s="24"/>
      <c r="E2533" s="24"/>
      <c r="G2533" s="24"/>
      <c r="H2533" s="24"/>
      <c r="J2533" s="24"/>
      <c r="K2533" s="24"/>
      <c r="M2533" s="24"/>
      <c r="N2533" s="24"/>
      <c r="P2533" s="24"/>
    </row>
    <row r="2534" spans="2:16" x14ac:dyDescent="0.25">
      <c r="B2534" s="24"/>
      <c r="E2534" s="24"/>
      <c r="G2534" s="24"/>
      <c r="H2534" s="24"/>
      <c r="J2534" s="24"/>
      <c r="K2534" s="24"/>
      <c r="M2534" s="24"/>
      <c r="N2534" s="24"/>
      <c r="P2534" s="24"/>
    </row>
    <row r="2535" spans="2:16" x14ac:dyDescent="0.25">
      <c r="B2535" s="24"/>
      <c r="E2535" s="24"/>
      <c r="G2535" s="24"/>
      <c r="H2535" s="24"/>
      <c r="J2535" s="24"/>
      <c r="K2535" s="24"/>
      <c r="M2535" s="24"/>
      <c r="N2535" s="24"/>
      <c r="P2535" s="24"/>
    </row>
    <row r="2536" spans="2:16" x14ac:dyDescent="0.25">
      <c r="B2536" s="24"/>
      <c r="E2536" s="24"/>
      <c r="G2536" s="24"/>
      <c r="H2536" s="24"/>
      <c r="J2536" s="24"/>
      <c r="K2536" s="24"/>
      <c r="M2536" s="24"/>
      <c r="N2536" s="24"/>
      <c r="P2536" s="24"/>
    </row>
    <row r="2537" spans="2:16" x14ac:dyDescent="0.25">
      <c r="B2537" s="24"/>
      <c r="E2537" s="24"/>
      <c r="G2537" s="24"/>
      <c r="H2537" s="24"/>
      <c r="J2537" s="24"/>
      <c r="K2537" s="24"/>
      <c r="M2537" s="24"/>
      <c r="N2537" s="24"/>
      <c r="P2537" s="24"/>
    </row>
    <row r="2538" spans="2:16" x14ac:dyDescent="0.25">
      <c r="B2538" s="24"/>
      <c r="E2538" s="24"/>
      <c r="G2538" s="24"/>
      <c r="H2538" s="24"/>
      <c r="J2538" s="24"/>
      <c r="K2538" s="24"/>
      <c r="M2538" s="24"/>
      <c r="N2538" s="24"/>
      <c r="P2538" s="24"/>
    </row>
    <row r="2539" spans="2:16" x14ac:dyDescent="0.25">
      <c r="B2539" s="24"/>
      <c r="E2539" s="24"/>
      <c r="G2539" s="24"/>
      <c r="H2539" s="24"/>
      <c r="J2539" s="24"/>
      <c r="K2539" s="24"/>
      <c r="M2539" s="24"/>
      <c r="N2539" s="24"/>
      <c r="P2539" s="24"/>
    </row>
    <row r="2540" spans="2:16" x14ac:dyDescent="0.25">
      <c r="B2540" s="24"/>
      <c r="E2540" s="24"/>
      <c r="G2540" s="24"/>
      <c r="H2540" s="24"/>
      <c r="J2540" s="24"/>
      <c r="K2540" s="24"/>
      <c r="M2540" s="24"/>
      <c r="N2540" s="24"/>
      <c r="P2540" s="24"/>
    </row>
    <row r="2541" spans="2:16" x14ac:dyDescent="0.25">
      <c r="B2541" s="24"/>
      <c r="E2541" s="24"/>
      <c r="G2541" s="24"/>
      <c r="H2541" s="24"/>
      <c r="J2541" s="24"/>
      <c r="K2541" s="24"/>
      <c r="M2541" s="24"/>
      <c r="N2541" s="24"/>
      <c r="P2541" s="24"/>
    </row>
    <row r="2542" spans="2:16" x14ac:dyDescent="0.25">
      <c r="B2542" s="24"/>
      <c r="E2542" s="24"/>
      <c r="G2542" s="24"/>
      <c r="H2542" s="24"/>
      <c r="J2542" s="24"/>
      <c r="K2542" s="24"/>
      <c r="M2542" s="24"/>
      <c r="N2542" s="24"/>
      <c r="P2542" s="24"/>
    </row>
    <row r="2543" spans="2:16" x14ac:dyDescent="0.25">
      <c r="B2543" s="24"/>
      <c r="E2543" s="24"/>
      <c r="G2543" s="24"/>
      <c r="H2543" s="24"/>
      <c r="J2543" s="24"/>
      <c r="K2543" s="24"/>
      <c r="M2543" s="24"/>
      <c r="N2543" s="24"/>
      <c r="P2543" s="24"/>
    </row>
    <row r="2544" spans="2:16" x14ac:dyDescent="0.25">
      <c r="B2544" s="24"/>
      <c r="E2544" s="24"/>
      <c r="G2544" s="24"/>
      <c r="H2544" s="24"/>
      <c r="J2544" s="24"/>
      <c r="K2544" s="24"/>
      <c r="M2544" s="24"/>
      <c r="N2544" s="24"/>
      <c r="P2544" s="24"/>
    </row>
    <row r="2545" spans="2:16" x14ac:dyDescent="0.25">
      <c r="B2545" s="24"/>
      <c r="E2545" s="24"/>
      <c r="G2545" s="24"/>
      <c r="H2545" s="24"/>
      <c r="J2545" s="24"/>
      <c r="K2545" s="24"/>
      <c r="M2545" s="24"/>
      <c r="N2545" s="24"/>
      <c r="P2545" s="24"/>
    </row>
    <row r="2546" spans="2:16" x14ac:dyDescent="0.25">
      <c r="B2546" s="24"/>
      <c r="E2546" s="24"/>
      <c r="G2546" s="24"/>
      <c r="H2546" s="24"/>
      <c r="J2546" s="24"/>
      <c r="K2546" s="24"/>
      <c r="M2546" s="24"/>
      <c r="N2546" s="24"/>
      <c r="P2546" s="24"/>
    </row>
    <row r="2547" spans="2:16" x14ac:dyDescent="0.25">
      <c r="B2547" s="24"/>
      <c r="E2547" s="24"/>
      <c r="G2547" s="24"/>
      <c r="H2547" s="24"/>
      <c r="J2547" s="24"/>
      <c r="K2547" s="24"/>
      <c r="M2547" s="24"/>
      <c r="N2547" s="24"/>
      <c r="P2547" s="24"/>
    </row>
    <row r="2548" spans="2:16" x14ac:dyDescent="0.25">
      <c r="B2548" s="24"/>
      <c r="E2548" s="24"/>
      <c r="G2548" s="24"/>
      <c r="H2548" s="24"/>
      <c r="J2548" s="24"/>
      <c r="K2548" s="24"/>
      <c r="M2548" s="24"/>
      <c r="N2548" s="24"/>
      <c r="P2548" s="24"/>
    </row>
    <row r="2549" spans="2:16" x14ac:dyDescent="0.25">
      <c r="B2549" s="24"/>
      <c r="E2549" s="24"/>
      <c r="G2549" s="24"/>
      <c r="H2549" s="24"/>
      <c r="J2549" s="24"/>
      <c r="K2549" s="24"/>
      <c r="M2549" s="24"/>
      <c r="N2549" s="24"/>
      <c r="P2549" s="24"/>
    </row>
    <row r="2550" spans="2:16" x14ac:dyDescent="0.25">
      <c r="B2550" s="24"/>
      <c r="E2550" s="24"/>
      <c r="G2550" s="24"/>
      <c r="H2550" s="24"/>
      <c r="J2550" s="24"/>
      <c r="K2550" s="24"/>
      <c r="M2550" s="24"/>
      <c r="N2550" s="24"/>
      <c r="P2550" s="24"/>
    </row>
    <row r="2551" spans="2:16" x14ac:dyDescent="0.25">
      <c r="B2551" s="24"/>
      <c r="E2551" s="24"/>
      <c r="G2551" s="24"/>
      <c r="H2551" s="24"/>
      <c r="J2551" s="24"/>
      <c r="K2551" s="24"/>
      <c r="M2551" s="24"/>
      <c r="N2551" s="24"/>
      <c r="P2551" s="24"/>
    </row>
    <row r="2552" spans="2:16" x14ac:dyDescent="0.25">
      <c r="B2552" s="24"/>
      <c r="E2552" s="24"/>
      <c r="G2552" s="24"/>
      <c r="H2552" s="24"/>
      <c r="J2552" s="24"/>
      <c r="K2552" s="24"/>
      <c r="M2552" s="24"/>
      <c r="N2552" s="24"/>
      <c r="P2552" s="24"/>
    </row>
    <row r="2553" spans="2:16" x14ac:dyDescent="0.25">
      <c r="B2553" s="24"/>
      <c r="E2553" s="24"/>
      <c r="G2553" s="24"/>
      <c r="H2553" s="24"/>
      <c r="J2553" s="24"/>
      <c r="K2553" s="24"/>
      <c r="M2553" s="24"/>
      <c r="N2553" s="24"/>
      <c r="P2553" s="24"/>
    </row>
    <row r="2554" spans="2:16" x14ac:dyDescent="0.25">
      <c r="B2554" s="24"/>
      <c r="E2554" s="24"/>
      <c r="G2554" s="24"/>
      <c r="H2554" s="24"/>
      <c r="J2554" s="24"/>
      <c r="K2554" s="24"/>
      <c r="M2554" s="24"/>
      <c r="N2554" s="24"/>
      <c r="P2554" s="24"/>
    </row>
    <row r="2555" spans="2:16" x14ac:dyDescent="0.25">
      <c r="B2555" s="24"/>
      <c r="E2555" s="24"/>
      <c r="G2555" s="24"/>
      <c r="H2555" s="24"/>
      <c r="J2555" s="24"/>
      <c r="K2555" s="24"/>
      <c r="M2555" s="24"/>
      <c r="N2555" s="24"/>
      <c r="P2555" s="24"/>
    </row>
    <row r="2556" spans="2:16" x14ac:dyDescent="0.25">
      <c r="B2556" s="24"/>
      <c r="E2556" s="24"/>
      <c r="G2556" s="24"/>
      <c r="H2556" s="24"/>
      <c r="J2556" s="24"/>
      <c r="K2556" s="24"/>
      <c r="M2556" s="24"/>
      <c r="N2556" s="24"/>
      <c r="P2556" s="24"/>
    </row>
    <row r="2557" spans="2:16" x14ac:dyDescent="0.25">
      <c r="B2557" s="24"/>
      <c r="E2557" s="24"/>
      <c r="G2557" s="24"/>
      <c r="H2557" s="24"/>
      <c r="J2557" s="24"/>
      <c r="K2557" s="24"/>
      <c r="M2557" s="24"/>
      <c r="N2557" s="24"/>
      <c r="P2557" s="24"/>
    </row>
    <row r="2558" spans="2:16" x14ac:dyDescent="0.25">
      <c r="B2558" s="24"/>
      <c r="E2558" s="24"/>
      <c r="G2558" s="24"/>
      <c r="H2558" s="24"/>
      <c r="J2558" s="24"/>
      <c r="K2558" s="24"/>
      <c r="M2558" s="24"/>
      <c r="N2558" s="24"/>
      <c r="P2558" s="24"/>
    </row>
    <row r="2559" spans="2:16" x14ac:dyDescent="0.25">
      <c r="B2559" s="24"/>
      <c r="E2559" s="24"/>
      <c r="G2559" s="24"/>
      <c r="H2559" s="24"/>
      <c r="J2559" s="24"/>
      <c r="K2559" s="24"/>
      <c r="M2559" s="24"/>
      <c r="N2559" s="24"/>
      <c r="P2559" s="24"/>
    </row>
    <row r="2560" spans="2:16" x14ac:dyDescent="0.25">
      <c r="B2560" s="24"/>
      <c r="E2560" s="24"/>
      <c r="G2560" s="24"/>
      <c r="H2560" s="24"/>
      <c r="J2560" s="24"/>
      <c r="K2560" s="24"/>
      <c r="M2560" s="24"/>
      <c r="N2560" s="24"/>
      <c r="P2560" s="24"/>
    </row>
    <row r="2561" spans="2:16" x14ac:dyDescent="0.25">
      <c r="B2561" s="24"/>
      <c r="E2561" s="24"/>
      <c r="G2561" s="24"/>
      <c r="H2561" s="24"/>
      <c r="J2561" s="24"/>
      <c r="K2561" s="24"/>
      <c r="M2561" s="24"/>
      <c r="N2561" s="24"/>
      <c r="P2561" s="24"/>
    </row>
    <row r="2562" spans="2:16" x14ac:dyDescent="0.25">
      <c r="B2562" s="24"/>
      <c r="E2562" s="24"/>
      <c r="G2562" s="24"/>
      <c r="H2562" s="24"/>
      <c r="J2562" s="24"/>
      <c r="K2562" s="24"/>
      <c r="M2562" s="24"/>
      <c r="N2562" s="24"/>
      <c r="P2562" s="24"/>
    </row>
    <row r="2563" spans="2:16" x14ac:dyDescent="0.25">
      <c r="B2563" s="24"/>
      <c r="E2563" s="24"/>
      <c r="G2563" s="24"/>
      <c r="H2563" s="24"/>
      <c r="J2563" s="24"/>
      <c r="K2563" s="24"/>
      <c r="M2563" s="24"/>
      <c r="N2563" s="24"/>
      <c r="P2563" s="24"/>
    </row>
    <row r="2564" spans="2:16" x14ac:dyDescent="0.25">
      <c r="B2564" s="24"/>
      <c r="E2564" s="24"/>
      <c r="G2564" s="24"/>
      <c r="H2564" s="24"/>
      <c r="J2564" s="24"/>
      <c r="K2564" s="24"/>
      <c r="M2564" s="24"/>
      <c r="N2564" s="24"/>
      <c r="P2564" s="24"/>
    </row>
    <row r="2565" spans="2:16" x14ac:dyDescent="0.25">
      <c r="B2565" s="24"/>
      <c r="E2565" s="24"/>
      <c r="G2565" s="24"/>
      <c r="H2565" s="24"/>
      <c r="J2565" s="24"/>
      <c r="K2565" s="24"/>
      <c r="M2565" s="24"/>
      <c r="N2565" s="24"/>
      <c r="P2565" s="24"/>
    </row>
    <row r="2566" spans="2:16" x14ac:dyDescent="0.25">
      <c r="B2566" s="24"/>
      <c r="E2566" s="24"/>
      <c r="G2566" s="24"/>
      <c r="H2566" s="24"/>
      <c r="J2566" s="24"/>
      <c r="K2566" s="24"/>
      <c r="M2566" s="24"/>
      <c r="N2566" s="24"/>
      <c r="P2566" s="24"/>
    </row>
    <row r="2567" spans="2:16" x14ac:dyDescent="0.25">
      <c r="B2567" s="24"/>
      <c r="E2567" s="24"/>
      <c r="G2567" s="24"/>
      <c r="H2567" s="24"/>
      <c r="J2567" s="24"/>
      <c r="K2567" s="24"/>
      <c r="M2567" s="24"/>
      <c r="N2567" s="24"/>
      <c r="P2567" s="24"/>
    </row>
    <row r="2568" spans="2:16" x14ac:dyDescent="0.25">
      <c r="B2568" s="24"/>
      <c r="E2568" s="24"/>
      <c r="G2568" s="24"/>
      <c r="H2568" s="24"/>
      <c r="J2568" s="24"/>
      <c r="K2568" s="24"/>
      <c r="M2568" s="24"/>
      <c r="N2568" s="24"/>
      <c r="P2568" s="24"/>
    </row>
    <row r="2569" spans="2:16" x14ac:dyDescent="0.25">
      <c r="B2569" s="24"/>
      <c r="E2569" s="24"/>
      <c r="G2569" s="24"/>
      <c r="H2569" s="24"/>
      <c r="J2569" s="24"/>
      <c r="K2569" s="24"/>
      <c r="M2569" s="24"/>
      <c r="N2569" s="24"/>
      <c r="P2569" s="24"/>
    </row>
    <row r="2570" spans="2:16" x14ac:dyDescent="0.25">
      <c r="B2570" s="24"/>
      <c r="E2570" s="24"/>
      <c r="G2570" s="24"/>
      <c r="H2570" s="24"/>
      <c r="J2570" s="24"/>
      <c r="K2570" s="24"/>
      <c r="M2570" s="24"/>
      <c r="N2570" s="24"/>
      <c r="P2570" s="24"/>
    </row>
    <row r="2571" spans="2:16" x14ac:dyDescent="0.25">
      <c r="B2571" s="24"/>
      <c r="E2571" s="24"/>
      <c r="G2571" s="24"/>
      <c r="H2571" s="24"/>
      <c r="J2571" s="24"/>
      <c r="K2571" s="24"/>
      <c r="M2571" s="24"/>
      <c r="N2571" s="24"/>
      <c r="P2571" s="24"/>
    </row>
    <row r="2572" spans="2:16" x14ac:dyDescent="0.25">
      <c r="B2572" s="24"/>
      <c r="E2572" s="24"/>
      <c r="G2572" s="24"/>
      <c r="H2572" s="24"/>
      <c r="J2572" s="24"/>
      <c r="K2572" s="24"/>
      <c r="M2572" s="24"/>
      <c r="N2572" s="24"/>
      <c r="P2572" s="24"/>
    </row>
    <row r="2573" spans="2:16" x14ac:dyDescent="0.25">
      <c r="B2573" s="24"/>
      <c r="E2573" s="24"/>
      <c r="G2573" s="24"/>
      <c r="H2573" s="24"/>
      <c r="J2573" s="24"/>
      <c r="K2573" s="24"/>
      <c r="M2573" s="24"/>
      <c r="N2573" s="24"/>
      <c r="P2573" s="24"/>
    </row>
    <row r="2574" spans="2:16" x14ac:dyDescent="0.25">
      <c r="B2574" s="24"/>
      <c r="E2574" s="24"/>
      <c r="G2574" s="24"/>
      <c r="H2574" s="24"/>
      <c r="J2574" s="24"/>
      <c r="K2574" s="24"/>
      <c r="M2574" s="24"/>
      <c r="N2574" s="24"/>
      <c r="P2574" s="24"/>
    </row>
    <row r="2575" spans="2:16" x14ac:dyDescent="0.25">
      <c r="B2575" s="24"/>
      <c r="E2575" s="24"/>
      <c r="G2575" s="24"/>
      <c r="H2575" s="24"/>
      <c r="J2575" s="24"/>
      <c r="K2575" s="24"/>
      <c r="M2575" s="24"/>
      <c r="N2575" s="24"/>
      <c r="P2575" s="24"/>
    </row>
    <row r="2576" spans="2:16" x14ac:dyDescent="0.25">
      <c r="B2576" s="24"/>
      <c r="E2576" s="24"/>
      <c r="G2576" s="24"/>
      <c r="H2576" s="24"/>
      <c r="J2576" s="24"/>
      <c r="K2576" s="24"/>
      <c r="M2576" s="24"/>
      <c r="N2576" s="24"/>
      <c r="P2576" s="24"/>
    </row>
    <row r="2577" spans="2:16" x14ac:dyDescent="0.25">
      <c r="B2577" s="24"/>
      <c r="E2577" s="24"/>
      <c r="G2577" s="24"/>
      <c r="H2577" s="24"/>
      <c r="J2577" s="24"/>
      <c r="K2577" s="24"/>
      <c r="M2577" s="24"/>
      <c r="N2577" s="24"/>
      <c r="P2577" s="24"/>
    </row>
    <row r="2578" spans="2:16" x14ac:dyDescent="0.25">
      <c r="B2578" s="24"/>
      <c r="E2578" s="24"/>
      <c r="G2578" s="24"/>
      <c r="H2578" s="24"/>
      <c r="J2578" s="24"/>
      <c r="K2578" s="24"/>
      <c r="M2578" s="24"/>
      <c r="N2578" s="24"/>
      <c r="P2578" s="24"/>
    </row>
    <row r="2579" spans="2:16" x14ac:dyDescent="0.25">
      <c r="B2579" s="24"/>
      <c r="E2579" s="24"/>
      <c r="G2579" s="24"/>
      <c r="H2579" s="24"/>
      <c r="J2579" s="24"/>
      <c r="K2579" s="24"/>
      <c r="M2579" s="24"/>
      <c r="N2579" s="24"/>
      <c r="P2579" s="24"/>
    </row>
    <row r="2580" spans="2:16" x14ac:dyDescent="0.25">
      <c r="B2580" s="24"/>
      <c r="E2580" s="24"/>
      <c r="G2580" s="24"/>
      <c r="H2580" s="24"/>
      <c r="J2580" s="24"/>
      <c r="K2580" s="24"/>
      <c r="M2580" s="24"/>
      <c r="N2580" s="24"/>
      <c r="P2580" s="24"/>
    </row>
    <row r="2581" spans="2:16" x14ac:dyDescent="0.25">
      <c r="B2581" s="24"/>
      <c r="E2581" s="24"/>
      <c r="G2581" s="24"/>
      <c r="H2581" s="24"/>
      <c r="J2581" s="24"/>
      <c r="K2581" s="24"/>
      <c r="M2581" s="24"/>
      <c r="N2581" s="24"/>
      <c r="P2581" s="24"/>
    </row>
    <row r="2582" spans="2:16" x14ac:dyDescent="0.25">
      <c r="B2582" s="24"/>
      <c r="E2582" s="24"/>
      <c r="G2582" s="24"/>
      <c r="H2582" s="24"/>
      <c r="J2582" s="24"/>
      <c r="K2582" s="24"/>
      <c r="M2582" s="24"/>
      <c r="N2582" s="24"/>
      <c r="P2582" s="24"/>
    </row>
    <row r="2583" spans="2:16" x14ac:dyDescent="0.25">
      <c r="B2583" s="24"/>
      <c r="E2583" s="24"/>
      <c r="G2583" s="24"/>
      <c r="H2583" s="24"/>
      <c r="J2583" s="24"/>
      <c r="K2583" s="24"/>
      <c r="M2583" s="24"/>
      <c r="N2583" s="24"/>
      <c r="P2583" s="24"/>
    </row>
    <row r="2584" spans="2:16" x14ac:dyDescent="0.25">
      <c r="B2584" s="24"/>
      <c r="E2584" s="24"/>
      <c r="G2584" s="24"/>
      <c r="H2584" s="24"/>
      <c r="J2584" s="24"/>
      <c r="K2584" s="24"/>
      <c r="M2584" s="24"/>
      <c r="N2584" s="24"/>
      <c r="P2584" s="24"/>
    </row>
    <row r="2585" spans="2:16" x14ac:dyDescent="0.25">
      <c r="B2585" s="24"/>
      <c r="E2585" s="24"/>
      <c r="G2585" s="24"/>
      <c r="H2585" s="24"/>
      <c r="J2585" s="24"/>
      <c r="K2585" s="24"/>
      <c r="M2585" s="24"/>
      <c r="N2585" s="24"/>
      <c r="P2585" s="24"/>
    </row>
    <row r="2586" spans="2:16" x14ac:dyDescent="0.25">
      <c r="B2586" s="24"/>
      <c r="E2586" s="24"/>
      <c r="G2586" s="24"/>
      <c r="H2586" s="24"/>
      <c r="J2586" s="24"/>
      <c r="K2586" s="24"/>
      <c r="M2586" s="24"/>
      <c r="N2586" s="24"/>
      <c r="P2586" s="24"/>
    </row>
    <row r="2587" spans="2:16" x14ac:dyDescent="0.25">
      <c r="B2587" s="24"/>
      <c r="E2587" s="24"/>
      <c r="G2587" s="24"/>
      <c r="H2587" s="24"/>
      <c r="J2587" s="24"/>
      <c r="K2587" s="24"/>
      <c r="M2587" s="24"/>
      <c r="N2587" s="24"/>
      <c r="P2587" s="24"/>
    </row>
    <row r="2588" spans="2:16" x14ac:dyDescent="0.25">
      <c r="B2588" s="24"/>
      <c r="E2588" s="24"/>
      <c r="G2588" s="24"/>
      <c r="H2588" s="24"/>
      <c r="J2588" s="24"/>
      <c r="K2588" s="24"/>
      <c r="M2588" s="24"/>
      <c r="N2588" s="24"/>
      <c r="P2588" s="24"/>
    </row>
    <row r="2589" spans="2:16" x14ac:dyDescent="0.25">
      <c r="B2589" s="24"/>
      <c r="E2589" s="24"/>
      <c r="G2589" s="24"/>
      <c r="H2589" s="24"/>
      <c r="J2589" s="24"/>
      <c r="K2589" s="24"/>
      <c r="M2589" s="24"/>
      <c r="N2589" s="24"/>
      <c r="P2589" s="24"/>
    </row>
    <row r="2590" spans="2:16" x14ac:dyDescent="0.25">
      <c r="B2590" s="24"/>
      <c r="E2590" s="24"/>
      <c r="G2590" s="24"/>
      <c r="H2590" s="24"/>
      <c r="J2590" s="24"/>
      <c r="K2590" s="24"/>
      <c r="M2590" s="24"/>
      <c r="N2590" s="24"/>
      <c r="P2590" s="24"/>
    </row>
    <row r="2591" spans="2:16" x14ac:dyDescent="0.25">
      <c r="B2591" s="24"/>
      <c r="E2591" s="24"/>
      <c r="G2591" s="24"/>
      <c r="H2591" s="24"/>
      <c r="J2591" s="24"/>
      <c r="K2591" s="24"/>
      <c r="M2591" s="24"/>
      <c r="N2591" s="24"/>
      <c r="P2591" s="24"/>
    </row>
    <row r="2592" spans="2:16" x14ac:dyDescent="0.25">
      <c r="B2592" s="24"/>
      <c r="E2592" s="24"/>
      <c r="G2592" s="24"/>
      <c r="H2592" s="24"/>
      <c r="J2592" s="24"/>
      <c r="K2592" s="24"/>
      <c r="M2592" s="24"/>
      <c r="N2592" s="24"/>
      <c r="P2592" s="24"/>
    </row>
    <row r="2593" spans="2:16" x14ac:dyDescent="0.25">
      <c r="B2593" s="24"/>
      <c r="E2593" s="24"/>
      <c r="G2593" s="24"/>
      <c r="H2593" s="24"/>
      <c r="J2593" s="24"/>
      <c r="K2593" s="24"/>
      <c r="M2593" s="24"/>
      <c r="N2593" s="24"/>
      <c r="P2593" s="24"/>
    </row>
    <row r="2594" spans="2:16" x14ac:dyDescent="0.25">
      <c r="B2594" s="24"/>
      <c r="E2594" s="24"/>
      <c r="G2594" s="24"/>
      <c r="H2594" s="24"/>
      <c r="J2594" s="24"/>
      <c r="K2594" s="24"/>
      <c r="M2594" s="24"/>
      <c r="N2594" s="24"/>
      <c r="P2594" s="24"/>
    </row>
    <row r="2595" spans="2:16" x14ac:dyDescent="0.25">
      <c r="B2595" s="24"/>
      <c r="E2595" s="24"/>
      <c r="G2595" s="24"/>
      <c r="H2595" s="24"/>
      <c r="J2595" s="24"/>
      <c r="K2595" s="24"/>
      <c r="M2595" s="24"/>
      <c r="N2595" s="24"/>
      <c r="P2595" s="24"/>
    </row>
    <row r="2596" spans="2:16" x14ac:dyDescent="0.25">
      <c r="B2596" s="24"/>
      <c r="E2596" s="24"/>
      <c r="G2596" s="24"/>
      <c r="H2596" s="24"/>
      <c r="J2596" s="24"/>
      <c r="K2596" s="24"/>
      <c r="M2596" s="24"/>
      <c r="N2596" s="24"/>
      <c r="P2596" s="24"/>
    </row>
    <row r="2597" spans="2:16" x14ac:dyDescent="0.25">
      <c r="B2597" s="24"/>
      <c r="E2597" s="24"/>
      <c r="G2597" s="24"/>
      <c r="H2597" s="24"/>
      <c r="J2597" s="24"/>
      <c r="K2597" s="24"/>
      <c r="M2597" s="24"/>
      <c r="N2597" s="24"/>
      <c r="P2597" s="24"/>
    </row>
    <row r="2598" spans="2:16" x14ac:dyDescent="0.25">
      <c r="B2598" s="24"/>
      <c r="E2598" s="24"/>
      <c r="G2598" s="24"/>
      <c r="H2598" s="24"/>
      <c r="J2598" s="24"/>
      <c r="K2598" s="24"/>
      <c r="M2598" s="24"/>
      <c r="N2598" s="24"/>
      <c r="P2598" s="24"/>
    </row>
    <row r="2599" spans="2:16" x14ac:dyDescent="0.25">
      <c r="B2599" s="24"/>
      <c r="E2599" s="24"/>
      <c r="G2599" s="24"/>
      <c r="H2599" s="24"/>
      <c r="J2599" s="24"/>
      <c r="K2599" s="24"/>
      <c r="M2599" s="24"/>
      <c r="N2599" s="24"/>
      <c r="P2599" s="24"/>
    </row>
    <row r="2600" spans="2:16" x14ac:dyDescent="0.25">
      <c r="B2600" s="24"/>
      <c r="E2600" s="24"/>
      <c r="G2600" s="24"/>
      <c r="H2600" s="24"/>
      <c r="J2600" s="24"/>
      <c r="K2600" s="24"/>
      <c r="M2600" s="24"/>
      <c r="N2600" s="24"/>
      <c r="P2600" s="24"/>
    </row>
    <row r="2601" spans="2:16" x14ac:dyDescent="0.25">
      <c r="B2601" s="24"/>
      <c r="E2601" s="24"/>
      <c r="G2601" s="24"/>
      <c r="H2601" s="24"/>
      <c r="J2601" s="24"/>
      <c r="K2601" s="24"/>
      <c r="M2601" s="24"/>
      <c r="N2601" s="24"/>
      <c r="P2601" s="24"/>
    </row>
    <row r="2602" spans="2:16" x14ac:dyDescent="0.25">
      <c r="B2602" s="24"/>
      <c r="E2602" s="24"/>
      <c r="G2602" s="24"/>
      <c r="H2602" s="24"/>
      <c r="J2602" s="24"/>
      <c r="K2602" s="24"/>
      <c r="M2602" s="24"/>
      <c r="N2602" s="24"/>
      <c r="P2602" s="24"/>
    </row>
    <row r="2603" spans="2:16" x14ac:dyDescent="0.25">
      <c r="B2603" s="24"/>
      <c r="E2603" s="24"/>
      <c r="G2603" s="24"/>
      <c r="H2603" s="24"/>
      <c r="J2603" s="24"/>
      <c r="K2603" s="24"/>
      <c r="M2603" s="24"/>
      <c r="N2603" s="24"/>
      <c r="P2603" s="24"/>
    </row>
    <row r="2604" spans="2:16" x14ac:dyDescent="0.25">
      <c r="B2604" s="24"/>
      <c r="E2604" s="24"/>
      <c r="G2604" s="24"/>
      <c r="H2604" s="24"/>
      <c r="J2604" s="24"/>
      <c r="K2604" s="24"/>
      <c r="M2604" s="24"/>
      <c r="N2604" s="24"/>
      <c r="P2604" s="24"/>
    </row>
    <row r="2605" spans="2:16" x14ac:dyDescent="0.25">
      <c r="B2605" s="24"/>
      <c r="E2605" s="24"/>
      <c r="G2605" s="24"/>
      <c r="H2605" s="24"/>
      <c r="J2605" s="24"/>
      <c r="K2605" s="24"/>
      <c r="M2605" s="24"/>
      <c r="N2605" s="24"/>
      <c r="P2605" s="24"/>
    </row>
    <row r="2606" spans="2:16" x14ac:dyDescent="0.25">
      <c r="B2606" s="24"/>
      <c r="E2606" s="24"/>
      <c r="G2606" s="24"/>
      <c r="H2606" s="24"/>
      <c r="J2606" s="24"/>
      <c r="K2606" s="24"/>
      <c r="M2606" s="24"/>
      <c r="N2606" s="24"/>
      <c r="P2606" s="24"/>
    </row>
    <row r="2607" spans="2:16" x14ac:dyDescent="0.25">
      <c r="B2607" s="24"/>
      <c r="E2607" s="24"/>
      <c r="G2607" s="24"/>
      <c r="H2607" s="24"/>
      <c r="J2607" s="24"/>
      <c r="K2607" s="24"/>
      <c r="M2607" s="24"/>
      <c r="N2607" s="24"/>
      <c r="P2607" s="24"/>
    </row>
    <row r="2608" spans="2:16" x14ac:dyDescent="0.25">
      <c r="B2608" s="24"/>
      <c r="E2608" s="24"/>
      <c r="G2608" s="24"/>
      <c r="H2608" s="24"/>
      <c r="J2608" s="24"/>
      <c r="K2608" s="24"/>
      <c r="M2608" s="24"/>
      <c r="N2608" s="24"/>
      <c r="P2608" s="24"/>
    </row>
    <row r="2609" spans="2:16" x14ac:dyDescent="0.25">
      <c r="B2609" s="24"/>
      <c r="E2609" s="24"/>
      <c r="G2609" s="24"/>
      <c r="H2609" s="24"/>
      <c r="J2609" s="24"/>
      <c r="K2609" s="24"/>
      <c r="M2609" s="24"/>
      <c r="N2609" s="24"/>
      <c r="P2609" s="24"/>
    </row>
    <row r="2610" spans="2:16" x14ac:dyDescent="0.25">
      <c r="B2610" s="24"/>
      <c r="E2610" s="24"/>
      <c r="G2610" s="24"/>
      <c r="H2610" s="24"/>
      <c r="J2610" s="24"/>
      <c r="K2610" s="24"/>
      <c r="M2610" s="24"/>
      <c r="N2610" s="24"/>
      <c r="P2610" s="24"/>
    </row>
    <row r="2611" spans="2:16" x14ac:dyDescent="0.25">
      <c r="B2611" s="24"/>
      <c r="E2611" s="24"/>
      <c r="G2611" s="24"/>
      <c r="H2611" s="24"/>
      <c r="J2611" s="24"/>
      <c r="K2611" s="24"/>
      <c r="M2611" s="24"/>
      <c r="N2611" s="24"/>
      <c r="P2611" s="24"/>
    </row>
    <row r="2612" spans="2:16" x14ac:dyDescent="0.25">
      <c r="B2612" s="24"/>
      <c r="E2612" s="24"/>
      <c r="G2612" s="24"/>
      <c r="H2612" s="24"/>
      <c r="J2612" s="24"/>
      <c r="K2612" s="24"/>
      <c r="M2612" s="24"/>
      <c r="N2612" s="24"/>
      <c r="P2612" s="24"/>
    </row>
    <row r="2613" spans="2:16" x14ac:dyDescent="0.25">
      <c r="B2613" s="24"/>
      <c r="E2613" s="24"/>
      <c r="G2613" s="24"/>
      <c r="H2613" s="24"/>
      <c r="J2613" s="24"/>
      <c r="K2613" s="24"/>
      <c r="M2613" s="24"/>
      <c r="N2613" s="24"/>
      <c r="P2613" s="24"/>
    </row>
    <row r="2614" spans="2:16" x14ac:dyDescent="0.25">
      <c r="B2614" s="24"/>
      <c r="E2614" s="24"/>
      <c r="G2614" s="24"/>
      <c r="H2614" s="24"/>
      <c r="J2614" s="24"/>
      <c r="K2614" s="24"/>
      <c r="M2614" s="24"/>
      <c r="N2614" s="24"/>
      <c r="P2614" s="24"/>
    </row>
    <row r="2615" spans="2:16" x14ac:dyDescent="0.25">
      <c r="B2615" s="24"/>
      <c r="E2615" s="24"/>
      <c r="G2615" s="24"/>
      <c r="H2615" s="24"/>
      <c r="J2615" s="24"/>
      <c r="K2615" s="24"/>
      <c r="M2615" s="24"/>
      <c r="N2615" s="24"/>
      <c r="P2615" s="24"/>
    </row>
    <row r="2616" spans="2:16" x14ac:dyDescent="0.25">
      <c r="B2616" s="24"/>
      <c r="E2616" s="24"/>
      <c r="G2616" s="24"/>
      <c r="H2616" s="24"/>
      <c r="J2616" s="24"/>
      <c r="K2616" s="24"/>
      <c r="M2616" s="24"/>
      <c r="N2616" s="24"/>
      <c r="P2616" s="24"/>
    </row>
    <row r="2617" spans="2:16" x14ac:dyDescent="0.25">
      <c r="B2617" s="24"/>
      <c r="E2617" s="24"/>
      <c r="G2617" s="24"/>
      <c r="H2617" s="24"/>
      <c r="J2617" s="24"/>
      <c r="K2617" s="24"/>
      <c r="M2617" s="24"/>
      <c r="N2617" s="24"/>
      <c r="P2617" s="24"/>
    </row>
    <row r="2618" spans="2:16" x14ac:dyDescent="0.25">
      <c r="B2618" s="24"/>
      <c r="E2618" s="24"/>
      <c r="G2618" s="24"/>
      <c r="H2618" s="24"/>
      <c r="J2618" s="24"/>
      <c r="K2618" s="24"/>
      <c r="M2618" s="24"/>
      <c r="N2618" s="24"/>
      <c r="P2618" s="24"/>
    </row>
    <row r="2619" spans="2:16" x14ac:dyDescent="0.25">
      <c r="B2619" s="24"/>
      <c r="E2619" s="24"/>
      <c r="G2619" s="24"/>
      <c r="H2619" s="24"/>
      <c r="J2619" s="24"/>
      <c r="K2619" s="24"/>
      <c r="M2619" s="24"/>
      <c r="N2619" s="24"/>
      <c r="P2619" s="24"/>
    </row>
    <row r="2620" spans="2:16" x14ac:dyDescent="0.25">
      <c r="B2620" s="24"/>
      <c r="E2620" s="24"/>
      <c r="G2620" s="24"/>
      <c r="H2620" s="24"/>
      <c r="J2620" s="24"/>
      <c r="K2620" s="24"/>
      <c r="M2620" s="24"/>
      <c r="N2620" s="24"/>
      <c r="P2620" s="24"/>
    </row>
    <row r="2621" spans="2:16" x14ac:dyDescent="0.25">
      <c r="B2621" s="24"/>
      <c r="E2621" s="24"/>
      <c r="G2621" s="24"/>
      <c r="H2621" s="24"/>
      <c r="J2621" s="24"/>
      <c r="K2621" s="24"/>
      <c r="M2621" s="24"/>
      <c r="N2621" s="24"/>
      <c r="P2621" s="24"/>
    </row>
    <row r="2622" spans="2:16" x14ac:dyDescent="0.25">
      <c r="B2622" s="24"/>
      <c r="E2622" s="24"/>
      <c r="G2622" s="24"/>
      <c r="H2622" s="24"/>
      <c r="J2622" s="24"/>
      <c r="K2622" s="24"/>
      <c r="M2622" s="24"/>
      <c r="N2622" s="24"/>
      <c r="P2622" s="24"/>
    </row>
    <row r="2623" spans="2:16" x14ac:dyDescent="0.25">
      <c r="B2623" s="24"/>
      <c r="E2623" s="24"/>
      <c r="G2623" s="24"/>
      <c r="H2623" s="24"/>
      <c r="J2623" s="24"/>
      <c r="K2623" s="24"/>
      <c r="M2623" s="24"/>
      <c r="N2623" s="24"/>
      <c r="P2623" s="24"/>
    </row>
    <row r="2624" spans="2:16" x14ac:dyDescent="0.25">
      <c r="B2624" s="24"/>
      <c r="E2624" s="24"/>
      <c r="G2624" s="24"/>
      <c r="H2624" s="24"/>
      <c r="J2624" s="24"/>
      <c r="K2624" s="24"/>
      <c r="M2624" s="24"/>
      <c r="N2624" s="24"/>
      <c r="P2624" s="24"/>
    </row>
    <row r="2625" spans="2:16" x14ac:dyDescent="0.25">
      <c r="B2625" s="24"/>
      <c r="E2625" s="24"/>
      <c r="G2625" s="24"/>
      <c r="H2625" s="24"/>
      <c r="J2625" s="24"/>
      <c r="K2625" s="24"/>
      <c r="M2625" s="24"/>
      <c r="N2625" s="24"/>
      <c r="P2625" s="24"/>
    </row>
    <row r="2626" spans="2:16" x14ac:dyDescent="0.25">
      <c r="B2626" s="24"/>
      <c r="E2626" s="24"/>
      <c r="G2626" s="24"/>
      <c r="H2626" s="24"/>
      <c r="J2626" s="24"/>
      <c r="K2626" s="24"/>
      <c r="M2626" s="24"/>
      <c r="N2626" s="24"/>
      <c r="P2626" s="24"/>
    </row>
    <row r="2627" spans="2:16" x14ac:dyDescent="0.25">
      <c r="B2627" s="24"/>
      <c r="E2627" s="24"/>
      <c r="G2627" s="24"/>
      <c r="H2627" s="24"/>
      <c r="J2627" s="24"/>
      <c r="K2627" s="24"/>
      <c r="M2627" s="24"/>
      <c r="N2627" s="24"/>
      <c r="P2627" s="24"/>
    </row>
    <row r="2628" spans="2:16" x14ac:dyDescent="0.25">
      <c r="B2628" s="24"/>
      <c r="E2628" s="24"/>
      <c r="G2628" s="24"/>
      <c r="H2628" s="24"/>
      <c r="J2628" s="24"/>
      <c r="K2628" s="24"/>
      <c r="M2628" s="24"/>
      <c r="N2628" s="24"/>
      <c r="P2628" s="24"/>
    </row>
    <row r="2629" spans="2:16" x14ac:dyDescent="0.25">
      <c r="B2629" s="24"/>
      <c r="E2629" s="24"/>
      <c r="G2629" s="24"/>
      <c r="H2629" s="24"/>
      <c r="J2629" s="24"/>
      <c r="K2629" s="24"/>
      <c r="M2629" s="24"/>
      <c r="N2629" s="24"/>
      <c r="P2629" s="24"/>
    </row>
    <row r="2630" spans="2:16" x14ac:dyDescent="0.25">
      <c r="B2630" s="24"/>
      <c r="E2630" s="24"/>
      <c r="G2630" s="24"/>
      <c r="H2630" s="24"/>
      <c r="J2630" s="24"/>
      <c r="K2630" s="24"/>
      <c r="M2630" s="24"/>
      <c r="N2630" s="24"/>
      <c r="P2630" s="24"/>
    </row>
    <row r="2631" spans="2:16" x14ac:dyDescent="0.25">
      <c r="B2631" s="24"/>
      <c r="E2631" s="24"/>
      <c r="G2631" s="24"/>
      <c r="H2631" s="24"/>
      <c r="J2631" s="24"/>
      <c r="K2631" s="24"/>
      <c r="M2631" s="24"/>
      <c r="N2631" s="24"/>
      <c r="P2631" s="24"/>
    </row>
    <row r="2632" spans="2:16" x14ac:dyDescent="0.25">
      <c r="B2632" s="24"/>
      <c r="E2632" s="24"/>
      <c r="G2632" s="24"/>
      <c r="H2632" s="24"/>
      <c r="J2632" s="24"/>
      <c r="K2632" s="24"/>
      <c r="M2632" s="24"/>
      <c r="N2632" s="24"/>
      <c r="P2632" s="24"/>
    </row>
    <row r="2633" spans="2:16" x14ac:dyDescent="0.25">
      <c r="B2633" s="24"/>
      <c r="E2633" s="24"/>
      <c r="G2633" s="24"/>
      <c r="H2633" s="24"/>
      <c r="J2633" s="24"/>
      <c r="K2633" s="24"/>
      <c r="M2633" s="24"/>
      <c r="N2633" s="24"/>
      <c r="P2633" s="24"/>
    </row>
    <row r="2634" spans="2:16" x14ac:dyDescent="0.25">
      <c r="B2634" s="24"/>
      <c r="E2634" s="24"/>
      <c r="G2634" s="24"/>
      <c r="H2634" s="24"/>
      <c r="J2634" s="24"/>
      <c r="K2634" s="24"/>
      <c r="M2634" s="24"/>
      <c r="N2634" s="24"/>
      <c r="P2634" s="24"/>
    </row>
    <row r="2635" spans="2:16" x14ac:dyDescent="0.25">
      <c r="B2635" s="24"/>
      <c r="E2635" s="24"/>
      <c r="G2635" s="24"/>
      <c r="H2635" s="24"/>
      <c r="J2635" s="24"/>
      <c r="K2635" s="24"/>
      <c r="M2635" s="24"/>
      <c r="N2635" s="24"/>
      <c r="P2635" s="24"/>
    </row>
    <row r="2636" spans="2:16" x14ac:dyDescent="0.25">
      <c r="B2636" s="24"/>
      <c r="E2636" s="24"/>
      <c r="G2636" s="24"/>
      <c r="H2636" s="24"/>
      <c r="J2636" s="24"/>
      <c r="K2636" s="24"/>
      <c r="M2636" s="24"/>
      <c r="N2636" s="24"/>
      <c r="P2636" s="24"/>
    </row>
    <row r="2637" spans="2:16" x14ac:dyDescent="0.25">
      <c r="B2637" s="24"/>
      <c r="E2637" s="24"/>
      <c r="G2637" s="24"/>
      <c r="H2637" s="24"/>
      <c r="J2637" s="24"/>
      <c r="K2637" s="24"/>
      <c r="M2637" s="24"/>
      <c r="N2637" s="24"/>
      <c r="P2637" s="24"/>
    </row>
    <row r="2638" spans="2:16" x14ac:dyDescent="0.25">
      <c r="B2638" s="24"/>
      <c r="E2638" s="24"/>
      <c r="G2638" s="24"/>
      <c r="H2638" s="24"/>
      <c r="J2638" s="24"/>
      <c r="K2638" s="24"/>
      <c r="M2638" s="24"/>
      <c r="N2638" s="24"/>
      <c r="P2638" s="24"/>
    </row>
    <row r="2639" spans="2:16" x14ac:dyDescent="0.25">
      <c r="B2639" s="24"/>
      <c r="E2639" s="24"/>
      <c r="G2639" s="24"/>
      <c r="H2639" s="24"/>
      <c r="J2639" s="24"/>
      <c r="K2639" s="24"/>
      <c r="M2639" s="24"/>
      <c r="N2639" s="24"/>
      <c r="P2639" s="24"/>
    </row>
    <row r="2640" spans="2:16" x14ac:dyDescent="0.25">
      <c r="B2640" s="24"/>
      <c r="E2640" s="24"/>
      <c r="G2640" s="24"/>
      <c r="H2640" s="24"/>
      <c r="J2640" s="24"/>
      <c r="K2640" s="24"/>
      <c r="M2640" s="24"/>
      <c r="N2640" s="24"/>
      <c r="P2640" s="24"/>
    </row>
    <row r="2641" spans="2:16" x14ac:dyDescent="0.25">
      <c r="B2641" s="24"/>
      <c r="E2641" s="24"/>
      <c r="G2641" s="24"/>
      <c r="H2641" s="24"/>
      <c r="J2641" s="24"/>
      <c r="K2641" s="24"/>
      <c r="M2641" s="24"/>
      <c r="N2641" s="24"/>
      <c r="P2641" s="24"/>
    </row>
    <row r="2642" spans="2:16" x14ac:dyDescent="0.25">
      <c r="B2642" s="24"/>
      <c r="E2642" s="24"/>
      <c r="G2642" s="24"/>
      <c r="H2642" s="24"/>
      <c r="J2642" s="24"/>
      <c r="K2642" s="24"/>
      <c r="M2642" s="24"/>
      <c r="N2642" s="24"/>
      <c r="P2642" s="24"/>
    </row>
    <row r="2643" spans="2:16" x14ac:dyDescent="0.25">
      <c r="B2643" s="24"/>
      <c r="E2643" s="24"/>
      <c r="G2643" s="24"/>
      <c r="H2643" s="24"/>
      <c r="J2643" s="24"/>
      <c r="K2643" s="24"/>
      <c r="M2643" s="24"/>
      <c r="N2643" s="24"/>
      <c r="P2643" s="24"/>
    </row>
    <row r="2644" spans="2:16" x14ac:dyDescent="0.25">
      <c r="B2644" s="24"/>
      <c r="E2644" s="24"/>
      <c r="G2644" s="24"/>
      <c r="H2644" s="24"/>
      <c r="J2644" s="24"/>
      <c r="K2644" s="24"/>
      <c r="M2644" s="24"/>
      <c r="N2644" s="24"/>
      <c r="P2644" s="24"/>
    </row>
    <row r="2645" spans="2:16" x14ac:dyDescent="0.25">
      <c r="B2645" s="24"/>
      <c r="E2645" s="24"/>
      <c r="G2645" s="24"/>
      <c r="H2645" s="24"/>
      <c r="J2645" s="24"/>
      <c r="K2645" s="24"/>
      <c r="M2645" s="24"/>
      <c r="N2645" s="24"/>
      <c r="P2645" s="24"/>
    </row>
    <row r="2646" spans="2:16" x14ac:dyDescent="0.25">
      <c r="B2646" s="24"/>
      <c r="E2646" s="24"/>
      <c r="G2646" s="24"/>
      <c r="H2646" s="24"/>
      <c r="J2646" s="24"/>
      <c r="K2646" s="24"/>
      <c r="M2646" s="24"/>
      <c r="N2646" s="24"/>
      <c r="P2646" s="24"/>
    </row>
    <row r="2647" spans="2:16" x14ac:dyDescent="0.25">
      <c r="B2647" s="24"/>
      <c r="E2647" s="24"/>
      <c r="G2647" s="24"/>
      <c r="H2647" s="24"/>
      <c r="J2647" s="24"/>
      <c r="K2647" s="24"/>
      <c r="M2647" s="24"/>
      <c r="N2647" s="24"/>
      <c r="P2647" s="24"/>
    </row>
    <row r="2648" spans="2:16" x14ac:dyDescent="0.25">
      <c r="B2648" s="24"/>
      <c r="E2648" s="24"/>
      <c r="G2648" s="24"/>
      <c r="H2648" s="24"/>
      <c r="J2648" s="24"/>
      <c r="K2648" s="24"/>
      <c r="M2648" s="24"/>
      <c r="N2648" s="24"/>
      <c r="P2648" s="24"/>
    </row>
    <row r="2649" spans="2:16" x14ac:dyDescent="0.25">
      <c r="B2649" s="24"/>
      <c r="E2649" s="24"/>
      <c r="G2649" s="24"/>
      <c r="H2649" s="24"/>
      <c r="J2649" s="24"/>
      <c r="K2649" s="24"/>
      <c r="M2649" s="24"/>
      <c r="N2649" s="24"/>
      <c r="P2649" s="24"/>
    </row>
    <row r="2650" spans="2:16" x14ac:dyDescent="0.25">
      <c r="B2650" s="24"/>
      <c r="E2650" s="24"/>
      <c r="G2650" s="24"/>
      <c r="H2650" s="24"/>
      <c r="J2650" s="24"/>
      <c r="K2650" s="24"/>
      <c r="M2650" s="24"/>
      <c r="N2650" s="24"/>
      <c r="P2650" s="24"/>
    </row>
    <row r="2651" spans="2:16" x14ac:dyDescent="0.25">
      <c r="B2651" s="24"/>
      <c r="E2651" s="24"/>
      <c r="G2651" s="24"/>
      <c r="H2651" s="24"/>
      <c r="J2651" s="24"/>
      <c r="K2651" s="24"/>
      <c r="M2651" s="24"/>
      <c r="N2651" s="24"/>
      <c r="P2651" s="24"/>
    </row>
    <row r="2652" spans="2:16" x14ac:dyDescent="0.25">
      <c r="B2652" s="24"/>
      <c r="E2652" s="24"/>
      <c r="G2652" s="24"/>
      <c r="H2652" s="24"/>
      <c r="J2652" s="24"/>
      <c r="K2652" s="24"/>
      <c r="M2652" s="24"/>
      <c r="N2652" s="24"/>
      <c r="P2652" s="24"/>
    </row>
    <row r="2653" spans="2:16" x14ac:dyDescent="0.25">
      <c r="B2653" s="24"/>
      <c r="E2653" s="24"/>
      <c r="G2653" s="24"/>
      <c r="H2653" s="24"/>
      <c r="J2653" s="24"/>
      <c r="K2653" s="24"/>
      <c r="M2653" s="24"/>
      <c r="N2653" s="24"/>
      <c r="P2653" s="24"/>
    </row>
    <row r="2654" spans="2:16" x14ac:dyDescent="0.25">
      <c r="B2654" s="24"/>
      <c r="E2654" s="24"/>
      <c r="G2654" s="24"/>
      <c r="H2654" s="24"/>
      <c r="J2654" s="24"/>
      <c r="K2654" s="24"/>
      <c r="M2654" s="24"/>
      <c r="N2654" s="24"/>
      <c r="P2654" s="24"/>
    </row>
    <row r="2655" spans="2:16" x14ac:dyDescent="0.25">
      <c r="B2655" s="24"/>
      <c r="E2655" s="24"/>
      <c r="G2655" s="24"/>
      <c r="H2655" s="24"/>
      <c r="J2655" s="24"/>
      <c r="K2655" s="24"/>
      <c r="M2655" s="24"/>
      <c r="N2655" s="24"/>
      <c r="P2655" s="24"/>
    </row>
    <row r="2656" spans="2:16" x14ac:dyDescent="0.25">
      <c r="B2656" s="24"/>
      <c r="E2656" s="24"/>
      <c r="G2656" s="24"/>
      <c r="H2656" s="24"/>
      <c r="J2656" s="24"/>
      <c r="K2656" s="24"/>
      <c r="M2656" s="24"/>
      <c r="N2656" s="24"/>
      <c r="P2656" s="24"/>
    </row>
    <row r="2657" spans="2:16" x14ac:dyDescent="0.25">
      <c r="B2657" s="24"/>
      <c r="E2657" s="24"/>
      <c r="G2657" s="24"/>
      <c r="H2657" s="24"/>
      <c r="J2657" s="24"/>
      <c r="K2657" s="24"/>
      <c r="M2657" s="24"/>
      <c r="N2657" s="24"/>
      <c r="P2657" s="24"/>
    </row>
    <row r="2658" spans="2:16" x14ac:dyDescent="0.25">
      <c r="B2658" s="24"/>
      <c r="E2658" s="24"/>
      <c r="G2658" s="24"/>
      <c r="H2658" s="24"/>
      <c r="J2658" s="24"/>
      <c r="K2658" s="24"/>
      <c r="M2658" s="24"/>
      <c r="N2658" s="24"/>
      <c r="P2658" s="24"/>
    </row>
    <row r="2659" spans="2:16" x14ac:dyDescent="0.25">
      <c r="B2659" s="24"/>
      <c r="E2659" s="24"/>
      <c r="G2659" s="24"/>
      <c r="H2659" s="24"/>
      <c r="J2659" s="24"/>
      <c r="K2659" s="24"/>
      <c r="M2659" s="24"/>
      <c r="N2659" s="24"/>
      <c r="P2659" s="24"/>
    </row>
    <row r="2660" spans="2:16" x14ac:dyDescent="0.25">
      <c r="B2660" s="24"/>
      <c r="E2660" s="24"/>
      <c r="G2660" s="24"/>
      <c r="H2660" s="24"/>
      <c r="J2660" s="24"/>
      <c r="K2660" s="24"/>
      <c r="M2660" s="24"/>
      <c r="N2660" s="24"/>
      <c r="P2660" s="24"/>
    </row>
    <row r="2661" spans="2:16" x14ac:dyDescent="0.25">
      <c r="B2661" s="24"/>
      <c r="E2661" s="24"/>
      <c r="G2661" s="24"/>
      <c r="H2661" s="24"/>
      <c r="J2661" s="24"/>
      <c r="K2661" s="24"/>
      <c r="M2661" s="24"/>
      <c r="N2661" s="24"/>
      <c r="P2661" s="24"/>
    </row>
    <row r="2662" spans="2:16" x14ac:dyDescent="0.25">
      <c r="B2662" s="24"/>
      <c r="E2662" s="24"/>
      <c r="G2662" s="24"/>
      <c r="H2662" s="24"/>
      <c r="J2662" s="24"/>
      <c r="K2662" s="24"/>
      <c r="M2662" s="24"/>
      <c r="N2662" s="24"/>
      <c r="P2662" s="24"/>
    </row>
    <row r="2663" spans="2:16" x14ac:dyDescent="0.25">
      <c r="B2663" s="24"/>
      <c r="E2663" s="24"/>
      <c r="G2663" s="24"/>
      <c r="H2663" s="24"/>
      <c r="J2663" s="24"/>
      <c r="K2663" s="24"/>
      <c r="M2663" s="24"/>
      <c r="N2663" s="24"/>
      <c r="P2663" s="24"/>
    </row>
    <row r="2664" spans="2:16" x14ac:dyDescent="0.25">
      <c r="B2664" s="24"/>
      <c r="E2664" s="24"/>
      <c r="G2664" s="24"/>
      <c r="H2664" s="24"/>
      <c r="J2664" s="24"/>
      <c r="K2664" s="24"/>
      <c r="M2664" s="24"/>
      <c r="N2664" s="24"/>
      <c r="P2664" s="24"/>
    </row>
    <row r="2665" spans="2:16" x14ac:dyDescent="0.25">
      <c r="B2665" s="24"/>
      <c r="E2665" s="24"/>
      <c r="G2665" s="24"/>
      <c r="H2665" s="24"/>
      <c r="J2665" s="24"/>
      <c r="K2665" s="24"/>
      <c r="M2665" s="24"/>
      <c r="N2665" s="24"/>
      <c r="P2665" s="24"/>
    </row>
    <row r="2666" spans="2:16" x14ac:dyDescent="0.25">
      <c r="B2666" s="24"/>
      <c r="E2666" s="24"/>
      <c r="G2666" s="24"/>
      <c r="H2666" s="24"/>
      <c r="J2666" s="24"/>
      <c r="K2666" s="24"/>
      <c r="M2666" s="24"/>
      <c r="N2666" s="24"/>
      <c r="P2666" s="24"/>
    </row>
    <row r="2667" spans="2:16" x14ac:dyDescent="0.25">
      <c r="B2667" s="24"/>
      <c r="E2667" s="24"/>
      <c r="G2667" s="24"/>
      <c r="H2667" s="24"/>
      <c r="J2667" s="24"/>
      <c r="K2667" s="24"/>
      <c r="M2667" s="24"/>
      <c r="N2667" s="24"/>
      <c r="P2667" s="24"/>
    </row>
    <row r="2668" spans="2:16" x14ac:dyDescent="0.25">
      <c r="B2668" s="24"/>
      <c r="E2668" s="24"/>
      <c r="G2668" s="24"/>
      <c r="H2668" s="24"/>
      <c r="J2668" s="24"/>
      <c r="K2668" s="24"/>
      <c r="M2668" s="24"/>
      <c r="N2668" s="24"/>
      <c r="P2668" s="24"/>
    </row>
    <row r="2669" spans="2:16" x14ac:dyDescent="0.25">
      <c r="B2669" s="24"/>
      <c r="E2669" s="24"/>
      <c r="G2669" s="24"/>
      <c r="H2669" s="24"/>
      <c r="J2669" s="24"/>
      <c r="K2669" s="24"/>
      <c r="M2669" s="24"/>
      <c r="N2669" s="24"/>
      <c r="P2669" s="24"/>
    </row>
    <row r="2670" spans="2:16" x14ac:dyDescent="0.25">
      <c r="B2670" s="24"/>
      <c r="E2670" s="24"/>
      <c r="G2670" s="24"/>
      <c r="H2670" s="24"/>
      <c r="J2670" s="24"/>
      <c r="K2670" s="24"/>
      <c r="M2670" s="24"/>
      <c r="N2670" s="24"/>
      <c r="P2670" s="24"/>
    </row>
    <row r="2671" spans="2:16" x14ac:dyDescent="0.25">
      <c r="B2671" s="24"/>
      <c r="E2671" s="24"/>
      <c r="G2671" s="24"/>
      <c r="H2671" s="24"/>
      <c r="J2671" s="24"/>
      <c r="K2671" s="24"/>
      <c r="M2671" s="24"/>
      <c r="N2671" s="24"/>
      <c r="P2671" s="24"/>
    </row>
    <row r="2672" spans="2:16" x14ac:dyDescent="0.25">
      <c r="B2672" s="24"/>
      <c r="E2672" s="24"/>
      <c r="G2672" s="24"/>
      <c r="H2672" s="24"/>
      <c r="J2672" s="24"/>
      <c r="K2672" s="24"/>
      <c r="M2672" s="24"/>
      <c r="N2672" s="24"/>
      <c r="P2672" s="24"/>
    </row>
    <row r="2673" spans="2:16" x14ac:dyDescent="0.25">
      <c r="B2673" s="24"/>
      <c r="E2673" s="24"/>
      <c r="G2673" s="24"/>
      <c r="H2673" s="24"/>
      <c r="J2673" s="24"/>
      <c r="K2673" s="24"/>
      <c r="M2673" s="24"/>
      <c r="N2673" s="24"/>
      <c r="P2673" s="24"/>
    </row>
    <row r="2674" spans="2:16" x14ac:dyDescent="0.25">
      <c r="B2674" s="24"/>
      <c r="E2674" s="24"/>
      <c r="G2674" s="24"/>
      <c r="H2674" s="24"/>
      <c r="J2674" s="24"/>
      <c r="K2674" s="24"/>
      <c r="M2674" s="24"/>
      <c r="N2674" s="24"/>
      <c r="P2674" s="24"/>
    </row>
    <row r="2675" spans="2:16" x14ac:dyDescent="0.25">
      <c r="B2675" s="24"/>
      <c r="E2675" s="24"/>
      <c r="G2675" s="24"/>
      <c r="H2675" s="24"/>
      <c r="J2675" s="24"/>
      <c r="K2675" s="24"/>
      <c r="M2675" s="24"/>
      <c r="N2675" s="24"/>
      <c r="P2675" s="24"/>
    </row>
    <row r="2676" spans="2:16" x14ac:dyDescent="0.25">
      <c r="B2676" s="24"/>
      <c r="E2676" s="24"/>
      <c r="G2676" s="24"/>
      <c r="H2676" s="24"/>
      <c r="J2676" s="24"/>
      <c r="K2676" s="24"/>
      <c r="M2676" s="24"/>
      <c r="N2676" s="24"/>
      <c r="P2676" s="24"/>
    </row>
    <row r="2677" spans="2:16" x14ac:dyDescent="0.25">
      <c r="B2677" s="24"/>
      <c r="E2677" s="24"/>
      <c r="G2677" s="24"/>
      <c r="H2677" s="24"/>
      <c r="J2677" s="24"/>
      <c r="K2677" s="24"/>
      <c r="M2677" s="24"/>
      <c r="N2677" s="24"/>
      <c r="P2677" s="24"/>
    </row>
    <row r="2678" spans="2:16" x14ac:dyDescent="0.25">
      <c r="B2678" s="24"/>
      <c r="E2678" s="24"/>
      <c r="G2678" s="24"/>
      <c r="H2678" s="24"/>
      <c r="J2678" s="24"/>
      <c r="K2678" s="24"/>
      <c r="M2678" s="24"/>
      <c r="N2678" s="24"/>
      <c r="P2678" s="24"/>
    </row>
    <row r="2679" spans="2:16" x14ac:dyDescent="0.25">
      <c r="B2679" s="24"/>
      <c r="E2679" s="24"/>
      <c r="G2679" s="24"/>
      <c r="H2679" s="24"/>
      <c r="J2679" s="24"/>
      <c r="K2679" s="24"/>
      <c r="M2679" s="24"/>
      <c r="N2679" s="24"/>
      <c r="P2679" s="24"/>
    </row>
    <row r="2680" spans="2:16" x14ac:dyDescent="0.25">
      <c r="B2680" s="24"/>
      <c r="E2680" s="24"/>
      <c r="G2680" s="24"/>
      <c r="H2680" s="24"/>
      <c r="J2680" s="24"/>
      <c r="K2680" s="24"/>
      <c r="M2680" s="24"/>
      <c r="N2680" s="24"/>
      <c r="P2680" s="24"/>
    </row>
    <row r="2681" spans="2:16" x14ac:dyDescent="0.25">
      <c r="B2681" s="24"/>
      <c r="E2681" s="24"/>
      <c r="G2681" s="24"/>
      <c r="H2681" s="24"/>
      <c r="J2681" s="24"/>
      <c r="K2681" s="24"/>
      <c r="M2681" s="24"/>
      <c r="N2681" s="24"/>
      <c r="P2681" s="24"/>
    </row>
    <row r="2682" spans="2:16" x14ac:dyDescent="0.25">
      <c r="B2682" s="24"/>
      <c r="E2682" s="24"/>
      <c r="G2682" s="24"/>
      <c r="H2682" s="24"/>
      <c r="J2682" s="24"/>
      <c r="K2682" s="24"/>
      <c r="M2682" s="24"/>
      <c r="N2682" s="24"/>
      <c r="P2682" s="24"/>
    </row>
    <row r="2683" spans="2:16" x14ac:dyDescent="0.25">
      <c r="B2683" s="24"/>
      <c r="E2683" s="24"/>
      <c r="G2683" s="24"/>
      <c r="H2683" s="24"/>
      <c r="J2683" s="24"/>
      <c r="K2683" s="24"/>
      <c r="M2683" s="24"/>
      <c r="N2683" s="24"/>
      <c r="P2683" s="24"/>
    </row>
    <row r="2684" spans="2:16" x14ac:dyDescent="0.25">
      <c r="B2684" s="24"/>
      <c r="E2684" s="24"/>
      <c r="G2684" s="24"/>
      <c r="H2684" s="24"/>
      <c r="J2684" s="24"/>
      <c r="K2684" s="24"/>
      <c r="M2684" s="24"/>
      <c r="N2684" s="24"/>
      <c r="P2684" s="24"/>
    </row>
    <row r="2685" spans="2:16" x14ac:dyDescent="0.25">
      <c r="B2685" s="24"/>
      <c r="E2685" s="24"/>
      <c r="G2685" s="24"/>
      <c r="H2685" s="24"/>
      <c r="J2685" s="24"/>
      <c r="K2685" s="24"/>
      <c r="M2685" s="24"/>
      <c r="N2685" s="24"/>
      <c r="P2685" s="24"/>
    </row>
    <row r="2686" spans="2:16" x14ac:dyDescent="0.25">
      <c r="B2686" s="24"/>
      <c r="E2686" s="24"/>
      <c r="G2686" s="24"/>
      <c r="H2686" s="24"/>
      <c r="J2686" s="24"/>
      <c r="K2686" s="24"/>
      <c r="M2686" s="24"/>
      <c r="N2686" s="24"/>
      <c r="P2686" s="24"/>
    </row>
    <row r="2687" spans="2:16" x14ac:dyDescent="0.25">
      <c r="B2687" s="24"/>
      <c r="E2687" s="24"/>
      <c r="G2687" s="24"/>
      <c r="H2687" s="24"/>
      <c r="J2687" s="24"/>
      <c r="K2687" s="24"/>
      <c r="M2687" s="24"/>
      <c r="N2687" s="24"/>
      <c r="P2687" s="24"/>
    </row>
    <row r="2688" spans="2:16" x14ac:dyDescent="0.25">
      <c r="B2688" s="24"/>
      <c r="E2688" s="24"/>
      <c r="G2688" s="24"/>
      <c r="H2688" s="24"/>
      <c r="J2688" s="24"/>
      <c r="K2688" s="24"/>
      <c r="M2688" s="24"/>
      <c r="N2688" s="24"/>
      <c r="P2688" s="24"/>
    </row>
    <row r="2689" spans="2:16" x14ac:dyDescent="0.25">
      <c r="B2689" s="24"/>
      <c r="E2689" s="24"/>
      <c r="G2689" s="24"/>
      <c r="H2689" s="24"/>
      <c r="J2689" s="24"/>
      <c r="K2689" s="24"/>
      <c r="M2689" s="24"/>
      <c r="N2689" s="24"/>
      <c r="P2689" s="24"/>
    </row>
    <row r="2690" spans="2:16" x14ac:dyDescent="0.25">
      <c r="B2690" s="24"/>
      <c r="E2690" s="24"/>
      <c r="G2690" s="24"/>
      <c r="H2690" s="24"/>
      <c r="J2690" s="24"/>
      <c r="K2690" s="24"/>
      <c r="M2690" s="24"/>
      <c r="N2690" s="24"/>
      <c r="P2690" s="24"/>
    </row>
    <row r="2691" spans="2:16" x14ac:dyDescent="0.25">
      <c r="B2691" s="24"/>
      <c r="E2691" s="24"/>
      <c r="G2691" s="24"/>
      <c r="H2691" s="24"/>
      <c r="J2691" s="24"/>
      <c r="K2691" s="24"/>
      <c r="M2691" s="24"/>
      <c r="N2691" s="24"/>
      <c r="P2691" s="24"/>
    </row>
    <row r="2692" spans="2:16" x14ac:dyDescent="0.25">
      <c r="B2692" s="24"/>
      <c r="E2692" s="24"/>
      <c r="G2692" s="24"/>
      <c r="H2692" s="24"/>
      <c r="J2692" s="24"/>
      <c r="K2692" s="24"/>
      <c r="M2692" s="24"/>
      <c r="N2692" s="24"/>
      <c r="P2692" s="24"/>
    </row>
    <row r="2693" spans="2:16" x14ac:dyDescent="0.25">
      <c r="B2693" s="24"/>
      <c r="E2693" s="24"/>
      <c r="G2693" s="24"/>
      <c r="H2693" s="24"/>
      <c r="J2693" s="24"/>
      <c r="K2693" s="24"/>
      <c r="M2693" s="24"/>
      <c r="N2693" s="24"/>
      <c r="P2693" s="24"/>
    </row>
    <row r="2694" spans="2:16" x14ac:dyDescent="0.25">
      <c r="B2694" s="24"/>
      <c r="E2694" s="24"/>
      <c r="G2694" s="24"/>
      <c r="H2694" s="24"/>
      <c r="J2694" s="24"/>
      <c r="K2694" s="24"/>
      <c r="M2694" s="24"/>
      <c r="N2694" s="24"/>
      <c r="P2694" s="24"/>
    </row>
    <row r="2695" spans="2:16" x14ac:dyDescent="0.25">
      <c r="B2695" s="24"/>
      <c r="E2695" s="24"/>
      <c r="G2695" s="24"/>
      <c r="H2695" s="24"/>
      <c r="J2695" s="24"/>
      <c r="K2695" s="24"/>
      <c r="M2695" s="24"/>
      <c r="N2695" s="24"/>
      <c r="P2695" s="24"/>
    </row>
    <row r="2696" spans="2:16" x14ac:dyDescent="0.25">
      <c r="B2696" s="24"/>
      <c r="E2696" s="24"/>
      <c r="G2696" s="24"/>
      <c r="H2696" s="24"/>
      <c r="J2696" s="24"/>
      <c r="K2696" s="24"/>
      <c r="M2696" s="24"/>
      <c r="N2696" s="24"/>
      <c r="P2696" s="24"/>
    </row>
    <row r="2697" spans="2:16" x14ac:dyDescent="0.25">
      <c r="B2697" s="24"/>
      <c r="E2697" s="24"/>
      <c r="G2697" s="24"/>
      <c r="H2697" s="24"/>
      <c r="J2697" s="24"/>
      <c r="K2697" s="24"/>
      <c r="M2697" s="24"/>
      <c r="N2697" s="24"/>
      <c r="P2697" s="24"/>
    </row>
    <row r="2698" spans="2:16" x14ac:dyDescent="0.25">
      <c r="B2698" s="24"/>
      <c r="E2698" s="24"/>
      <c r="G2698" s="24"/>
      <c r="H2698" s="24"/>
      <c r="J2698" s="24"/>
      <c r="K2698" s="24"/>
      <c r="M2698" s="24"/>
      <c r="N2698" s="24"/>
      <c r="P2698" s="24"/>
    </row>
    <row r="2699" spans="2:16" x14ac:dyDescent="0.25">
      <c r="B2699" s="24"/>
      <c r="E2699" s="24"/>
      <c r="G2699" s="24"/>
      <c r="H2699" s="24"/>
      <c r="J2699" s="24"/>
      <c r="K2699" s="24"/>
      <c r="M2699" s="24"/>
      <c r="N2699" s="24"/>
      <c r="P2699" s="24"/>
    </row>
    <row r="2700" spans="2:16" x14ac:dyDescent="0.25">
      <c r="B2700" s="24"/>
      <c r="E2700" s="24"/>
      <c r="G2700" s="24"/>
      <c r="H2700" s="24"/>
      <c r="J2700" s="24"/>
      <c r="K2700" s="24"/>
      <c r="M2700" s="24"/>
      <c r="N2700" s="24"/>
      <c r="P2700" s="24"/>
    </row>
    <row r="2701" spans="2:16" x14ac:dyDescent="0.25">
      <c r="B2701" s="24"/>
      <c r="E2701" s="24"/>
      <c r="G2701" s="24"/>
      <c r="H2701" s="24"/>
      <c r="J2701" s="24"/>
      <c r="K2701" s="24"/>
      <c r="M2701" s="24"/>
      <c r="N2701" s="24"/>
      <c r="P2701" s="24"/>
    </row>
    <row r="2702" spans="2:16" x14ac:dyDescent="0.25">
      <c r="B2702" s="24"/>
      <c r="E2702" s="24"/>
      <c r="G2702" s="24"/>
      <c r="H2702" s="24"/>
      <c r="J2702" s="24"/>
      <c r="K2702" s="24"/>
      <c r="M2702" s="24"/>
      <c r="N2702" s="24"/>
      <c r="P2702" s="24"/>
    </row>
    <row r="2703" spans="2:16" x14ac:dyDescent="0.25">
      <c r="B2703" s="24"/>
      <c r="E2703" s="24"/>
      <c r="G2703" s="24"/>
      <c r="H2703" s="24"/>
      <c r="J2703" s="24"/>
      <c r="K2703" s="24"/>
      <c r="M2703" s="24"/>
      <c r="N2703" s="24"/>
      <c r="P2703" s="24"/>
    </row>
    <row r="2704" spans="2:16" x14ac:dyDescent="0.25">
      <c r="B2704" s="24"/>
      <c r="E2704" s="24"/>
      <c r="G2704" s="24"/>
      <c r="H2704" s="24"/>
      <c r="J2704" s="24"/>
      <c r="K2704" s="24"/>
      <c r="M2704" s="24"/>
      <c r="N2704" s="24"/>
      <c r="P2704" s="24"/>
    </row>
    <row r="2705" spans="2:16" x14ac:dyDescent="0.25">
      <c r="B2705" s="24"/>
      <c r="E2705" s="24"/>
      <c r="G2705" s="24"/>
      <c r="H2705" s="24"/>
      <c r="J2705" s="24"/>
      <c r="K2705" s="24"/>
      <c r="M2705" s="24"/>
      <c r="N2705" s="24"/>
      <c r="P2705" s="24"/>
    </row>
    <row r="2706" spans="2:16" x14ac:dyDescent="0.25">
      <c r="B2706" s="24"/>
      <c r="E2706" s="24"/>
      <c r="G2706" s="24"/>
      <c r="H2706" s="24"/>
      <c r="J2706" s="24"/>
      <c r="K2706" s="24"/>
      <c r="M2706" s="24"/>
      <c r="N2706" s="24"/>
      <c r="P2706" s="24"/>
    </row>
    <row r="2707" spans="2:16" x14ac:dyDescent="0.25">
      <c r="B2707" s="24"/>
      <c r="E2707" s="24"/>
      <c r="G2707" s="24"/>
      <c r="H2707" s="24"/>
      <c r="J2707" s="24"/>
      <c r="K2707" s="24"/>
      <c r="M2707" s="24"/>
      <c r="N2707" s="24"/>
      <c r="P2707" s="24"/>
    </row>
    <row r="2708" spans="2:16" x14ac:dyDescent="0.25">
      <c r="B2708" s="24"/>
      <c r="E2708" s="24"/>
      <c r="G2708" s="24"/>
      <c r="H2708" s="24"/>
      <c r="J2708" s="24"/>
      <c r="K2708" s="24"/>
      <c r="M2708" s="24"/>
      <c r="N2708" s="24"/>
      <c r="P2708" s="24"/>
    </row>
    <row r="2709" spans="2:16" x14ac:dyDescent="0.25">
      <c r="B2709" s="24"/>
      <c r="E2709" s="24"/>
      <c r="G2709" s="24"/>
      <c r="H2709" s="24"/>
      <c r="J2709" s="24"/>
      <c r="K2709" s="24"/>
      <c r="M2709" s="24"/>
      <c r="N2709" s="24"/>
      <c r="P2709" s="24"/>
    </row>
    <row r="2710" spans="2:16" x14ac:dyDescent="0.25">
      <c r="B2710" s="24"/>
      <c r="E2710" s="24"/>
      <c r="G2710" s="24"/>
      <c r="H2710" s="24"/>
      <c r="J2710" s="24"/>
      <c r="K2710" s="24"/>
      <c r="M2710" s="24"/>
      <c r="N2710" s="24"/>
      <c r="P2710" s="24"/>
    </row>
    <row r="2711" spans="2:16" x14ac:dyDescent="0.25">
      <c r="B2711" s="24"/>
      <c r="E2711" s="24"/>
      <c r="G2711" s="24"/>
      <c r="H2711" s="24"/>
      <c r="J2711" s="24"/>
      <c r="K2711" s="24"/>
      <c r="M2711" s="24"/>
      <c r="N2711" s="24"/>
      <c r="P2711" s="24"/>
    </row>
    <row r="2712" spans="2:16" x14ac:dyDescent="0.25">
      <c r="B2712" s="24"/>
      <c r="E2712" s="24"/>
      <c r="G2712" s="24"/>
      <c r="H2712" s="24"/>
      <c r="J2712" s="24"/>
      <c r="K2712" s="24"/>
      <c r="M2712" s="24"/>
      <c r="N2712" s="24"/>
      <c r="P2712" s="24"/>
    </row>
    <row r="2713" spans="2:16" x14ac:dyDescent="0.25">
      <c r="B2713" s="24"/>
      <c r="E2713" s="24"/>
      <c r="G2713" s="24"/>
      <c r="H2713" s="24"/>
      <c r="J2713" s="24"/>
      <c r="K2713" s="24"/>
      <c r="M2713" s="24"/>
      <c r="N2713" s="24"/>
      <c r="P2713" s="24"/>
    </row>
    <row r="2714" spans="2:16" x14ac:dyDescent="0.25">
      <c r="B2714" s="24"/>
      <c r="E2714" s="24"/>
      <c r="G2714" s="24"/>
      <c r="H2714" s="24"/>
      <c r="J2714" s="24"/>
      <c r="K2714" s="24"/>
      <c r="M2714" s="24"/>
      <c r="N2714" s="24"/>
      <c r="P2714" s="24"/>
    </row>
    <row r="2715" spans="2:16" x14ac:dyDescent="0.25">
      <c r="B2715" s="24"/>
      <c r="E2715" s="24"/>
      <c r="G2715" s="24"/>
      <c r="H2715" s="24"/>
      <c r="J2715" s="24"/>
      <c r="K2715" s="24"/>
      <c r="M2715" s="24"/>
      <c r="N2715" s="24"/>
      <c r="P2715" s="24"/>
    </row>
    <row r="2716" spans="2:16" x14ac:dyDescent="0.25">
      <c r="B2716" s="24"/>
      <c r="E2716" s="24"/>
      <c r="G2716" s="24"/>
      <c r="H2716" s="24"/>
      <c r="J2716" s="24"/>
      <c r="K2716" s="24"/>
      <c r="M2716" s="24"/>
      <c r="N2716" s="24"/>
      <c r="P2716" s="24"/>
    </row>
    <row r="2717" spans="2:16" x14ac:dyDescent="0.25">
      <c r="B2717" s="24"/>
      <c r="E2717" s="24"/>
      <c r="G2717" s="24"/>
      <c r="H2717" s="24"/>
      <c r="J2717" s="24"/>
      <c r="K2717" s="24"/>
      <c r="M2717" s="24"/>
      <c r="N2717" s="24"/>
      <c r="P2717" s="24"/>
    </row>
    <row r="2718" spans="2:16" x14ac:dyDescent="0.25">
      <c r="B2718" s="24"/>
      <c r="E2718" s="24"/>
      <c r="G2718" s="24"/>
      <c r="H2718" s="24"/>
      <c r="J2718" s="24"/>
      <c r="K2718" s="24"/>
      <c r="M2718" s="24"/>
      <c r="N2718" s="24"/>
      <c r="P2718" s="24"/>
    </row>
    <row r="2719" spans="2:16" x14ac:dyDescent="0.25">
      <c r="B2719" s="24"/>
      <c r="E2719" s="24"/>
      <c r="G2719" s="24"/>
      <c r="H2719" s="24"/>
      <c r="J2719" s="24"/>
      <c r="K2719" s="24"/>
      <c r="M2719" s="24"/>
      <c r="N2719" s="24"/>
      <c r="P2719" s="24"/>
    </row>
    <row r="2720" spans="2:16" x14ac:dyDescent="0.25">
      <c r="B2720" s="24"/>
      <c r="E2720" s="24"/>
      <c r="G2720" s="24"/>
      <c r="H2720" s="24"/>
      <c r="J2720" s="24"/>
      <c r="K2720" s="24"/>
      <c r="M2720" s="24"/>
      <c r="N2720" s="24"/>
      <c r="P2720" s="24"/>
    </row>
    <row r="2721" spans="2:16" x14ac:dyDescent="0.25">
      <c r="B2721" s="24"/>
      <c r="E2721" s="24"/>
      <c r="G2721" s="24"/>
      <c r="H2721" s="24"/>
      <c r="J2721" s="24"/>
      <c r="K2721" s="24"/>
      <c r="M2721" s="24"/>
      <c r="N2721" s="24"/>
      <c r="P2721" s="24"/>
    </row>
    <row r="2722" spans="2:16" x14ac:dyDescent="0.25">
      <c r="B2722" s="24"/>
      <c r="E2722" s="24"/>
      <c r="G2722" s="24"/>
      <c r="H2722" s="24"/>
      <c r="J2722" s="24"/>
      <c r="K2722" s="24"/>
      <c r="M2722" s="24"/>
      <c r="N2722" s="24"/>
      <c r="P2722" s="24"/>
    </row>
    <row r="2723" spans="2:16" x14ac:dyDescent="0.25">
      <c r="B2723" s="24"/>
      <c r="E2723" s="24"/>
      <c r="G2723" s="24"/>
      <c r="H2723" s="24"/>
      <c r="J2723" s="24"/>
      <c r="K2723" s="24"/>
      <c r="M2723" s="24"/>
      <c r="N2723" s="24"/>
      <c r="P2723" s="24"/>
    </row>
    <row r="2724" spans="2:16" x14ac:dyDescent="0.25">
      <c r="B2724" s="24"/>
      <c r="E2724" s="24"/>
      <c r="G2724" s="24"/>
      <c r="H2724" s="24"/>
      <c r="J2724" s="24"/>
      <c r="K2724" s="24"/>
      <c r="M2724" s="24"/>
      <c r="N2724" s="24"/>
      <c r="P2724" s="24"/>
    </row>
    <row r="2725" spans="2:16" x14ac:dyDescent="0.25">
      <c r="B2725" s="24"/>
      <c r="E2725" s="24"/>
      <c r="G2725" s="24"/>
      <c r="H2725" s="24"/>
      <c r="J2725" s="24"/>
      <c r="K2725" s="24"/>
      <c r="M2725" s="24"/>
      <c r="N2725" s="24"/>
      <c r="P2725" s="24"/>
    </row>
    <row r="2726" spans="2:16" x14ac:dyDescent="0.25">
      <c r="B2726" s="24"/>
      <c r="E2726" s="24"/>
      <c r="G2726" s="24"/>
      <c r="H2726" s="24"/>
      <c r="J2726" s="24"/>
      <c r="K2726" s="24"/>
      <c r="M2726" s="24"/>
      <c r="N2726" s="24"/>
      <c r="P2726" s="24"/>
    </row>
    <row r="2727" spans="2:16" x14ac:dyDescent="0.25">
      <c r="B2727" s="24"/>
      <c r="E2727" s="24"/>
      <c r="G2727" s="24"/>
      <c r="H2727" s="24"/>
      <c r="J2727" s="24"/>
      <c r="K2727" s="24"/>
      <c r="M2727" s="24"/>
      <c r="N2727" s="24"/>
      <c r="P2727" s="24"/>
    </row>
    <row r="2728" spans="2:16" x14ac:dyDescent="0.25">
      <c r="B2728" s="24"/>
      <c r="E2728" s="24"/>
      <c r="G2728" s="24"/>
      <c r="H2728" s="24"/>
      <c r="J2728" s="24"/>
      <c r="K2728" s="24"/>
      <c r="M2728" s="24"/>
      <c r="N2728" s="24"/>
      <c r="P2728" s="24"/>
    </row>
    <row r="2729" spans="2:16" x14ac:dyDescent="0.25">
      <c r="B2729" s="24"/>
      <c r="E2729" s="24"/>
      <c r="G2729" s="24"/>
      <c r="H2729" s="24"/>
      <c r="J2729" s="24"/>
      <c r="K2729" s="24"/>
      <c r="M2729" s="24"/>
      <c r="N2729" s="24"/>
      <c r="P2729" s="24"/>
    </row>
    <row r="2730" spans="2:16" x14ac:dyDescent="0.25">
      <c r="B2730" s="24"/>
      <c r="E2730" s="24"/>
      <c r="G2730" s="24"/>
      <c r="H2730" s="24"/>
      <c r="J2730" s="24"/>
      <c r="K2730" s="24"/>
      <c r="M2730" s="24"/>
      <c r="N2730" s="24"/>
      <c r="P2730" s="24"/>
    </row>
    <row r="2731" spans="2:16" x14ac:dyDescent="0.25">
      <c r="B2731" s="24"/>
      <c r="E2731" s="24"/>
      <c r="G2731" s="24"/>
      <c r="H2731" s="24"/>
      <c r="J2731" s="24"/>
      <c r="K2731" s="24"/>
      <c r="M2731" s="24"/>
      <c r="N2731" s="24"/>
      <c r="P2731" s="24"/>
    </row>
    <row r="2732" spans="2:16" x14ac:dyDescent="0.25">
      <c r="B2732" s="24"/>
      <c r="E2732" s="24"/>
      <c r="G2732" s="24"/>
      <c r="H2732" s="24"/>
      <c r="J2732" s="24"/>
      <c r="K2732" s="24"/>
      <c r="M2732" s="24"/>
      <c r="N2732" s="24"/>
      <c r="P2732" s="24"/>
    </row>
    <row r="2733" spans="2:16" x14ac:dyDescent="0.25">
      <c r="B2733" s="24"/>
      <c r="E2733" s="24"/>
      <c r="G2733" s="24"/>
      <c r="H2733" s="24"/>
      <c r="J2733" s="24"/>
      <c r="K2733" s="24"/>
      <c r="M2733" s="24"/>
      <c r="N2733" s="24"/>
      <c r="P2733" s="24"/>
    </row>
    <row r="2734" spans="2:16" x14ac:dyDescent="0.25">
      <c r="B2734" s="24"/>
      <c r="E2734" s="24"/>
      <c r="G2734" s="24"/>
      <c r="H2734" s="24"/>
      <c r="J2734" s="24"/>
      <c r="K2734" s="24"/>
      <c r="M2734" s="24"/>
      <c r="N2734" s="24"/>
      <c r="P2734" s="24"/>
    </row>
    <row r="2735" spans="2:16" x14ac:dyDescent="0.25">
      <c r="B2735" s="24"/>
      <c r="E2735" s="24"/>
      <c r="G2735" s="24"/>
      <c r="H2735" s="24"/>
      <c r="J2735" s="24"/>
      <c r="K2735" s="24"/>
      <c r="M2735" s="24"/>
      <c r="N2735" s="24"/>
      <c r="P2735" s="24"/>
    </row>
    <row r="2736" spans="2:16" x14ac:dyDescent="0.25">
      <c r="B2736" s="24"/>
      <c r="E2736" s="24"/>
      <c r="G2736" s="24"/>
      <c r="H2736" s="24"/>
      <c r="J2736" s="24"/>
      <c r="K2736" s="24"/>
      <c r="M2736" s="24"/>
      <c r="N2736" s="24"/>
      <c r="P2736" s="24"/>
    </row>
    <row r="2737" spans="2:16" x14ac:dyDescent="0.25">
      <c r="B2737" s="24"/>
      <c r="E2737" s="24"/>
      <c r="G2737" s="24"/>
      <c r="H2737" s="24"/>
      <c r="J2737" s="24"/>
      <c r="K2737" s="24"/>
      <c r="M2737" s="24"/>
      <c r="N2737" s="24"/>
      <c r="P2737" s="24"/>
    </row>
    <row r="2738" spans="2:16" x14ac:dyDescent="0.25">
      <c r="B2738" s="24"/>
      <c r="E2738" s="24"/>
      <c r="G2738" s="24"/>
      <c r="H2738" s="24"/>
      <c r="J2738" s="24"/>
      <c r="K2738" s="24"/>
      <c r="M2738" s="24"/>
      <c r="N2738" s="24"/>
      <c r="P2738" s="24"/>
    </row>
    <row r="2739" spans="2:16" x14ac:dyDescent="0.25">
      <c r="B2739" s="24"/>
      <c r="E2739" s="24"/>
      <c r="G2739" s="24"/>
      <c r="H2739" s="24"/>
      <c r="J2739" s="24"/>
      <c r="K2739" s="24"/>
      <c r="M2739" s="24"/>
      <c r="N2739" s="24"/>
      <c r="P2739" s="24"/>
    </row>
    <row r="2740" spans="2:16" x14ac:dyDescent="0.25">
      <c r="B2740" s="24"/>
      <c r="E2740" s="24"/>
      <c r="G2740" s="24"/>
      <c r="H2740" s="24"/>
      <c r="J2740" s="24"/>
      <c r="K2740" s="24"/>
      <c r="M2740" s="24"/>
      <c r="N2740" s="24"/>
      <c r="P2740" s="24"/>
    </row>
    <row r="2741" spans="2:16" x14ac:dyDescent="0.25">
      <c r="B2741" s="24"/>
      <c r="E2741" s="24"/>
      <c r="G2741" s="24"/>
      <c r="H2741" s="24"/>
      <c r="J2741" s="24"/>
      <c r="K2741" s="24"/>
      <c r="M2741" s="24"/>
      <c r="N2741" s="24"/>
      <c r="P2741" s="24"/>
    </row>
    <row r="2742" spans="2:16" x14ac:dyDescent="0.25">
      <c r="B2742" s="24"/>
      <c r="E2742" s="24"/>
      <c r="G2742" s="24"/>
      <c r="H2742" s="24"/>
      <c r="J2742" s="24"/>
      <c r="K2742" s="24"/>
      <c r="M2742" s="24"/>
      <c r="N2742" s="24"/>
      <c r="P2742" s="24"/>
    </row>
    <row r="2743" spans="2:16" x14ac:dyDescent="0.25">
      <c r="B2743" s="24"/>
      <c r="E2743" s="24"/>
      <c r="G2743" s="24"/>
      <c r="H2743" s="24"/>
      <c r="J2743" s="24"/>
      <c r="K2743" s="24"/>
      <c r="M2743" s="24"/>
      <c r="N2743" s="24"/>
      <c r="P2743" s="24"/>
    </row>
    <row r="2744" spans="2:16" x14ac:dyDescent="0.25">
      <c r="B2744" s="24"/>
      <c r="E2744" s="24"/>
      <c r="G2744" s="24"/>
      <c r="H2744" s="24"/>
      <c r="J2744" s="24"/>
      <c r="K2744" s="24"/>
      <c r="M2744" s="24"/>
      <c r="N2744" s="24"/>
      <c r="P2744" s="24"/>
    </row>
    <row r="2745" spans="2:16" x14ac:dyDescent="0.25">
      <c r="B2745" s="24"/>
      <c r="E2745" s="24"/>
      <c r="G2745" s="24"/>
      <c r="H2745" s="24"/>
      <c r="J2745" s="24"/>
      <c r="K2745" s="24"/>
      <c r="M2745" s="24"/>
      <c r="N2745" s="24"/>
      <c r="P2745" s="24"/>
    </row>
    <row r="2746" spans="2:16" x14ac:dyDescent="0.25">
      <c r="B2746" s="24"/>
      <c r="E2746" s="24"/>
      <c r="G2746" s="24"/>
      <c r="H2746" s="24"/>
      <c r="J2746" s="24"/>
      <c r="K2746" s="24"/>
      <c r="M2746" s="24"/>
      <c r="N2746" s="24"/>
      <c r="P2746" s="24"/>
    </row>
    <row r="2747" spans="2:16" x14ac:dyDescent="0.25">
      <c r="B2747" s="24"/>
      <c r="E2747" s="24"/>
      <c r="G2747" s="24"/>
      <c r="H2747" s="24"/>
      <c r="J2747" s="24"/>
      <c r="K2747" s="24"/>
      <c r="M2747" s="24"/>
      <c r="N2747" s="24"/>
      <c r="P2747" s="24"/>
    </row>
    <row r="2748" spans="2:16" x14ac:dyDescent="0.25">
      <c r="B2748" s="24"/>
      <c r="E2748" s="24"/>
      <c r="G2748" s="24"/>
      <c r="H2748" s="24"/>
      <c r="J2748" s="24"/>
      <c r="K2748" s="24"/>
      <c r="M2748" s="24"/>
      <c r="N2748" s="24"/>
      <c r="P2748" s="24"/>
    </row>
    <row r="2749" spans="2:16" x14ac:dyDescent="0.25">
      <c r="B2749" s="24"/>
      <c r="E2749" s="24"/>
      <c r="G2749" s="24"/>
      <c r="H2749" s="24"/>
      <c r="J2749" s="24"/>
      <c r="K2749" s="24"/>
      <c r="M2749" s="24"/>
      <c r="N2749" s="24"/>
      <c r="P2749" s="24"/>
    </row>
    <row r="2750" spans="2:16" x14ac:dyDescent="0.25">
      <c r="B2750" s="24"/>
      <c r="E2750" s="24"/>
      <c r="G2750" s="24"/>
      <c r="H2750" s="24"/>
      <c r="J2750" s="24"/>
      <c r="K2750" s="24"/>
      <c r="M2750" s="24"/>
      <c r="N2750" s="24"/>
      <c r="P2750" s="24"/>
    </row>
    <row r="2751" spans="2:16" x14ac:dyDescent="0.25">
      <c r="B2751" s="24"/>
      <c r="E2751" s="24"/>
      <c r="G2751" s="24"/>
      <c r="H2751" s="24"/>
      <c r="J2751" s="24"/>
      <c r="K2751" s="24"/>
      <c r="M2751" s="24"/>
      <c r="N2751" s="24"/>
      <c r="P2751" s="24"/>
    </row>
    <row r="2752" spans="2:16" x14ac:dyDescent="0.25">
      <c r="B2752" s="24"/>
      <c r="E2752" s="24"/>
      <c r="G2752" s="24"/>
      <c r="H2752" s="24"/>
      <c r="J2752" s="24"/>
      <c r="K2752" s="24"/>
      <c r="M2752" s="24"/>
      <c r="N2752" s="24"/>
      <c r="P2752" s="24"/>
    </row>
    <row r="2753" spans="2:16" x14ac:dyDescent="0.25">
      <c r="B2753" s="24"/>
      <c r="E2753" s="24"/>
      <c r="G2753" s="24"/>
      <c r="H2753" s="24"/>
      <c r="J2753" s="24"/>
      <c r="K2753" s="24"/>
      <c r="M2753" s="24"/>
      <c r="N2753" s="24"/>
      <c r="P2753" s="24"/>
    </row>
    <row r="2754" spans="2:16" x14ac:dyDescent="0.25">
      <c r="B2754" s="24"/>
      <c r="E2754" s="24"/>
      <c r="G2754" s="24"/>
      <c r="H2754" s="24"/>
      <c r="J2754" s="24"/>
      <c r="K2754" s="24"/>
      <c r="M2754" s="24"/>
      <c r="N2754" s="24"/>
      <c r="P2754" s="24"/>
    </row>
    <row r="2755" spans="2:16" x14ac:dyDescent="0.25">
      <c r="B2755" s="24"/>
      <c r="E2755" s="24"/>
      <c r="G2755" s="24"/>
      <c r="H2755" s="24"/>
      <c r="J2755" s="24"/>
      <c r="K2755" s="24"/>
      <c r="M2755" s="24"/>
      <c r="N2755" s="24"/>
      <c r="P2755" s="24"/>
    </row>
    <row r="2756" spans="2:16" x14ac:dyDescent="0.25">
      <c r="B2756" s="24"/>
      <c r="E2756" s="24"/>
      <c r="G2756" s="24"/>
      <c r="H2756" s="24"/>
      <c r="J2756" s="24"/>
      <c r="K2756" s="24"/>
      <c r="M2756" s="24"/>
      <c r="N2756" s="24"/>
      <c r="P2756" s="24"/>
    </row>
    <row r="2757" spans="2:16" x14ac:dyDescent="0.25">
      <c r="B2757" s="24"/>
      <c r="E2757" s="24"/>
      <c r="G2757" s="24"/>
      <c r="H2757" s="24"/>
      <c r="J2757" s="24"/>
      <c r="K2757" s="24"/>
      <c r="M2757" s="24"/>
      <c r="N2757" s="24"/>
      <c r="P2757" s="24"/>
    </row>
    <row r="2758" spans="2:16" x14ac:dyDescent="0.25">
      <c r="B2758" s="24"/>
      <c r="E2758" s="24"/>
      <c r="G2758" s="24"/>
      <c r="H2758" s="24"/>
      <c r="J2758" s="24"/>
      <c r="K2758" s="24"/>
      <c r="M2758" s="24"/>
      <c r="N2758" s="24"/>
      <c r="P2758" s="24"/>
    </row>
    <row r="2759" spans="2:16" x14ac:dyDescent="0.25">
      <c r="B2759" s="24"/>
      <c r="E2759" s="24"/>
      <c r="G2759" s="24"/>
      <c r="H2759" s="24"/>
      <c r="J2759" s="24"/>
      <c r="K2759" s="24"/>
      <c r="M2759" s="24"/>
      <c r="N2759" s="24"/>
      <c r="P2759" s="24"/>
    </row>
    <row r="2760" spans="2:16" x14ac:dyDescent="0.25">
      <c r="B2760" s="24"/>
      <c r="E2760" s="24"/>
      <c r="G2760" s="24"/>
      <c r="H2760" s="24"/>
      <c r="J2760" s="24"/>
      <c r="K2760" s="24"/>
      <c r="M2760" s="24"/>
      <c r="N2760" s="24"/>
      <c r="P2760" s="24"/>
    </row>
    <row r="2761" spans="2:16" x14ac:dyDescent="0.25">
      <c r="B2761" s="24"/>
      <c r="E2761" s="24"/>
      <c r="G2761" s="24"/>
      <c r="H2761" s="24"/>
      <c r="J2761" s="24"/>
      <c r="K2761" s="24"/>
      <c r="M2761" s="24"/>
      <c r="N2761" s="24"/>
      <c r="P2761" s="24"/>
    </row>
    <row r="2762" spans="2:16" x14ac:dyDescent="0.25">
      <c r="B2762" s="24"/>
      <c r="E2762" s="24"/>
      <c r="G2762" s="24"/>
      <c r="H2762" s="24"/>
      <c r="J2762" s="24"/>
      <c r="K2762" s="24"/>
      <c r="M2762" s="24"/>
      <c r="N2762" s="24"/>
      <c r="P2762" s="24"/>
    </row>
    <row r="2763" spans="2:16" x14ac:dyDescent="0.25">
      <c r="B2763" s="24"/>
      <c r="E2763" s="24"/>
      <c r="G2763" s="24"/>
      <c r="H2763" s="24"/>
      <c r="J2763" s="24"/>
      <c r="K2763" s="24"/>
      <c r="M2763" s="24"/>
      <c r="N2763" s="24"/>
      <c r="P2763" s="24"/>
    </row>
    <row r="2764" spans="2:16" x14ac:dyDescent="0.25">
      <c r="B2764" s="24"/>
      <c r="E2764" s="24"/>
      <c r="G2764" s="24"/>
      <c r="H2764" s="24"/>
      <c r="J2764" s="24"/>
      <c r="K2764" s="24"/>
      <c r="M2764" s="24"/>
      <c r="N2764" s="24"/>
      <c r="P2764" s="24"/>
    </row>
    <row r="2765" spans="2:16" x14ac:dyDescent="0.25">
      <c r="B2765" s="24"/>
      <c r="E2765" s="24"/>
      <c r="G2765" s="24"/>
      <c r="H2765" s="24"/>
      <c r="J2765" s="24"/>
      <c r="K2765" s="24"/>
      <c r="M2765" s="24"/>
      <c r="N2765" s="24"/>
      <c r="P2765" s="24"/>
    </row>
    <row r="2766" spans="2:16" x14ac:dyDescent="0.25">
      <c r="B2766" s="24"/>
      <c r="E2766" s="24"/>
      <c r="G2766" s="24"/>
      <c r="H2766" s="24"/>
      <c r="J2766" s="24"/>
      <c r="K2766" s="24"/>
      <c r="M2766" s="24"/>
      <c r="N2766" s="24"/>
      <c r="P2766" s="24"/>
    </row>
    <row r="2767" spans="2:16" x14ac:dyDescent="0.25">
      <c r="B2767" s="24"/>
      <c r="E2767" s="24"/>
      <c r="G2767" s="24"/>
      <c r="H2767" s="24"/>
      <c r="J2767" s="24"/>
      <c r="K2767" s="24"/>
      <c r="M2767" s="24"/>
      <c r="N2767" s="24"/>
      <c r="P2767" s="24"/>
    </row>
    <row r="2768" spans="2:16" x14ac:dyDescent="0.25">
      <c r="B2768" s="24"/>
      <c r="E2768" s="24"/>
      <c r="G2768" s="24"/>
      <c r="H2768" s="24"/>
      <c r="J2768" s="24"/>
      <c r="K2768" s="24"/>
      <c r="M2768" s="24"/>
      <c r="N2768" s="24"/>
      <c r="P2768" s="24"/>
    </row>
    <row r="2769" spans="2:16" x14ac:dyDescent="0.25">
      <c r="B2769" s="24"/>
      <c r="E2769" s="24"/>
      <c r="G2769" s="24"/>
      <c r="H2769" s="24"/>
      <c r="J2769" s="24"/>
      <c r="K2769" s="24"/>
      <c r="M2769" s="24"/>
      <c r="N2769" s="24"/>
      <c r="P2769" s="24"/>
    </row>
    <row r="2770" spans="2:16" x14ac:dyDescent="0.25">
      <c r="B2770" s="24"/>
      <c r="E2770" s="24"/>
      <c r="G2770" s="24"/>
      <c r="H2770" s="24"/>
      <c r="J2770" s="24"/>
      <c r="K2770" s="24"/>
      <c r="M2770" s="24"/>
      <c r="N2770" s="24"/>
      <c r="P2770" s="24"/>
    </row>
    <row r="2771" spans="2:16" x14ac:dyDescent="0.25">
      <c r="B2771" s="24"/>
      <c r="E2771" s="24"/>
      <c r="G2771" s="24"/>
      <c r="H2771" s="24"/>
      <c r="J2771" s="24"/>
      <c r="K2771" s="24"/>
      <c r="M2771" s="24"/>
      <c r="N2771" s="24"/>
      <c r="P2771" s="24"/>
    </row>
    <row r="2772" spans="2:16" x14ac:dyDescent="0.25">
      <c r="B2772" s="24"/>
      <c r="E2772" s="24"/>
      <c r="G2772" s="24"/>
      <c r="H2772" s="24"/>
      <c r="J2772" s="24"/>
      <c r="K2772" s="24"/>
      <c r="M2772" s="24"/>
      <c r="N2772" s="24"/>
      <c r="P2772" s="24"/>
    </row>
    <row r="2773" spans="2:16" x14ac:dyDescent="0.25">
      <c r="B2773" s="24"/>
      <c r="E2773" s="24"/>
      <c r="G2773" s="24"/>
      <c r="H2773" s="24"/>
      <c r="J2773" s="24"/>
      <c r="K2773" s="24"/>
      <c r="M2773" s="24"/>
      <c r="N2773" s="24"/>
      <c r="P2773" s="24"/>
    </row>
    <row r="2774" spans="2:16" x14ac:dyDescent="0.25">
      <c r="B2774" s="24"/>
      <c r="E2774" s="24"/>
      <c r="G2774" s="24"/>
      <c r="H2774" s="24"/>
      <c r="J2774" s="24"/>
      <c r="K2774" s="24"/>
      <c r="M2774" s="24"/>
      <c r="N2774" s="24"/>
      <c r="P2774" s="24"/>
    </row>
    <row r="2775" spans="2:16" x14ac:dyDescent="0.25">
      <c r="B2775" s="24"/>
      <c r="E2775" s="24"/>
      <c r="G2775" s="24"/>
      <c r="H2775" s="24"/>
      <c r="J2775" s="24"/>
      <c r="K2775" s="24"/>
      <c r="M2775" s="24"/>
      <c r="N2775" s="24"/>
      <c r="P2775" s="24"/>
    </row>
    <row r="2776" spans="2:16" x14ac:dyDescent="0.25">
      <c r="B2776" s="24"/>
      <c r="E2776" s="24"/>
      <c r="G2776" s="24"/>
      <c r="H2776" s="24"/>
      <c r="J2776" s="24"/>
      <c r="K2776" s="24"/>
      <c r="M2776" s="24"/>
      <c r="N2776" s="24"/>
      <c r="P2776" s="24"/>
    </row>
    <row r="2777" spans="2:16" x14ac:dyDescent="0.25">
      <c r="B2777" s="24"/>
      <c r="E2777" s="24"/>
      <c r="G2777" s="24"/>
      <c r="H2777" s="24"/>
      <c r="J2777" s="24"/>
      <c r="K2777" s="24"/>
      <c r="M2777" s="24"/>
      <c r="N2777" s="24"/>
      <c r="P2777" s="24"/>
    </row>
    <row r="2778" spans="2:16" x14ac:dyDescent="0.25">
      <c r="B2778" s="24"/>
      <c r="E2778" s="24"/>
      <c r="G2778" s="24"/>
      <c r="H2778" s="24"/>
      <c r="J2778" s="24"/>
      <c r="K2778" s="24"/>
      <c r="M2778" s="24"/>
      <c r="N2778" s="24"/>
      <c r="P2778" s="24"/>
    </row>
    <row r="2779" spans="2:16" x14ac:dyDescent="0.25">
      <c r="B2779" s="24"/>
      <c r="E2779" s="24"/>
      <c r="G2779" s="24"/>
      <c r="H2779" s="24"/>
      <c r="J2779" s="24"/>
      <c r="K2779" s="24"/>
      <c r="M2779" s="24"/>
      <c r="N2779" s="24"/>
      <c r="P2779" s="24"/>
    </row>
    <row r="2780" spans="2:16" x14ac:dyDescent="0.25">
      <c r="B2780" s="24"/>
      <c r="E2780" s="24"/>
      <c r="G2780" s="24"/>
      <c r="H2780" s="24"/>
      <c r="J2780" s="24"/>
      <c r="K2780" s="24"/>
      <c r="M2780" s="24"/>
      <c r="N2780" s="24"/>
      <c r="P2780" s="24"/>
    </row>
    <row r="2781" spans="2:16" x14ac:dyDescent="0.25">
      <c r="B2781" s="24"/>
      <c r="E2781" s="24"/>
      <c r="G2781" s="24"/>
      <c r="H2781" s="24"/>
      <c r="J2781" s="24"/>
      <c r="K2781" s="24"/>
      <c r="M2781" s="24"/>
      <c r="N2781" s="24"/>
      <c r="P2781" s="24"/>
    </row>
    <row r="2782" spans="2:16" x14ac:dyDescent="0.25">
      <c r="B2782" s="24"/>
      <c r="E2782" s="24"/>
      <c r="G2782" s="24"/>
      <c r="H2782" s="24"/>
      <c r="J2782" s="24"/>
      <c r="K2782" s="24"/>
      <c r="M2782" s="24"/>
      <c r="N2782" s="24"/>
      <c r="P2782" s="24"/>
    </row>
    <row r="2783" spans="2:16" x14ac:dyDescent="0.25">
      <c r="B2783" s="24"/>
      <c r="E2783" s="24"/>
      <c r="G2783" s="24"/>
      <c r="H2783" s="24"/>
      <c r="J2783" s="24"/>
      <c r="K2783" s="24"/>
      <c r="M2783" s="24"/>
      <c r="N2783" s="24"/>
      <c r="P2783" s="24"/>
    </row>
    <row r="2784" spans="2:16" x14ac:dyDescent="0.25">
      <c r="B2784" s="24"/>
      <c r="E2784" s="24"/>
      <c r="G2784" s="24"/>
      <c r="H2784" s="24"/>
      <c r="J2784" s="24"/>
      <c r="K2784" s="24"/>
      <c r="M2784" s="24"/>
      <c r="N2784" s="24"/>
      <c r="P2784" s="24"/>
    </row>
    <row r="2785" spans="2:16" x14ac:dyDescent="0.25">
      <c r="B2785" s="24"/>
      <c r="E2785" s="24"/>
      <c r="G2785" s="24"/>
      <c r="H2785" s="24"/>
      <c r="J2785" s="24"/>
      <c r="K2785" s="24"/>
      <c r="M2785" s="24"/>
      <c r="N2785" s="24"/>
      <c r="P2785" s="24"/>
    </row>
    <row r="2786" spans="2:16" x14ac:dyDescent="0.25">
      <c r="B2786" s="24"/>
      <c r="E2786" s="24"/>
      <c r="G2786" s="24"/>
      <c r="H2786" s="24"/>
      <c r="J2786" s="24"/>
      <c r="K2786" s="24"/>
      <c r="M2786" s="24"/>
      <c r="N2786" s="24"/>
      <c r="P2786" s="24"/>
    </row>
    <row r="2787" spans="2:16" x14ac:dyDescent="0.25">
      <c r="B2787" s="24"/>
      <c r="E2787" s="24"/>
      <c r="G2787" s="24"/>
      <c r="H2787" s="24"/>
      <c r="J2787" s="24"/>
      <c r="K2787" s="24"/>
      <c r="M2787" s="24"/>
      <c r="N2787" s="24"/>
      <c r="P2787" s="24"/>
    </row>
    <row r="2788" spans="2:16" x14ac:dyDescent="0.25">
      <c r="B2788" s="24"/>
      <c r="E2788" s="24"/>
      <c r="G2788" s="24"/>
      <c r="H2788" s="24"/>
      <c r="J2788" s="24"/>
      <c r="K2788" s="24"/>
      <c r="M2788" s="24"/>
      <c r="N2788" s="24"/>
      <c r="P2788" s="24"/>
    </row>
    <row r="2789" spans="2:16" x14ac:dyDescent="0.25">
      <c r="B2789" s="24"/>
      <c r="E2789" s="24"/>
      <c r="G2789" s="24"/>
      <c r="H2789" s="24"/>
      <c r="J2789" s="24"/>
      <c r="K2789" s="24"/>
      <c r="M2789" s="24"/>
      <c r="N2789" s="24"/>
      <c r="P2789" s="24"/>
    </row>
    <row r="2790" spans="2:16" x14ac:dyDescent="0.25">
      <c r="B2790" s="24"/>
      <c r="E2790" s="24"/>
      <c r="G2790" s="24"/>
      <c r="H2790" s="24"/>
      <c r="J2790" s="24"/>
      <c r="K2790" s="24"/>
      <c r="M2790" s="24"/>
      <c r="N2790" s="24"/>
      <c r="P2790" s="24"/>
    </row>
    <row r="2791" spans="2:16" x14ac:dyDescent="0.25">
      <c r="B2791" s="24"/>
      <c r="E2791" s="24"/>
      <c r="G2791" s="24"/>
      <c r="H2791" s="24"/>
      <c r="J2791" s="24"/>
      <c r="K2791" s="24"/>
      <c r="M2791" s="24"/>
      <c r="N2791" s="24"/>
      <c r="P2791" s="24"/>
    </row>
    <row r="2792" spans="2:16" x14ac:dyDescent="0.25">
      <c r="B2792" s="24"/>
      <c r="E2792" s="24"/>
      <c r="G2792" s="24"/>
      <c r="H2792" s="24"/>
      <c r="J2792" s="24"/>
      <c r="K2792" s="24"/>
      <c r="M2792" s="24"/>
      <c r="N2792" s="24"/>
      <c r="P2792" s="24"/>
    </row>
    <row r="2793" spans="2:16" x14ac:dyDescent="0.25">
      <c r="B2793" s="24"/>
      <c r="E2793" s="24"/>
      <c r="G2793" s="24"/>
      <c r="H2793" s="24"/>
      <c r="J2793" s="24"/>
      <c r="K2793" s="24"/>
      <c r="M2793" s="24"/>
      <c r="N2793" s="24"/>
      <c r="P2793" s="24"/>
    </row>
    <row r="2794" spans="2:16" x14ac:dyDescent="0.25">
      <c r="B2794" s="24"/>
      <c r="E2794" s="24"/>
      <c r="G2794" s="24"/>
      <c r="H2794" s="24"/>
      <c r="J2794" s="24"/>
      <c r="K2794" s="24"/>
      <c r="M2794" s="24"/>
      <c r="N2794" s="24"/>
      <c r="P2794" s="24"/>
    </row>
    <row r="2795" spans="2:16" x14ac:dyDescent="0.25">
      <c r="B2795" s="24"/>
      <c r="E2795" s="24"/>
      <c r="G2795" s="24"/>
      <c r="H2795" s="24"/>
      <c r="J2795" s="24"/>
      <c r="K2795" s="24"/>
      <c r="M2795" s="24"/>
      <c r="N2795" s="24"/>
      <c r="P2795" s="24"/>
    </row>
    <row r="2796" spans="2:16" x14ac:dyDescent="0.25">
      <c r="B2796" s="24"/>
      <c r="E2796" s="24"/>
      <c r="G2796" s="24"/>
      <c r="H2796" s="24"/>
      <c r="J2796" s="24"/>
      <c r="K2796" s="24"/>
      <c r="M2796" s="24"/>
      <c r="N2796" s="24"/>
      <c r="P2796" s="24"/>
    </row>
    <row r="2797" spans="2:16" x14ac:dyDescent="0.25">
      <c r="B2797" s="24"/>
      <c r="E2797" s="24"/>
      <c r="G2797" s="24"/>
      <c r="H2797" s="24"/>
      <c r="J2797" s="24"/>
      <c r="K2797" s="24"/>
      <c r="M2797" s="24"/>
      <c r="N2797" s="24"/>
      <c r="P2797" s="24"/>
    </row>
    <row r="2798" spans="2:16" x14ac:dyDescent="0.25">
      <c r="B2798" s="24"/>
      <c r="E2798" s="24"/>
      <c r="G2798" s="24"/>
      <c r="H2798" s="24"/>
      <c r="J2798" s="24"/>
      <c r="K2798" s="24"/>
      <c r="M2798" s="24"/>
      <c r="N2798" s="24"/>
      <c r="P2798" s="24"/>
    </row>
    <row r="2799" spans="2:16" x14ac:dyDescent="0.25">
      <c r="B2799" s="24"/>
      <c r="E2799" s="24"/>
      <c r="G2799" s="24"/>
      <c r="H2799" s="24"/>
      <c r="J2799" s="24"/>
      <c r="K2799" s="24"/>
      <c r="M2799" s="24"/>
      <c r="N2799" s="24"/>
      <c r="P2799" s="24"/>
    </row>
    <row r="2800" spans="2:16" x14ac:dyDescent="0.25">
      <c r="B2800" s="24"/>
      <c r="E2800" s="24"/>
      <c r="G2800" s="24"/>
      <c r="H2800" s="24"/>
      <c r="J2800" s="24"/>
      <c r="K2800" s="24"/>
      <c r="M2800" s="24"/>
      <c r="N2800" s="24"/>
      <c r="P2800" s="24"/>
    </row>
    <row r="2801" spans="2:16" x14ac:dyDescent="0.25">
      <c r="B2801" s="24"/>
      <c r="E2801" s="24"/>
      <c r="G2801" s="24"/>
      <c r="H2801" s="24"/>
      <c r="J2801" s="24"/>
      <c r="K2801" s="24"/>
      <c r="M2801" s="24"/>
      <c r="N2801" s="24"/>
      <c r="P2801" s="24"/>
    </row>
    <row r="2802" spans="2:16" x14ac:dyDescent="0.25">
      <c r="B2802" s="24"/>
      <c r="E2802" s="24"/>
      <c r="G2802" s="24"/>
      <c r="H2802" s="24"/>
      <c r="J2802" s="24"/>
      <c r="K2802" s="24"/>
      <c r="M2802" s="24"/>
      <c r="N2802" s="24"/>
      <c r="P2802" s="24"/>
    </row>
    <row r="2803" spans="2:16" x14ac:dyDescent="0.25">
      <c r="B2803" s="24"/>
      <c r="E2803" s="24"/>
      <c r="G2803" s="24"/>
      <c r="H2803" s="24"/>
      <c r="J2803" s="24"/>
      <c r="K2803" s="24"/>
      <c r="M2803" s="24"/>
      <c r="N2803" s="24"/>
      <c r="P2803" s="24"/>
    </row>
    <row r="2804" spans="2:16" x14ac:dyDescent="0.25">
      <c r="B2804" s="24"/>
      <c r="E2804" s="24"/>
      <c r="G2804" s="24"/>
      <c r="H2804" s="24"/>
      <c r="J2804" s="24"/>
      <c r="K2804" s="24"/>
      <c r="M2804" s="24"/>
      <c r="N2804" s="24"/>
      <c r="P2804" s="24"/>
    </row>
    <row r="2805" spans="2:16" x14ac:dyDescent="0.25">
      <c r="B2805" s="24"/>
      <c r="E2805" s="24"/>
      <c r="G2805" s="24"/>
      <c r="H2805" s="24"/>
      <c r="J2805" s="24"/>
      <c r="K2805" s="24"/>
      <c r="M2805" s="24"/>
      <c r="N2805" s="24"/>
      <c r="P2805" s="24"/>
    </row>
    <row r="2806" spans="2:16" x14ac:dyDescent="0.25">
      <c r="B2806" s="24"/>
      <c r="E2806" s="24"/>
      <c r="G2806" s="24"/>
      <c r="H2806" s="24"/>
      <c r="J2806" s="24"/>
      <c r="K2806" s="24"/>
      <c r="M2806" s="24"/>
      <c r="N2806" s="24"/>
      <c r="P2806" s="24"/>
    </row>
    <row r="2807" spans="2:16" x14ac:dyDescent="0.25">
      <c r="B2807" s="24"/>
      <c r="E2807" s="24"/>
      <c r="G2807" s="24"/>
      <c r="H2807" s="24"/>
      <c r="J2807" s="24"/>
      <c r="K2807" s="24"/>
      <c r="M2807" s="24"/>
      <c r="N2807" s="24"/>
      <c r="P2807" s="24"/>
    </row>
    <row r="2808" spans="2:16" x14ac:dyDescent="0.25">
      <c r="B2808" s="24"/>
      <c r="E2808" s="24"/>
      <c r="G2808" s="24"/>
      <c r="H2808" s="24"/>
      <c r="J2808" s="24"/>
      <c r="K2808" s="24"/>
      <c r="M2808" s="24"/>
      <c r="N2808" s="24"/>
      <c r="P2808" s="24"/>
    </row>
    <row r="2809" spans="2:16" x14ac:dyDescent="0.25">
      <c r="B2809" s="24"/>
      <c r="E2809" s="24"/>
      <c r="G2809" s="24"/>
      <c r="H2809" s="24"/>
      <c r="J2809" s="24"/>
      <c r="K2809" s="24"/>
      <c r="M2809" s="24"/>
      <c r="N2809" s="24"/>
      <c r="P2809" s="24"/>
    </row>
    <row r="2810" spans="2:16" x14ac:dyDescent="0.25">
      <c r="B2810" s="24"/>
      <c r="E2810" s="24"/>
      <c r="G2810" s="24"/>
      <c r="H2810" s="24"/>
      <c r="J2810" s="24"/>
      <c r="K2810" s="24"/>
      <c r="M2810" s="24"/>
      <c r="N2810" s="24"/>
      <c r="P2810" s="24"/>
    </row>
    <row r="2811" spans="2:16" x14ac:dyDescent="0.25">
      <c r="B2811" s="24"/>
      <c r="E2811" s="24"/>
      <c r="G2811" s="24"/>
      <c r="H2811" s="24"/>
      <c r="J2811" s="24"/>
      <c r="K2811" s="24"/>
      <c r="M2811" s="24"/>
      <c r="N2811" s="24"/>
      <c r="P2811" s="24"/>
    </row>
    <row r="2812" spans="2:16" x14ac:dyDescent="0.25">
      <c r="B2812" s="24"/>
      <c r="E2812" s="24"/>
      <c r="G2812" s="24"/>
      <c r="H2812" s="24"/>
      <c r="J2812" s="24"/>
      <c r="K2812" s="24"/>
      <c r="M2812" s="24"/>
      <c r="N2812" s="24"/>
      <c r="P2812" s="24"/>
    </row>
    <row r="2813" spans="2:16" x14ac:dyDescent="0.25">
      <c r="B2813" s="24"/>
      <c r="E2813" s="24"/>
      <c r="G2813" s="24"/>
      <c r="H2813" s="24"/>
      <c r="J2813" s="24"/>
      <c r="K2813" s="24"/>
      <c r="M2813" s="24"/>
      <c r="N2813" s="24"/>
      <c r="P2813" s="24"/>
    </row>
    <row r="2814" spans="2:16" x14ac:dyDescent="0.25">
      <c r="B2814" s="24"/>
      <c r="E2814" s="24"/>
      <c r="G2814" s="24"/>
      <c r="H2814" s="24"/>
      <c r="J2814" s="24"/>
      <c r="K2814" s="24"/>
      <c r="M2814" s="24"/>
      <c r="N2814" s="24"/>
      <c r="P2814" s="24"/>
    </row>
    <row r="2815" spans="2:16" x14ac:dyDescent="0.25">
      <c r="B2815" s="24"/>
      <c r="E2815" s="24"/>
      <c r="G2815" s="24"/>
      <c r="H2815" s="24"/>
      <c r="J2815" s="24"/>
      <c r="K2815" s="24"/>
      <c r="M2815" s="24"/>
      <c r="N2815" s="24"/>
      <c r="P2815" s="24"/>
    </row>
    <row r="2816" spans="2:16" x14ac:dyDescent="0.25">
      <c r="B2816" s="24"/>
      <c r="E2816" s="24"/>
      <c r="G2816" s="24"/>
      <c r="H2816" s="24"/>
      <c r="J2816" s="24"/>
      <c r="K2816" s="24"/>
      <c r="M2816" s="24"/>
      <c r="N2816" s="24"/>
      <c r="P2816" s="24"/>
    </row>
    <row r="2817" spans="2:16" x14ac:dyDescent="0.25">
      <c r="B2817" s="24"/>
      <c r="E2817" s="24"/>
      <c r="G2817" s="24"/>
      <c r="H2817" s="24"/>
      <c r="J2817" s="24"/>
      <c r="K2817" s="24"/>
      <c r="M2817" s="24"/>
      <c r="N2817" s="24"/>
      <c r="P2817" s="24"/>
    </row>
    <row r="2818" spans="2:16" x14ac:dyDescent="0.25">
      <c r="B2818" s="24"/>
      <c r="E2818" s="24"/>
      <c r="G2818" s="24"/>
      <c r="H2818" s="24"/>
      <c r="J2818" s="24"/>
      <c r="K2818" s="24"/>
      <c r="M2818" s="24"/>
      <c r="N2818" s="24"/>
      <c r="P2818" s="24"/>
    </row>
    <row r="2819" spans="2:16" x14ac:dyDescent="0.25">
      <c r="B2819" s="24"/>
      <c r="E2819" s="24"/>
      <c r="G2819" s="24"/>
      <c r="H2819" s="24"/>
      <c r="J2819" s="24"/>
      <c r="K2819" s="24"/>
      <c r="M2819" s="24"/>
      <c r="N2819" s="24"/>
      <c r="P2819" s="24"/>
    </row>
    <row r="2820" spans="2:16" x14ac:dyDescent="0.25">
      <c r="B2820" s="24"/>
      <c r="E2820" s="24"/>
      <c r="G2820" s="24"/>
      <c r="H2820" s="24"/>
      <c r="J2820" s="24"/>
      <c r="K2820" s="24"/>
      <c r="M2820" s="24"/>
      <c r="N2820" s="24"/>
      <c r="P2820" s="24"/>
    </row>
    <row r="2821" spans="2:16" x14ac:dyDescent="0.25">
      <c r="B2821" s="24"/>
      <c r="E2821" s="24"/>
      <c r="G2821" s="24"/>
      <c r="H2821" s="24"/>
      <c r="J2821" s="24"/>
      <c r="K2821" s="24"/>
      <c r="M2821" s="24"/>
      <c r="N2821" s="24"/>
      <c r="P2821" s="24"/>
    </row>
    <row r="2822" spans="2:16" x14ac:dyDescent="0.25">
      <c r="B2822" s="24"/>
      <c r="E2822" s="24"/>
      <c r="G2822" s="24"/>
      <c r="H2822" s="24"/>
      <c r="J2822" s="24"/>
      <c r="K2822" s="24"/>
      <c r="M2822" s="24"/>
      <c r="N2822" s="24"/>
      <c r="P2822" s="24"/>
    </row>
    <row r="2823" spans="2:16" x14ac:dyDescent="0.25">
      <c r="B2823" s="24"/>
      <c r="E2823" s="24"/>
      <c r="G2823" s="24"/>
      <c r="H2823" s="24"/>
      <c r="J2823" s="24"/>
      <c r="K2823" s="24"/>
      <c r="M2823" s="24"/>
      <c r="N2823" s="24"/>
      <c r="P2823" s="24"/>
    </row>
    <row r="2824" spans="2:16" x14ac:dyDescent="0.25">
      <c r="B2824" s="24"/>
      <c r="E2824" s="24"/>
      <c r="G2824" s="24"/>
      <c r="H2824" s="24"/>
      <c r="J2824" s="24"/>
      <c r="K2824" s="24"/>
      <c r="M2824" s="24"/>
      <c r="N2824" s="24"/>
      <c r="P2824" s="24"/>
    </row>
    <row r="2825" spans="2:16" x14ac:dyDescent="0.25">
      <c r="B2825" s="24"/>
      <c r="E2825" s="24"/>
      <c r="G2825" s="24"/>
      <c r="H2825" s="24"/>
      <c r="J2825" s="24"/>
      <c r="K2825" s="24"/>
      <c r="M2825" s="24"/>
      <c r="N2825" s="24"/>
      <c r="P2825" s="24"/>
    </row>
    <row r="2826" spans="2:16" x14ac:dyDescent="0.25">
      <c r="B2826" s="24"/>
      <c r="E2826" s="24"/>
      <c r="G2826" s="24"/>
      <c r="H2826" s="24"/>
      <c r="J2826" s="24"/>
      <c r="K2826" s="24"/>
      <c r="M2826" s="24"/>
      <c r="N2826" s="24"/>
      <c r="P2826" s="24"/>
    </row>
    <row r="2827" spans="2:16" x14ac:dyDescent="0.25">
      <c r="B2827" s="24"/>
      <c r="E2827" s="24"/>
      <c r="G2827" s="24"/>
      <c r="H2827" s="24"/>
      <c r="J2827" s="24"/>
      <c r="K2827" s="24"/>
      <c r="M2827" s="24"/>
      <c r="N2827" s="24"/>
      <c r="P2827" s="24"/>
    </row>
    <row r="2828" spans="2:16" x14ac:dyDescent="0.25">
      <c r="B2828" s="24"/>
      <c r="E2828" s="24"/>
      <c r="G2828" s="24"/>
      <c r="H2828" s="24"/>
      <c r="J2828" s="24"/>
      <c r="K2828" s="24"/>
      <c r="M2828" s="24"/>
      <c r="N2828" s="24"/>
      <c r="P2828" s="24"/>
    </row>
    <row r="2829" spans="2:16" x14ac:dyDescent="0.25">
      <c r="B2829" s="24"/>
      <c r="E2829" s="24"/>
      <c r="G2829" s="24"/>
      <c r="H2829" s="24"/>
      <c r="J2829" s="24"/>
      <c r="K2829" s="24"/>
      <c r="M2829" s="24"/>
      <c r="N2829" s="24"/>
      <c r="P2829" s="24"/>
    </row>
    <row r="2830" spans="2:16" x14ac:dyDescent="0.25">
      <c r="B2830" s="24"/>
      <c r="E2830" s="24"/>
      <c r="G2830" s="24"/>
      <c r="H2830" s="24"/>
      <c r="J2830" s="24"/>
      <c r="K2830" s="24"/>
      <c r="M2830" s="24"/>
      <c r="N2830" s="24"/>
      <c r="P2830" s="24"/>
    </row>
    <row r="2831" spans="2:16" x14ac:dyDescent="0.25">
      <c r="B2831" s="24"/>
      <c r="E2831" s="24"/>
      <c r="G2831" s="24"/>
      <c r="H2831" s="24"/>
      <c r="J2831" s="24"/>
      <c r="K2831" s="24"/>
      <c r="M2831" s="24"/>
      <c r="N2831" s="24"/>
      <c r="P2831" s="24"/>
    </row>
    <row r="2832" spans="2:16" x14ac:dyDescent="0.25">
      <c r="B2832" s="24"/>
      <c r="E2832" s="24"/>
      <c r="G2832" s="24"/>
      <c r="H2832" s="24"/>
      <c r="J2832" s="24"/>
      <c r="K2832" s="24"/>
      <c r="M2832" s="24"/>
      <c r="N2832" s="24"/>
      <c r="P2832" s="24"/>
    </row>
    <row r="2833" spans="2:16" x14ac:dyDescent="0.25">
      <c r="B2833" s="24"/>
      <c r="E2833" s="24"/>
      <c r="G2833" s="24"/>
      <c r="H2833" s="24"/>
      <c r="J2833" s="24"/>
      <c r="K2833" s="24"/>
      <c r="M2833" s="24"/>
      <c r="N2833" s="24"/>
      <c r="P2833" s="24"/>
    </row>
    <row r="2834" spans="2:16" x14ac:dyDescent="0.25">
      <c r="B2834" s="24"/>
      <c r="E2834" s="24"/>
      <c r="G2834" s="24"/>
      <c r="H2834" s="24"/>
      <c r="J2834" s="24"/>
      <c r="K2834" s="24"/>
      <c r="M2834" s="24"/>
      <c r="N2834" s="24"/>
      <c r="P2834" s="24"/>
    </row>
    <row r="2835" spans="2:16" x14ac:dyDescent="0.25">
      <c r="B2835" s="24"/>
      <c r="E2835" s="24"/>
      <c r="G2835" s="24"/>
      <c r="H2835" s="24"/>
      <c r="J2835" s="24"/>
      <c r="K2835" s="24"/>
      <c r="M2835" s="24"/>
      <c r="N2835" s="24"/>
      <c r="P2835" s="24"/>
    </row>
    <row r="2836" spans="2:16" x14ac:dyDescent="0.25">
      <c r="B2836" s="24"/>
      <c r="E2836" s="24"/>
      <c r="G2836" s="24"/>
      <c r="H2836" s="24"/>
      <c r="J2836" s="24"/>
      <c r="K2836" s="24"/>
      <c r="M2836" s="24"/>
      <c r="N2836" s="24"/>
      <c r="P2836" s="24"/>
    </row>
    <row r="2837" spans="2:16" x14ac:dyDescent="0.25">
      <c r="B2837" s="24"/>
      <c r="E2837" s="24"/>
      <c r="G2837" s="24"/>
      <c r="H2837" s="24"/>
      <c r="J2837" s="24"/>
      <c r="K2837" s="24"/>
      <c r="M2837" s="24"/>
      <c r="N2837" s="24"/>
      <c r="P2837" s="24"/>
    </row>
    <row r="2838" spans="2:16" x14ac:dyDescent="0.25">
      <c r="B2838" s="24"/>
      <c r="E2838" s="24"/>
      <c r="G2838" s="24"/>
      <c r="H2838" s="24"/>
      <c r="J2838" s="24"/>
      <c r="K2838" s="24"/>
      <c r="M2838" s="24"/>
      <c r="N2838" s="24"/>
      <c r="P2838" s="24"/>
    </row>
    <row r="2839" spans="2:16" x14ac:dyDescent="0.25">
      <c r="B2839" s="24"/>
      <c r="E2839" s="24"/>
      <c r="G2839" s="24"/>
      <c r="H2839" s="24"/>
      <c r="J2839" s="24"/>
      <c r="K2839" s="24"/>
      <c r="M2839" s="24"/>
      <c r="N2839" s="24"/>
      <c r="P2839" s="24"/>
    </row>
    <row r="2840" spans="2:16" x14ac:dyDescent="0.25">
      <c r="B2840" s="24"/>
      <c r="E2840" s="24"/>
      <c r="G2840" s="24"/>
      <c r="H2840" s="24"/>
      <c r="J2840" s="24"/>
      <c r="K2840" s="24"/>
      <c r="M2840" s="24"/>
      <c r="N2840" s="24"/>
      <c r="P2840" s="24"/>
    </row>
    <row r="2841" spans="2:16" x14ac:dyDescent="0.25">
      <c r="B2841" s="24"/>
      <c r="E2841" s="24"/>
      <c r="G2841" s="24"/>
      <c r="H2841" s="24"/>
      <c r="J2841" s="24"/>
      <c r="K2841" s="24"/>
      <c r="M2841" s="24"/>
      <c r="N2841" s="24"/>
      <c r="P2841" s="24"/>
    </row>
    <row r="2842" spans="2:16" x14ac:dyDescent="0.25">
      <c r="B2842" s="24"/>
      <c r="E2842" s="24"/>
      <c r="G2842" s="24"/>
      <c r="H2842" s="24"/>
      <c r="J2842" s="24"/>
      <c r="K2842" s="24"/>
      <c r="M2842" s="24"/>
      <c r="N2842" s="24"/>
      <c r="P2842" s="24"/>
    </row>
    <row r="2843" spans="2:16" x14ac:dyDescent="0.25">
      <c r="B2843" s="24"/>
      <c r="E2843" s="24"/>
      <c r="G2843" s="24"/>
      <c r="H2843" s="24"/>
      <c r="J2843" s="24"/>
      <c r="K2843" s="24"/>
      <c r="M2843" s="24"/>
      <c r="N2843" s="24"/>
      <c r="P2843" s="24"/>
    </row>
    <row r="2844" spans="2:16" x14ac:dyDescent="0.25">
      <c r="B2844" s="24"/>
      <c r="E2844" s="24"/>
      <c r="G2844" s="24"/>
      <c r="H2844" s="24"/>
      <c r="J2844" s="24"/>
      <c r="K2844" s="24"/>
      <c r="M2844" s="24"/>
      <c r="N2844" s="24"/>
      <c r="P2844" s="24"/>
    </row>
    <row r="2845" spans="2:16" x14ac:dyDescent="0.25">
      <c r="B2845" s="24"/>
      <c r="E2845" s="24"/>
      <c r="G2845" s="24"/>
      <c r="H2845" s="24"/>
      <c r="J2845" s="24"/>
      <c r="K2845" s="24"/>
      <c r="M2845" s="24"/>
      <c r="N2845" s="24"/>
      <c r="P2845" s="24"/>
    </row>
    <row r="2846" spans="2:16" x14ac:dyDescent="0.25">
      <c r="B2846" s="24"/>
      <c r="E2846" s="24"/>
      <c r="G2846" s="24"/>
      <c r="H2846" s="24"/>
      <c r="J2846" s="24"/>
      <c r="K2846" s="24"/>
      <c r="M2846" s="24"/>
      <c r="N2846" s="24"/>
      <c r="P2846" s="24"/>
    </row>
    <row r="2847" spans="2:16" x14ac:dyDescent="0.25">
      <c r="B2847" s="24"/>
      <c r="E2847" s="24"/>
      <c r="G2847" s="24"/>
      <c r="H2847" s="24"/>
      <c r="J2847" s="24"/>
      <c r="K2847" s="24"/>
      <c r="M2847" s="24"/>
      <c r="N2847" s="24"/>
      <c r="P2847" s="24"/>
    </row>
    <row r="2848" spans="2:16" x14ac:dyDescent="0.25">
      <c r="B2848" s="24"/>
      <c r="E2848" s="24"/>
      <c r="G2848" s="24"/>
      <c r="H2848" s="24"/>
      <c r="J2848" s="24"/>
      <c r="K2848" s="24"/>
      <c r="M2848" s="24"/>
      <c r="N2848" s="24"/>
      <c r="P2848" s="24"/>
    </row>
    <row r="2849" spans="2:16" x14ac:dyDescent="0.25">
      <c r="B2849" s="24"/>
      <c r="E2849" s="24"/>
      <c r="G2849" s="24"/>
      <c r="H2849" s="24"/>
      <c r="J2849" s="24"/>
      <c r="K2849" s="24"/>
      <c r="M2849" s="24"/>
      <c r="N2849" s="24"/>
      <c r="P2849" s="24"/>
    </row>
    <row r="2850" spans="2:16" x14ac:dyDescent="0.25">
      <c r="B2850" s="24"/>
      <c r="E2850" s="24"/>
      <c r="G2850" s="24"/>
      <c r="H2850" s="24"/>
      <c r="J2850" s="24"/>
      <c r="K2850" s="24"/>
      <c r="M2850" s="24"/>
      <c r="N2850" s="24"/>
      <c r="P2850" s="24"/>
    </row>
    <row r="2851" spans="2:16" x14ac:dyDescent="0.25">
      <c r="B2851" s="24"/>
      <c r="E2851" s="24"/>
      <c r="G2851" s="24"/>
      <c r="H2851" s="24"/>
      <c r="J2851" s="24"/>
      <c r="K2851" s="24"/>
      <c r="M2851" s="24"/>
      <c r="N2851" s="24"/>
      <c r="P2851" s="24"/>
    </row>
    <row r="2852" spans="2:16" x14ac:dyDescent="0.25">
      <c r="B2852" s="24"/>
      <c r="E2852" s="24"/>
      <c r="G2852" s="24"/>
      <c r="H2852" s="24"/>
      <c r="J2852" s="24"/>
      <c r="K2852" s="24"/>
      <c r="M2852" s="24"/>
      <c r="N2852" s="24"/>
      <c r="P2852" s="24"/>
    </row>
    <row r="2853" spans="2:16" x14ac:dyDescent="0.25">
      <c r="B2853" s="24"/>
      <c r="E2853" s="24"/>
      <c r="G2853" s="24"/>
      <c r="H2853" s="24"/>
      <c r="J2853" s="24"/>
      <c r="K2853" s="24"/>
      <c r="M2853" s="24"/>
      <c r="N2853" s="24"/>
      <c r="P2853" s="24"/>
    </row>
    <row r="2854" spans="2:16" x14ac:dyDescent="0.25">
      <c r="B2854" s="24"/>
      <c r="E2854" s="24"/>
      <c r="G2854" s="24"/>
      <c r="H2854" s="24"/>
      <c r="J2854" s="24"/>
      <c r="K2854" s="24"/>
      <c r="M2854" s="24"/>
      <c r="N2854" s="24"/>
      <c r="P2854" s="24"/>
    </row>
    <row r="2855" spans="2:16" x14ac:dyDescent="0.25">
      <c r="B2855" s="24"/>
      <c r="E2855" s="24"/>
      <c r="G2855" s="24"/>
      <c r="H2855" s="24"/>
      <c r="J2855" s="24"/>
      <c r="K2855" s="24"/>
      <c r="M2855" s="24"/>
      <c r="N2855" s="24"/>
      <c r="P2855" s="24"/>
    </row>
    <row r="2856" spans="2:16" x14ac:dyDescent="0.25">
      <c r="B2856" s="24"/>
      <c r="E2856" s="24"/>
      <c r="G2856" s="24"/>
      <c r="H2856" s="24"/>
      <c r="J2856" s="24"/>
      <c r="K2856" s="24"/>
      <c r="M2856" s="24"/>
      <c r="N2856" s="24"/>
      <c r="P2856" s="24"/>
    </row>
    <row r="2857" spans="2:16" x14ac:dyDescent="0.25">
      <c r="B2857" s="24"/>
      <c r="E2857" s="24"/>
      <c r="G2857" s="24"/>
      <c r="H2857" s="24"/>
      <c r="J2857" s="24"/>
      <c r="K2857" s="24"/>
      <c r="M2857" s="24"/>
      <c r="N2857" s="24"/>
      <c r="P2857" s="24"/>
    </row>
    <row r="2858" spans="2:16" x14ac:dyDescent="0.25">
      <c r="B2858" s="24"/>
      <c r="E2858" s="24"/>
      <c r="G2858" s="24"/>
      <c r="H2858" s="24"/>
      <c r="J2858" s="24"/>
      <c r="K2858" s="24"/>
      <c r="M2858" s="24"/>
      <c r="N2858" s="24"/>
      <c r="P2858" s="24"/>
    </row>
    <row r="2859" spans="2:16" x14ac:dyDescent="0.25">
      <c r="B2859" s="24"/>
      <c r="E2859" s="24"/>
      <c r="G2859" s="24"/>
      <c r="H2859" s="24"/>
      <c r="J2859" s="24"/>
      <c r="K2859" s="24"/>
      <c r="M2859" s="24"/>
      <c r="N2859" s="24"/>
      <c r="P2859" s="24"/>
    </row>
    <row r="2860" spans="2:16" x14ac:dyDescent="0.25">
      <c r="B2860" s="24"/>
      <c r="E2860" s="24"/>
      <c r="G2860" s="24"/>
      <c r="H2860" s="24"/>
      <c r="J2860" s="24"/>
      <c r="K2860" s="24"/>
      <c r="M2860" s="24"/>
      <c r="N2860" s="24"/>
      <c r="P2860" s="24"/>
    </row>
    <row r="2861" spans="2:16" x14ac:dyDescent="0.25">
      <c r="B2861" s="24"/>
      <c r="E2861" s="24"/>
      <c r="G2861" s="24"/>
      <c r="H2861" s="24"/>
      <c r="J2861" s="24"/>
      <c r="K2861" s="24"/>
      <c r="M2861" s="24"/>
      <c r="N2861" s="24"/>
      <c r="P2861" s="24"/>
    </row>
    <row r="2862" spans="2:16" x14ac:dyDescent="0.25">
      <c r="B2862" s="24"/>
      <c r="E2862" s="24"/>
      <c r="G2862" s="24"/>
      <c r="H2862" s="24"/>
      <c r="J2862" s="24"/>
      <c r="K2862" s="24"/>
      <c r="M2862" s="24"/>
      <c r="N2862" s="24"/>
      <c r="P2862" s="24"/>
    </row>
    <row r="2863" spans="2:16" x14ac:dyDescent="0.25">
      <c r="B2863" s="24"/>
      <c r="E2863" s="24"/>
      <c r="G2863" s="24"/>
      <c r="H2863" s="24"/>
      <c r="J2863" s="24"/>
      <c r="K2863" s="24"/>
      <c r="M2863" s="24"/>
      <c r="N2863" s="24"/>
      <c r="P2863" s="24"/>
    </row>
    <row r="2864" spans="2:16" x14ac:dyDescent="0.25">
      <c r="B2864" s="24"/>
      <c r="E2864" s="24"/>
      <c r="G2864" s="24"/>
      <c r="H2864" s="24"/>
      <c r="J2864" s="24"/>
      <c r="K2864" s="24"/>
      <c r="M2864" s="24"/>
      <c r="N2864" s="24"/>
      <c r="P2864" s="24"/>
    </row>
    <row r="2865" spans="2:16" x14ac:dyDescent="0.25">
      <c r="B2865" s="24"/>
      <c r="E2865" s="24"/>
      <c r="G2865" s="24"/>
      <c r="H2865" s="24"/>
      <c r="J2865" s="24"/>
      <c r="K2865" s="24"/>
      <c r="M2865" s="24"/>
      <c r="N2865" s="24"/>
      <c r="P2865" s="24"/>
    </row>
    <row r="2866" spans="2:16" x14ac:dyDescent="0.25">
      <c r="B2866" s="24"/>
      <c r="E2866" s="24"/>
      <c r="G2866" s="24"/>
      <c r="H2866" s="24"/>
      <c r="J2866" s="24"/>
      <c r="K2866" s="24"/>
      <c r="M2866" s="24"/>
      <c r="N2866" s="24"/>
      <c r="P2866" s="24"/>
    </row>
    <row r="2867" spans="2:16" x14ac:dyDescent="0.25">
      <c r="B2867" s="24"/>
      <c r="E2867" s="24"/>
      <c r="G2867" s="24"/>
      <c r="H2867" s="24"/>
      <c r="J2867" s="24"/>
      <c r="K2867" s="24"/>
      <c r="M2867" s="24"/>
      <c r="N2867" s="24"/>
      <c r="P2867" s="24"/>
    </row>
    <row r="2868" spans="2:16" x14ac:dyDescent="0.25">
      <c r="B2868" s="24"/>
      <c r="E2868" s="24"/>
      <c r="G2868" s="24"/>
      <c r="H2868" s="24"/>
      <c r="J2868" s="24"/>
      <c r="K2868" s="24"/>
      <c r="M2868" s="24"/>
      <c r="N2868" s="24"/>
      <c r="P2868" s="24"/>
    </row>
    <row r="2869" spans="2:16" x14ac:dyDescent="0.25">
      <c r="B2869" s="24"/>
      <c r="E2869" s="24"/>
      <c r="G2869" s="24"/>
      <c r="H2869" s="24"/>
      <c r="J2869" s="24"/>
      <c r="K2869" s="24"/>
      <c r="M2869" s="24"/>
      <c r="N2869" s="24"/>
      <c r="P2869" s="24"/>
    </row>
    <row r="2870" spans="2:16" x14ac:dyDescent="0.25">
      <c r="B2870" s="24"/>
      <c r="E2870" s="24"/>
      <c r="G2870" s="24"/>
      <c r="H2870" s="24"/>
      <c r="J2870" s="24"/>
      <c r="K2870" s="24"/>
      <c r="M2870" s="24"/>
      <c r="N2870" s="24"/>
      <c r="P2870" s="24"/>
    </row>
    <row r="2871" spans="2:16" x14ac:dyDescent="0.25">
      <c r="B2871" s="24"/>
      <c r="E2871" s="24"/>
      <c r="G2871" s="24"/>
      <c r="H2871" s="24"/>
      <c r="J2871" s="24"/>
      <c r="K2871" s="24"/>
      <c r="M2871" s="24"/>
      <c r="N2871" s="24"/>
      <c r="P2871" s="24"/>
    </row>
    <row r="2872" spans="2:16" x14ac:dyDescent="0.25">
      <c r="B2872" s="24"/>
      <c r="E2872" s="24"/>
      <c r="G2872" s="24"/>
      <c r="H2872" s="24"/>
      <c r="J2872" s="24"/>
      <c r="K2872" s="24"/>
      <c r="M2872" s="24"/>
      <c r="N2872" s="24"/>
      <c r="P2872" s="24"/>
    </row>
    <row r="2873" spans="2:16" x14ac:dyDescent="0.25">
      <c r="B2873" s="24"/>
      <c r="E2873" s="24"/>
      <c r="G2873" s="24"/>
      <c r="H2873" s="24"/>
      <c r="J2873" s="24"/>
      <c r="K2873" s="24"/>
      <c r="M2873" s="24"/>
      <c r="N2873" s="24"/>
      <c r="P2873" s="24"/>
    </row>
    <row r="2874" spans="2:16" x14ac:dyDescent="0.25">
      <c r="B2874" s="24"/>
      <c r="E2874" s="24"/>
      <c r="G2874" s="24"/>
      <c r="H2874" s="24"/>
      <c r="J2874" s="24"/>
      <c r="K2874" s="24"/>
      <c r="M2874" s="24"/>
      <c r="N2874" s="24"/>
      <c r="P2874" s="24"/>
    </row>
    <row r="2875" spans="2:16" x14ac:dyDescent="0.25">
      <c r="B2875" s="24"/>
      <c r="E2875" s="24"/>
      <c r="G2875" s="24"/>
      <c r="H2875" s="24"/>
      <c r="J2875" s="24"/>
      <c r="K2875" s="24"/>
      <c r="M2875" s="24"/>
      <c r="N2875" s="24"/>
      <c r="P2875" s="24"/>
    </row>
    <row r="2876" spans="2:16" x14ac:dyDescent="0.25">
      <c r="B2876" s="24"/>
      <c r="E2876" s="24"/>
      <c r="G2876" s="24"/>
      <c r="H2876" s="24"/>
      <c r="J2876" s="24"/>
      <c r="K2876" s="24"/>
      <c r="M2876" s="24"/>
      <c r="N2876" s="24"/>
      <c r="P2876" s="24"/>
    </row>
    <row r="2877" spans="2:16" x14ac:dyDescent="0.25">
      <c r="B2877" s="24"/>
      <c r="E2877" s="24"/>
      <c r="G2877" s="24"/>
      <c r="H2877" s="24"/>
      <c r="J2877" s="24"/>
      <c r="K2877" s="24"/>
      <c r="M2877" s="24"/>
      <c r="N2877" s="24"/>
      <c r="P2877" s="24"/>
    </row>
    <row r="2878" spans="2:16" x14ac:dyDescent="0.25">
      <c r="B2878" s="24"/>
      <c r="E2878" s="24"/>
      <c r="G2878" s="24"/>
      <c r="H2878" s="24"/>
      <c r="J2878" s="24"/>
      <c r="K2878" s="24"/>
      <c r="M2878" s="24"/>
      <c r="N2878" s="24"/>
      <c r="P2878" s="24"/>
    </row>
    <row r="2879" spans="2:16" x14ac:dyDescent="0.25">
      <c r="B2879" s="24"/>
      <c r="E2879" s="24"/>
      <c r="G2879" s="24"/>
      <c r="H2879" s="24"/>
      <c r="J2879" s="24"/>
      <c r="K2879" s="24"/>
      <c r="M2879" s="24"/>
      <c r="N2879" s="24"/>
      <c r="P2879" s="24"/>
    </row>
    <row r="2880" spans="2:16" x14ac:dyDescent="0.25">
      <c r="B2880" s="24"/>
      <c r="E2880" s="24"/>
      <c r="G2880" s="24"/>
      <c r="H2880" s="24"/>
      <c r="J2880" s="24"/>
      <c r="K2880" s="24"/>
      <c r="M2880" s="24"/>
      <c r="N2880" s="24"/>
      <c r="P2880" s="24"/>
    </row>
    <row r="2881" spans="2:16" x14ac:dyDescent="0.25">
      <c r="B2881" s="24"/>
      <c r="E2881" s="24"/>
      <c r="G2881" s="24"/>
      <c r="H2881" s="24"/>
      <c r="J2881" s="24"/>
      <c r="K2881" s="24"/>
      <c r="M2881" s="24"/>
      <c r="N2881" s="24"/>
      <c r="P2881" s="24"/>
    </row>
    <row r="2882" spans="2:16" x14ac:dyDescent="0.25">
      <c r="B2882" s="24"/>
      <c r="E2882" s="24"/>
      <c r="G2882" s="24"/>
      <c r="H2882" s="24"/>
      <c r="J2882" s="24"/>
      <c r="K2882" s="24"/>
      <c r="M2882" s="24"/>
      <c r="N2882" s="24"/>
      <c r="P2882" s="24"/>
    </row>
    <row r="2883" spans="2:16" x14ac:dyDescent="0.25">
      <c r="B2883" s="24"/>
      <c r="E2883" s="24"/>
      <c r="G2883" s="24"/>
      <c r="H2883" s="24"/>
      <c r="J2883" s="24"/>
      <c r="K2883" s="24"/>
      <c r="M2883" s="24"/>
      <c r="N2883" s="24"/>
      <c r="P2883" s="24"/>
    </row>
    <row r="2884" spans="2:16" x14ac:dyDescent="0.25">
      <c r="B2884" s="24"/>
      <c r="E2884" s="24"/>
      <c r="G2884" s="24"/>
      <c r="H2884" s="24"/>
      <c r="J2884" s="24"/>
      <c r="K2884" s="24"/>
      <c r="M2884" s="24"/>
      <c r="N2884" s="24"/>
      <c r="P2884" s="24"/>
    </row>
    <row r="2885" spans="2:16" x14ac:dyDescent="0.25">
      <c r="B2885" s="24"/>
      <c r="E2885" s="24"/>
      <c r="G2885" s="24"/>
      <c r="H2885" s="24"/>
      <c r="J2885" s="24"/>
      <c r="K2885" s="24"/>
      <c r="M2885" s="24"/>
      <c r="N2885" s="24"/>
      <c r="P2885" s="24"/>
    </row>
    <row r="2886" spans="2:16" x14ac:dyDescent="0.25">
      <c r="B2886" s="24"/>
      <c r="E2886" s="24"/>
      <c r="G2886" s="24"/>
      <c r="H2886" s="24"/>
      <c r="J2886" s="24"/>
      <c r="K2886" s="24"/>
      <c r="M2886" s="24"/>
      <c r="N2886" s="24"/>
      <c r="P2886" s="24"/>
    </row>
    <row r="2887" spans="2:16" x14ac:dyDescent="0.25">
      <c r="B2887" s="24"/>
      <c r="E2887" s="24"/>
      <c r="G2887" s="24"/>
      <c r="H2887" s="24"/>
      <c r="J2887" s="24"/>
      <c r="K2887" s="24"/>
      <c r="M2887" s="24"/>
      <c r="N2887" s="24"/>
      <c r="P2887" s="24"/>
    </row>
    <row r="2888" spans="2:16" x14ac:dyDescent="0.25">
      <c r="B2888" s="24"/>
      <c r="E2888" s="24"/>
      <c r="G2888" s="24"/>
      <c r="H2888" s="24"/>
      <c r="J2888" s="24"/>
      <c r="K2888" s="24"/>
      <c r="M2888" s="24"/>
      <c r="N2888" s="24"/>
      <c r="P2888" s="24"/>
    </row>
    <row r="2889" spans="2:16" x14ac:dyDescent="0.25">
      <c r="B2889" s="24"/>
      <c r="E2889" s="24"/>
      <c r="G2889" s="24"/>
      <c r="H2889" s="24"/>
      <c r="J2889" s="24"/>
      <c r="K2889" s="24"/>
      <c r="M2889" s="24"/>
      <c r="N2889" s="24"/>
      <c r="P2889" s="24"/>
    </row>
    <row r="2890" spans="2:16" x14ac:dyDescent="0.25">
      <c r="B2890" s="24"/>
      <c r="E2890" s="24"/>
      <c r="G2890" s="24"/>
      <c r="H2890" s="24"/>
      <c r="J2890" s="24"/>
      <c r="K2890" s="24"/>
      <c r="M2890" s="24"/>
      <c r="N2890" s="24"/>
      <c r="P2890" s="24"/>
    </row>
    <row r="2891" spans="2:16" x14ac:dyDescent="0.25">
      <c r="B2891" s="24"/>
      <c r="E2891" s="24"/>
      <c r="G2891" s="24"/>
      <c r="H2891" s="24"/>
      <c r="J2891" s="24"/>
      <c r="K2891" s="24"/>
      <c r="M2891" s="24"/>
      <c r="N2891" s="24"/>
      <c r="P2891" s="24"/>
    </row>
    <row r="2892" spans="2:16" x14ac:dyDescent="0.25">
      <c r="B2892" s="24"/>
      <c r="E2892" s="24"/>
      <c r="G2892" s="24"/>
      <c r="H2892" s="24"/>
      <c r="J2892" s="24"/>
      <c r="K2892" s="24"/>
      <c r="M2892" s="24"/>
      <c r="N2892" s="24"/>
      <c r="P2892" s="24"/>
    </row>
    <row r="2893" spans="2:16" x14ac:dyDescent="0.25">
      <c r="B2893" s="24"/>
      <c r="E2893" s="24"/>
      <c r="G2893" s="24"/>
      <c r="H2893" s="24"/>
      <c r="J2893" s="24"/>
      <c r="K2893" s="24"/>
      <c r="M2893" s="24"/>
      <c r="N2893" s="24"/>
      <c r="P2893" s="24"/>
    </row>
    <row r="2894" spans="2:16" x14ac:dyDescent="0.25">
      <c r="B2894" s="24"/>
      <c r="E2894" s="24"/>
      <c r="G2894" s="24"/>
      <c r="H2894" s="24"/>
      <c r="J2894" s="24"/>
      <c r="K2894" s="24"/>
      <c r="M2894" s="24"/>
      <c r="N2894" s="24"/>
      <c r="P2894" s="24"/>
    </row>
    <row r="2895" spans="2:16" x14ac:dyDescent="0.25">
      <c r="B2895" s="24"/>
      <c r="E2895" s="24"/>
      <c r="G2895" s="24"/>
      <c r="H2895" s="24"/>
      <c r="J2895" s="24"/>
      <c r="K2895" s="24"/>
      <c r="M2895" s="24"/>
      <c r="N2895" s="24"/>
      <c r="P2895" s="24"/>
    </row>
    <row r="2896" spans="2:16" x14ac:dyDescent="0.25">
      <c r="B2896" s="24"/>
      <c r="E2896" s="24"/>
      <c r="G2896" s="24"/>
      <c r="H2896" s="24"/>
      <c r="J2896" s="24"/>
      <c r="K2896" s="24"/>
      <c r="M2896" s="24"/>
      <c r="N2896" s="24"/>
      <c r="P2896" s="24"/>
    </row>
    <row r="2897" spans="2:16" x14ac:dyDescent="0.25">
      <c r="B2897" s="24"/>
      <c r="E2897" s="24"/>
      <c r="G2897" s="24"/>
      <c r="H2897" s="24"/>
      <c r="J2897" s="24"/>
      <c r="K2897" s="24"/>
      <c r="M2897" s="24"/>
      <c r="N2897" s="24"/>
      <c r="P2897" s="24"/>
    </row>
    <row r="2898" spans="2:16" x14ac:dyDescent="0.25">
      <c r="B2898" s="24"/>
      <c r="E2898" s="24"/>
      <c r="G2898" s="24"/>
      <c r="H2898" s="24"/>
      <c r="J2898" s="24"/>
      <c r="K2898" s="24"/>
      <c r="M2898" s="24"/>
      <c r="N2898" s="24"/>
      <c r="P2898" s="24"/>
    </row>
    <row r="2899" spans="2:16" x14ac:dyDescent="0.25">
      <c r="B2899" s="24"/>
      <c r="E2899" s="24"/>
      <c r="G2899" s="24"/>
      <c r="H2899" s="24"/>
      <c r="J2899" s="24"/>
      <c r="K2899" s="24"/>
      <c r="M2899" s="24"/>
      <c r="N2899" s="24"/>
      <c r="P2899" s="24"/>
    </row>
    <row r="2900" spans="2:16" x14ac:dyDescent="0.25">
      <c r="B2900" s="24"/>
      <c r="E2900" s="24"/>
      <c r="G2900" s="24"/>
      <c r="H2900" s="24"/>
      <c r="J2900" s="24"/>
      <c r="K2900" s="24"/>
      <c r="M2900" s="24"/>
      <c r="N2900" s="24"/>
      <c r="P2900" s="24"/>
    </row>
    <row r="2901" spans="2:16" x14ac:dyDescent="0.25">
      <c r="B2901" s="24"/>
      <c r="E2901" s="24"/>
      <c r="G2901" s="24"/>
      <c r="H2901" s="24"/>
      <c r="J2901" s="24"/>
      <c r="K2901" s="24"/>
      <c r="M2901" s="24"/>
      <c r="N2901" s="24"/>
      <c r="P2901" s="24"/>
    </row>
    <row r="2902" spans="2:16" x14ac:dyDescent="0.25">
      <c r="B2902" s="24"/>
      <c r="E2902" s="24"/>
      <c r="G2902" s="24"/>
      <c r="H2902" s="24"/>
      <c r="J2902" s="24"/>
      <c r="K2902" s="24"/>
      <c r="M2902" s="24"/>
      <c r="N2902" s="24"/>
      <c r="P2902" s="24"/>
    </row>
    <row r="2903" spans="2:16" x14ac:dyDescent="0.25">
      <c r="B2903" s="24"/>
      <c r="E2903" s="24"/>
      <c r="G2903" s="24"/>
      <c r="H2903" s="24"/>
      <c r="J2903" s="24"/>
      <c r="K2903" s="24"/>
      <c r="M2903" s="24"/>
      <c r="N2903" s="24"/>
      <c r="P2903" s="24"/>
    </row>
    <row r="2904" spans="2:16" x14ac:dyDescent="0.25">
      <c r="B2904" s="24"/>
      <c r="E2904" s="24"/>
      <c r="G2904" s="24"/>
      <c r="H2904" s="24"/>
      <c r="J2904" s="24"/>
      <c r="K2904" s="24"/>
      <c r="M2904" s="24"/>
      <c r="N2904" s="24"/>
      <c r="P2904" s="24"/>
    </row>
    <row r="2905" spans="2:16" x14ac:dyDescent="0.25">
      <c r="B2905" s="24"/>
      <c r="E2905" s="24"/>
      <c r="G2905" s="24"/>
      <c r="H2905" s="24"/>
      <c r="J2905" s="24"/>
      <c r="K2905" s="24"/>
      <c r="M2905" s="24"/>
      <c r="N2905" s="24"/>
      <c r="P2905" s="24"/>
    </row>
    <row r="2906" spans="2:16" x14ac:dyDescent="0.25">
      <c r="B2906" s="24"/>
      <c r="E2906" s="24"/>
      <c r="G2906" s="24"/>
      <c r="H2906" s="24"/>
      <c r="J2906" s="24"/>
      <c r="K2906" s="24"/>
      <c r="M2906" s="24"/>
      <c r="N2906" s="24"/>
      <c r="P2906" s="24"/>
    </row>
    <row r="2907" spans="2:16" x14ac:dyDescent="0.25">
      <c r="B2907" s="24"/>
      <c r="E2907" s="24"/>
      <c r="G2907" s="24"/>
      <c r="H2907" s="24"/>
      <c r="J2907" s="24"/>
      <c r="K2907" s="24"/>
      <c r="M2907" s="24"/>
      <c r="N2907" s="24"/>
      <c r="P2907" s="24"/>
    </row>
    <row r="2908" spans="2:16" x14ac:dyDescent="0.25">
      <c r="B2908" s="24"/>
      <c r="E2908" s="24"/>
      <c r="G2908" s="24"/>
      <c r="H2908" s="24"/>
      <c r="J2908" s="24"/>
      <c r="K2908" s="24"/>
      <c r="M2908" s="24"/>
      <c r="N2908" s="24"/>
      <c r="P2908" s="24"/>
    </row>
    <row r="2909" spans="2:16" x14ac:dyDescent="0.25">
      <c r="B2909" s="24"/>
      <c r="E2909" s="24"/>
      <c r="G2909" s="24"/>
      <c r="H2909" s="24"/>
      <c r="J2909" s="24"/>
      <c r="K2909" s="24"/>
      <c r="M2909" s="24"/>
      <c r="N2909" s="24"/>
      <c r="P2909" s="24"/>
    </row>
    <row r="2910" spans="2:16" x14ac:dyDescent="0.25">
      <c r="B2910" s="24"/>
      <c r="E2910" s="24"/>
      <c r="G2910" s="24"/>
      <c r="H2910" s="24"/>
      <c r="J2910" s="24"/>
      <c r="K2910" s="24"/>
      <c r="M2910" s="24"/>
      <c r="N2910" s="24"/>
      <c r="P2910" s="24"/>
    </row>
    <row r="2911" spans="2:16" x14ac:dyDescent="0.25">
      <c r="B2911" s="24"/>
      <c r="E2911" s="24"/>
      <c r="G2911" s="24"/>
      <c r="H2911" s="24"/>
      <c r="J2911" s="24"/>
      <c r="K2911" s="24"/>
      <c r="M2911" s="24"/>
      <c r="N2911" s="24"/>
      <c r="P2911" s="24"/>
    </row>
    <row r="2912" spans="2:16" x14ac:dyDescent="0.25">
      <c r="B2912" s="24"/>
      <c r="E2912" s="24"/>
      <c r="G2912" s="24"/>
      <c r="H2912" s="24"/>
      <c r="J2912" s="24"/>
      <c r="K2912" s="24"/>
      <c r="M2912" s="24"/>
      <c r="N2912" s="24"/>
      <c r="P2912" s="24"/>
    </row>
    <row r="2913" spans="2:16" x14ac:dyDescent="0.25">
      <c r="B2913" s="24"/>
      <c r="E2913" s="24"/>
      <c r="G2913" s="24"/>
      <c r="H2913" s="24"/>
      <c r="J2913" s="24"/>
      <c r="K2913" s="24"/>
      <c r="M2913" s="24"/>
      <c r="N2913" s="24"/>
      <c r="P2913" s="24"/>
    </row>
    <row r="2914" spans="2:16" x14ac:dyDescent="0.25">
      <c r="B2914" s="24"/>
      <c r="E2914" s="24"/>
      <c r="G2914" s="24"/>
      <c r="H2914" s="24"/>
      <c r="J2914" s="24"/>
      <c r="K2914" s="24"/>
      <c r="M2914" s="24"/>
      <c r="N2914" s="24"/>
      <c r="P2914" s="24"/>
    </row>
    <row r="2915" spans="2:16" x14ac:dyDescent="0.25">
      <c r="B2915" s="24"/>
      <c r="E2915" s="24"/>
      <c r="G2915" s="24"/>
      <c r="H2915" s="24"/>
      <c r="J2915" s="24"/>
      <c r="K2915" s="24"/>
      <c r="M2915" s="24"/>
      <c r="N2915" s="24"/>
      <c r="P2915" s="24"/>
    </row>
    <row r="2916" spans="2:16" x14ac:dyDescent="0.25">
      <c r="B2916" s="24"/>
      <c r="E2916" s="24"/>
      <c r="G2916" s="24"/>
      <c r="H2916" s="24"/>
      <c r="J2916" s="24"/>
      <c r="K2916" s="24"/>
      <c r="M2916" s="24"/>
      <c r="N2916" s="24"/>
      <c r="P2916" s="24"/>
    </row>
    <row r="2917" spans="2:16" x14ac:dyDescent="0.25">
      <c r="B2917" s="24"/>
      <c r="E2917" s="24"/>
      <c r="G2917" s="24"/>
      <c r="H2917" s="24"/>
      <c r="J2917" s="24"/>
      <c r="K2917" s="24"/>
      <c r="M2917" s="24"/>
      <c r="N2917" s="24"/>
      <c r="P2917" s="24"/>
    </row>
    <row r="2918" spans="2:16" x14ac:dyDescent="0.25">
      <c r="B2918" s="24"/>
      <c r="E2918" s="24"/>
      <c r="G2918" s="24"/>
      <c r="H2918" s="24"/>
      <c r="J2918" s="24"/>
      <c r="K2918" s="24"/>
      <c r="M2918" s="24"/>
      <c r="N2918" s="24"/>
      <c r="P2918" s="24"/>
    </row>
    <row r="2919" spans="2:16" x14ac:dyDescent="0.25">
      <c r="B2919" s="24"/>
      <c r="E2919" s="24"/>
      <c r="G2919" s="24"/>
      <c r="H2919" s="24"/>
      <c r="J2919" s="24"/>
      <c r="K2919" s="24"/>
      <c r="M2919" s="24"/>
      <c r="N2919" s="24"/>
      <c r="P2919" s="24"/>
    </row>
    <row r="2920" spans="2:16" x14ac:dyDescent="0.25">
      <c r="B2920" s="24"/>
      <c r="E2920" s="24"/>
      <c r="G2920" s="24"/>
      <c r="H2920" s="24"/>
      <c r="J2920" s="24"/>
      <c r="K2920" s="24"/>
      <c r="M2920" s="24"/>
      <c r="N2920" s="24"/>
      <c r="P2920" s="24"/>
    </row>
    <row r="2921" spans="2:16" x14ac:dyDescent="0.25">
      <c r="B2921" s="24"/>
      <c r="E2921" s="24"/>
      <c r="G2921" s="24"/>
      <c r="H2921" s="24"/>
      <c r="J2921" s="24"/>
      <c r="K2921" s="24"/>
      <c r="M2921" s="24"/>
      <c r="N2921" s="24"/>
      <c r="P2921" s="24"/>
    </row>
    <row r="2922" spans="2:16" x14ac:dyDescent="0.25">
      <c r="B2922" s="24"/>
      <c r="E2922" s="24"/>
      <c r="G2922" s="24"/>
      <c r="H2922" s="24"/>
      <c r="J2922" s="24"/>
      <c r="K2922" s="24"/>
      <c r="M2922" s="24"/>
      <c r="N2922" s="24"/>
      <c r="P2922" s="24"/>
    </row>
    <row r="2923" spans="2:16" x14ac:dyDescent="0.25">
      <c r="B2923" s="24"/>
      <c r="E2923" s="24"/>
      <c r="G2923" s="24"/>
      <c r="H2923" s="24"/>
      <c r="J2923" s="24"/>
      <c r="K2923" s="24"/>
      <c r="M2923" s="24"/>
      <c r="N2923" s="24"/>
      <c r="P2923" s="24"/>
    </row>
    <row r="2924" spans="2:16" x14ac:dyDescent="0.25">
      <c r="B2924" s="24"/>
      <c r="E2924" s="24"/>
      <c r="G2924" s="24"/>
      <c r="H2924" s="24"/>
      <c r="J2924" s="24"/>
      <c r="K2924" s="24"/>
      <c r="M2924" s="24"/>
      <c r="N2924" s="24"/>
      <c r="P2924" s="24"/>
    </row>
    <row r="2925" spans="2:16" x14ac:dyDescent="0.25">
      <c r="B2925" s="24"/>
      <c r="E2925" s="24"/>
      <c r="G2925" s="24"/>
      <c r="H2925" s="24"/>
      <c r="J2925" s="24"/>
      <c r="K2925" s="24"/>
      <c r="M2925" s="24"/>
      <c r="N2925" s="24"/>
      <c r="P2925" s="24"/>
    </row>
    <row r="2926" spans="2:16" x14ac:dyDescent="0.25">
      <c r="B2926" s="24"/>
      <c r="E2926" s="24"/>
      <c r="G2926" s="24"/>
      <c r="H2926" s="24"/>
      <c r="J2926" s="24"/>
      <c r="K2926" s="24"/>
      <c r="M2926" s="24"/>
      <c r="N2926" s="24"/>
      <c r="P2926" s="24"/>
    </row>
    <row r="2927" spans="2:16" x14ac:dyDescent="0.25">
      <c r="B2927" s="24"/>
      <c r="E2927" s="24"/>
      <c r="G2927" s="24"/>
      <c r="H2927" s="24"/>
      <c r="J2927" s="24"/>
      <c r="K2927" s="24"/>
      <c r="M2927" s="24"/>
      <c r="N2927" s="24"/>
      <c r="P2927" s="24"/>
    </row>
    <row r="2928" spans="2:16" x14ac:dyDescent="0.25">
      <c r="B2928" s="24"/>
      <c r="E2928" s="24"/>
      <c r="G2928" s="24"/>
      <c r="H2928" s="24"/>
      <c r="J2928" s="24"/>
      <c r="K2928" s="24"/>
      <c r="M2928" s="24"/>
      <c r="N2928" s="24"/>
      <c r="P2928" s="24"/>
    </row>
    <row r="2929" spans="2:16" x14ac:dyDescent="0.25">
      <c r="B2929" s="24"/>
      <c r="E2929" s="24"/>
      <c r="G2929" s="24"/>
      <c r="H2929" s="24"/>
      <c r="J2929" s="24"/>
      <c r="K2929" s="24"/>
      <c r="M2929" s="24"/>
      <c r="N2929" s="24"/>
      <c r="P2929" s="24"/>
    </row>
    <row r="2930" spans="2:16" x14ac:dyDescent="0.25">
      <c r="B2930" s="24"/>
      <c r="E2930" s="24"/>
      <c r="G2930" s="24"/>
      <c r="H2930" s="24"/>
      <c r="J2930" s="24"/>
      <c r="K2930" s="24"/>
      <c r="M2930" s="24"/>
      <c r="N2930" s="24"/>
      <c r="P2930" s="24"/>
    </row>
    <row r="2931" spans="2:16" x14ac:dyDescent="0.25">
      <c r="B2931" s="24"/>
      <c r="E2931" s="24"/>
      <c r="G2931" s="24"/>
      <c r="H2931" s="24"/>
      <c r="J2931" s="24"/>
      <c r="K2931" s="24"/>
      <c r="M2931" s="24"/>
      <c r="N2931" s="24"/>
      <c r="P2931" s="24"/>
    </row>
    <row r="2932" spans="2:16" x14ac:dyDescent="0.25">
      <c r="B2932" s="24"/>
      <c r="E2932" s="24"/>
      <c r="G2932" s="24"/>
      <c r="H2932" s="24"/>
      <c r="J2932" s="24"/>
      <c r="K2932" s="24"/>
      <c r="M2932" s="24"/>
      <c r="N2932" s="24"/>
      <c r="P2932" s="24"/>
    </row>
    <row r="2933" spans="2:16" x14ac:dyDescent="0.25">
      <c r="B2933" s="24"/>
      <c r="E2933" s="24"/>
      <c r="G2933" s="24"/>
      <c r="H2933" s="24"/>
      <c r="J2933" s="24"/>
      <c r="K2933" s="24"/>
      <c r="M2933" s="24"/>
      <c r="N2933" s="24"/>
      <c r="P2933" s="24"/>
    </row>
    <row r="2934" spans="2:16" x14ac:dyDescent="0.25">
      <c r="B2934" s="24"/>
      <c r="E2934" s="24"/>
      <c r="G2934" s="24"/>
      <c r="H2934" s="24"/>
      <c r="J2934" s="24"/>
      <c r="K2934" s="24"/>
      <c r="M2934" s="24"/>
      <c r="N2934" s="24"/>
      <c r="P2934" s="24"/>
    </row>
    <row r="2935" spans="2:16" x14ac:dyDescent="0.25">
      <c r="B2935" s="24"/>
      <c r="E2935" s="24"/>
      <c r="G2935" s="24"/>
      <c r="H2935" s="24"/>
      <c r="J2935" s="24"/>
      <c r="K2935" s="24"/>
      <c r="M2935" s="24"/>
      <c r="N2935" s="24"/>
      <c r="P2935" s="24"/>
    </row>
    <row r="2936" spans="2:16" x14ac:dyDescent="0.25">
      <c r="B2936" s="24"/>
      <c r="E2936" s="24"/>
      <c r="G2936" s="24"/>
      <c r="H2936" s="24"/>
      <c r="J2936" s="24"/>
      <c r="K2936" s="24"/>
      <c r="M2936" s="24"/>
      <c r="N2936" s="24"/>
      <c r="P2936" s="24"/>
    </row>
    <row r="2937" spans="2:16" x14ac:dyDescent="0.25">
      <c r="B2937" s="24"/>
      <c r="E2937" s="24"/>
      <c r="G2937" s="24"/>
      <c r="H2937" s="24"/>
      <c r="J2937" s="24"/>
      <c r="K2937" s="24"/>
      <c r="M2937" s="24"/>
      <c r="N2937" s="24"/>
      <c r="P2937" s="24"/>
    </row>
    <row r="2938" spans="2:16" x14ac:dyDescent="0.25">
      <c r="B2938" s="24"/>
      <c r="E2938" s="24"/>
      <c r="G2938" s="24"/>
      <c r="H2938" s="24"/>
      <c r="J2938" s="24"/>
      <c r="K2938" s="24"/>
      <c r="M2938" s="24"/>
      <c r="N2938" s="24"/>
      <c r="P2938" s="24"/>
    </row>
    <row r="2939" spans="2:16" x14ac:dyDescent="0.25">
      <c r="B2939" s="24"/>
      <c r="E2939" s="24"/>
      <c r="G2939" s="24"/>
      <c r="H2939" s="24"/>
      <c r="J2939" s="24"/>
      <c r="K2939" s="24"/>
      <c r="M2939" s="24"/>
      <c r="N2939" s="24"/>
      <c r="P2939" s="24"/>
    </row>
    <row r="2940" spans="2:16" x14ac:dyDescent="0.25">
      <c r="B2940" s="24"/>
      <c r="E2940" s="24"/>
      <c r="G2940" s="24"/>
      <c r="H2940" s="24"/>
      <c r="J2940" s="24"/>
      <c r="K2940" s="24"/>
      <c r="M2940" s="24"/>
      <c r="N2940" s="24"/>
      <c r="P2940" s="24"/>
    </row>
    <row r="2941" spans="2:16" x14ac:dyDescent="0.25">
      <c r="B2941" s="24"/>
      <c r="E2941" s="24"/>
      <c r="G2941" s="24"/>
      <c r="H2941" s="24"/>
      <c r="J2941" s="24"/>
      <c r="K2941" s="24"/>
      <c r="M2941" s="24"/>
      <c r="N2941" s="24"/>
      <c r="P2941" s="24"/>
    </row>
    <row r="2942" spans="2:16" x14ac:dyDescent="0.25">
      <c r="B2942" s="24"/>
      <c r="E2942" s="24"/>
      <c r="G2942" s="24"/>
      <c r="H2942" s="24"/>
      <c r="J2942" s="24"/>
      <c r="K2942" s="24"/>
      <c r="M2942" s="24"/>
      <c r="N2942" s="24"/>
      <c r="P2942" s="24"/>
    </row>
    <row r="2943" spans="2:16" x14ac:dyDescent="0.25">
      <c r="B2943" s="24"/>
      <c r="E2943" s="24"/>
      <c r="G2943" s="24"/>
      <c r="H2943" s="24"/>
      <c r="J2943" s="24"/>
      <c r="K2943" s="24"/>
      <c r="M2943" s="24"/>
      <c r="N2943" s="24"/>
      <c r="P2943" s="24"/>
    </row>
    <row r="2944" spans="2:16" x14ac:dyDescent="0.25">
      <c r="B2944" s="24"/>
      <c r="E2944" s="24"/>
      <c r="G2944" s="24"/>
      <c r="H2944" s="24"/>
      <c r="J2944" s="24"/>
      <c r="K2944" s="24"/>
      <c r="M2944" s="24"/>
      <c r="N2944" s="24"/>
      <c r="P2944" s="24"/>
    </row>
    <row r="2945" spans="2:16" x14ac:dyDescent="0.25">
      <c r="B2945" s="24"/>
      <c r="E2945" s="24"/>
      <c r="G2945" s="24"/>
      <c r="H2945" s="24"/>
      <c r="J2945" s="24"/>
      <c r="K2945" s="24"/>
      <c r="M2945" s="24"/>
      <c r="N2945" s="24"/>
      <c r="P2945" s="24"/>
    </row>
    <row r="2946" spans="2:16" x14ac:dyDescent="0.25">
      <c r="B2946" s="24"/>
      <c r="E2946" s="24"/>
      <c r="G2946" s="24"/>
      <c r="H2946" s="24"/>
      <c r="J2946" s="24"/>
      <c r="K2946" s="24"/>
      <c r="M2946" s="24"/>
      <c r="N2946" s="24"/>
      <c r="P2946" s="24"/>
    </row>
    <row r="2947" spans="2:16" x14ac:dyDescent="0.25">
      <c r="B2947" s="24"/>
      <c r="E2947" s="24"/>
      <c r="G2947" s="24"/>
      <c r="H2947" s="24"/>
      <c r="J2947" s="24"/>
      <c r="K2947" s="24"/>
      <c r="M2947" s="24"/>
      <c r="N2947" s="24"/>
      <c r="P2947" s="24"/>
    </row>
    <row r="2948" spans="2:16" x14ac:dyDescent="0.25">
      <c r="B2948" s="24"/>
      <c r="E2948" s="24"/>
      <c r="G2948" s="24"/>
      <c r="H2948" s="24"/>
      <c r="J2948" s="24"/>
      <c r="K2948" s="24"/>
      <c r="M2948" s="24"/>
      <c r="N2948" s="24"/>
      <c r="P2948" s="24"/>
    </row>
    <row r="2949" spans="2:16" x14ac:dyDescent="0.25">
      <c r="B2949" s="24"/>
      <c r="E2949" s="24"/>
      <c r="G2949" s="24"/>
      <c r="H2949" s="24"/>
      <c r="J2949" s="24"/>
      <c r="K2949" s="24"/>
      <c r="M2949" s="24"/>
      <c r="N2949" s="24"/>
      <c r="P2949" s="24"/>
    </row>
    <row r="2950" spans="2:16" x14ac:dyDescent="0.25">
      <c r="B2950" s="24"/>
      <c r="E2950" s="24"/>
      <c r="G2950" s="24"/>
      <c r="H2950" s="24"/>
      <c r="J2950" s="24"/>
      <c r="K2950" s="24"/>
      <c r="M2950" s="24"/>
      <c r="N2950" s="24"/>
      <c r="P2950" s="24"/>
    </row>
    <row r="2951" spans="2:16" x14ac:dyDescent="0.25">
      <c r="B2951" s="24"/>
      <c r="E2951" s="24"/>
      <c r="G2951" s="24"/>
      <c r="H2951" s="24"/>
      <c r="J2951" s="24"/>
      <c r="K2951" s="24"/>
      <c r="M2951" s="24"/>
      <c r="N2951" s="24"/>
      <c r="P2951" s="24"/>
    </row>
    <row r="2952" spans="2:16" x14ac:dyDescent="0.25">
      <c r="B2952" s="24"/>
      <c r="E2952" s="24"/>
      <c r="G2952" s="24"/>
      <c r="H2952" s="24"/>
      <c r="J2952" s="24"/>
      <c r="K2952" s="24"/>
      <c r="M2952" s="24"/>
      <c r="N2952" s="24"/>
      <c r="P2952" s="24"/>
    </row>
    <row r="2953" spans="2:16" x14ac:dyDescent="0.25">
      <c r="B2953" s="24"/>
      <c r="E2953" s="24"/>
      <c r="G2953" s="24"/>
      <c r="H2953" s="24"/>
      <c r="J2953" s="24"/>
      <c r="K2953" s="24"/>
      <c r="M2953" s="24"/>
      <c r="N2953" s="24"/>
      <c r="P2953" s="24"/>
    </row>
    <row r="2954" spans="2:16" x14ac:dyDescent="0.25">
      <c r="B2954" s="24"/>
      <c r="E2954" s="24"/>
      <c r="G2954" s="24"/>
      <c r="H2954" s="24"/>
      <c r="J2954" s="24"/>
      <c r="K2954" s="24"/>
      <c r="M2954" s="24"/>
      <c r="N2954" s="24"/>
      <c r="P2954" s="24"/>
    </row>
    <row r="2955" spans="2:16" x14ac:dyDescent="0.25">
      <c r="B2955" s="24"/>
      <c r="E2955" s="24"/>
      <c r="G2955" s="24"/>
      <c r="H2955" s="24"/>
      <c r="J2955" s="24"/>
      <c r="K2955" s="24"/>
      <c r="M2955" s="24"/>
      <c r="N2955" s="24"/>
      <c r="P2955" s="24"/>
    </row>
    <row r="2956" spans="2:16" x14ac:dyDescent="0.25">
      <c r="B2956" s="24"/>
      <c r="E2956" s="24"/>
      <c r="G2956" s="24"/>
      <c r="H2956" s="24"/>
      <c r="J2956" s="24"/>
      <c r="K2956" s="24"/>
      <c r="M2956" s="24"/>
      <c r="N2956" s="24"/>
      <c r="P2956" s="24"/>
    </row>
    <row r="2957" spans="2:16" x14ac:dyDescent="0.25">
      <c r="B2957" s="24"/>
      <c r="E2957" s="24"/>
      <c r="G2957" s="24"/>
      <c r="H2957" s="24"/>
      <c r="J2957" s="24"/>
      <c r="K2957" s="24"/>
      <c r="M2957" s="24"/>
      <c r="N2957" s="24"/>
      <c r="P2957" s="24"/>
    </row>
    <row r="2958" spans="2:16" x14ac:dyDescent="0.25">
      <c r="B2958" s="24"/>
      <c r="E2958" s="24"/>
      <c r="G2958" s="24"/>
      <c r="H2958" s="24"/>
      <c r="J2958" s="24"/>
      <c r="K2958" s="24"/>
      <c r="M2958" s="24"/>
      <c r="N2958" s="24"/>
      <c r="P2958" s="24"/>
    </row>
    <row r="2959" spans="2:16" x14ac:dyDescent="0.25">
      <c r="B2959" s="24"/>
      <c r="E2959" s="24"/>
      <c r="G2959" s="24"/>
      <c r="H2959" s="24"/>
      <c r="J2959" s="24"/>
      <c r="K2959" s="24"/>
      <c r="M2959" s="24"/>
      <c r="N2959" s="24"/>
      <c r="P2959" s="24"/>
    </row>
    <row r="2960" spans="2:16" x14ac:dyDescent="0.25">
      <c r="B2960" s="24"/>
      <c r="E2960" s="24"/>
      <c r="G2960" s="24"/>
      <c r="H2960" s="24"/>
      <c r="J2960" s="24"/>
      <c r="K2960" s="24"/>
      <c r="M2960" s="24"/>
      <c r="N2960" s="24"/>
      <c r="P2960" s="24"/>
    </row>
    <row r="2961" spans="2:16" x14ac:dyDescent="0.25">
      <c r="B2961" s="24"/>
      <c r="E2961" s="24"/>
      <c r="G2961" s="24"/>
      <c r="H2961" s="24"/>
      <c r="J2961" s="24"/>
      <c r="K2961" s="24"/>
      <c r="M2961" s="24"/>
      <c r="N2961" s="24"/>
      <c r="P2961" s="24"/>
    </row>
    <row r="2962" spans="2:16" x14ac:dyDescent="0.25">
      <c r="B2962" s="24"/>
      <c r="E2962" s="24"/>
      <c r="G2962" s="24"/>
      <c r="H2962" s="24"/>
      <c r="J2962" s="24"/>
      <c r="K2962" s="24"/>
      <c r="M2962" s="24"/>
      <c r="N2962" s="24"/>
      <c r="P2962" s="24"/>
    </row>
    <row r="2963" spans="2:16" x14ac:dyDescent="0.25">
      <c r="B2963" s="24"/>
      <c r="E2963" s="24"/>
      <c r="G2963" s="24"/>
      <c r="H2963" s="24"/>
      <c r="J2963" s="24"/>
      <c r="K2963" s="24"/>
      <c r="M2963" s="24"/>
      <c r="N2963" s="24"/>
      <c r="P2963" s="24"/>
    </row>
    <row r="2964" spans="2:16" x14ac:dyDescent="0.25">
      <c r="B2964" s="24"/>
      <c r="E2964" s="24"/>
      <c r="G2964" s="24"/>
      <c r="H2964" s="24"/>
      <c r="J2964" s="24"/>
      <c r="K2964" s="24"/>
      <c r="M2964" s="24"/>
      <c r="N2964" s="24"/>
      <c r="P2964" s="24"/>
    </row>
    <row r="2965" spans="2:16" x14ac:dyDescent="0.25">
      <c r="B2965" s="24"/>
      <c r="E2965" s="24"/>
      <c r="G2965" s="24"/>
      <c r="H2965" s="24"/>
      <c r="J2965" s="24"/>
      <c r="K2965" s="24"/>
      <c r="M2965" s="24"/>
      <c r="N2965" s="24"/>
      <c r="P2965" s="24"/>
    </row>
    <row r="2966" spans="2:16" x14ac:dyDescent="0.25">
      <c r="B2966" s="24"/>
      <c r="E2966" s="24"/>
      <c r="G2966" s="24"/>
      <c r="H2966" s="24"/>
      <c r="J2966" s="24"/>
      <c r="K2966" s="24"/>
      <c r="M2966" s="24"/>
      <c r="N2966" s="24"/>
      <c r="P2966" s="24"/>
    </row>
    <row r="2967" spans="2:16" x14ac:dyDescent="0.25">
      <c r="B2967" s="24"/>
      <c r="E2967" s="24"/>
      <c r="G2967" s="24"/>
      <c r="H2967" s="24"/>
      <c r="J2967" s="24"/>
      <c r="K2967" s="24"/>
      <c r="M2967" s="24"/>
      <c r="N2967" s="24"/>
      <c r="P2967" s="24"/>
    </row>
    <row r="2968" spans="2:16" x14ac:dyDescent="0.25">
      <c r="B2968" s="24"/>
      <c r="E2968" s="24"/>
      <c r="G2968" s="24"/>
      <c r="H2968" s="24"/>
      <c r="J2968" s="24"/>
      <c r="K2968" s="24"/>
      <c r="M2968" s="24"/>
      <c r="N2968" s="24"/>
      <c r="P2968" s="24"/>
    </row>
    <row r="2969" spans="2:16" x14ac:dyDescent="0.25">
      <c r="B2969" s="24"/>
      <c r="E2969" s="24"/>
      <c r="G2969" s="24"/>
      <c r="H2969" s="24"/>
      <c r="J2969" s="24"/>
      <c r="K2969" s="24"/>
      <c r="M2969" s="24"/>
      <c r="N2969" s="24"/>
      <c r="P2969" s="24"/>
    </row>
    <row r="2970" spans="2:16" x14ac:dyDescent="0.25">
      <c r="B2970" s="24"/>
      <c r="E2970" s="24"/>
      <c r="G2970" s="24"/>
      <c r="H2970" s="24"/>
      <c r="J2970" s="24"/>
      <c r="K2970" s="24"/>
      <c r="M2970" s="24"/>
      <c r="N2970" s="24"/>
      <c r="P2970" s="24"/>
    </row>
    <row r="2971" spans="2:16" x14ac:dyDescent="0.25">
      <c r="B2971" s="24"/>
      <c r="E2971" s="24"/>
      <c r="G2971" s="24"/>
      <c r="H2971" s="24"/>
      <c r="J2971" s="24"/>
      <c r="K2971" s="24"/>
      <c r="M2971" s="24"/>
      <c r="N2971" s="24"/>
      <c r="P2971" s="24"/>
    </row>
    <row r="2972" spans="2:16" x14ac:dyDescent="0.25">
      <c r="B2972" s="24"/>
      <c r="E2972" s="24"/>
      <c r="G2972" s="24"/>
      <c r="H2972" s="24"/>
      <c r="J2972" s="24"/>
      <c r="K2972" s="24"/>
      <c r="M2972" s="24"/>
      <c r="N2972" s="24"/>
      <c r="P2972" s="24"/>
    </row>
    <row r="2973" spans="2:16" x14ac:dyDescent="0.25">
      <c r="B2973" s="24"/>
      <c r="E2973" s="24"/>
      <c r="G2973" s="24"/>
      <c r="H2973" s="24"/>
      <c r="J2973" s="24"/>
      <c r="K2973" s="24"/>
      <c r="M2973" s="24"/>
      <c r="N2973" s="24"/>
      <c r="P2973" s="24"/>
    </row>
    <row r="2974" spans="2:16" x14ac:dyDescent="0.25">
      <c r="B2974" s="24"/>
      <c r="E2974" s="24"/>
      <c r="G2974" s="24"/>
      <c r="H2974" s="24"/>
      <c r="J2974" s="24"/>
      <c r="K2974" s="24"/>
      <c r="M2974" s="24"/>
      <c r="N2974" s="24"/>
      <c r="P2974" s="24"/>
    </row>
    <row r="2975" spans="2:16" x14ac:dyDescent="0.25">
      <c r="B2975" s="24"/>
      <c r="E2975" s="24"/>
      <c r="G2975" s="24"/>
      <c r="H2975" s="24"/>
      <c r="J2975" s="24"/>
      <c r="K2975" s="24"/>
      <c r="M2975" s="24"/>
      <c r="N2975" s="24"/>
      <c r="P2975" s="24"/>
    </row>
    <row r="2976" spans="2:16" x14ac:dyDescent="0.25">
      <c r="B2976" s="24"/>
      <c r="E2976" s="24"/>
      <c r="G2976" s="24"/>
      <c r="H2976" s="24"/>
      <c r="J2976" s="24"/>
      <c r="K2976" s="24"/>
      <c r="M2976" s="24"/>
      <c r="N2976" s="24"/>
      <c r="P2976" s="24"/>
    </row>
    <row r="2977" spans="2:16" x14ac:dyDescent="0.25">
      <c r="B2977" s="24"/>
      <c r="E2977" s="24"/>
      <c r="G2977" s="24"/>
      <c r="H2977" s="24"/>
      <c r="J2977" s="24"/>
      <c r="K2977" s="24"/>
      <c r="M2977" s="24"/>
      <c r="N2977" s="24"/>
      <c r="P2977" s="24"/>
    </row>
    <row r="2978" spans="2:16" x14ac:dyDescent="0.25">
      <c r="B2978" s="24"/>
      <c r="E2978" s="24"/>
      <c r="G2978" s="24"/>
      <c r="H2978" s="24"/>
      <c r="J2978" s="24"/>
      <c r="K2978" s="24"/>
      <c r="M2978" s="24"/>
      <c r="N2978" s="24"/>
      <c r="P2978" s="24"/>
    </row>
    <row r="2979" spans="2:16" x14ac:dyDescent="0.25">
      <c r="B2979" s="24"/>
      <c r="E2979" s="24"/>
      <c r="G2979" s="24"/>
      <c r="H2979" s="24"/>
      <c r="J2979" s="24"/>
      <c r="K2979" s="24"/>
      <c r="M2979" s="24"/>
      <c r="N2979" s="24"/>
      <c r="P2979" s="24"/>
    </row>
    <row r="2980" spans="2:16" x14ac:dyDescent="0.25">
      <c r="B2980" s="24"/>
      <c r="E2980" s="24"/>
      <c r="G2980" s="24"/>
      <c r="H2980" s="24"/>
      <c r="J2980" s="24"/>
      <c r="K2980" s="24"/>
      <c r="M2980" s="24"/>
      <c r="N2980" s="24"/>
      <c r="P2980" s="24"/>
    </row>
    <row r="2981" spans="2:16" x14ac:dyDescent="0.25">
      <c r="B2981" s="24"/>
      <c r="E2981" s="24"/>
      <c r="G2981" s="24"/>
      <c r="H2981" s="24"/>
      <c r="J2981" s="24"/>
      <c r="K2981" s="24"/>
      <c r="M2981" s="24"/>
      <c r="N2981" s="24"/>
      <c r="P2981" s="24"/>
    </row>
    <row r="2982" spans="2:16" x14ac:dyDescent="0.25">
      <c r="B2982" s="24"/>
      <c r="E2982" s="24"/>
      <c r="G2982" s="24"/>
      <c r="H2982" s="24"/>
      <c r="J2982" s="24"/>
      <c r="K2982" s="24"/>
      <c r="M2982" s="24"/>
      <c r="N2982" s="24"/>
      <c r="P2982" s="24"/>
    </row>
    <row r="2983" spans="2:16" x14ac:dyDescent="0.25">
      <c r="B2983" s="24"/>
      <c r="E2983" s="24"/>
      <c r="G2983" s="24"/>
      <c r="H2983" s="24"/>
      <c r="J2983" s="24"/>
      <c r="K2983" s="24"/>
      <c r="M2983" s="24"/>
      <c r="N2983" s="24"/>
      <c r="P2983" s="24"/>
    </row>
    <row r="2984" spans="2:16" x14ac:dyDescent="0.25">
      <c r="B2984" s="24"/>
      <c r="E2984" s="24"/>
      <c r="G2984" s="24"/>
      <c r="H2984" s="24"/>
      <c r="J2984" s="24"/>
      <c r="K2984" s="24"/>
      <c r="M2984" s="24"/>
      <c r="N2984" s="24"/>
      <c r="P2984" s="24"/>
    </row>
    <row r="2985" spans="2:16" x14ac:dyDescent="0.25">
      <c r="B2985" s="24"/>
      <c r="E2985" s="24"/>
      <c r="G2985" s="24"/>
      <c r="H2985" s="24"/>
      <c r="J2985" s="24"/>
      <c r="K2985" s="24"/>
      <c r="M2985" s="24"/>
      <c r="N2985" s="24"/>
      <c r="P2985" s="24"/>
    </row>
    <row r="2986" spans="2:16" x14ac:dyDescent="0.25">
      <c r="B2986" s="24"/>
      <c r="E2986" s="24"/>
      <c r="G2986" s="24"/>
      <c r="H2986" s="24"/>
      <c r="J2986" s="24"/>
      <c r="K2986" s="24"/>
      <c r="M2986" s="24"/>
      <c r="N2986" s="24"/>
      <c r="P2986" s="24"/>
    </row>
    <row r="2987" spans="2:16" x14ac:dyDescent="0.25">
      <c r="B2987" s="24"/>
      <c r="E2987" s="24"/>
      <c r="G2987" s="24"/>
      <c r="H2987" s="24"/>
      <c r="J2987" s="24"/>
      <c r="K2987" s="24"/>
      <c r="M2987" s="24"/>
      <c r="N2987" s="24"/>
      <c r="P2987" s="24"/>
    </row>
    <row r="2988" spans="2:16" x14ac:dyDescent="0.25">
      <c r="B2988" s="24"/>
      <c r="E2988" s="24"/>
      <c r="G2988" s="24"/>
      <c r="H2988" s="24"/>
      <c r="J2988" s="24"/>
      <c r="K2988" s="24"/>
      <c r="M2988" s="24"/>
      <c r="N2988" s="24"/>
      <c r="P2988" s="24"/>
    </row>
    <row r="2989" spans="2:16" x14ac:dyDescent="0.25">
      <c r="B2989" s="24"/>
      <c r="E2989" s="24"/>
      <c r="G2989" s="24"/>
      <c r="H2989" s="24"/>
      <c r="J2989" s="24"/>
      <c r="K2989" s="24"/>
      <c r="M2989" s="24"/>
      <c r="N2989" s="24"/>
      <c r="P2989" s="24"/>
    </row>
    <row r="2990" spans="2:16" x14ac:dyDescent="0.25">
      <c r="B2990" s="24"/>
      <c r="E2990" s="24"/>
      <c r="G2990" s="24"/>
      <c r="H2990" s="24"/>
      <c r="J2990" s="24"/>
      <c r="K2990" s="24"/>
      <c r="M2990" s="24"/>
      <c r="N2990" s="24"/>
      <c r="P2990" s="24"/>
    </row>
    <row r="2991" spans="2:16" x14ac:dyDescent="0.25">
      <c r="B2991" s="24"/>
      <c r="E2991" s="24"/>
      <c r="G2991" s="24"/>
      <c r="H2991" s="24"/>
      <c r="J2991" s="24"/>
      <c r="K2991" s="24"/>
      <c r="M2991" s="24"/>
      <c r="N2991" s="24"/>
      <c r="P2991" s="24"/>
    </row>
    <row r="2992" spans="2:16" x14ac:dyDescent="0.25">
      <c r="B2992" s="24"/>
      <c r="E2992" s="24"/>
      <c r="G2992" s="24"/>
      <c r="H2992" s="24"/>
      <c r="J2992" s="24"/>
      <c r="K2992" s="24"/>
      <c r="M2992" s="24"/>
      <c r="N2992" s="24"/>
      <c r="P2992" s="24"/>
    </row>
    <row r="2993" spans="2:16" x14ac:dyDescent="0.25">
      <c r="B2993" s="24"/>
      <c r="E2993" s="24"/>
      <c r="G2993" s="24"/>
      <c r="H2993" s="24"/>
      <c r="J2993" s="24"/>
      <c r="K2993" s="24"/>
      <c r="M2993" s="24"/>
      <c r="N2993" s="24"/>
      <c r="P2993" s="24"/>
    </row>
    <row r="2994" spans="2:16" x14ac:dyDescent="0.25">
      <c r="B2994" s="24"/>
      <c r="E2994" s="24"/>
      <c r="G2994" s="24"/>
      <c r="H2994" s="24"/>
      <c r="J2994" s="24"/>
      <c r="K2994" s="24"/>
      <c r="M2994" s="24"/>
      <c r="N2994" s="24"/>
      <c r="P2994" s="24"/>
    </row>
    <row r="2995" spans="2:16" x14ac:dyDescent="0.25">
      <c r="B2995" s="24"/>
      <c r="E2995" s="24"/>
      <c r="G2995" s="24"/>
      <c r="H2995" s="24"/>
      <c r="J2995" s="24"/>
      <c r="K2995" s="24"/>
      <c r="M2995" s="24"/>
      <c r="N2995" s="24"/>
      <c r="P2995" s="24"/>
    </row>
    <row r="2996" spans="2:16" x14ac:dyDescent="0.25">
      <c r="B2996" s="24"/>
      <c r="E2996" s="24"/>
      <c r="G2996" s="24"/>
      <c r="H2996" s="24"/>
      <c r="J2996" s="24"/>
      <c r="K2996" s="24"/>
      <c r="M2996" s="24"/>
      <c r="N2996" s="24"/>
      <c r="P2996" s="24"/>
    </row>
    <row r="2997" spans="2:16" x14ac:dyDescent="0.25">
      <c r="B2997" s="24"/>
      <c r="E2997" s="24"/>
      <c r="G2997" s="24"/>
      <c r="H2997" s="24"/>
      <c r="J2997" s="24"/>
      <c r="K2997" s="24"/>
      <c r="M2997" s="24"/>
      <c r="N2997" s="24"/>
      <c r="P2997" s="24"/>
    </row>
    <row r="2998" spans="2:16" x14ac:dyDescent="0.25">
      <c r="B2998" s="24"/>
      <c r="E2998" s="24"/>
      <c r="G2998" s="24"/>
      <c r="H2998" s="24"/>
      <c r="J2998" s="24"/>
      <c r="K2998" s="24"/>
      <c r="M2998" s="24"/>
      <c r="N2998" s="24"/>
      <c r="P2998" s="24"/>
    </row>
    <row r="2999" spans="2:16" x14ac:dyDescent="0.25">
      <c r="B2999" s="24"/>
      <c r="E2999" s="24"/>
      <c r="G2999" s="24"/>
      <c r="H2999" s="24"/>
      <c r="J2999" s="24"/>
      <c r="K2999" s="24"/>
      <c r="M2999" s="24"/>
      <c r="N2999" s="24"/>
      <c r="P2999" s="24"/>
    </row>
    <row r="3000" spans="2:16" x14ac:dyDescent="0.25">
      <c r="B3000" s="24"/>
      <c r="E3000" s="24"/>
      <c r="G3000" s="24"/>
      <c r="H3000" s="24"/>
      <c r="J3000" s="24"/>
      <c r="K3000" s="24"/>
      <c r="M3000" s="24"/>
      <c r="N3000" s="24"/>
      <c r="P3000" s="24"/>
    </row>
    <row r="3001" spans="2:16" x14ac:dyDescent="0.25">
      <c r="B3001" s="24"/>
      <c r="E3001" s="24"/>
      <c r="G3001" s="24"/>
      <c r="H3001" s="24"/>
      <c r="J3001" s="24"/>
      <c r="K3001" s="24"/>
      <c r="M3001" s="24"/>
      <c r="N3001" s="24"/>
      <c r="P3001" s="24"/>
    </row>
    <row r="3002" spans="2:16" x14ac:dyDescent="0.25">
      <c r="B3002" s="24"/>
      <c r="E3002" s="24"/>
      <c r="G3002" s="24"/>
      <c r="H3002" s="24"/>
      <c r="J3002" s="24"/>
      <c r="K3002" s="24"/>
      <c r="M3002" s="24"/>
      <c r="N3002" s="24"/>
      <c r="P3002" s="24"/>
    </row>
    <row r="3003" spans="2:16" x14ac:dyDescent="0.25">
      <c r="B3003" s="24"/>
      <c r="E3003" s="24"/>
      <c r="G3003" s="24"/>
      <c r="H3003" s="24"/>
      <c r="J3003" s="24"/>
      <c r="K3003" s="24"/>
      <c r="M3003" s="24"/>
      <c r="N3003" s="24"/>
      <c r="P3003" s="24"/>
    </row>
    <row r="3004" spans="2:16" x14ac:dyDescent="0.25">
      <c r="B3004" s="24"/>
      <c r="E3004" s="24"/>
      <c r="G3004" s="24"/>
      <c r="H3004" s="24"/>
      <c r="J3004" s="24"/>
      <c r="K3004" s="24"/>
      <c r="M3004" s="24"/>
      <c r="N3004" s="24"/>
      <c r="P3004" s="24"/>
    </row>
    <row r="3005" spans="2:16" x14ac:dyDescent="0.25">
      <c r="B3005" s="24"/>
      <c r="E3005" s="24"/>
      <c r="G3005" s="24"/>
      <c r="H3005" s="24"/>
      <c r="J3005" s="24"/>
      <c r="K3005" s="24"/>
      <c r="M3005" s="24"/>
      <c r="N3005" s="24"/>
      <c r="P3005" s="24"/>
    </row>
    <row r="3006" spans="2:16" x14ac:dyDescent="0.25">
      <c r="B3006" s="24"/>
      <c r="E3006" s="24"/>
      <c r="G3006" s="24"/>
      <c r="H3006" s="24"/>
      <c r="J3006" s="24"/>
      <c r="K3006" s="24"/>
      <c r="M3006" s="24"/>
      <c r="N3006" s="24"/>
      <c r="P3006" s="24"/>
    </row>
    <row r="3007" spans="2:16" x14ac:dyDescent="0.25">
      <c r="B3007" s="24"/>
      <c r="E3007" s="24"/>
      <c r="G3007" s="24"/>
      <c r="H3007" s="24"/>
      <c r="J3007" s="24"/>
      <c r="K3007" s="24"/>
      <c r="M3007" s="24"/>
      <c r="N3007" s="24"/>
      <c r="P3007" s="24"/>
    </row>
    <row r="3008" spans="2:16" x14ac:dyDescent="0.25">
      <c r="B3008" s="24"/>
      <c r="E3008" s="24"/>
      <c r="G3008" s="24"/>
      <c r="H3008" s="24"/>
      <c r="J3008" s="24"/>
      <c r="K3008" s="24"/>
      <c r="M3008" s="24"/>
      <c r="N3008" s="24"/>
      <c r="P3008" s="24"/>
    </row>
    <row r="3009" spans="2:16" x14ac:dyDescent="0.25">
      <c r="B3009" s="24"/>
      <c r="E3009" s="24"/>
      <c r="G3009" s="24"/>
      <c r="H3009" s="24"/>
      <c r="J3009" s="24"/>
      <c r="K3009" s="24"/>
      <c r="M3009" s="24"/>
      <c r="N3009" s="24"/>
      <c r="P3009" s="24"/>
    </row>
    <row r="3010" spans="2:16" x14ac:dyDescent="0.25">
      <c r="B3010" s="24"/>
      <c r="E3010" s="24"/>
      <c r="G3010" s="24"/>
      <c r="H3010" s="24"/>
      <c r="J3010" s="24"/>
      <c r="K3010" s="24"/>
      <c r="M3010" s="24"/>
      <c r="N3010" s="24"/>
      <c r="P3010" s="24"/>
    </row>
    <row r="3011" spans="2:16" x14ac:dyDescent="0.25">
      <c r="B3011" s="24"/>
      <c r="E3011" s="24"/>
      <c r="G3011" s="24"/>
      <c r="H3011" s="24"/>
      <c r="J3011" s="24"/>
      <c r="K3011" s="24"/>
      <c r="M3011" s="24"/>
      <c r="N3011" s="24"/>
      <c r="P3011" s="24"/>
    </row>
    <row r="3012" spans="2:16" x14ac:dyDescent="0.25">
      <c r="B3012" s="24"/>
      <c r="E3012" s="24"/>
      <c r="G3012" s="24"/>
      <c r="H3012" s="24"/>
      <c r="J3012" s="24"/>
      <c r="K3012" s="24"/>
      <c r="M3012" s="24"/>
      <c r="N3012" s="24"/>
      <c r="P3012" s="24"/>
    </row>
    <row r="3013" spans="2:16" x14ac:dyDescent="0.25">
      <c r="B3013" s="24"/>
      <c r="E3013" s="24"/>
      <c r="G3013" s="24"/>
      <c r="H3013" s="24"/>
      <c r="J3013" s="24"/>
      <c r="K3013" s="24"/>
      <c r="M3013" s="24"/>
      <c r="N3013" s="24"/>
      <c r="P3013" s="24"/>
    </row>
    <row r="3014" spans="2:16" x14ac:dyDescent="0.25">
      <c r="B3014" s="24"/>
      <c r="E3014" s="24"/>
      <c r="G3014" s="24"/>
      <c r="H3014" s="24"/>
      <c r="J3014" s="24"/>
      <c r="K3014" s="24"/>
      <c r="M3014" s="24"/>
      <c r="N3014" s="24"/>
      <c r="P3014" s="24"/>
    </row>
    <row r="3015" spans="2:16" x14ac:dyDescent="0.25">
      <c r="B3015" s="24"/>
      <c r="E3015" s="24"/>
      <c r="G3015" s="24"/>
      <c r="H3015" s="24"/>
      <c r="J3015" s="24"/>
      <c r="K3015" s="24"/>
      <c r="M3015" s="24"/>
      <c r="N3015" s="24"/>
      <c r="P3015" s="24"/>
    </row>
    <row r="3016" spans="2:16" x14ac:dyDescent="0.25">
      <c r="B3016" s="24"/>
      <c r="E3016" s="24"/>
      <c r="G3016" s="24"/>
      <c r="H3016" s="24"/>
      <c r="J3016" s="24"/>
      <c r="K3016" s="24"/>
      <c r="M3016" s="24"/>
      <c r="N3016" s="24"/>
      <c r="P3016" s="24"/>
    </row>
    <row r="3017" spans="2:16" x14ac:dyDescent="0.25">
      <c r="B3017" s="24"/>
      <c r="E3017" s="24"/>
      <c r="G3017" s="24"/>
      <c r="H3017" s="24"/>
      <c r="J3017" s="24"/>
      <c r="K3017" s="24"/>
      <c r="M3017" s="24"/>
      <c r="N3017" s="24"/>
      <c r="P3017" s="24"/>
    </row>
    <row r="3018" spans="2:16" x14ac:dyDescent="0.25">
      <c r="B3018" s="24"/>
      <c r="E3018" s="24"/>
      <c r="G3018" s="24"/>
      <c r="H3018" s="24"/>
      <c r="J3018" s="24"/>
      <c r="K3018" s="24"/>
      <c r="M3018" s="24"/>
      <c r="N3018" s="24"/>
      <c r="P3018" s="24"/>
    </row>
    <row r="3019" spans="2:16" x14ac:dyDescent="0.25">
      <c r="B3019" s="24"/>
      <c r="E3019" s="24"/>
      <c r="G3019" s="24"/>
      <c r="H3019" s="24"/>
      <c r="J3019" s="24"/>
      <c r="K3019" s="24"/>
      <c r="M3019" s="24"/>
      <c r="N3019" s="24"/>
      <c r="P3019" s="24"/>
    </row>
    <row r="3020" spans="2:16" x14ac:dyDescent="0.25">
      <c r="B3020" s="24"/>
      <c r="E3020" s="24"/>
      <c r="G3020" s="24"/>
      <c r="H3020" s="24"/>
      <c r="J3020" s="24"/>
      <c r="K3020" s="24"/>
      <c r="M3020" s="24"/>
      <c r="N3020" s="24"/>
      <c r="P3020" s="24"/>
    </row>
    <row r="3021" spans="2:16" x14ac:dyDescent="0.25">
      <c r="B3021" s="24"/>
      <c r="E3021" s="24"/>
      <c r="G3021" s="24"/>
      <c r="H3021" s="24"/>
      <c r="J3021" s="24"/>
      <c r="K3021" s="24"/>
      <c r="M3021" s="24"/>
      <c r="N3021" s="24"/>
      <c r="P3021" s="24"/>
    </row>
    <row r="3022" spans="2:16" x14ac:dyDescent="0.25">
      <c r="B3022" s="24"/>
      <c r="E3022" s="24"/>
      <c r="G3022" s="24"/>
      <c r="H3022" s="24"/>
      <c r="J3022" s="24"/>
      <c r="K3022" s="24"/>
      <c r="M3022" s="24"/>
      <c r="N3022" s="24"/>
      <c r="P3022" s="24"/>
    </row>
    <row r="3023" spans="2:16" x14ac:dyDescent="0.25">
      <c r="B3023" s="24"/>
      <c r="E3023" s="24"/>
      <c r="G3023" s="24"/>
      <c r="H3023" s="24"/>
      <c r="J3023" s="24"/>
      <c r="K3023" s="24"/>
      <c r="M3023" s="24"/>
      <c r="N3023" s="24"/>
      <c r="P3023" s="24"/>
    </row>
    <row r="3024" spans="2:16" x14ac:dyDescent="0.25">
      <c r="B3024" s="24"/>
      <c r="E3024" s="24"/>
      <c r="G3024" s="24"/>
      <c r="H3024" s="24"/>
      <c r="J3024" s="24"/>
      <c r="K3024" s="24"/>
      <c r="M3024" s="24"/>
      <c r="N3024" s="24"/>
      <c r="P3024" s="24"/>
    </row>
    <row r="3025" spans="2:16" x14ac:dyDescent="0.25">
      <c r="B3025" s="24"/>
      <c r="E3025" s="24"/>
      <c r="G3025" s="24"/>
      <c r="H3025" s="24"/>
      <c r="J3025" s="24"/>
      <c r="K3025" s="24"/>
      <c r="M3025" s="24"/>
      <c r="N3025" s="24"/>
      <c r="P3025" s="24"/>
    </row>
    <row r="3026" spans="2:16" x14ac:dyDescent="0.25">
      <c r="B3026" s="24"/>
      <c r="E3026" s="24"/>
      <c r="G3026" s="24"/>
      <c r="H3026" s="24"/>
      <c r="J3026" s="24"/>
      <c r="K3026" s="24"/>
      <c r="M3026" s="24"/>
      <c r="N3026" s="24"/>
      <c r="P3026" s="24"/>
    </row>
    <row r="3027" spans="2:16" x14ac:dyDescent="0.25">
      <c r="B3027" s="24"/>
      <c r="E3027" s="24"/>
      <c r="G3027" s="24"/>
      <c r="H3027" s="24"/>
      <c r="J3027" s="24"/>
      <c r="K3027" s="24"/>
      <c r="M3027" s="24"/>
      <c r="N3027" s="24"/>
      <c r="P3027" s="24"/>
    </row>
    <row r="3028" spans="2:16" x14ac:dyDescent="0.25">
      <c r="B3028" s="24"/>
      <c r="E3028" s="24"/>
      <c r="G3028" s="24"/>
      <c r="H3028" s="24"/>
      <c r="J3028" s="24"/>
      <c r="K3028" s="24"/>
      <c r="M3028" s="24"/>
      <c r="N3028" s="24"/>
      <c r="P3028" s="24"/>
    </row>
    <row r="3029" spans="2:16" x14ac:dyDescent="0.25">
      <c r="B3029" s="24"/>
      <c r="E3029" s="24"/>
      <c r="G3029" s="24"/>
      <c r="H3029" s="24"/>
      <c r="J3029" s="24"/>
      <c r="K3029" s="24"/>
      <c r="M3029" s="24"/>
      <c r="N3029" s="24"/>
      <c r="P3029" s="24"/>
    </row>
    <row r="3030" spans="2:16" x14ac:dyDescent="0.25">
      <c r="B3030" s="24"/>
      <c r="E3030" s="24"/>
      <c r="G3030" s="24"/>
      <c r="H3030" s="24"/>
      <c r="J3030" s="24"/>
      <c r="K3030" s="24"/>
      <c r="M3030" s="24"/>
      <c r="N3030" s="24"/>
      <c r="P3030" s="24"/>
    </row>
    <row r="3031" spans="2:16" x14ac:dyDescent="0.25">
      <c r="B3031" s="24"/>
      <c r="E3031" s="24"/>
      <c r="G3031" s="24"/>
      <c r="H3031" s="24"/>
      <c r="J3031" s="24"/>
      <c r="K3031" s="24"/>
      <c r="M3031" s="24"/>
      <c r="N3031" s="24"/>
      <c r="P3031" s="24"/>
    </row>
    <row r="3032" spans="2:16" x14ac:dyDescent="0.25">
      <c r="B3032" s="24"/>
      <c r="E3032" s="24"/>
      <c r="G3032" s="24"/>
      <c r="H3032" s="24"/>
      <c r="J3032" s="24"/>
      <c r="K3032" s="24"/>
      <c r="M3032" s="24"/>
      <c r="N3032" s="24"/>
      <c r="P3032" s="24"/>
    </row>
    <row r="3033" spans="2:16" x14ac:dyDescent="0.25">
      <c r="B3033" s="24"/>
      <c r="E3033" s="24"/>
      <c r="G3033" s="24"/>
      <c r="H3033" s="24"/>
      <c r="J3033" s="24"/>
      <c r="K3033" s="24"/>
      <c r="M3033" s="24"/>
      <c r="N3033" s="24"/>
      <c r="P3033" s="24"/>
    </row>
    <row r="3034" spans="2:16" x14ac:dyDescent="0.25">
      <c r="B3034" s="24"/>
      <c r="E3034" s="24"/>
      <c r="G3034" s="24"/>
      <c r="H3034" s="24"/>
      <c r="J3034" s="24"/>
      <c r="K3034" s="24"/>
      <c r="M3034" s="24"/>
      <c r="N3034" s="24"/>
      <c r="P3034" s="24"/>
    </row>
    <row r="3035" spans="2:16" x14ac:dyDescent="0.25">
      <c r="B3035" s="24"/>
      <c r="E3035" s="24"/>
      <c r="G3035" s="24"/>
      <c r="H3035" s="24"/>
      <c r="J3035" s="24"/>
      <c r="K3035" s="24"/>
      <c r="M3035" s="24"/>
      <c r="N3035" s="24"/>
      <c r="P3035" s="24"/>
    </row>
    <row r="3036" spans="2:16" x14ac:dyDescent="0.25">
      <c r="B3036" s="24"/>
      <c r="E3036" s="24"/>
      <c r="G3036" s="24"/>
      <c r="H3036" s="24"/>
      <c r="J3036" s="24"/>
      <c r="K3036" s="24"/>
      <c r="M3036" s="24"/>
      <c r="N3036" s="24"/>
      <c r="P3036" s="24"/>
    </row>
    <row r="3037" spans="2:16" x14ac:dyDescent="0.25">
      <c r="B3037" s="24"/>
      <c r="E3037" s="24"/>
      <c r="G3037" s="24"/>
      <c r="H3037" s="24"/>
      <c r="J3037" s="24"/>
      <c r="K3037" s="24"/>
      <c r="M3037" s="24"/>
      <c r="N3037" s="24"/>
      <c r="P3037" s="24"/>
    </row>
    <row r="3038" spans="2:16" x14ac:dyDescent="0.25">
      <c r="B3038" s="24"/>
      <c r="E3038" s="24"/>
      <c r="G3038" s="24"/>
      <c r="H3038" s="24"/>
      <c r="J3038" s="24"/>
      <c r="K3038" s="24"/>
      <c r="M3038" s="24"/>
      <c r="N3038" s="24"/>
      <c r="P3038" s="24"/>
    </row>
    <row r="3039" spans="2:16" x14ac:dyDescent="0.25">
      <c r="B3039" s="24"/>
      <c r="E3039" s="24"/>
      <c r="G3039" s="24"/>
      <c r="H3039" s="24"/>
      <c r="J3039" s="24"/>
      <c r="K3039" s="24"/>
      <c r="M3039" s="24"/>
      <c r="N3039" s="24"/>
      <c r="P3039" s="24"/>
    </row>
    <row r="3040" spans="2:16" x14ac:dyDescent="0.25">
      <c r="B3040" s="24"/>
      <c r="E3040" s="24"/>
      <c r="G3040" s="24"/>
      <c r="H3040" s="24"/>
      <c r="J3040" s="24"/>
      <c r="K3040" s="24"/>
      <c r="M3040" s="24"/>
      <c r="N3040" s="24"/>
      <c r="P3040" s="24"/>
    </row>
    <row r="3041" spans="2:16" x14ac:dyDescent="0.25">
      <c r="B3041" s="24"/>
      <c r="E3041" s="24"/>
      <c r="G3041" s="24"/>
      <c r="H3041" s="24"/>
      <c r="J3041" s="24"/>
      <c r="K3041" s="24"/>
      <c r="M3041" s="24"/>
      <c r="N3041" s="24"/>
      <c r="P3041" s="24"/>
    </row>
    <row r="3042" spans="2:16" x14ac:dyDescent="0.25">
      <c r="B3042" s="24"/>
      <c r="E3042" s="24"/>
      <c r="G3042" s="24"/>
      <c r="H3042" s="24"/>
      <c r="J3042" s="24"/>
      <c r="K3042" s="24"/>
      <c r="M3042" s="24"/>
      <c r="N3042" s="24"/>
      <c r="P3042" s="24"/>
    </row>
    <row r="3043" spans="2:16" x14ac:dyDescent="0.25">
      <c r="B3043" s="24"/>
      <c r="E3043" s="24"/>
      <c r="G3043" s="24"/>
      <c r="H3043" s="24"/>
      <c r="J3043" s="24"/>
      <c r="K3043" s="24"/>
      <c r="M3043" s="24"/>
      <c r="N3043" s="24"/>
      <c r="P3043" s="24"/>
    </row>
    <row r="3044" spans="2:16" x14ac:dyDescent="0.25">
      <c r="B3044" s="24"/>
      <c r="E3044" s="24"/>
      <c r="G3044" s="24"/>
      <c r="H3044" s="24"/>
      <c r="J3044" s="24"/>
      <c r="K3044" s="24"/>
      <c r="M3044" s="24"/>
      <c r="N3044" s="24"/>
      <c r="P3044" s="24"/>
    </row>
    <row r="3045" spans="2:16" x14ac:dyDescent="0.25">
      <c r="B3045" s="24"/>
      <c r="E3045" s="24"/>
      <c r="G3045" s="24"/>
      <c r="H3045" s="24"/>
      <c r="J3045" s="24"/>
      <c r="K3045" s="24"/>
      <c r="M3045" s="24"/>
      <c r="N3045" s="24"/>
      <c r="P3045" s="24"/>
    </row>
    <row r="3046" spans="2:16" x14ac:dyDescent="0.25">
      <c r="B3046" s="24"/>
      <c r="E3046" s="24"/>
      <c r="G3046" s="24"/>
      <c r="H3046" s="24"/>
      <c r="J3046" s="24"/>
      <c r="K3046" s="24"/>
      <c r="M3046" s="24"/>
      <c r="N3046" s="24"/>
      <c r="P3046" s="24"/>
    </row>
    <row r="3047" spans="2:16" x14ac:dyDescent="0.25">
      <c r="B3047" s="24"/>
      <c r="E3047" s="24"/>
      <c r="G3047" s="24"/>
      <c r="H3047" s="24"/>
      <c r="J3047" s="24"/>
      <c r="K3047" s="24"/>
      <c r="M3047" s="24"/>
      <c r="N3047" s="24"/>
      <c r="P3047" s="24"/>
    </row>
    <row r="3048" spans="2:16" x14ac:dyDescent="0.25">
      <c r="B3048" s="24"/>
      <c r="E3048" s="24"/>
      <c r="G3048" s="24"/>
      <c r="H3048" s="24"/>
      <c r="J3048" s="24"/>
      <c r="K3048" s="24"/>
      <c r="M3048" s="24"/>
      <c r="N3048" s="24"/>
      <c r="P3048" s="24"/>
    </row>
    <row r="3049" spans="2:16" x14ac:dyDescent="0.25">
      <c r="B3049" s="24"/>
      <c r="E3049" s="24"/>
      <c r="G3049" s="24"/>
      <c r="H3049" s="24"/>
      <c r="J3049" s="24"/>
      <c r="K3049" s="24"/>
      <c r="M3049" s="24"/>
      <c r="N3049" s="24"/>
      <c r="P3049" s="24"/>
    </row>
    <row r="3050" spans="2:16" x14ac:dyDescent="0.25">
      <c r="B3050" s="24"/>
      <c r="E3050" s="24"/>
      <c r="G3050" s="24"/>
      <c r="H3050" s="24"/>
      <c r="J3050" s="24"/>
      <c r="K3050" s="24"/>
      <c r="M3050" s="24"/>
      <c r="N3050" s="24"/>
      <c r="P3050" s="24"/>
    </row>
    <row r="3051" spans="2:16" x14ac:dyDescent="0.25">
      <c r="B3051" s="24"/>
      <c r="E3051" s="24"/>
      <c r="G3051" s="24"/>
      <c r="H3051" s="24"/>
      <c r="J3051" s="24"/>
      <c r="K3051" s="24"/>
      <c r="M3051" s="24"/>
      <c r="N3051" s="24"/>
      <c r="P3051" s="24"/>
    </row>
    <row r="3052" spans="2:16" x14ac:dyDescent="0.25">
      <c r="B3052" s="24"/>
      <c r="E3052" s="24"/>
      <c r="G3052" s="24"/>
      <c r="H3052" s="24"/>
      <c r="J3052" s="24"/>
      <c r="K3052" s="24"/>
      <c r="M3052" s="24"/>
      <c r="N3052" s="24"/>
      <c r="P3052" s="24"/>
    </row>
    <row r="3053" spans="2:16" x14ac:dyDescent="0.25">
      <c r="B3053" s="24"/>
      <c r="E3053" s="24"/>
      <c r="G3053" s="24"/>
      <c r="H3053" s="24"/>
      <c r="J3053" s="24"/>
      <c r="K3053" s="24"/>
      <c r="M3053" s="24"/>
      <c r="N3053" s="24"/>
      <c r="P3053" s="24"/>
    </row>
    <row r="3054" spans="2:16" x14ac:dyDescent="0.25">
      <c r="B3054" s="24"/>
      <c r="E3054" s="24"/>
      <c r="G3054" s="24"/>
      <c r="H3054" s="24"/>
      <c r="J3054" s="24"/>
      <c r="K3054" s="24"/>
      <c r="M3054" s="24"/>
      <c r="N3054" s="24"/>
      <c r="P3054" s="24"/>
    </row>
    <row r="3055" spans="2:16" x14ac:dyDescent="0.25">
      <c r="B3055" s="24"/>
      <c r="E3055" s="24"/>
      <c r="G3055" s="24"/>
      <c r="H3055" s="24"/>
      <c r="J3055" s="24"/>
      <c r="K3055" s="24"/>
      <c r="M3055" s="24"/>
      <c r="N3055" s="24"/>
      <c r="P3055" s="24"/>
    </row>
    <row r="3056" spans="2:16" x14ac:dyDescent="0.25">
      <c r="B3056" s="24"/>
      <c r="E3056" s="24"/>
      <c r="G3056" s="24"/>
      <c r="H3056" s="24"/>
      <c r="J3056" s="24"/>
      <c r="K3056" s="24"/>
      <c r="M3056" s="24"/>
      <c r="N3056" s="24"/>
      <c r="P3056" s="24"/>
    </row>
    <row r="3057" spans="2:16" x14ac:dyDescent="0.25">
      <c r="B3057" s="24"/>
      <c r="E3057" s="24"/>
      <c r="G3057" s="24"/>
      <c r="H3057" s="24"/>
      <c r="J3057" s="24"/>
      <c r="K3057" s="24"/>
      <c r="M3057" s="24"/>
      <c r="N3057" s="24"/>
      <c r="P3057" s="24"/>
    </row>
    <row r="3058" spans="2:16" x14ac:dyDescent="0.25">
      <c r="B3058" s="24"/>
      <c r="E3058" s="24"/>
      <c r="G3058" s="24"/>
      <c r="H3058" s="24"/>
      <c r="J3058" s="24"/>
      <c r="K3058" s="24"/>
      <c r="M3058" s="24"/>
      <c r="N3058" s="24"/>
      <c r="P3058" s="24"/>
    </row>
    <row r="3059" spans="2:16" x14ac:dyDescent="0.25">
      <c r="B3059" s="24"/>
      <c r="E3059" s="24"/>
      <c r="G3059" s="24"/>
      <c r="H3059" s="24"/>
      <c r="J3059" s="24"/>
      <c r="K3059" s="24"/>
      <c r="M3059" s="24"/>
      <c r="N3059" s="24"/>
      <c r="P3059" s="24"/>
    </row>
    <row r="3060" spans="2:16" x14ac:dyDescent="0.25">
      <c r="B3060" s="24"/>
      <c r="E3060" s="24"/>
      <c r="G3060" s="24"/>
      <c r="H3060" s="24"/>
      <c r="J3060" s="24"/>
      <c r="K3060" s="24"/>
      <c r="M3060" s="24"/>
      <c r="N3060" s="24"/>
      <c r="P3060" s="24"/>
    </row>
    <row r="3061" spans="2:16" x14ac:dyDescent="0.25">
      <c r="B3061" s="24"/>
      <c r="E3061" s="24"/>
      <c r="G3061" s="24"/>
      <c r="H3061" s="24"/>
      <c r="J3061" s="24"/>
      <c r="K3061" s="24"/>
      <c r="M3061" s="24"/>
      <c r="N3061" s="24"/>
      <c r="P3061" s="24"/>
    </row>
    <row r="3062" spans="2:16" x14ac:dyDescent="0.25">
      <c r="B3062" s="24"/>
      <c r="E3062" s="24"/>
      <c r="G3062" s="24"/>
      <c r="H3062" s="24"/>
      <c r="J3062" s="24"/>
      <c r="K3062" s="24"/>
      <c r="M3062" s="24"/>
      <c r="N3062" s="24"/>
      <c r="P3062" s="24"/>
    </row>
    <row r="3063" spans="2:16" x14ac:dyDescent="0.25">
      <c r="B3063" s="24"/>
      <c r="E3063" s="24"/>
      <c r="G3063" s="24"/>
      <c r="H3063" s="24"/>
      <c r="J3063" s="24"/>
      <c r="K3063" s="24"/>
      <c r="M3063" s="24"/>
      <c r="N3063" s="24"/>
      <c r="P3063" s="24"/>
    </row>
    <row r="3064" spans="2:16" x14ac:dyDescent="0.25">
      <c r="B3064" s="24"/>
      <c r="E3064" s="24"/>
      <c r="G3064" s="24"/>
      <c r="H3064" s="24"/>
      <c r="J3064" s="24"/>
      <c r="K3064" s="24"/>
      <c r="M3064" s="24"/>
      <c r="N3064" s="24"/>
      <c r="P3064" s="24"/>
    </row>
    <row r="3065" spans="2:16" x14ac:dyDescent="0.25">
      <c r="B3065" s="24"/>
      <c r="E3065" s="24"/>
      <c r="G3065" s="24"/>
      <c r="H3065" s="24"/>
      <c r="J3065" s="24"/>
      <c r="K3065" s="24"/>
      <c r="M3065" s="24"/>
      <c r="N3065" s="24"/>
      <c r="P3065" s="24"/>
    </row>
    <row r="3066" spans="2:16" x14ac:dyDescent="0.25">
      <c r="B3066" s="24"/>
      <c r="E3066" s="24"/>
      <c r="G3066" s="24"/>
      <c r="H3066" s="24"/>
      <c r="J3066" s="24"/>
      <c r="K3066" s="24"/>
      <c r="M3066" s="24"/>
      <c r="N3066" s="24"/>
      <c r="P3066" s="24"/>
    </row>
    <row r="3067" spans="2:16" x14ac:dyDescent="0.25">
      <c r="B3067" s="24"/>
      <c r="E3067" s="24"/>
      <c r="G3067" s="24"/>
      <c r="H3067" s="24"/>
      <c r="J3067" s="24"/>
      <c r="K3067" s="24"/>
      <c r="M3067" s="24"/>
      <c r="N3067" s="24"/>
      <c r="P3067" s="24"/>
    </row>
    <row r="3068" spans="2:16" x14ac:dyDescent="0.25">
      <c r="B3068" s="24"/>
      <c r="E3068" s="24"/>
      <c r="G3068" s="24"/>
      <c r="H3068" s="24"/>
      <c r="J3068" s="24"/>
      <c r="K3068" s="24"/>
      <c r="M3068" s="24"/>
      <c r="N3068" s="24"/>
      <c r="P3068" s="24"/>
    </row>
    <row r="3069" spans="2:16" x14ac:dyDescent="0.25">
      <c r="B3069" s="24"/>
      <c r="E3069" s="24"/>
      <c r="G3069" s="24"/>
      <c r="H3069" s="24"/>
      <c r="J3069" s="24"/>
      <c r="K3069" s="24"/>
      <c r="M3069" s="24"/>
      <c r="N3069" s="24"/>
      <c r="P3069" s="24"/>
    </row>
    <row r="3070" spans="2:16" x14ac:dyDescent="0.25">
      <c r="B3070" s="24"/>
      <c r="E3070" s="24"/>
      <c r="G3070" s="24"/>
      <c r="H3070" s="24"/>
      <c r="J3070" s="24"/>
      <c r="K3070" s="24"/>
      <c r="M3070" s="24"/>
      <c r="N3070" s="24"/>
      <c r="P3070" s="24"/>
    </row>
    <row r="3071" spans="2:16" x14ac:dyDescent="0.25">
      <c r="B3071" s="24"/>
      <c r="E3071" s="24"/>
      <c r="G3071" s="24"/>
      <c r="H3071" s="24"/>
      <c r="J3071" s="24"/>
      <c r="K3071" s="24"/>
      <c r="M3071" s="24"/>
      <c r="N3071" s="24"/>
      <c r="P3071" s="24"/>
    </row>
    <row r="3072" spans="2:16" x14ac:dyDescent="0.25">
      <c r="B3072" s="24"/>
      <c r="E3072" s="24"/>
      <c r="G3072" s="24"/>
      <c r="H3072" s="24"/>
      <c r="J3072" s="24"/>
      <c r="K3072" s="24"/>
      <c r="M3072" s="24"/>
      <c r="N3072" s="24"/>
      <c r="P3072" s="24"/>
    </row>
    <row r="3073" spans="2:16" x14ac:dyDescent="0.25">
      <c r="B3073" s="24"/>
      <c r="E3073" s="24"/>
      <c r="G3073" s="24"/>
      <c r="H3073" s="24"/>
      <c r="J3073" s="24"/>
      <c r="K3073" s="24"/>
      <c r="M3073" s="24"/>
      <c r="N3073" s="24"/>
      <c r="P3073" s="24"/>
    </row>
    <row r="3074" spans="2:16" x14ac:dyDescent="0.25">
      <c r="B3074" s="24"/>
      <c r="E3074" s="24"/>
      <c r="G3074" s="24"/>
      <c r="H3074" s="24"/>
      <c r="J3074" s="24"/>
      <c r="K3074" s="24"/>
      <c r="M3074" s="24"/>
      <c r="N3074" s="24"/>
      <c r="P3074" s="24"/>
    </row>
    <row r="3075" spans="2:16" x14ac:dyDescent="0.25">
      <c r="B3075" s="24"/>
      <c r="E3075" s="24"/>
      <c r="G3075" s="24"/>
      <c r="H3075" s="24"/>
      <c r="J3075" s="24"/>
      <c r="K3075" s="24"/>
      <c r="M3075" s="24"/>
      <c r="N3075" s="24"/>
      <c r="P3075" s="24"/>
    </row>
    <row r="3076" spans="2:16" x14ac:dyDescent="0.25">
      <c r="B3076" s="24"/>
      <c r="E3076" s="24"/>
      <c r="G3076" s="24"/>
      <c r="H3076" s="24"/>
      <c r="J3076" s="24"/>
      <c r="K3076" s="24"/>
      <c r="M3076" s="24"/>
      <c r="N3076" s="24"/>
      <c r="P3076" s="24"/>
    </row>
    <row r="3077" spans="2:16" x14ac:dyDescent="0.25">
      <c r="B3077" s="24"/>
      <c r="E3077" s="24"/>
      <c r="G3077" s="24"/>
      <c r="H3077" s="24"/>
      <c r="J3077" s="24"/>
      <c r="K3077" s="24"/>
      <c r="M3077" s="24"/>
      <c r="N3077" s="24"/>
      <c r="P3077" s="24"/>
    </row>
    <row r="3078" spans="2:16" x14ac:dyDescent="0.25">
      <c r="B3078" s="24"/>
      <c r="E3078" s="24"/>
      <c r="G3078" s="24"/>
      <c r="H3078" s="24"/>
      <c r="J3078" s="24"/>
      <c r="K3078" s="24"/>
      <c r="M3078" s="24"/>
      <c r="N3078" s="24"/>
      <c r="P3078" s="24"/>
    </row>
    <row r="3079" spans="2:16" x14ac:dyDescent="0.25">
      <c r="B3079" s="24"/>
      <c r="E3079" s="24"/>
      <c r="G3079" s="24"/>
      <c r="H3079" s="24"/>
      <c r="J3079" s="24"/>
      <c r="K3079" s="24"/>
      <c r="M3079" s="24"/>
      <c r="N3079" s="24"/>
      <c r="P3079" s="24"/>
    </row>
    <row r="3080" spans="2:16" x14ac:dyDescent="0.25">
      <c r="B3080" s="24"/>
      <c r="E3080" s="24"/>
      <c r="G3080" s="24"/>
      <c r="H3080" s="24"/>
      <c r="J3080" s="24"/>
      <c r="K3080" s="24"/>
      <c r="M3080" s="24"/>
      <c r="N3080" s="24"/>
      <c r="P3080" s="24"/>
    </row>
    <row r="3081" spans="2:16" x14ac:dyDescent="0.25">
      <c r="B3081" s="24"/>
      <c r="E3081" s="24"/>
      <c r="G3081" s="24"/>
      <c r="H3081" s="24"/>
      <c r="J3081" s="24"/>
      <c r="K3081" s="24"/>
      <c r="M3081" s="24"/>
      <c r="N3081" s="24"/>
      <c r="P3081" s="24"/>
    </row>
    <row r="3082" spans="2:16" x14ac:dyDescent="0.25">
      <c r="B3082" s="24"/>
      <c r="E3082" s="24"/>
      <c r="G3082" s="24"/>
      <c r="H3082" s="24"/>
      <c r="J3082" s="24"/>
      <c r="K3082" s="24"/>
      <c r="M3082" s="24"/>
      <c r="N3082" s="24"/>
      <c r="P3082" s="24"/>
    </row>
    <row r="3083" spans="2:16" x14ac:dyDescent="0.25">
      <c r="B3083" s="24"/>
      <c r="E3083" s="24"/>
      <c r="G3083" s="24"/>
      <c r="H3083" s="24"/>
      <c r="J3083" s="24"/>
      <c r="K3083" s="24"/>
      <c r="M3083" s="24"/>
      <c r="N3083" s="24"/>
      <c r="P3083" s="24"/>
    </row>
    <row r="3084" spans="2:16" x14ac:dyDescent="0.25">
      <c r="B3084" s="24"/>
      <c r="E3084" s="24"/>
      <c r="G3084" s="24"/>
      <c r="H3084" s="24"/>
      <c r="J3084" s="24"/>
      <c r="K3084" s="24"/>
      <c r="M3084" s="24"/>
      <c r="N3084" s="24"/>
      <c r="P3084" s="24"/>
    </row>
    <row r="3085" spans="2:16" x14ac:dyDescent="0.25">
      <c r="B3085" s="24"/>
      <c r="E3085" s="24"/>
      <c r="G3085" s="24"/>
      <c r="H3085" s="24"/>
      <c r="J3085" s="24"/>
      <c r="K3085" s="24"/>
      <c r="M3085" s="24"/>
      <c r="N3085" s="24"/>
      <c r="P3085" s="24"/>
    </row>
    <row r="3086" spans="2:16" x14ac:dyDescent="0.25">
      <c r="B3086" s="24"/>
      <c r="E3086" s="24"/>
      <c r="G3086" s="24"/>
      <c r="H3086" s="24"/>
      <c r="J3086" s="24"/>
      <c r="K3086" s="24"/>
      <c r="M3086" s="24"/>
      <c r="N3086" s="24"/>
      <c r="P3086" s="24"/>
    </row>
    <row r="3087" spans="2:16" x14ac:dyDescent="0.25">
      <c r="B3087" s="24"/>
      <c r="E3087" s="24"/>
      <c r="G3087" s="24"/>
      <c r="H3087" s="24"/>
      <c r="J3087" s="24"/>
      <c r="K3087" s="24"/>
      <c r="M3087" s="24"/>
      <c r="N3087" s="24"/>
      <c r="P3087" s="24"/>
    </row>
    <row r="3088" spans="2:16" x14ac:dyDescent="0.25">
      <c r="B3088" s="24"/>
      <c r="E3088" s="24"/>
      <c r="G3088" s="24"/>
      <c r="H3088" s="24"/>
      <c r="J3088" s="24"/>
      <c r="K3088" s="24"/>
      <c r="M3088" s="24"/>
      <c r="N3088" s="24"/>
      <c r="P3088" s="24"/>
    </row>
    <row r="3089" spans="2:16" x14ac:dyDescent="0.25">
      <c r="B3089" s="24"/>
      <c r="E3089" s="24"/>
      <c r="G3089" s="24"/>
      <c r="H3089" s="24"/>
      <c r="J3089" s="24"/>
      <c r="K3089" s="24"/>
      <c r="M3089" s="24"/>
      <c r="N3089" s="24"/>
      <c r="P3089" s="24"/>
    </row>
    <row r="3090" spans="2:16" x14ac:dyDescent="0.25">
      <c r="B3090" s="24"/>
      <c r="E3090" s="24"/>
      <c r="G3090" s="24"/>
      <c r="H3090" s="24"/>
      <c r="J3090" s="24"/>
      <c r="K3090" s="24"/>
      <c r="M3090" s="24"/>
      <c r="N3090" s="24"/>
      <c r="P3090" s="24"/>
    </row>
    <row r="3091" spans="2:16" x14ac:dyDescent="0.25">
      <c r="B3091" s="24"/>
      <c r="E3091" s="24"/>
      <c r="G3091" s="24"/>
      <c r="H3091" s="24"/>
      <c r="J3091" s="24"/>
      <c r="K3091" s="24"/>
      <c r="M3091" s="24"/>
      <c r="N3091" s="24"/>
      <c r="P3091" s="24"/>
    </row>
    <row r="3092" spans="2:16" x14ac:dyDescent="0.25">
      <c r="B3092" s="24"/>
      <c r="E3092" s="24"/>
      <c r="G3092" s="24"/>
      <c r="H3092" s="24"/>
      <c r="J3092" s="24"/>
      <c r="K3092" s="24"/>
      <c r="M3092" s="24"/>
      <c r="N3092" s="24"/>
      <c r="P3092" s="24"/>
    </row>
    <row r="3093" spans="2:16" x14ac:dyDescent="0.25">
      <c r="B3093" s="24"/>
      <c r="E3093" s="24"/>
      <c r="G3093" s="24"/>
      <c r="H3093" s="24"/>
      <c r="J3093" s="24"/>
      <c r="K3093" s="24"/>
      <c r="M3093" s="24"/>
      <c r="N3093" s="24"/>
      <c r="P3093" s="24"/>
    </row>
    <row r="3094" spans="2:16" x14ac:dyDescent="0.25">
      <c r="B3094" s="24"/>
      <c r="E3094" s="24"/>
      <c r="G3094" s="24"/>
      <c r="H3094" s="24"/>
      <c r="J3094" s="24"/>
      <c r="K3094" s="24"/>
      <c r="M3094" s="24"/>
      <c r="N3094" s="24"/>
      <c r="P3094" s="24"/>
    </row>
    <row r="3095" spans="2:16" x14ac:dyDescent="0.25">
      <c r="B3095" s="24"/>
      <c r="E3095" s="24"/>
      <c r="G3095" s="24"/>
      <c r="H3095" s="24"/>
      <c r="J3095" s="24"/>
      <c r="K3095" s="24"/>
      <c r="M3095" s="24"/>
      <c r="N3095" s="24"/>
      <c r="P3095" s="24"/>
    </row>
    <row r="3096" spans="2:16" x14ac:dyDescent="0.25">
      <c r="B3096" s="24"/>
      <c r="E3096" s="24"/>
      <c r="G3096" s="24"/>
      <c r="H3096" s="24"/>
      <c r="J3096" s="24"/>
      <c r="K3096" s="24"/>
      <c r="M3096" s="24"/>
      <c r="N3096" s="24"/>
      <c r="P3096" s="24"/>
    </row>
    <row r="3097" spans="2:16" x14ac:dyDescent="0.25">
      <c r="B3097" s="24"/>
      <c r="E3097" s="24"/>
      <c r="G3097" s="24"/>
      <c r="H3097" s="24"/>
      <c r="J3097" s="24"/>
      <c r="K3097" s="24"/>
      <c r="M3097" s="24"/>
      <c r="N3097" s="24"/>
      <c r="P3097" s="24"/>
    </row>
    <row r="3098" spans="2:16" x14ac:dyDescent="0.25">
      <c r="B3098" s="24"/>
      <c r="E3098" s="24"/>
      <c r="G3098" s="24"/>
      <c r="H3098" s="24"/>
      <c r="J3098" s="24"/>
      <c r="K3098" s="24"/>
      <c r="M3098" s="24"/>
      <c r="N3098" s="24"/>
      <c r="P3098" s="24"/>
    </row>
    <row r="3099" spans="2:16" x14ac:dyDescent="0.25">
      <c r="B3099" s="24"/>
      <c r="E3099" s="24"/>
      <c r="G3099" s="24"/>
      <c r="H3099" s="24"/>
      <c r="J3099" s="24"/>
      <c r="K3099" s="24"/>
      <c r="M3099" s="24"/>
      <c r="N3099" s="24"/>
      <c r="P3099" s="24"/>
    </row>
    <row r="3100" spans="2:16" x14ac:dyDescent="0.25">
      <c r="B3100" s="24"/>
      <c r="E3100" s="24"/>
      <c r="G3100" s="24"/>
      <c r="H3100" s="24"/>
      <c r="J3100" s="24"/>
      <c r="K3100" s="24"/>
      <c r="M3100" s="24"/>
      <c r="N3100" s="24"/>
      <c r="P3100" s="24"/>
    </row>
    <row r="3101" spans="2:16" x14ac:dyDescent="0.25">
      <c r="B3101" s="24"/>
      <c r="E3101" s="24"/>
      <c r="G3101" s="24"/>
      <c r="H3101" s="24"/>
      <c r="J3101" s="24"/>
      <c r="K3101" s="24"/>
      <c r="M3101" s="24"/>
      <c r="N3101" s="24"/>
      <c r="P3101" s="24"/>
    </row>
    <row r="3102" spans="2:16" x14ac:dyDescent="0.25">
      <c r="B3102" s="24"/>
      <c r="E3102" s="24"/>
      <c r="G3102" s="24"/>
      <c r="H3102" s="24"/>
      <c r="J3102" s="24"/>
      <c r="K3102" s="24"/>
      <c r="M3102" s="24"/>
      <c r="N3102" s="24"/>
      <c r="P3102" s="24"/>
    </row>
    <row r="3103" spans="2:16" x14ac:dyDescent="0.25">
      <c r="B3103" s="24"/>
      <c r="E3103" s="24"/>
      <c r="G3103" s="24"/>
      <c r="H3103" s="24"/>
      <c r="J3103" s="24"/>
      <c r="K3103" s="24"/>
      <c r="M3103" s="24"/>
      <c r="N3103" s="24"/>
      <c r="P3103" s="24"/>
    </row>
    <row r="3104" spans="2:16" x14ac:dyDescent="0.25">
      <c r="B3104" s="24"/>
      <c r="E3104" s="24"/>
      <c r="G3104" s="24"/>
      <c r="H3104" s="24"/>
      <c r="J3104" s="24"/>
      <c r="K3104" s="24"/>
      <c r="M3104" s="24"/>
      <c r="N3104" s="24"/>
      <c r="P3104" s="24"/>
    </row>
    <row r="3105" spans="2:16" x14ac:dyDescent="0.25">
      <c r="B3105" s="24"/>
      <c r="E3105" s="24"/>
      <c r="G3105" s="24"/>
      <c r="H3105" s="24"/>
      <c r="J3105" s="24"/>
      <c r="K3105" s="24"/>
      <c r="M3105" s="24"/>
      <c r="N3105" s="24"/>
      <c r="P3105" s="24"/>
    </row>
    <row r="3106" spans="2:16" x14ac:dyDescent="0.25">
      <c r="B3106" s="24"/>
      <c r="E3106" s="24"/>
      <c r="G3106" s="24"/>
      <c r="H3106" s="24"/>
      <c r="J3106" s="24"/>
      <c r="K3106" s="24"/>
      <c r="M3106" s="24"/>
      <c r="N3106" s="24"/>
      <c r="P3106" s="24"/>
    </row>
    <row r="3107" spans="2:16" x14ac:dyDescent="0.25">
      <c r="B3107" s="24"/>
      <c r="E3107" s="24"/>
      <c r="G3107" s="24"/>
      <c r="H3107" s="24"/>
      <c r="J3107" s="24"/>
      <c r="K3107" s="24"/>
      <c r="M3107" s="24"/>
      <c r="N3107" s="24"/>
      <c r="P3107" s="24"/>
    </row>
    <row r="3108" spans="2:16" x14ac:dyDescent="0.25">
      <c r="B3108" s="24"/>
      <c r="E3108" s="24"/>
      <c r="G3108" s="24"/>
      <c r="H3108" s="24"/>
      <c r="J3108" s="24"/>
      <c r="K3108" s="24"/>
      <c r="M3108" s="24"/>
      <c r="N3108" s="24"/>
      <c r="P3108" s="24"/>
    </row>
    <row r="3109" spans="2:16" x14ac:dyDescent="0.25">
      <c r="B3109" s="24"/>
      <c r="E3109" s="24"/>
      <c r="G3109" s="24"/>
      <c r="H3109" s="24"/>
      <c r="J3109" s="24"/>
      <c r="K3109" s="24"/>
      <c r="M3109" s="24"/>
      <c r="N3109" s="24"/>
      <c r="P3109" s="24"/>
    </row>
    <row r="3110" spans="2:16" x14ac:dyDescent="0.25">
      <c r="B3110" s="24"/>
      <c r="E3110" s="24"/>
      <c r="G3110" s="24"/>
      <c r="H3110" s="24"/>
      <c r="J3110" s="24"/>
      <c r="K3110" s="24"/>
      <c r="M3110" s="24"/>
      <c r="N3110" s="24"/>
      <c r="P3110" s="24"/>
    </row>
    <row r="3111" spans="2:16" x14ac:dyDescent="0.25">
      <c r="B3111" s="24"/>
      <c r="E3111" s="24"/>
      <c r="G3111" s="24"/>
      <c r="H3111" s="24"/>
      <c r="J3111" s="24"/>
      <c r="K3111" s="24"/>
      <c r="M3111" s="24"/>
      <c r="N3111" s="24"/>
      <c r="P3111" s="24"/>
    </row>
    <row r="3112" spans="2:16" x14ac:dyDescent="0.25">
      <c r="B3112" s="24"/>
      <c r="E3112" s="24"/>
      <c r="G3112" s="24"/>
      <c r="H3112" s="24"/>
      <c r="J3112" s="24"/>
      <c r="K3112" s="24"/>
      <c r="M3112" s="24"/>
      <c r="N3112" s="24"/>
      <c r="P3112" s="24"/>
    </row>
    <row r="3113" spans="2:16" x14ac:dyDescent="0.25">
      <c r="B3113" s="24"/>
      <c r="E3113" s="24"/>
      <c r="G3113" s="24"/>
      <c r="H3113" s="24"/>
      <c r="J3113" s="24"/>
      <c r="K3113" s="24"/>
      <c r="M3113" s="24"/>
      <c r="N3113" s="24"/>
      <c r="P3113" s="24"/>
    </row>
    <row r="3114" spans="2:16" x14ac:dyDescent="0.25">
      <c r="B3114" s="24"/>
      <c r="E3114" s="24"/>
      <c r="G3114" s="24"/>
      <c r="H3114" s="24"/>
      <c r="J3114" s="24"/>
      <c r="K3114" s="24"/>
      <c r="M3114" s="24"/>
      <c r="N3114" s="24"/>
      <c r="P3114" s="24"/>
    </row>
    <row r="3115" spans="2:16" x14ac:dyDescent="0.25">
      <c r="B3115" s="24"/>
      <c r="E3115" s="24"/>
      <c r="G3115" s="24"/>
      <c r="H3115" s="24"/>
      <c r="J3115" s="24"/>
      <c r="K3115" s="24"/>
      <c r="M3115" s="24"/>
      <c r="N3115" s="24"/>
      <c r="P3115" s="24"/>
    </row>
    <row r="3116" spans="2:16" x14ac:dyDescent="0.25">
      <c r="B3116" s="24"/>
      <c r="E3116" s="24"/>
      <c r="G3116" s="24"/>
      <c r="H3116" s="24"/>
      <c r="J3116" s="24"/>
      <c r="K3116" s="24"/>
      <c r="M3116" s="24"/>
      <c r="N3116" s="24"/>
      <c r="P3116" s="24"/>
    </row>
    <row r="3117" spans="2:16" x14ac:dyDescent="0.25">
      <c r="B3117" s="24"/>
      <c r="E3117" s="24"/>
      <c r="G3117" s="24"/>
      <c r="H3117" s="24"/>
      <c r="J3117" s="24"/>
      <c r="K3117" s="24"/>
      <c r="M3117" s="24"/>
      <c r="N3117" s="24"/>
      <c r="P3117" s="24"/>
    </row>
    <row r="3118" spans="2:16" x14ac:dyDescent="0.25">
      <c r="B3118" s="24"/>
      <c r="E3118" s="24"/>
      <c r="G3118" s="24"/>
      <c r="H3118" s="24"/>
      <c r="J3118" s="24"/>
      <c r="K3118" s="24"/>
      <c r="M3118" s="24"/>
      <c r="N3118" s="24"/>
      <c r="P3118" s="24"/>
    </row>
    <row r="3119" spans="2:16" x14ac:dyDescent="0.25">
      <c r="B3119" s="24"/>
      <c r="E3119" s="24"/>
      <c r="G3119" s="24"/>
      <c r="H3119" s="24"/>
      <c r="J3119" s="24"/>
      <c r="K3119" s="24"/>
      <c r="M3119" s="24"/>
      <c r="N3119" s="24"/>
      <c r="P3119" s="24"/>
    </row>
    <row r="3120" spans="2:16" x14ac:dyDescent="0.25">
      <c r="B3120" s="24"/>
      <c r="E3120" s="24"/>
      <c r="G3120" s="24"/>
      <c r="H3120" s="24"/>
      <c r="J3120" s="24"/>
      <c r="K3120" s="24"/>
      <c r="M3120" s="24"/>
      <c r="N3120" s="24"/>
      <c r="P3120" s="24"/>
    </row>
    <row r="3121" spans="2:16" x14ac:dyDescent="0.25">
      <c r="B3121" s="24"/>
      <c r="E3121" s="24"/>
      <c r="G3121" s="24"/>
      <c r="H3121" s="24"/>
      <c r="J3121" s="24"/>
      <c r="K3121" s="24"/>
      <c r="M3121" s="24"/>
      <c r="N3121" s="24"/>
      <c r="P3121" s="24"/>
    </row>
    <row r="3122" spans="2:16" x14ac:dyDescent="0.25">
      <c r="B3122" s="24"/>
      <c r="E3122" s="24"/>
      <c r="G3122" s="24"/>
      <c r="H3122" s="24"/>
      <c r="J3122" s="24"/>
      <c r="K3122" s="24"/>
      <c r="M3122" s="24"/>
      <c r="N3122" s="24"/>
      <c r="P3122" s="24"/>
    </row>
    <row r="3123" spans="2:16" x14ac:dyDescent="0.25">
      <c r="B3123" s="24"/>
      <c r="E3123" s="24"/>
      <c r="G3123" s="24"/>
      <c r="H3123" s="24"/>
      <c r="J3123" s="24"/>
      <c r="K3123" s="24"/>
      <c r="M3123" s="24"/>
      <c r="N3123" s="24"/>
      <c r="P3123" s="24"/>
    </row>
    <row r="3124" spans="2:16" x14ac:dyDescent="0.25">
      <c r="B3124" s="24"/>
      <c r="E3124" s="24"/>
      <c r="G3124" s="24"/>
      <c r="H3124" s="24"/>
      <c r="J3124" s="24"/>
      <c r="K3124" s="24"/>
      <c r="M3124" s="24"/>
      <c r="N3124" s="24"/>
      <c r="P3124" s="24"/>
    </row>
    <row r="3125" spans="2:16" x14ac:dyDescent="0.25">
      <c r="B3125" s="24"/>
      <c r="E3125" s="24"/>
      <c r="G3125" s="24"/>
      <c r="H3125" s="24"/>
      <c r="J3125" s="24"/>
      <c r="K3125" s="24"/>
      <c r="M3125" s="24"/>
      <c r="N3125" s="24"/>
      <c r="P3125" s="24"/>
    </row>
    <row r="3126" spans="2:16" x14ac:dyDescent="0.25">
      <c r="B3126" s="24"/>
      <c r="E3126" s="24"/>
      <c r="G3126" s="24"/>
      <c r="H3126" s="24"/>
      <c r="J3126" s="24"/>
      <c r="K3126" s="24"/>
      <c r="M3126" s="24"/>
      <c r="N3126" s="24"/>
      <c r="P3126" s="24"/>
    </row>
    <row r="3127" spans="2:16" x14ac:dyDescent="0.25">
      <c r="B3127" s="24"/>
      <c r="E3127" s="24"/>
      <c r="G3127" s="24"/>
      <c r="H3127" s="24"/>
      <c r="J3127" s="24"/>
      <c r="K3127" s="24"/>
      <c r="M3127" s="24"/>
      <c r="N3127" s="24"/>
      <c r="P3127" s="24"/>
    </row>
    <row r="3128" spans="2:16" x14ac:dyDescent="0.25">
      <c r="B3128" s="24"/>
      <c r="E3128" s="24"/>
      <c r="G3128" s="24"/>
      <c r="H3128" s="24"/>
      <c r="J3128" s="24"/>
      <c r="K3128" s="24"/>
      <c r="M3128" s="24"/>
      <c r="N3128" s="24"/>
      <c r="P3128" s="24"/>
    </row>
    <row r="3129" spans="2:16" x14ac:dyDescent="0.25">
      <c r="B3129" s="24"/>
      <c r="E3129" s="24"/>
      <c r="G3129" s="24"/>
      <c r="H3129" s="24"/>
      <c r="J3129" s="24"/>
      <c r="K3129" s="24"/>
      <c r="M3129" s="24"/>
      <c r="N3129" s="24"/>
      <c r="P3129" s="24"/>
    </row>
    <row r="3130" spans="2:16" x14ac:dyDescent="0.25">
      <c r="B3130" s="24"/>
      <c r="E3130" s="24"/>
      <c r="G3130" s="24"/>
      <c r="H3130" s="24"/>
      <c r="J3130" s="24"/>
      <c r="K3130" s="24"/>
      <c r="M3130" s="24"/>
      <c r="N3130" s="24"/>
      <c r="P3130" s="24"/>
    </row>
    <row r="3131" spans="2:16" x14ac:dyDescent="0.25">
      <c r="B3131" s="24"/>
      <c r="E3131" s="24"/>
      <c r="G3131" s="24"/>
      <c r="H3131" s="24"/>
      <c r="J3131" s="24"/>
      <c r="K3131" s="24"/>
      <c r="M3131" s="24"/>
      <c r="N3131" s="24"/>
      <c r="P3131" s="24"/>
    </row>
    <row r="3132" spans="2:16" x14ac:dyDescent="0.25">
      <c r="B3132" s="24"/>
      <c r="E3132" s="24"/>
      <c r="G3132" s="24"/>
      <c r="H3132" s="24"/>
      <c r="J3132" s="24"/>
      <c r="K3132" s="24"/>
      <c r="M3132" s="24"/>
      <c r="N3132" s="24"/>
      <c r="P3132" s="24"/>
    </row>
    <row r="3133" spans="2:16" x14ac:dyDescent="0.25">
      <c r="B3133" s="24"/>
      <c r="E3133" s="24"/>
      <c r="G3133" s="24"/>
      <c r="H3133" s="24"/>
      <c r="J3133" s="24"/>
      <c r="K3133" s="24"/>
      <c r="M3133" s="24"/>
      <c r="N3133" s="24"/>
      <c r="P3133" s="24"/>
    </row>
    <row r="3134" spans="2:16" x14ac:dyDescent="0.25">
      <c r="B3134" s="24"/>
      <c r="E3134" s="24"/>
      <c r="G3134" s="24"/>
      <c r="H3134" s="24"/>
      <c r="J3134" s="24"/>
      <c r="K3134" s="24"/>
      <c r="M3134" s="24"/>
      <c r="N3134" s="24"/>
      <c r="P3134" s="24"/>
    </row>
    <row r="3135" spans="2:16" x14ac:dyDescent="0.25">
      <c r="B3135" s="24"/>
      <c r="E3135" s="24"/>
      <c r="G3135" s="24"/>
      <c r="H3135" s="24"/>
      <c r="J3135" s="24"/>
      <c r="K3135" s="24"/>
      <c r="M3135" s="24"/>
      <c r="N3135" s="24"/>
      <c r="P3135" s="24"/>
    </row>
    <row r="3136" spans="2:16" x14ac:dyDescent="0.25">
      <c r="B3136" s="24"/>
      <c r="E3136" s="24"/>
      <c r="G3136" s="24"/>
      <c r="H3136" s="24"/>
      <c r="J3136" s="24"/>
      <c r="K3136" s="24"/>
      <c r="M3136" s="24"/>
      <c r="N3136" s="24"/>
      <c r="P3136" s="24"/>
    </row>
    <row r="3137" spans="2:16" x14ac:dyDescent="0.25">
      <c r="B3137" s="24"/>
      <c r="E3137" s="24"/>
      <c r="G3137" s="24"/>
      <c r="H3137" s="24"/>
      <c r="J3137" s="24"/>
      <c r="K3137" s="24"/>
      <c r="M3137" s="24"/>
      <c r="N3137" s="24"/>
      <c r="P3137" s="24"/>
    </row>
    <row r="3138" spans="2:16" x14ac:dyDescent="0.25">
      <c r="B3138" s="24"/>
      <c r="E3138" s="24"/>
      <c r="G3138" s="24"/>
      <c r="H3138" s="24"/>
      <c r="J3138" s="24"/>
      <c r="K3138" s="24"/>
      <c r="M3138" s="24"/>
      <c r="N3138" s="24"/>
      <c r="P3138" s="24"/>
    </row>
    <row r="3139" spans="2:16" x14ac:dyDescent="0.25">
      <c r="B3139" s="24"/>
      <c r="E3139" s="24"/>
      <c r="G3139" s="24"/>
      <c r="H3139" s="24"/>
      <c r="J3139" s="24"/>
      <c r="K3139" s="24"/>
      <c r="M3139" s="24"/>
      <c r="N3139" s="24"/>
      <c r="P3139" s="24"/>
    </row>
    <row r="3140" spans="2:16" x14ac:dyDescent="0.25">
      <c r="B3140" s="24"/>
      <c r="E3140" s="24"/>
      <c r="G3140" s="24"/>
      <c r="H3140" s="24"/>
      <c r="J3140" s="24"/>
      <c r="K3140" s="24"/>
      <c r="M3140" s="24"/>
      <c r="N3140" s="24"/>
      <c r="P3140" s="24"/>
    </row>
    <row r="3141" spans="2:16" x14ac:dyDescent="0.25">
      <c r="B3141" s="24"/>
      <c r="E3141" s="24"/>
      <c r="G3141" s="24"/>
      <c r="H3141" s="24"/>
      <c r="J3141" s="24"/>
      <c r="K3141" s="24"/>
      <c r="M3141" s="24"/>
      <c r="N3141" s="24"/>
      <c r="P3141" s="24"/>
    </row>
    <row r="3142" spans="2:16" x14ac:dyDescent="0.25">
      <c r="B3142" s="24"/>
      <c r="E3142" s="24"/>
      <c r="G3142" s="24"/>
      <c r="H3142" s="24"/>
      <c r="J3142" s="24"/>
      <c r="K3142" s="24"/>
      <c r="M3142" s="24"/>
      <c r="N3142" s="24"/>
      <c r="P3142" s="24"/>
    </row>
    <row r="3143" spans="2:16" x14ac:dyDescent="0.25">
      <c r="B3143" s="24"/>
      <c r="E3143" s="24"/>
      <c r="G3143" s="24"/>
      <c r="H3143" s="24"/>
      <c r="J3143" s="24"/>
      <c r="K3143" s="24"/>
      <c r="M3143" s="24"/>
      <c r="N3143" s="24"/>
      <c r="P3143" s="24"/>
    </row>
    <row r="3144" spans="2:16" x14ac:dyDescent="0.25">
      <c r="B3144" s="24"/>
      <c r="E3144" s="24"/>
      <c r="G3144" s="24"/>
      <c r="H3144" s="24"/>
      <c r="J3144" s="24"/>
      <c r="K3144" s="24"/>
      <c r="M3144" s="24"/>
      <c r="N3144" s="24"/>
      <c r="P3144" s="24"/>
    </row>
    <row r="3145" spans="2:16" x14ac:dyDescent="0.25">
      <c r="B3145" s="24"/>
      <c r="E3145" s="24"/>
      <c r="G3145" s="24"/>
      <c r="H3145" s="24"/>
      <c r="J3145" s="24"/>
      <c r="K3145" s="24"/>
      <c r="M3145" s="24"/>
      <c r="N3145" s="24"/>
      <c r="P3145" s="24"/>
    </row>
    <row r="3146" spans="2:16" x14ac:dyDescent="0.25">
      <c r="B3146" s="24"/>
      <c r="E3146" s="24"/>
      <c r="G3146" s="24"/>
      <c r="H3146" s="24"/>
      <c r="J3146" s="24"/>
      <c r="K3146" s="24"/>
      <c r="M3146" s="24"/>
      <c r="N3146" s="24"/>
      <c r="P3146" s="24"/>
    </row>
    <row r="3147" spans="2:16" x14ac:dyDescent="0.25">
      <c r="B3147" s="24"/>
      <c r="E3147" s="24"/>
      <c r="G3147" s="24"/>
      <c r="H3147" s="24"/>
      <c r="J3147" s="24"/>
      <c r="K3147" s="24"/>
      <c r="M3147" s="24"/>
      <c r="N3147" s="24"/>
      <c r="P3147" s="24"/>
    </row>
    <row r="3148" spans="2:16" x14ac:dyDescent="0.25">
      <c r="B3148" s="24"/>
      <c r="E3148" s="24"/>
      <c r="G3148" s="24"/>
      <c r="H3148" s="24"/>
      <c r="J3148" s="24"/>
      <c r="K3148" s="24"/>
      <c r="M3148" s="24"/>
      <c r="N3148" s="24"/>
      <c r="P3148" s="24"/>
    </row>
    <row r="3149" spans="2:16" x14ac:dyDescent="0.25">
      <c r="B3149" s="24"/>
      <c r="E3149" s="24"/>
      <c r="G3149" s="24"/>
      <c r="H3149" s="24"/>
      <c r="J3149" s="24"/>
      <c r="K3149" s="24"/>
      <c r="M3149" s="24"/>
      <c r="N3149" s="24"/>
      <c r="P3149" s="24"/>
    </row>
    <row r="3150" spans="2:16" x14ac:dyDescent="0.25">
      <c r="B3150" s="24"/>
      <c r="E3150" s="24"/>
      <c r="G3150" s="24"/>
      <c r="H3150" s="24"/>
      <c r="J3150" s="24"/>
      <c r="K3150" s="24"/>
      <c r="M3150" s="24"/>
      <c r="N3150" s="24"/>
      <c r="P3150" s="24"/>
    </row>
    <row r="3151" spans="2:16" x14ac:dyDescent="0.25">
      <c r="B3151" s="24"/>
      <c r="E3151" s="24"/>
      <c r="G3151" s="24"/>
      <c r="H3151" s="24"/>
      <c r="J3151" s="24"/>
      <c r="K3151" s="24"/>
      <c r="M3151" s="24"/>
      <c r="N3151" s="24"/>
      <c r="P3151" s="24"/>
    </row>
    <row r="3152" spans="2:16" x14ac:dyDescent="0.25">
      <c r="B3152" s="24"/>
      <c r="E3152" s="24"/>
      <c r="G3152" s="24"/>
      <c r="H3152" s="24"/>
      <c r="J3152" s="24"/>
      <c r="K3152" s="24"/>
      <c r="M3152" s="24"/>
      <c r="N3152" s="24"/>
      <c r="P3152" s="24"/>
    </row>
    <row r="3153" spans="2:16" x14ac:dyDescent="0.25">
      <c r="B3153" s="24"/>
      <c r="E3153" s="24"/>
      <c r="G3153" s="24"/>
      <c r="H3153" s="24"/>
      <c r="J3153" s="24"/>
      <c r="K3153" s="24"/>
      <c r="M3153" s="24"/>
      <c r="N3153" s="24"/>
      <c r="P3153" s="24"/>
    </row>
    <row r="3154" spans="2:16" x14ac:dyDescent="0.25">
      <c r="B3154" s="24"/>
      <c r="E3154" s="24"/>
      <c r="G3154" s="24"/>
      <c r="H3154" s="24"/>
      <c r="J3154" s="24"/>
      <c r="K3154" s="24"/>
      <c r="M3154" s="24"/>
      <c r="N3154" s="24"/>
      <c r="P3154" s="24"/>
    </row>
    <row r="3155" spans="2:16" x14ac:dyDescent="0.25">
      <c r="B3155" s="24"/>
      <c r="E3155" s="24"/>
      <c r="G3155" s="24"/>
      <c r="H3155" s="24"/>
      <c r="J3155" s="24"/>
      <c r="K3155" s="24"/>
      <c r="M3155" s="24"/>
      <c r="N3155" s="24"/>
      <c r="P3155" s="24"/>
    </row>
    <row r="3156" spans="2:16" x14ac:dyDescent="0.25">
      <c r="B3156" s="24"/>
      <c r="E3156" s="24"/>
      <c r="G3156" s="24"/>
      <c r="H3156" s="24"/>
      <c r="J3156" s="24"/>
      <c r="K3156" s="24"/>
      <c r="M3156" s="24"/>
      <c r="N3156" s="24"/>
      <c r="P3156" s="24"/>
    </row>
    <row r="3157" spans="2:16" x14ac:dyDescent="0.25">
      <c r="B3157" s="24"/>
      <c r="E3157" s="24"/>
      <c r="G3157" s="24"/>
      <c r="H3157" s="24"/>
      <c r="J3157" s="24"/>
      <c r="K3157" s="24"/>
      <c r="M3157" s="24"/>
      <c r="N3157" s="24"/>
      <c r="P3157" s="24"/>
    </row>
    <row r="3158" spans="2:16" x14ac:dyDescent="0.25">
      <c r="B3158" s="24"/>
      <c r="E3158" s="24"/>
      <c r="G3158" s="24"/>
      <c r="H3158" s="24"/>
      <c r="J3158" s="24"/>
      <c r="K3158" s="24"/>
      <c r="M3158" s="24"/>
      <c r="N3158" s="24"/>
      <c r="P3158" s="24"/>
    </row>
    <row r="3159" spans="2:16" x14ac:dyDescent="0.25">
      <c r="B3159" s="24"/>
      <c r="E3159" s="24"/>
      <c r="G3159" s="24"/>
      <c r="H3159" s="24"/>
      <c r="J3159" s="24"/>
      <c r="K3159" s="24"/>
      <c r="M3159" s="24"/>
      <c r="N3159" s="24"/>
      <c r="P3159" s="24"/>
    </row>
    <row r="3160" spans="2:16" x14ac:dyDescent="0.25">
      <c r="B3160" s="24"/>
      <c r="E3160" s="24"/>
      <c r="G3160" s="24"/>
      <c r="H3160" s="24"/>
      <c r="J3160" s="24"/>
      <c r="K3160" s="24"/>
      <c r="M3160" s="24"/>
      <c r="N3160" s="24"/>
      <c r="P3160" s="24"/>
    </row>
    <row r="3161" spans="2:16" x14ac:dyDescent="0.25">
      <c r="B3161" s="24"/>
      <c r="E3161" s="24"/>
      <c r="G3161" s="24"/>
      <c r="H3161" s="24"/>
      <c r="J3161" s="24"/>
      <c r="K3161" s="24"/>
      <c r="M3161" s="24"/>
      <c r="N3161" s="24"/>
      <c r="P3161" s="24"/>
    </row>
    <row r="3162" spans="2:16" x14ac:dyDescent="0.25">
      <c r="B3162" s="24"/>
      <c r="E3162" s="24"/>
      <c r="G3162" s="24"/>
      <c r="H3162" s="24"/>
      <c r="J3162" s="24"/>
      <c r="K3162" s="24"/>
      <c r="M3162" s="24"/>
      <c r="N3162" s="24"/>
      <c r="P3162" s="24"/>
    </row>
    <row r="3163" spans="2:16" x14ac:dyDescent="0.25">
      <c r="B3163" s="24"/>
      <c r="E3163" s="24"/>
      <c r="G3163" s="24"/>
      <c r="H3163" s="24"/>
      <c r="J3163" s="24"/>
      <c r="K3163" s="24"/>
      <c r="M3163" s="24"/>
      <c r="N3163" s="24"/>
      <c r="P3163" s="24"/>
    </row>
    <row r="3164" spans="2:16" x14ac:dyDescent="0.25">
      <c r="B3164" s="24"/>
      <c r="E3164" s="24"/>
      <c r="G3164" s="24"/>
      <c r="H3164" s="24"/>
      <c r="J3164" s="24"/>
      <c r="K3164" s="24"/>
      <c r="M3164" s="24"/>
      <c r="N3164" s="24"/>
      <c r="P3164" s="24"/>
    </row>
    <row r="3165" spans="2:16" x14ac:dyDescent="0.25">
      <c r="B3165" s="24"/>
      <c r="E3165" s="24"/>
      <c r="G3165" s="24"/>
      <c r="H3165" s="24"/>
      <c r="J3165" s="24"/>
      <c r="K3165" s="24"/>
      <c r="M3165" s="24"/>
      <c r="N3165" s="24"/>
      <c r="P3165" s="24"/>
    </row>
    <row r="3166" spans="2:16" x14ac:dyDescent="0.25">
      <c r="B3166" s="24"/>
      <c r="E3166" s="24"/>
      <c r="G3166" s="24"/>
      <c r="H3166" s="24"/>
      <c r="J3166" s="24"/>
      <c r="K3166" s="24"/>
      <c r="M3166" s="24"/>
      <c r="N3166" s="24"/>
      <c r="P3166" s="24"/>
    </row>
    <row r="3167" spans="2:16" x14ac:dyDescent="0.25">
      <c r="B3167" s="24"/>
      <c r="E3167" s="24"/>
      <c r="G3167" s="24"/>
      <c r="H3167" s="24"/>
      <c r="J3167" s="24"/>
      <c r="K3167" s="24"/>
      <c r="M3167" s="24"/>
      <c r="N3167" s="24"/>
      <c r="P3167" s="24"/>
    </row>
    <row r="3168" spans="2:16" x14ac:dyDescent="0.25">
      <c r="B3168" s="24"/>
      <c r="E3168" s="24"/>
      <c r="G3168" s="24"/>
      <c r="H3168" s="24"/>
      <c r="J3168" s="24"/>
      <c r="K3168" s="24"/>
      <c r="M3168" s="24"/>
      <c r="N3168" s="24"/>
      <c r="P3168" s="24"/>
    </row>
    <row r="3169" spans="2:16" x14ac:dyDescent="0.25">
      <c r="B3169" s="24"/>
      <c r="E3169" s="24"/>
      <c r="G3169" s="24"/>
      <c r="H3169" s="24"/>
      <c r="J3169" s="24"/>
      <c r="K3169" s="24"/>
      <c r="M3169" s="24"/>
      <c r="N3169" s="24"/>
      <c r="P3169" s="24"/>
    </row>
    <row r="3170" spans="2:16" x14ac:dyDescent="0.25">
      <c r="B3170" s="24"/>
      <c r="E3170" s="24"/>
      <c r="G3170" s="24"/>
      <c r="H3170" s="24"/>
      <c r="J3170" s="24"/>
      <c r="K3170" s="24"/>
      <c r="M3170" s="24"/>
      <c r="N3170" s="24"/>
      <c r="P3170" s="24"/>
    </row>
    <row r="3171" spans="2:16" x14ac:dyDescent="0.25">
      <c r="B3171" s="24"/>
      <c r="E3171" s="24"/>
      <c r="G3171" s="24"/>
      <c r="H3171" s="24"/>
      <c r="J3171" s="24"/>
      <c r="K3171" s="24"/>
      <c r="M3171" s="24"/>
      <c r="N3171" s="24"/>
      <c r="P3171" s="24"/>
    </row>
    <row r="3172" spans="2:16" x14ac:dyDescent="0.25">
      <c r="B3172" s="24"/>
      <c r="E3172" s="24"/>
      <c r="G3172" s="24"/>
      <c r="H3172" s="24"/>
      <c r="J3172" s="24"/>
      <c r="K3172" s="24"/>
      <c r="M3172" s="24"/>
      <c r="N3172" s="24"/>
      <c r="P3172" s="24"/>
    </row>
    <row r="3173" spans="2:16" x14ac:dyDescent="0.25">
      <c r="B3173" s="24"/>
      <c r="E3173" s="24"/>
      <c r="G3173" s="24"/>
      <c r="H3173" s="24"/>
      <c r="J3173" s="24"/>
      <c r="K3173" s="24"/>
      <c r="M3173" s="24"/>
      <c r="N3173" s="24"/>
      <c r="P3173" s="24"/>
    </row>
    <row r="3174" spans="2:16" x14ac:dyDescent="0.25">
      <c r="B3174" s="24"/>
      <c r="E3174" s="24"/>
      <c r="G3174" s="24"/>
      <c r="H3174" s="24"/>
      <c r="J3174" s="24"/>
      <c r="K3174" s="24"/>
      <c r="M3174" s="24"/>
      <c r="N3174" s="24"/>
      <c r="P3174" s="24"/>
    </row>
    <row r="3175" spans="2:16" x14ac:dyDescent="0.25">
      <c r="B3175" s="24"/>
      <c r="E3175" s="24"/>
      <c r="G3175" s="24"/>
      <c r="H3175" s="24"/>
      <c r="J3175" s="24"/>
      <c r="K3175" s="24"/>
      <c r="M3175" s="24"/>
      <c r="N3175" s="24"/>
      <c r="P3175" s="24"/>
    </row>
    <row r="3176" spans="2:16" x14ac:dyDescent="0.25">
      <c r="B3176" s="24"/>
      <c r="E3176" s="24"/>
      <c r="G3176" s="24"/>
      <c r="H3176" s="24"/>
      <c r="J3176" s="24"/>
      <c r="K3176" s="24"/>
      <c r="M3176" s="24"/>
      <c r="N3176" s="24"/>
      <c r="P3176" s="24"/>
    </row>
    <row r="3177" spans="2:16" x14ac:dyDescent="0.25">
      <c r="B3177" s="24"/>
      <c r="E3177" s="24"/>
      <c r="G3177" s="24"/>
      <c r="H3177" s="24"/>
      <c r="J3177" s="24"/>
      <c r="K3177" s="24"/>
      <c r="M3177" s="24"/>
      <c r="N3177" s="24"/>
      <c r="P3177" s="24"/>
    </row>
    <row r="3178" spans="2:16" x14ac:dyDescent="0.25">
      <c r="B3178" s="24"/>
      <c r="E3178" s="24"/>
      <c r="G3178" s="24"/>
      <c r="H3178" s="24"/>
      <c r="J3178" s="24"/>
      <c r="K3178" s="24"/>
      <c r="M3178" s="24"/>
      <c r="N3178" s="24"/>
      <c r="P3178" s="24"/>
    </row>
    <row r="3179" spans="2:16" x14ac:dyDescent="0.25">
      <c r="B3179" s="24"/>
      <c r="E3179" s="24"/>
      <c r="G3179" s="24"/>
      <c r="H3179" s="24"/>
      <c r="J3179" s="24"/>
      <c r="K3179" s="24"/>
      <c r="M3179" s="24"/>
      <c r="N3179" s="24"/>
      <c r="P3179" s="24"/>
    </row>
    <row r="3180" spans="2:16" x14ac:dyDescent="0.25">
      <c r="B3180" s="24"/>
      <c r="E3180" s="24"/>
      <c r="G3180" s="24"/>
      <c r="H3180" s="24"/>
      <c r="J3180" s="24"/>
      <c r="K3180" s="24"/>
      <c r="M3180" s="24"/>
      <c r="N3180" s="24"/>
      <c r="P3180" s="24"/>
    </row>
    <row r="3181" spans="2:16" x14ac:dyDescent="0.25">
      <c r="B3181" s="24"/>
      <c r="E3181" s="24"/>
      <c r="G3181" s="24"/>
      <c r="H3181" s="24"/>
      <c r="J3181" s="24"/>
      <c r="K3181" s="24"/>
      <c r="M3181" s="24"/>
      <c r="N3181" s="24"/>
      <c r="P3181" s="24"/>
    </row>
    <row r="3182" spans="2:16" x14ac:dyDescent="0.25">
      <c r="B3182" s="24"/>
      <c r="E3182" s="24"/>
      <c r="G3182" s="24"/>
      <c r="H3182" s="24"/>
      <c r="J3182" s="24"/>
      <c r="K3182" s="24"/>
      <c r="M3182" s="24"/>
      <c r="N3182" s="24"/>
      <c r="P3182" s="24"/>
    </row>
    <row r="3183" spans="2:16" x14ac:dyDescent="0.25">
      <c r="B3183" s="24"/>
      <c r="E3183" s="24"/>
      <c r="G3183" s="24"/>
      <c r="H3183" s="24"/>
      <c r="J3183" s="24"/>
      <c r="K3183" s="24"/>
      <c r="M3183" s="24"/>
      <c r="N3183" s="24"/>
      <c r="P3183" s="24"/>
    </row>
    <row r="3184" spans="2:16" x14ac:dyDescent="0.25">
      <c r="B3184" s="24"/>
      <c r="E3184" s="24"/>
      <c r="G3184" s="24"/>
      <c r="H3184" s="24"/>
      <c r="J3184" s="24"/>
      <c r="K3184" s="24"/>
      <c r="M3184" s="24"/>
      <c r="N3184" s="24"/>
      <c r="P3184" s="24"/>
    </row>
    <row r="3185" spans="2:16" x14ac:dyDescent="0.25">
      <c r="B3185" s="24"/>
      <c r="E3185" s="24"/>
      <c r="G3185" s="24"/>
      <c r="H3185" s="24"/>
      <c r="J3185" s="24"/>
      <c r="K3185" s="24"/>
      <c r="M3185" s="24"/>
      <c r="N3185" s="24"/>
      <c r="P3185" s="24"/>
    </row>
    <row r="3186" spans="2:16" x14ac:dyDescent="0.25">
      <c r="B3186" s="24"/>
      <c r="E3186" s="24"/>
      <c r="G3186" s="24"/>
      <c r="H3186" s="24"/>
      <c r="J3186" s="24"/>
      <c r="K3186" s="24"/>
      <c r="M3186" s="24"/>
      <c r="N3186" s="24"/>
      <c r="P3186" s="24"/>
    </row>
    <row r="3187" spans="2:16" x14ac:dyDescent="0.25">
      <c r="B3187" s="24"/>
      <c r="E3187" s="24"/>
      <c r="G3187" s="24"/>
      <c r="H3187" s="24"/>
      <c r="J3187" s="24"/>
      <c r="K3187" s="24"/>
      <c r="M3187" s="24"/>
      <c r="N3187" s="24"/>
      <c r="P3187" s="24"/>
    </row>
    <row r="3188" spans="2:16" x14ac:dyDescent="0.25">
      <c r="B3188" s="24"/>
      <c r="E3188" s="24"/>
      <c r="G3188" s="24"/>
      <c r="H3188" s="24"/>
      <c r="J3188" s="24"/>
      <c r="K3188" s="24"/>
      <c r="M3188" s="24"/>
      <c r="N3188" s="24"/>
      <c r="P3188" s="24"/>
    </row>
    <row r="3189" spans="2:16" x14ac:dyDescent="0.25">
      <c r="B3189" s="24"/>
      <c r="E3189" s="24"/>
      <c r="G3189" s="24"/>
      <c r="H3189" s="24"/>
      <c r="J3189" s="24"/>
      <c r="K3189" s="24"/>
      <c r="M3189" s="24"/>
      <c r="N3189" s="24"/>
      <c r="P3189" s="24"/>
    </row>
    <row r="3190" spans="2:16" x14ac:dyDescent="0.25">
      <c r="B3190" s="24"/>
      <c r="E3190" s="24"/>
      <c r="G3190" s="24"/>
      <c r="H3190" s="24"/>
      <c r="J3190" s="24"/>
      <c r="K3190" s="24"/>
      <c r="M3190" s="24"/>
      <c r="N3190" s="24"/>
      <c r="P3190" s="24"/>
    </row>
    <row r="3191" spans="2:16" x14ac:dyDescent="0.25">
      <c r="B3191" s="24"/>
      <c r="E3191" s="24"/>
      <c r="G3191" s="24"/>
      <c r="H3191" s="24"/>
      <c r="J3191" s="24"/>
      <c r="K3191" s="24"/>
      <c r="M3191" s="24"/>
      <c r="N3191" s="24"/>
      <c r="P3191" s="24"/>
    </row>
    <row r="3192" spans="2:16" x14ac:dyDescent="0.25">
      <c r="B3192" s="24"/>
      <c r="E3192" s="24"/>
      <c r="G3192" s="24"/>
      <c r="H3192" s="24"/>
      <c r="J3192" s="24"/>
      <c r="K3192" s="24"/>
      <c r="M3192" s="24"/>
      <c r="N3192" s="24"/>
      <c r="P3192" s="24"/>
    </row>
    <row r="3193" spans="2:16" x14ac:dyDescent="0.25">
      <c r="B3193" s="24"/>
      <c r="E3193" s="24"/>
      <c r="G3193" s="24"/>
      <c r="H3193" s="24"/>
      <c r="J3193" s="24"/>
      <c r="K3193" s="24"/>
      <c r="M3193" s="24"/>
      <c r="N3193" s="24"/>
      <c r="P3193" s="24"/>
    </row>
    <row r="3194" spans="2:16" x14ac:dyDescent="0.25">
      <c r="B3194" s="24"/>
      <c r="E3194" s="24"/>
      <c r="G3194" s="24"/>
      <c r="H3194" s="24"/>
      <c r="J3194" s="24"/>
      <c r="K3194" s="24"/>
      <c r="M3194" s="24"/>
      <c r="N3194" s="24"/>
      <c r="P3194" s="24"/>
    </row>
    <row r="3195" spans="2:16" x14ac:dyDescent="0.25">
      <c r="B3195" s="24"/>
      <c r="E3195" s="24"/>
      <c r="G3195" s="24"/>
      <c r="H3195" s="24"/>
      <c r="J3195" s="24"/>
      <c r="K3195" s="24"/>
      <c r="M3195" s="24"/>
      <c r="N3195" s="24"/>
      <c r="P3195" s="24"/>
    </row>
    <row r="3196" spans="2:16" x14ac:dyDescent="0.25">
      <c r="B3196" s="24"/>
      <c r="E3196" s="24"/>
      <c r="G3196" s="24"/>
      <c r="H3196" s="24"/>
      <c r="J3196" s="24"/>
      <c r="K3196" s="24"/>
      <c r="M3196" s="24"/>
      <c r="N3196" s="24"/>
      <c r="P3196" s="24"/>
    </row>
    <row r="3197" spans="2:16" x14ac:dyDescent="0.25">
      <c r="B3197" s="24"/>
      <c r="E3197" s="24"/>
      <c r="G3197" s="24"/>
      <c r="H3197" s="24"/>
      <c r="J3197" s="24"/>
      <c r="K3197" s="24"/>
      <c r="M3197" s="24"/>
      <c r="N3197" s="24"/>
      <c r="P3197" s="24"/>
    </row>
    <row r="3198" spans="2:16" x14ac:dyDescent="0.25">
      <c r="B3198" s="24"/>
      <c r="E3198" s="24"/>
      <c r="G3198" s="24"/>
      <c r="H3198" s="24"/>
      <c r="J3198" s="24"/>
      <c r="K3198" s="24"/>
      <c r="M3198" s="24"/>
      <c r="N3198" s="24"/>
      <c r="P3198" s="24"/>
    </row>
    <row r="3199" spans="2:16" x14ac:dyDescent="0.25">
      <c r="B3199" s="24"/>
      <c r="E3199" s="24"/>
      <c r="G3199" s="24"/>
      <c r="H3199" s="24"/>
      <c r="J3199" s="24"/>
      <c r="K3199" s="24"/>
      <c r="M3199" s="24"/>
      <c r="N3199" s="24"/>
      <c r="P3199" s="24"/>
    </row>
    <row r="3200" spans="2:16" x14ac:dyDescent="0.25">
      <c r="B3200" s="24"/>
      <c r="E3200" s="24"/>
      <c r="G3200" s="24"/>
      <c r="H3200" s="24"/>
      <c r="J3200" s="24"/>
      <c r="K3200" s="24"/>
      <c r="M3200" s="24"/>
      <c r="N3200" s="24"/>
      <c r="P3200" s="24"/>
    </row>
    <row r="3201" spans="2:16" x14ac:dyDescent="0.25">
      <c r="B3201" s="24"/>
      <c r="E3201" s="24"/>
      <c r="G3201" s="24"/>
      <c r="H3201" s="24"/>
      <c r="J3201" s="24"/>
      <c r="K3201" s="24"/>
      <c r="M3201" s="24"/>
      <c r="N3201" s="24"/>
      <c r="P3201" s="24"/>
    </row>
    <row r="3202" spans="2:16" x14ac:dyDescent="0.25">
      <c r="B3202" s="24"/>
      <c r="E3202" s="24"/>
      <c r="G3202" s="24"/>
      <c r="H3202" s="24"/>
      <c r="J3202" s="24"/>
      <c r="K3202" s="24"/>
      <c r="M3202" s="24"/>
      <c r="N3202" s="24"/>
      <c r="P3202" s="24"/>
    </row>
    <row r="3203" spans="2:16" x14ac:dyDescent="0.25">
      <c r="B3203" s="24"/>
      <c r="E3203" s="24"/>
      <c r="G3203" s="24"/>
      <c r="H3203" s="24"/>
      <c r="J3203" s="24"/>
      <c r="K3203" s="24"/>
      <c r="M3203" s="24"/>
      <c r="N3203" s="24"/>
      <c r="P3203" s="24"/>
    </row>
    <row r="3204" spans="2:16" x14ac:dyDescent="0.25">
      <c r="B3204" s="24"/>
      <c r="E3204" s="24"/>
      <c r="G3204" s="24"/>
      <c r="H3204" s="24"/>
      <c r="J3204" s="24"/>
      <c r="K3204" s="24"/>
      <c r="M3204" s="24"/>
      <c r="N3204" s="24"/>
      <c r="P3204" s="24"/>
    </row>
    <row r="3205" spans="2:16" x14ac:dyDescent="0.25">
      <c r="B3205" s="24"/>
      <c r="E3205" s="24"/>
      <c r="G3205" s="24"/>
      <c r="H3205" s="24"/>
      <c r="J3205" s="24"/>
      <c r="K3205" s="24"/>
      <c r="M3205" s="24"/>
      <c r="N3205" s="24"/>
      <c r="P3205" s="24"/>
    </row>
    <row r="3206" spans="2:16" x14ac:dyDescent="0.25">
      <c r="B3206" s="24"/>
      <c r="E3206" s="24"/>
      <c r="G3206" s="24"/>
      <c r="H3206" s="24"/>
      <c r="J3206" s="24"/>
      <c r="K3206" s="24"/>
      <c r="M3206" s="24"/>
      <c r="N3206" s="24"/>
      <c r="P3206" s="24"/>
    </row>
    <row r="3207" spans="2:16" x14ac:dyDescent="0.25">
      <c r="B3207" s="24"/>
      <c r="E3207" s="24"/>
      <c r="G3207" s="24"/>
      <c r="H3207" s="24"/>
      <c r="J3207" s="24"/>
      <c r="K3207" s="24"/>
      <c r="M3207" s="24"/>
      <c r="N3207" s="24"/>
      <c r="P3207" s="24"/>
    </row>
    <row r="3208" spans="2:16" x14ac:dyDescent="0.25">
      <c r="B3208" s="24"/>
      <c r="E3208" s="24"/>
      <c r="G3208" s="24"/>
      <c r="H3208" s="24"/>
      <c r="J3208" s="24"/>
      <c r="K3208" s="24"/>
      <c r="M3208" s="24"/>
      <c r="N3208" s="24"/>
      <c r="P3208" s="24"/>
    </row>
    <row r="3209" spans="2:16" x14ac:dyDescent="0.25">
      <c r="B3209" s="24"/>
      <c r="E3209" s="24"/>
      <c r="G3209" s="24"/>
      <c r="H3209" s="24"/>
      <c r="J3209" s="24"/>
      <c r="K3209" s="24"/>
      <c r="M3209" s="24"/>
      <c r="N3209" s="24"/>
      <c r="P3209" s="24"/>
    </row>
    <row r="3210" spans="2:16" x14ac:dyDescent="0.25">
      <c r="B3210" s="24"/>
      <c r="E3210" s="24"/>
      <c r="G3210" s="24"/>
      <c r="H3210" s="24"/>
      <c r="J3210" s="24"/>
      <c r="K3210" s="24"/>
      <c r="M3210" s="24"/>
      <c r="N3210" s="24"/>
      <c r="P3210" s="24"/>
    </row>
    <row r="3211" spans="2:16" x14ac:dyDescent="0.25">
      <c r="B3211" s="24"/>
      <c r="E3211" s="24"/>
      <c r="G3211" s="24"/>
      <c r="H3211" s="24"/>
      <c r="J3211" s="24"/>
      <c r="K3211" s="24"/>
      <c r="M3211" s="24"/>
      <c r="N3211" s="24"/>
      <c r="P3211" s="24"/>
    </row>
    <row r="3212" spans="2:16" x14ac:dyDescent="0.25">
      <c r="B3212" s="24"/>
      <c r="E3212" s="24"/>
      <c r="G3212" s="24"/>
      <c r="H3212" s="24"/>
      <c r="J3212" s="24"/>
      <c r="K3212" s="24"/>
      <c r="M3212" s="24"/>
      <c r="N3212" s="24"/>
      <c r="P3212" s="24"/>
    </row>
    <row r="3213" spans="2:16" x14ac:dyDescent="0.25">
      <c r="B3213" s="24"/>
      <c r="E3213" s="24"/>
      <c r="G3213" s="24"/>
      <c r="H3213" s="24"/>
      <c r="J3213" s="24"/>
      <c r="K3213" s="24"/>
      <c r="M3213" s="24"/>
      <c r="N3213" s="24"/>
      <c r="P3213" s="24"/>
    </row>
    <row r="3214" spans="2:16" x14ac:dyDescent="0.25">
      <c r="B3214" s="24"/>
      <c r="E3214" s="24"/>
      <c r="G3214" s="24"/>
      <c r="H3214" s="24"/>
      <c r="J3214" s="24"/>
      <c r="K3214" s="24"/>
      <c r="M3214" s="24"/>
      <c r="N3214" s="24"/>
      <c r="P3214" s="24"/>
    </row>
    <row r="3215" spans="2:16" x14ac:dyDescent="0.25">
      <c r="B3215" s="24"/>
      <c r="E3215" s="24"/>
      <c r="G3215" s="24"/>
      <c r="H3215" s="24"/>
      <c r="J3215" s="24"/>
      <c r="K3215" s="24"/>
      <c r="M3215" s="24"/>
      <c r="N3215" s="24"/>
      <c r="P3215" s="24"/>
    </row>
    <row r="3216" spans="2:16" x14ac:dyDescent="0.25">
      <c r="B3216" s="24"/>
      <c r="E3216" s="24"/>
      <c r="G3216" s="24"/>
      <c r="H3216" s="24"/>
      <c r="J3216" s="24"/>
      <c r="K3216" s="24"/>
      <c r="M3216" s="24"/>
      <c r="N3216" s="24"/>
      <c r="P3216" s="24"/>
    </row>
    <row r="3217" spans="2:16" x14ac:dyDescent="0.25">
      <c r="B3217" s="24"/>
      <c r="E3217" s="24"/>
      <c r="G3217" s="24"/>
      <c r="H3217" s="24"/>
      <c r="J3217" s="24"/>
      <c r="K3217" s="24"/>
      <c r="M3217" s="24"/>
      <c r="N3217" s="24"/>
      <c r="P3217" s="24"/>
    </row>
    <row r="3218" spans="2:16" x14ac:dyDescent="0.25">
      <c r="B3218" s="24"/>
      <c r="E3218" s="24"/>
      <c r="G3218" s="24"/>
      <c r="H3218" s="24"/>
      <c r="J3218" s="24"/>
      <c r="K3218" s="24"/>
      <c r="M3218" s="24"/>
      <c r="N3218" s="24"/>
      <c r="P3218" s="24"/>
    </row>
    <row r="3219" spans="2:16" x14ac:dyDescent="0.25">
      <c r="B3219" s="24"/>
      <c r="E3219" s="24"/>
      <c r="G3219" s="24"/>
      <c r="H3219" s="24"/>
      <c r="J3219" s="24"/>
      <c r="K3219" s="24"/>
      <c r="M3219" s="24"/>
      <c r="N3219" s="24"/>
      <c r="P3219" s="24"/>
    </row>
    <row r="3220" spans="2:16" x14ac:dyDescent="0.25">
      <c r="B3220" s="24"/>
      <c r="E3220" s="24"/>
      <c r="G3220" s="24"/>
      <c r="H3220" s="24"/>
      <c r="J3220" s="24"/>
      <c r="K3220" s="24"/>
      <c r="M3220" s="24"/>
      <c r="N3220" s="24"/>
      <c r="P3220" s="24"/>
    </row>
    <row r="3221" spans="2:16" x14ac:dyDescent="0.25">
      <c r="B3221" s="24"/>
      <c r="E3221" s="24"/>
      <c r="G3221" s="24"/>
      <c r="H3221" s="24"/>
      <c r="J3221" s="24"/>
      <c r="K3221" s="24"/>
      <c r="M3221" s="24"/>
      <c r="N3221" s="24"/>
      <c r="P3221" s="24"/>
    </row>
    <row r="3222" spans="2:16" x14ac:dyDescent="0.25">
      <c r="B3222" s="24"/>
      <c r="E3222" s="24"/>
      <c r="G3222" s="24"/>
      <c r="H3222" s="24"/>
      <c r="J3222" s="24"/>
      <c r="K3222" s="24"/>
      <c r="M3222" s="24"/>
      <c r="N3222" s="24"/>
      <c r="P3222" s="24"/>
    </row>
    <row r="3223" spans="2:16" x14ac:dyDescent="0.25">
      <c r="B3223" s="24"/>
      <c r="E3223" s="24"/>
      <c r="G3223" s="24"/>
      <c r="H3223" s="24"/>
      <c r="J3223" s="24"/>
      <c r="K3223" s="24"/>
      <c r="M3223" s="24"/>
      <c r="N3223" s="24"/>
      <c r="P3223" s="24"/>
    </row>
    <row r="3224" spans="2:16" x14ac:dyDescent="0.25">
      <c r="B3224" s="24"/>
      <c r="E3224" s="24"/>
      <c r="G3224" s="24"/>
      <c r="H3224" s="24"/>
      <c r="J3224" s="24"/>
      <c r="K3224" s="24"/>
      <c r="M3224" s="24"/>
      <c r="N3224" s="24"/>
      <c r="P3224" s="24"/>
    </row>
    <row r="3225" spans="2:16" x14ac:dyDescent="0.25">
      <c r="B3225" s="24"/>
      <c r="E3225" s="24"/>
      <c r="G3225" s="24"/>
      <c r="H3225" s="24"/>
      <c r="J3225" s="24"/>
      <c r="K3225" s="24"/>
      <c r="M3225" s="24"/>
      <c r="N3225" s="24"/>
      <c r="P3225" s="24"/>
    </row>
    <row r="3226" spans="2:16" x14ac:dyDescent="0.25">
      <c r="B3226" s="24"/>
      <c r="E3226" s="24"/>
      <c r="G3226" s="24"/>
      <c r="H3226" s="24"/>
      <c r="J3226" s="24"/>
      <c r="K3226" s="24"/>
      <c r="M3226" s="24"/>
      <c r="N3226" s="24"/>
      <c r="P3226" s="24"/>
    </row>
    <row r="3227" spans="2:16" x14ac:dyDescent="0.25">
      <c r="B3227" s="24"/>
      <c r="E3227" s="24"/>
      <c r="G3227" s="24"/>
      <c r="H3227" s="24"/>
      <c r="J3227" s="24"/>
      <c r="K3227" s="24"/>
      <c r="M3227" s="24"/>
      <c r="N3227" s="24"/>
      <c r="P3227" s="24"/>
    </row>
    <row r="3228" spans="2:16" x14ac:dyDescent="0.25">
      <c r="B3228" s="24"/>
      <c r="E3228" s="24"/>
      <c r="G3228" s="24"/>
      <c r="H3228" s="24"/>
      <c r="J3228" s="24"/>
      <c r="K3228" s="24"/>
      <c r="M3228" s="24"/>
      <c r="N3228" s="24"/>
      <c r="P3228" s="24"/>
    </row>
    <row r="3229" spans="2:16" x14ac:dyDescent="0.25">
      <c r="B3229" s="24"/>
      <c r="E3229" s="24"/>
      <c r="G3229" s="24"/>
      <c r="H3229" s="24"/>
      <c r="J3229" s="24"/>
      <c r="K3229" s="24"/>
      <c r="M3229" s="24"/>
      <c r="N3229" s="24"/>
      <c r="P3229" s="24"/>
    </row>
    <row r="3230" spans="2:16" x14ac:dyDescent="0.25">
      <c r="B3230" s="24"/>
      <c r="E3230" s="24"/>
      <c r="G3230" s="24"/>
      <c r="H3230" s="24"/>
      <c r="J3230" s="24"/>
      <c r="K3230" s="24"/>
      <c r="M3230" s="24"/>
      <c r="N3230" s="24"/>
      <c r="P3230" s="24"/>
    </row>
    <row r="3231" spans="2:16" x14ac:dyDescent="0.25">
      <c r="B3231" s="24"/>
      <c r="E3231" s="24"/>
      <c r="G3231" s="24"/>
      <c r="H3231" s="24"/>
      <c r="J3231" s="24"/>
      <c r="K3231" s="24"/>
      <c r="M3231" s="24"/>
      <c r="N3231" s="24"/>
      <c r="P3231" s="24"/>
    </row>
    <row r="3232" spans="2:16" x14ac:dyDescent="0.25">
      <c r="B3232" s="24"/>
      <c r="E3232" s="24"/>
      <c r="G3232" s="24"/>
      <c r="H3232" s="24"/>
      <c r="J3232" s="24"/>
      <c r="K3232" s="24"/>
      <c r="M3232" s="24"/>
      <c r="N3232" s="24"/>
      <c r="P3232" s="24"/>
    </row>
    <row r="3233" spans="2:16" x14ac:dyDescent="0.25">
      <c r="B3233" s="24"/>
      <c r="E3233" s="24"/>
      <c r="G3233" s="24"/>
      <c r="H3233" s="24"/>
      <c r="J3233" s="24"/>
      <c r="K3233" s="24"/>
      <c r="M3233" s="24"/>
      <c r="N3233" s="24"/>
      <c r="P3233" s="24"/>
    </row>
    <row r="3234" spans="2:16" x14ac:dyDescent="0.25">
      <c r="B3234" s="24"/>
      <c r="E3234" s="24"/>
      <c r="G3234" s="24"/>
      <c r="H3234" s="24"/>
      <c r="J3234" s="24"/>
      <c r="K3234" s="24"/>
      <c r="M3234" s="24"/>
      <c r="N3234" s="24"/>
      <c r="P3234" s="24"/>
    </row>
    <row r="3235" spans="2:16" x14ac:dyDescent="0.25">
      <c r="B3235" s="24"/>
      <c r="E3235" s="24"/>
      <c r="G3235" s="24"/>
      <c r="H3235" s="24"/>
      <c r="J3235" s="24"/>
      <c r="K3235" s="24"/>
      <c r="M3235" s="24"/>
      <c r="N3235" s="24"/>
      <c r="P3235" s="24"/>
    </row>
    <row r="3236" spans="2:16" x14ac:dyDescent="0.25">
      <c r="B3236" s="24"/>
      <c r="E3236" s="24"/>
      <c r="G3236" s="24"/>
      <c r="H3236" s="24"/>
      <c r="J3236" s="24"/>
      <c r="K3236" s="24"/>
      <c r="M3236" s="24"/>
      <c r="N3236" s="24"/>
      <c r="P3236" s="24"/>
    </row>
    <row r="3237" spans="2:16" x14ac:dyDescent="0.25">
      <c r="B3237" s="24"/>
      <c r="E3237" s="24"/>
      <c r="G3237" s="24"/>
      <c r="H3237" s="24"/>
      <c r="J3237" s="24"/>
      <c r="K3237" s="24"/>
      <c r="M3237" s="24"/>
      <c r="N3237" s="24"/>
      <c r="P3237" s="24"/>
    </row>
    <row r="3238" spans="2:16" x14ac:dyDescent="0.25">
      <c r="B3238" s="24"/>
      <c r="E3238" s="24"/>
      <c r="G3238" s="24"/>
      <c r="H3238" s="24"/>
      <c r="J3238" s="24"/>
      <c r="K3238" s="24"/>
      <c r="M3238" s="24"/>
      <c r="N3238" s="24"/>
      <c r="P3238" s="24"/>
    </row>
    <row r="3239" spans="2:16" x14ac:dyDescent="0.25">
      <c r="B3239" s="24"/>
      <c r="E3239" s="24"/>
      <c r="G3239" s="24"/>
      <c r="H3239" s="24"/>
      <c r="J3239" s="24"/>
      <c r="K3239" s="24"/>
      <c r="M3239" s="24"/>
      <c r="N3239" s="24"/>
      <c r="P3239" s="24"/>
    </row>
    <row r="3240" spans="2:16" x14ac:dyDescent="0.25">
      <c r="B3240" s="24"/>
      <c r="E3240" s="24"/>
      <c r="G3240" s="24"/>
      <c r="H3240" s="24"/>
      <c r="J3240" s="24"/>
      <c r="K3240" s="24"/>
      <c r="M3240" s="24"/>
      <c r="N3240" s="24"/>
      <c r="P3240" s="24"/>
    </row>
    <row r="3241" spans="2:16" x14ac:dyDescent="0.25">
      <c r="B3241" s="24"/>
      <c r="E3241" s="24"/>
      <c r="G3241" s="24"/>
      <c r="H3241" s="24"/>
      <c r="J3241" s="24"/>
      <c r="K3241" s="24"/>
      <c r="M3241" s="24"/>
      <c r="N3241" s="24"/>
      <c r="P3241" s="24"/>
    </row>
    <row r="3242" spans="2:16" x14ac:dyDescent="0.25">
      <c r="B3242" s="24"/>
      <c r="E3242" s="24"/>
      <c r="G3242" s="24"/>
      <c r="H3242" s="24"/>
      <c r="J3242" s="24"/>
      <c r="K3242" s="24"/>
      <c r="M3242" s="24"/>
      <c r="N3242" s="24"/>
      <c r="P3242" s="24"/>
    </row>
    <row r="3243" spans="2:16" x14ac:dyDescent="0.25">
      <c r="B3243" s="24"/>
      <c r="E3243" s="24"/>
      <c r="G3243" s="24"/>
      <c r="H3243" s="24"/>
      <c r="J3243" s="24"/>
      <c r="K3243" s="24"/>
      <c r="M3243" s="24"/>
      <c r="N3243" s="24"/>
      <c r="P3243" s="24"/>
    </row>
    <row r="3244" spans="2:16" x14ac:dyDescent="0.25">
      <c r="B3244" s="24"/>
      <c r="E3244" s="24"/>
      <c r="G3244" s="24"/>
      <c r="H3244" s="24"/>
      <c r="J3244" s="24"/>
      <c r="K3244" s="24"/>
      <c r="M3244" s="24"/>
      <c r="N3244" s="24"/>
      <c r="P3244" s="24"/>
    </row>
    <row r="3245" spans="2:16" x14ac:dyDescent="0.25">
      <c r="B3245" s="24"/>
      <c r="E3245" s="24"/>
      <c r="G3245" s="24"/>
      <c r="H3245" s="24"/>
      <c r="J3245" s="24"/>
      <c r="K3245" s="24"/>
      <c r="M3245" s="24"/>
      <c r="N3245" s="24"/>
      <c r="P3245" s="24"/>
    </row>
    <row r="3246" spans="2:16" x14ac:dyDescent="0.25">
      <c r="B3246" s="24"/>
      <c r="E3246" s="24"/>
      <c r="G3246" s="24"/>
      <c r="H3246" s="24"/>
      <c r="J3246" s="24"/>
      <c r="K3246" s="24"/>
      <c r="M3246" s="24"/>
      <c r="N3246" s="24"/>
      <c r="P3246" s="24"/>
    </row>
    <row r="3247" spans="2:16" x14ac:dyDescent="0.25">
      <c r="B3247" s="24"/>
      <c r="E3247" s="24"/>
      <c r="G3247" s="24"/>
      <c r="H3247" s="24"/>
      <c r="J3247" s="24"/>
      <c r="K3247" s="24"/>
      <c r="M3247" s="24"/>
      <c r="N3247" s="24"/>
      <c r="P3247" s="24"/>
    </row>
    <row r="3248" spans="2:16" x14ac:dyDescent="0.25">
      <c r="B3248" s="24"/>
      <c r="E3248" s="24"/>
      <c r="G3248" s="24"/>
      <c r="H3248" s="24"/>
      <c r="J3248" s="24"/>
      <c r="K3248" s="24"/>
      <c r="M3248" s="24"/>
      <c r="N3248" s="24"/>
      <c r="P3248" s="24"/>
    </row>
    <row r="3249" spans="2:16" x14ac:dyDescent="0.25">
      <c r="B3249" s="24"/>
      <c r="E3249" s="24"/>
      <c r="G3249" s="24"/>
      <c r="H3249" s="24"/>
      <c r="J3249" s="24"/>
      <c r="K3249" s="24"/>
      <c r="M3249" s="24"/>
      <c r="N3249" s="24"/>
      <c r="P3249" s="24"/>
    </row>
    <row r="3250" spans="2:16" x14ac:dyDescent="0.25">
      <c r="B3250" s="24"/>
      <c r="E3250" s="24"/>
      <c r="G3250" s="24"/>
      <c r="H3250" s="24"/>
      <c r="J3250" s="24"/>
      <c r="K3250" s="24"/>
      <c r="M3250" s="24"/>
      <c r="N3250" s="24"/>
      <c r="P3250" s="24"/>
    </row>
    <row r="3251" spans="2:16" x14ac:dyDescent="0.25">
      <c r="B3251" s="24"/>
      <c r="E3251" s="24"/>
      <c r="G3251" s="24"/>
      <c r="H3251" s="24"/>
      <c r="J3251" s="24"/>
      <c r="K3251" s="24"/>
      <c r="M3251" s="24"/>
      <c r="N3251" s="24"/>
      <c r="P3251" s="24"/>
    </row>
    <row r="3252" spans="2:16" x14ac:dyDescent="0.25">
      <c r="B3252" s="24"/>
      <c r="E3252" s="24"/>
      <c r="G3252" s="24"/>
      <c r="H3252" s="24"/>
      <c r="J3252" s="24"/>
      <c r="K3252" s="24"/>
      <c r="M3252" s="24"/>
      <c r="N3252" s="24"/>
      <c r="P3252" s="24"/>
    </row>
    <row r="3253" spans="2:16" x14ac:dyDescent="0.25">
      <c r="B3253" s="24"/>
      <c r="E3253" s="24"/>
      <c r="G3253" s="24"/>
      <c r="H3253" s="24"/>
      <c r="J3253" s="24"/>
      <c r="K3253" s="24"/>
      <c r="M3253" s="24"/>
      <c r="N3253" s="24"/>
      <c r="P3253" s="24"/>
    </row>
    <row r="3254" spans="2:16" x14ac:dyDescent="0.25">
      <c r="B3254" s="24"/>
      <c r="E3254" s="24"/>
      <c r="G3254" s="24"/>
      <c r="H3254" s="24"/>
      <c r="J3254" s="24"/>
      <c r="K3254" s="24"/>
      <c r="M3254" s="24"/>
      <c r="N3254" s="24"/>
      <c r="P3254" s="24"/>
    </row>
    <row r="3255" spans="2:16" x14ac:dyDescent="0.25">
      <c r="B3255" s="24"/>
      <c r="E3255" s="24"/>
      <c r="G3255" s="24"/>
      <c r="H3255" s="24"/>
      <c r="J3255" s="24"/>
      <c r="K3255" s="24"/>
      <c r="M3255" s="24"/>
      <c r="N3255" s="24"/>
      <c r="P3255" s="24"/>
    </row>
    <row r="3256" spans="2:16" x14ac:dyDescent="0.25">
      <c r="B3256" s="24"/>
      <c r="E3256" s="24"/>
      <c r="G3256" s="24"/>
      <c r="H3256" s="24"/>
      <c r="J3256" s="24"/>
      <c r="K3256" s="24"/>
      <c r="M3256" s="24"/>
      <c r="N3256" s="24"/>
      <c r="P3256" s="24"/>
    </row>
    <row r="3257" spans="2:16" x14ac:dyDescent="0.25">
      <c r="B3257" s="24"/>
      <c r="E3257" s="24"/>
      <c r="G3257" s="24"/>
      <c r="H3257" s="24"/>
      <c r="J3257" s="24"/>
      <c r="K3257" s="24"/>
      <c r="M3257" s="24"/>
      <c r="N3257" s="24"/>
      <c r="P3257" s="24"/>
    </row>
    <row r="3258" spans="2:16" x14ac:dyDescent="0.25">
      <c r="B3258" s="24"/>
      <c r="E3258" s="24"/>
      <c r="G3258" s="24"/>
      <c r="H3258" s="24"/>
      <c r="J3258" s="24"/>
      <c r="K3258" s="24"/>
      <c r="M3258" s="24"/>
      <c r="N3258" s="24"/>
      <c r="P3258" s="24"/>
    </row>
    <row r="3259" spans="2:16" x14ac:dyDescent="0.25">
      <c r="B3259" s="24"/>
      <c r="E3259" s="24"/>
      <c r="G3259" s="24"/>
      <c r="H3259" s="24"/>
      <c r="J3259" s="24"/>
      <c r="K3259" s="24"/>
      <c r="M3259" s="24"/>
      <c r="N3259" s="24"/>
      <c r="P3259" s="24"/>
    </row>
    <row r="3260" spans="2:16" x14ac:dyDescent="0.25">
      <c r="B3260" s="24"/>
      <c r="E3260" s="24"/>
      <c r="G3260" s="24"/>
      <c r="H3260" s="24"/>
      <c r="J3260" s="24"/>
      <c r="K3260" s="24"/>
      <c r="M3260" s="24"/>
      <c r="N3260" s="24"/>
      <c r="P3260" s="24"/>
    </row>
    <row r="3261" spans="2:16" x14ac:dyDescent="0.25">
      <c r="B3261" s="24"/>
      <c r="E3261" s="24"/>
      <c r="G3261" s="24"/>
      <c r="H3261" s="24"/>
      <c r="J3261" s="24"/>
      <c r="K3261" s="24"/>
      <c r="M3261" s="24"/>
      <c r="N3261" s="24"/>
      <c r="P3261" s="24"/>
    </row>
    <row r="3262" spans="2:16" x14ac:dyDescent="0.25">
      <c r="B3262" s="24"/>
      <c r="E3262" s="24"/>
      <c r="G3262" s="24"/>
      <c r="H3262" s="24"/>
      <c r="J3262" s="24"/>
      <c r="K3262" s="24"/>
      <c r="M3262" s="24"/>
      <c r="N3262" s="24"/>
      <c r="P3262" s="24"/>
    </row>
    <row r="3263" spans="2:16" x14ac:dyDescent="0.25">
      <c r="B3263" s="24"/>
      <c r="E3263" s="24"/>
      <c r="G3263" s="24"/>
      <c r="H3263" s="24"/>
      <c r="J3263" s="24"/>
      <c r="K3263" s="24"/>
      <c r="M3263" s="24"/>
      <c r="N3263" s="24"/>
      <c r="P3263" s="24"/>
    </row>
    <row r="3264" spans="2:16" x14ac:dyDescent="0.25">
      <c r="B3264" s="24"/>
      <c r="E3264" s="24"/>
      <c r="G3264" s="24"/>
      <c r="H3264" s="24"/>
      <c r="J3264" s="24"/>
      <c r="K3264" s="24"/>
      <c r="M3264" s="24"/>
      <c r="N3264" s="24"/>
      <c r="P3264" s="24"/>
    </row>
    <row r="3265" spans="2:16" x14ac:dyDescent="0.25">
      <c r="B3265" s="24"/>
      <c r="E3265" s="24"/>
      <c r="G3265" s="24"/>
      <c r="H3265" s="24"/>
      <c r="J3265" s="24"/>
      <c r="K3265" s="24"/>
      <c r="M3265" s="24"/>
      <c r="N3265" s="24"/>
      <c r="P3265" s="24"/>
    </row>
    <row r="3266" spans="2:16" x14ac:dyDescent="0.25">
      <c r="B3266" s="24"/>
      <c r="E3266" s="24"/>
      <c r="G3266" s="24"/>
      <c r="H3266" s="24"/>
      <c r="J3266" s="24"/>
      <c r="K3266" s="24"/>
      <c r="M3266" s="24"/>
      <c r="N3266" s="24"/>
      <c r="P3266" s="24"/>
    </row>
    <row r="3267" spans="2:16" x14ac:dyDescent="0.25">
      <c r="B3267" s="24"/>
      <c r="E3267" s="24"/>
      <c r="G3267" s="24"/>
      <c r="H3267" s="24"/>
      <c r="J3267" s="24"/>
      <c r="K3267" s="24"/>
      <c r="M3267" s="24"/>
      <c r="N3267" s="24"/>
      <c r="P3267" s="24"/>
    </row>
    <row r="3268" spans="2:16" x14ac:dyDescent="0.25">
      <c r="B3268" s="24"/>
      <c r="E3268" s="24"/>
      <c r="G3268" s="24"/>
      <c r="H3268" s="24"/>
      <c r="J3268" s="24"/>
      <c r="K3268" s="24"/>
      <c r="M3268" s="24"/>
      <c r="N3268" s="24"/>
      <c r="P3268" s="24"/>
    </row>
    <row r="3269" spans="2:16" x14ac:dyDescent="0.25">
      <c r="B3269" s="24"/>
      <c r="E3269" s="24"/>
      <c r="G3269" s="24"/>
      <c r="H3269" s="24"/>
      <c r="J3269" s="24"/>
      <c r="K3269" s="24"/>
      <c r="M3269" s="24"/>
      <c r="N3269" s="24"/>
      <c r="P3269" s="24"/>
    </row>
    <row r="3270" spans="2:16" x14ac:dyDescent="0.25">
      <c r="B3270" s="24"/>
      <c r="E3270" s="24"/>
      <c r="G3270" s="24"/>
      <c r="H3270" s="24"/>
      <c r="J3270" s="24"/>
      <c r="K3270" s="24"/>
      <c r="M3270" s="24"/>
      <c r="N3270" s="24"/>
      <c r="P3270" s="24"/>
    </row>
    <row r="3271" spans="2:16" x14ac:dyDescent="0.25">
      <c r="B3271" s="24"/>
      <c r="E3271" s="24"/>
      <c r="G3271" s="24"/>
      <c r="H3271" s="24"/>
      <c r="J3271" s="24"/>
      <c r="K3271" s="24"/>
      <c r="M3271" s="24"/>
      <c r="N3271" s="24"/>
      <c r="P3271" s="24"/>
    </row>
    <row r="3272" spans="2:16" x14ac:dyDescent="0.25">
      <c r="B3272" s="24"/>
      <c r="E3272" s="24"/>
      <c r="G3272" s="24"/>
      <c r="H3272" s="24"/>
      <c r="J3272" s="24"/>
      <c r="K3272" s="24"/>
      <c r="M3272" s="24"/>
      <c r="N3272" s="24"/>
      <c r="P3272" s="24"/>
    </row>
    <row r="3273" spans="2:16" x14ac:dyDescent="0.25">
      <c r="B3273" s="24"/>
      <c r="E3273" s="24"/>
      <c r="G3273" s="24"/>
      <c r="H3273" s="24"/>
      <c r="J3273" s="24"/>
      <c r="K3273" s="24"/>
      <c r="M3273" s="24"/>
      <c r="N3273" s="24"/>
      <c r="P3273" s="24"/>
    </row>
    <row r="3274" spans="2:16" x14ac:dyDescent="0.25">
      <c r="B3274" s="24"/>
      <c r="E3274" s="24"/>
      <c r="G3274" s="24"/>
      <c r="H3274" s="24"/>
      <c r="J3274" s="24"/>
      <c r="K3274" s="24"/>
      <c r="M3274" s="24"/>
      <c r="N3274" s="24"/>
      <c r="P3274" s="24"/>
    </row>
    <row r="3275" spans="2:16" x14ac:dyDescent="0.25">
      <c r="B3275" s="24"/>
      <c r="E3275" s="24"/>
      <c r="G3275" s="24"/>
      <c r="H3275" s="24"/>
      <c r="J3275" s="24"/>
      <c r="K3275" s="24"/>
      <c r="M3275" s="24"/>
      <c r="N3275" s="24"/>
      <c r="P3275" s="24"/>
    </row>
    <row r="3276" spans="2:16" x14ac:dyDescent="0.25">
      <c r="B3276" s="24"/>
      <c r="E3276" s="24"/>
      <c r="G3276" s="24"/>
      <c r="H3276" s="24"/>
      <c r="J3276" s="24"/>
      <c r="K3276" s="24"/>
      <c r="M3276" s="24"/>
      <c r="N3276" s="24"/>
      <c r="P3276" s="24"/>
    </row>
    <row r="3277" spans="2:16" x14ac:dyDescent="0.25">
      <c r="B3277" s="24"/>
      <c r="E3277" s="24"/>
      <c r="G3277" s="24"/>
      <c r="H3277" s="24"/>
      <c r="J3277" s="24"/>
      <c r="K3277" s="24"/>
      <c r="M3277" s="24"/>
      <c r="N3277" s="24"/>
      <c r="P3277" s="24"/>
    </row>
    <row r="3278" spans="2:16" x14ac:dyDescent="0.25">
      <c r="B3278" s="24"/>
      <c r="E3278" s="24"/>
      <c r="G3278" s="24"/>
      <c r="H3278" s="24"/>
      <c r="J3278" s="24"/>
      <c r="K3278" s="24"/>
      <c r="M3278" s="24"/>
      <c r="N3278" s="24"/>
      <c r="P3278" s="24"/>
    </row>
    <row r="3279" spans="2:16" x14ac:dyDescent="0.25">
      <c r="B3279" s="24"/>
      <c r="E3279" s="24"/>
      <c r="G3279" s="24"/>
      <c r="H3279" s="24"/>
      <c r="J3279" s="24"/>
      <c r="K3279" s="24"/>
      <c r="M3279" s="24"/>
      <c r="N3279" s="24"/>
      <c r="P3279" s="24"/>
    </row>
    <row r="3280" spans="2:16" x14ac:dyDescent="0.25">
      <c r="B3280" s="24"/>
      <c r="E3280" s="24"/>
      <c r="G3280" s="24"/>
      <c r="H3280" s="24"/>
      <c r="J3280" s="24"/>
      <c r="K3280" s="24"/>
      <c r="M3280" s="24"/>
      <c r="N3280" s="24"/>
      <c r="P3280" s="24"/>
    </row>
    <row r="3281" spans="2:16" x14ac:dyDescent="0.25">
      <c r="B3281" s="24"/>
      <c r="E3281" s="24"/>
      <c r="G3281" s="24"/>
      <c r="H3281" s="24"/>
      <c r="J3281" s="24"/>
      <c r="K3281" s="24"/>
      <c r="M3281" s="24"/>
      <c r="N3281" s="24"/>
      <c r="P3281" s="24"/>
    </row>
    <row r="3282" spans="2:16" x14ac:dyDescent="0.25">
      <c r="B3282" s="24"/>
      <c r="E3282" s="24"/>
      <c r="G3282" s="24"/>
      <c r="H3282" s="24"/>
      <c r="J3282" s="24"/>
      <c r="K3282" s="24"/>
      <c r="M3282" s="24"/>
      <c r="N3282" s="24"/>
      <c r="P3282" s="24"/>
    </row>
    <row r="3283" spans="2:16" x14ac:dyDescent="0.25">
      <c r="B3283" s="24"/>
      <c r="E3283" s="24"/>
      <c r="G3283" s="24"/>
      <c r="H3283" s="24"/>
      <c r="J3283" s="24"/>
      <c r="K3283" s="24"/>
      <c r="M3283" s="24"/>
      <c r="N3283" s="24"/>
      <c r="P3283" s="24"/>
    </row>
    <row r="3284" spans="2:16" x14ac:dyDescent="0.25">
      <c r="B3284" s="24"/>
      <c r="E3284" s="24"/>
      <c r="G3284" s="24"/>
      <c r="H3284" s="24"/>
      <c r="J3284" s="24"/>
      <c r="K3284" s="24"/>
      <c r="M3284" s="24"/>
      <c r="N3284" s="24"/>
      <c r="P3284" s="24"/>
    </row>
    <row r="3285" spans="2:16" x14ac:dyDescent="0.25">
      <c r="B3285" s="24"/>
      <c r="E3285" s="24"/>
      <c r="G3285" s="24"/>
      <c r="H3285" s="24"/>
      <c r="J3285" s="24"/>
      <c r="K3285" s="24"/>
      <c r="M3285" s="24"/>
      <c r="N3285" s="24"/>
      <c r="P3285" s="24"/>
    </row>
    <row r="3286" spans="2:16" x14ac:dyDescent="0.25">
      <c r="B3286" s="24"/>
      <c r="E3286" s="24"/>
      <c r="G3286" s="24"/>
      <c r="H3286" s="24"/>
      <c r="J3286" s="24"/>
      <c r="K3286" s="24"/>
      <c r="M3286" s="24"/>
      <c r="N3286" s="24"/>
      <c r="P3286" s="24"/>
    </row>
    <row r="3287" spans="2:16" x14ac:dyDescent="0.25">
      <c r="B3287" s="24"/>
      <c r="E3287" s="24"/>
      <c r="G3287" s="24"/>
      <c r="H3287" s="24"/>
      <c r="J3287" s="24"/>
      <c r="K3287" s="24"/>
      <c r="M3287" s="24"/>
      <c r="N3287" s="24"/>
      <c r="P3287" s="24"/>
    </row>
    <row r="3288" spans="2:16" x14ac:dyDescent="0.25">
      <c r="B3288" s="24"/>
      <c r="E3288" s="24"/>
      <c r="G3288" s="24"/>
      <c r="H3288" s="24"/>
      <c r="J3288" s="24"/>
      <c r="K3288" s="24"/>
      <c r="M3288" s="24"/>
      <c r="N3288" s="24"/>
      <c r="P3288" s="24"/>
    </row>
    <row r="3289" spans="2:16" x14ac:dyDescent="0.25">
      <c r="B3289" s="24"/>
      <c r="E3289" s="24"/>
      <c r="G3289" s="24"/>
      <c r="H3289" s="24"/>
      <c r="J3289" s="24"/>
      <c r="K3289" s="24"/>
      <c r="M3289" s="24"/>
      <c r="N3289" s="24"/>
      <c r="P3289" s="24"/>
    </row>
    <row r="3290" spans="2:16" x14ac:dyDescent="0.25">
      <c r="B3290" s="24"/>
      <c r="E3290" s="24"/>
      <c r="G3290" s="24"/>
      <c r="H3290" s="24"/>
      <c r="J3290" s="24"/>
      <c r="K3290" s="24"/>
      <c r="M3290" s="24"/>
      <c r="N3290" s="24"/>
      <c r="P3290" s="24"/>
    </row>
    <row r="3291" spans="2:16" x14ac:dyDescent="0.25">
      <c r="B3291" s="24"/>
      <c r="E3291" s="24"/>
      <c r="G3291" s="24"/>
      <c r="H3291" s="24"/>
      <c r="J3291" s="24"/>
      <c r="K3291" s="24"/>
      <c r="M3291" s="24"/>
      <c r="N3291" s="24"/>
      <c r="P3291" s="24"/>
    </row>
    <row r="3292" spans="2:16" x14ac:dyDescent="0.25">
      <c r="B3292" s="24"/>
      <c r="E3292" s="24"/>
      <c r="G3292" s="24"/>
      <c r="H3292" s="24"/>
      <c r="J3292" s="24"/>
      <c r="K3292" s="24"/>
      <c r="M3292" s="24"/>
      <c r="N3292" s="24"/>
      <c r="P3292" s="24"/>
    </row>
    <row r="3293" spans="2:16" x14ac:dyDescent="0.25">
      <c r="B3293" s="24"/>
      <c r="E3293" s="24"/>
      <c r="G3293" s="24"/>
      <c r="H3293" s="24"/>
      <c r="J3293" s="24"/>
      <c r="K3293" s="24"/>
      <c r="M3293" s="24"/>
      <c r="N3293" s="24"/>
      <c r="P3293" s="24"/>
    </row>
    <row r="3294" spans="2:16" x14ac:dyDescent="0.25">
      <c r="B3294" s="24"/>
      <c r="E3294" s="24"/>
      <c r="G3294" s="24"/>
      <c r="H3294" s="24"/>
      <c r="J3294" s="24"/>
      <c r="K3294" s="24"/>
      <c r="M3294" s="24"/>
      <c r="N3294" s="24"/>
      <c r="P3294" s="24"/>
    </row>
    <row r="3295" spans="2:16" x14ac:dyDescent="0.25">
      <c r="B3295" s="24"/>
      <c r="E3295" s="24"/>
      <c r="G3295" s="24"/>
      <c r="H3295" s="24"/>
      <c r="J3295" s="24"/>
      <c r="K3295" s="24"/>
      <c r="M3295" s="24"/>
      <c r="N3295" s="24"/>
      <c r="P3295" s="24"/>
    </row>
    <row r="3296" spans="2:16" x14ac:dyDescent="0.25">
      <c r="B3296" s="24"/>
      <c r="E3296" s="24"/>
      <c r="G3296" s="24"/>
      <c r="H3296" s="24"/>
      <c r="J3296" s="24"/>
      <c r="K3296" s="24"/>
      <c r="M3296" s="24"/>
      <c r="N3296" s="24"/>
      <c r="P3296" s="24"/>
    </row>
    <row r="3297" spans="2:16" x14ac:dyDescent="0.25">
      <c r="B3297" s="24"/>
      <c r="E3297" s="24"/>
      <c r="G3297" s="24"/>
      <c r="H3297" s="24"/>
      <c r="J3297" s="24"/>
      <c r="K3297" s="24"/>
      <c r="M3297" s="24"/>
      <c r="N3297" s="24"/>
      <c r="P3297" s="24"/>
    </row>
    <row r="3298" spans="2:16" x14ac:dyDescent="0.25">
      <c r="B3298" s="24"/>
      <c r="E3298" s="24"/>
      <c r="G3298" s="24"/>
      <c r="H3298" s="24"/>
      <c r="J3298" s="24"/>
      <c r="K3298" s="24"/>
      <c r="M3298" s="24"/>
      <c r="N3298" s="24"/>
      <c r="P3298" s="24"/>
    </row>
    <row r="3299" spans="2:16" x14ac:dyDescent="0.25">
      <c r="B3299" s="24"/>
      <c r="E3299" s="24"/>
      <c r="G3299" s="24"/>
      <c r="H3299" s="24"/>
      <c r="J3299" s="24"/>
      <c r="K3299" s="24"/>
      <c r="M3299" s="24"/>
      <c r="N3299" s="24"/>
      <c r="P3299" s="24"/>
    </row>
    <row r="3300" spans="2:16" x14ac:dyDescent="0.25">
      <c r="B3300" s="24"/>
      <c r="E3300" s="24"/>
      <c r="G3300" s="24"/>
      <c r="H3300" s="24"/>
      <c r="J3300" s="24"/>
      <c r="K3300" s="24"/>
      <c r="M3300" s="24"/>
      <c r="N3300" s="24"/>
      <c r="P3300" s="24"/>
    </row>
    <row r="3301" spans="2:16" x14ac:dyDescent="0.25">
      <c r="B3301" s="24"/>
      <c r="E3301" s="24"/>
      <c r="G3301" s="24"/>
      <c r="H3301" s="24"/>
      <c r="J3301" s="24"/>
      <c r="K3301" s="24"/>
      <c r="M3301" s="24"/>
      <c r="N3301" s="24"/>
      <c r="P3301" s="24"/>
    </row>
    <row r="3302" spans="2:16" x14ac:dyDescent="0.25">
      <c r="B3302" s="24"/>
      <c r="E3302" s="24"/>
      <c r="G3302" s="24"/>
      <c r="H3302" s="24"/>
      <c r="J3302" s="24"/>
      <c r="K3302" s="24"/>
      <c r="M3302" s="24"/>
      <c r="N3302" s="24"/>
      <c r="P3302" s="24"/>
    </row>
    <row r="3303" spans="2:16" x14ac:dyDescent="0.25">
      <c r="B3303" s="24"/>
      <c r="E3303" s="24"/>
      <c r="G3303" s="24"/>
      <c r="H3303" s="24"/>
      <c r="J3303" s="24"/>
      <c r="K3303" s="24"/>
      <c r="M3303" s="24"/>
      <c r="N3303" s="24"/>
      <c r="P3303" s="24"/>
    </row>
    <row r="3304" spans="2:16" x14ac:dyDescent="0.25">
      <c r="B3304" s="24"/>
      <c r="E3304" s="24"/>
      <c r="G3304" s="24"/>
      <c r="H3304" s="24"/>
      <c r="J3304" s="24"/>
      <c r="K3304" s="24"/>
      <c r="M3304" s="24"/>
      <c r="N3304" s="24"/>
      <c r="P3304" s="24"/>
    </row>
    <row r="3305" spans="2:16" x14ac:dyDescent="0.25">
      <c r="B3305" s="24"/>
      <c r="E3305" s="24"/>
      <c r="G3305" s="24"/>
      <c r="H3305" s="24"/>
      <c r="J3305" s="24"/>
      <c r="K3305" s="24"/>
      <c r="M3305" s="24"/>
      <c r="N3305" s="24"/>
      <c r="P3305" s="24"/>
    </row>
    <row r="3306" spans="2:16" x14ac:dyDescent="0.25">
      <c r="B3306" s="24"/>
      <c r="E3306" s="24"/>
      <c r="G3306" s="24"/>
      <c r="H3306" s="24"/>
      <c r="J3306" s="24"/>
      <c r="K3306" s="24"/>
      <c r="M3306" s="24"/>
      <c r="N3306" s="24"/>
      <c r="P3306" s="24"/>
    </row>
    <row r="3307" spans="2:16" x14ac:dyDescent="0.25">
      <c r="B3307" s="24"/>
      <c r="E3307" s="24"/>
      <c r="G3307" s="24"/>
      <c r="H3307" s="24"/>
      <c r="J3307" s="24"/>
      <c r="K3307" s="24"/>
      <c r="M3307" s="24"/>
      <c r="N3307" s="24"/>
      <c r="P3307" s="24"/>
    </row>
    <row r="3308" spans="2:16" x14ac:dyDescent="0.25">
      <c r="B3308" s="24"/>
      <c r="E3308" s="24"/>
      <c r="G3308" s="24"/>
      <c r="H3308" s="24"/>
      <c r="J3308" s="24"/>
      <c r="K3308" s="24"/>
      <c r="M3308" s="24"/>
      <c r="N3308" s="24"/>
      <c r="P3308" s="24"/>
    </row>
    <row r="3309" spans="2:16" x14ac:dyDescent="0.25">
      <c r="B3309" s="24"/>
      <c r="E3309" s="24"/>
      <c r="G3309" s="24"/>
      <c r="H3309" s="24"/>
      <c r="J3309" s="24"/>
      <c r="K3309" s="24"/>
      <c r="M3309" s="24"/>
      <c r="N3309" s="24"/>
      <c r="P3309" s="24"/>
    </row>
    <row r="3310" spans="2:16" x14ac:dyDescent="0.25">
      <c r="B3310" s="24"/>
      <c r="E3310" s="24"/>
      <c r="G3310" s="24"/>
      <c r="H3310" s="24"/>
      <c r="J3310" s="24"/>
      <c r="K3310" s="24"/>
      <c r="M3310" s="24"/>
      <c r="N3310" s="24"/>
      <c r="P3310" s="24"/>
    </row>
    <row r="3311" spans="2:16" x14ac:dyDescent="0.25">
      <c r="B3311" s="24"/>
      <c r="E3311" s="24"/>
      <c r="G3311" s="24"/>
      <c r="H3311" s="24"/>
      <c r="J3311" s="24"/>
      <c r="K3311" s="24"/>
      <c r="M3311" s="24"/>
      <c r="N3311" s="24"/>
      <c r="P3311" s="24"/>
    </row>
    <row r="3312" spans="2:16" x14ac:dyDescent="0.25">
      <c r="B3312" s="24"/>
      <c r="E3312" s="24"/>
      <c r="G3312" s="24"/>
      <c r="H3312" s="24"/>
      <c r="J3312" s="24"/>
      <c r="K3312" s="24"/>
      <c r="M3312" s="24"/>
      <c r="N3312" s="24"/>
      <c r="P3312" s="24"/>
    </row>
    <row r="3313" spans="2:16" x14ac:dyDescent="0.25">
      <c r="B3313" s="24"/>
      <c r="E3313" s="24"/>
      <c r="G3313" s="24"/>
      <c r="H3313" s="24"/>
      <c r="J3313" s="24"/>
      <c r="K3313" s="24"/>
      <c r="M3313" s="24"/>
      <c r="N3313" s="24"/>
      <c r="P3313" s="24"/>
    </row>
    <row r="3314" spans="2:16" x14ac:dyDescent="0.25">
      <c r="B3314" s="24"/>
      <c r="E3314" s="24"/>
      <c r="G3314" s="24"/>
      <c r="H3314" s="24"/>
      <c r="J3314" s="24"/>
      <c r="K3314" s="24"/>
      <c r="M3314" s="24"/>
      <c r="N3314" s="24"/>
      <c r="P3314" s="24"/>
    </row>
    <row r="3315" spans="2:16" x14ac:dyDescent="0.25">
      <c r="B3315" s="24"/>
      <c r="E3315" s="24"/>
      <c r="G3315" s="24"/>
      <c r="H3315" s="24"/>
      <c r="J3315" s="24"/>
      <c r="K3315" s="24"/>
      <c r="M3315" s="24"/>
      <c r="N3315" s="24"/>
      <c r="P3315" s="24"/>
    </row>
    <row r="3316" spans="2:16" x14ac:dyDescent="0.25">
      <c r="B3316" s="24"/>
      <c r="E3316" s="24"/>
      <c r="G3316" s="24"/>
      <c r="H3316" s="24"/>
      <c r="J3316" s="24"/>
      <c r="K3316" s="24"/>
      <c r="M3316" s="24"/>
      <c r="N3316" s="24"/>
      <c r="P3316" s="24"/>
    </row>
    <row r="3317" spans="2:16" x14ac:dyDescent="0.25">
      <c r="B3317" s="24"/>
      <c r="E3317" s="24"/>
      <c r="G3317" s="24"/>
      <c r="H3317" s="24"/>
      <c r="J3317" s="24"/>
      <c r="K3317" s="24"/>
      <c r="M3317" s="24"/>
      <c r="N3317" s="24"/>
      <c r="P3317" s="24"/>
    </row>
    <row r="3318" spans="2:16" x14ac:dyDescent="0.25">
      <c r="B3318" s="24"/>
      <c r="E3318" s="24"/>
      <c r="G3318" s="24"/>
      <c r="H3318" s="24"/>
      <c r="J3318" s="24"/>
      <c r="K3318" s="24"/>
      <c r="M3318" s="24"/>
      <c r="N3318" s="24"/>
      <c r="P3318" s="24"/>
    </row>
    <row r="3319" spans="2:16" x14ac:dyDescent="0.25">
      <c r="B3319" s="24"/>
      <c r="E3319" s="24"/>
      <c r="G3319" s="24"/>
      <c r="H3319" s="24"/>
      <c r="J3319" s="24"/>
      <c r="K3319" s="24"/>
      <c r="M3319" s="24"/>
      <c r="N3319" s="24"/>
      <c r="P3319" s="24"/>
    </row>
    <row r="3320" spans="2:16" x14ac:dyDescent="0.25">
      <c r="B3320" s="24"/>
      <c r="E3320" s="24"/>
      <c r="G3320" s="24"/>
      <c r="H3320" s="24"/>
      <c r="J3320" s="24"/>
      <c r="K3320" s="24"/>
      <c r="M3320" s="24"/>
      <c r="N3320" s="24"/>
      <c r="P3320" s="24"/>
    </row>
    <row r="3321" spans="2:16" x14ac:dyDescent="0.25">
      <c r="B3321" s="24"/>
      <c r="E3321" s="24"/>
      <c r="G3321" s="24"/>
      <c r="H3321" s="24"/>
      <c r="J3321" s="24"/>
      <c r="K3321" s="24"/>
      <c r="M3321" s="24"/>
      <c r="N3321" s="24"/>
      <c r="P3321" s="24"/>
    </row>
    <row r="3322" spans="2:16" x14ac:dyDescent="0.25">
      <c r="B3322" s="24"/>
      <c r="E3322" s="24"/>
      <c r="G3322" s="24"/>
      <c r="H3322" s="24"/>
      <c r="J3322" s="24"/>
      <c r="K3322" s="24"/>
      <c r="M3322" s="24"/>
      <c r="N3322" s="24"/>
      <c r="P3322" s="24"/>
    </row>
    <row r="3323" spans="2:16" x14ac:dyDescent="0.25">
      <c r="B3323" s="24"/>
      <c r="E3323" s="24"/>
      <c r="G3323" s="24"/>
      <c r="H3323" s="24"/>
      <c r="J3323" s="24"/>
      <c r="K3323" s="24"/>
      <c r="M3323" s="24"/>
      <c r="N3323" s="24"/>
      <c r="P3323" s="24"/>
    </row>
    <row r="3324" spans="2:16" x14ac:dyDescent="0.25">
      <c r="B3324" s="24"/>
      <c r="E3324" s="24"/>
      <c r="G3324" s="24"/>
      <c r="H3324" s="24"/>
      <c r="J3324" s="24"/>
      <c r="K3324" s="24"/>
      <c r="M3324" s="24"/>
      <c r="N3324" s="24"/>
      <c r="P3324" s="24"/>
    </row>
    <row r="3325" spans="2:16" x14ac:dyDescent="0.25">
      <c r="B3325" s="24"/>
      <c r="E3325" s="24"/>
      <c r="G3325" s="24"/>
      <c r="H3325" s="24"/>
      <c r="J3325" s="24"/>
      <c r="K3325" s="24"/>
      <c r="M3325" s="24"/>
      <c r="N3325" s="24"/>
      <c r="P3325" s="24"/>
    </row>
    <row r="3326" spans="2:16" x14ac:dyDescent="0.25">
      <c r="B3326" s="24"/>
      <c r="E3326" s="24"/>
      <c r="G3326" s="24"/>
      <c r="H3326" s="24"/>
      <c r="J3326" s="24"/>
      <c r="K3326" s="24"/>
      <c r="M3326" s="24"/>
      <c r="N3326" s="24"/>
      <c r="P3326" s="24"/>
    </row>
    <row r="3327" spans="2:16" x14ac:dyDescent="0.25">
      <c r="B3327" s="24"/>
      <c r="E3327" s="24"/>
      <c r="G3327" s="24"/>
      <c r="H3327" s="24"/>
      <c r="J3327" s="24"/>
      <c r="K3327" s="24"/>
      <c r="M3327" s="24"/>
      <c r="N3327" s="24"/>
      <c r="P3327" s="24"/>
    </row>
    <row r="3328" spans="2:16" x14ac:dyDescent="0.25">
      <c r="B3328" s="24"/>
      <c r="E3328" s="24"/>
      <c r="G3328" s="24"/>
      <c r="H3328" s="24"/>
      <c r="J3328" s="24"/>
      <c r="K3328" s="24"/>
      <c r="M3328" s="24"/>
      <c r="N3328" s="24"/>
      <c r="P3328" s="24"/>
    </row>
    <row r="3329" spans="2:16" x14ac:dyDescent="0.25">
      <c r="B3329" s="24"/>
      <c r="E3329" s="24"/>
      <c r="G3329" s="24"/>
      <c r="H3329" s="24"/>
      <c r="J3329" s="24"/>
      <c r="K3329" s="24"/>
      <c r="M3329" s="24"/>
      <c r="N3329" s="24"/>
      <c r="P3329" s="24"/>
    </row>
    <row r="3330" spans="2:16" x14ac:dyDescent="0.25">
      <c r="B3330" s="24"/>
      <c r="E3330" s="24"/>
      <c r="G3330" s="24"/>
      <c r="H3330" s="24"/>
      <c r="J3330" s="24"/>
      <c r="K3330" s="24"/>
      <c r="M3330" s="24"/>
      <c r="N3330" s="24"/>
      <c r="P3330" s="24"/>
    </row>
    <row r="3331" spans="2:16" x14ac:dyDescent="0.25">
      <c r="B3331" s="24"/>
      <c r="E3331" s="24"/>
      <c r="G3331" s="24"/>
      <c r="H3331" s="24"/>
      <c r="J3331" s="24"/>
      <c r="K3331" s="24"/>
      <c r="M3331" s="24"/>
      <c r="N3331" s="24"/>
      <c r="P3331" s="24"/>
    </row>
    <row r="3332" spans="2:16" x14ac:dyDescent="0.25">
      <c r="B3332" s="24"/>
      <c r="E3332" s="24"/>
      <c r="G3332" s="24"/>
      <c r="H3332" s="24"/>
      <c r="J3332" s="24"/>
      <c r="K3332" s="24"/>
      <c r="M3332" s="24"/>
      <c r="N3332" s="24"/>
      <c r="P3332" s="24"/>
    </row>
    <row r="3333" spans="2:16" x14ac:dyDescent="0.25">
      <c r="B3333" s="24"/>
      <c r="E3333" s="24"/>
      <c r="G3333" s="24"/>
      <c r="H3333" s="24"/>
      <c r="J3333" s="24"/>
      <c r="K3333" s="24"/>
      <c r="M3333" s="24"/>
      <c r="N3333" s="24"/>
      <c r="P3333" s="24"/>
    </row>
    <row r="3334" spans="2:16" x14ac:dyDescent="0.25">
      <c r="B3334" s="24"/>
      <c r="E3334" s="24"/>
      <c r="G3334" s="24"/>
      <c r="H3334" s="24"/>
      <c r="J3334" s="24"/>
      <c r="K3334" s="24"/>
      <c r="M3334" s="24"/>
      <c r="N3334" s="24"/>
      <c r="P3334" s="24"/>
    </row>
    <row r="3335" spans="2:16" x14ac:dyDescent="0.25">
      <c r="B3335" s="24"/>
      <c r="E3335" s="24"/>
      <c r="G3335" s="24"/>
      <c r="H3335" s="24"/>
      <c r="J3335" s="24"/>
      <c r="K3335" s="24"/>
      <c r="M3335" s="24"/>
      <c r="N3335" s="24"/>
      <c r="P3335" s="24"/>
    </row>
    <row r="3336" spans="2:16" x14ac:dyDescent="0.25">
      <c r="B3336" s="24"/>
      <c r="E3336" s="24"/>
      <c r="G3336" s="24"/>
      <c r="H3336" s="24"/>
      <c r="J3336" s="24"/>
      <c r="K3336" s="24"/>
      <c r="M3336" s="24"/>
      <c r="N3336" s="24"/>
      <c r="P3336" s="24"/>
    </row>
    <row r="3337" spans="2:16" x14ac:dyDescent="0.25">
      <c r="B3337" s="24"/>
      <c r="E3337" s="24"/>
      <c r="G3337" s="24"/>
      <c r="H3337" s="24"/>
      <c r="J3337" s="24"/>
      <c r="K3337" s="24"/>
      <c r="M3337" s="24"/>
      <c r="N3337" s="24"/>
      <c r="P3337" s="24"/>
    </row>
    <row r="3338" spans="2:16" x14ac:dyDescent="0.25">
      <c r="B3338" s="24"/>
      <c r="E3338" s="24"/>
      <c r="G3338" s="24"/>
      <c r="H3338" s="24"/>
      <c r="J3338" s="24"/>
      <c r="K3338" s="24"/>
      <c r="M3338" s="24"/>
      <c r="N3338" s="24"/>
      <c r="P3338" s="24"/>
    </row>
    <row r="3339" spans="2:16" x14ac:dyDescent="0.25">
      <c r="B3339" s="24"/>
      <c r="E3339" s="24"/>
      <c r="G3339" s="24"/>
      <c r="H3339" s="24"/>
      <c r="J3339" s="24"/>
      <c r="K3339" s="24"/>
      <c r="M3339" s="24"/>
      <c r="N3339" s="24"/>
      <c r="P3339" s="24"/>
    </row>
    <row r="3340" spans="2:16" x14ac:dyDescent="0.25">
      <c r="B3340" s="24"/>
      <c r="E3340" s="24"/>
      <c r="G3340" s="24"/>
      <c r="H3340" s="24"/>
      <c r="J3340" s="24"/>
      <c r="K3340" s="24"/>
      <c r="M3340" s="24"/>
      <c r="N3340" s="24"/>
      <c r="P3340" s="24"/>
    </row>
    <row r="3341" spans="2:16" x14ac:dyDescent="0.25">
      <c r="B3341" s="24"/>
      <c r="E3341" s="24"/>
      <c r="G3341" s="24"/>
      <c r="H3341" s="24"/>
      <c r="J3341" s="24"/>
      <c r="K3341" s="24"/>
      <c r="M3341" s="24"/>
      <c r="N3341" s="24"/>
      <c r="P3341" s="24"/>
    </row>
    <row r="3342" spans="2:16" x14ac:dyDescent="0.25">
      <c r="B3342" s="24"/>
      <c r="E3342" s="24"/>
      <c r="G3342" s="24"/>
      <c r="H3342" s="24"/>
      <c r="J3342" s="24"/>
      <c r="K3342" s="24"/>
      <c r="M3342" s="24"/>
      <c r="N3342" s="24"/>
      <c r="P3342" s="24"/>
    </row>
    <row r="3343" spans="2:16" x14ac:dyDescent="0.25">
      <c r="B3343" s="24"/>
      <c r="E3343" s="24"/>
      <c r="G3343" s="24"/>
      <c r="H3343" s="24"/>
      <c r="J3343" s="24"/>
      <c r="K3343" s="24"/>
      <c r="M3343" s="24"/>
      <c r="N3343" s="24"/>
      <c r="P3343" s="24"/>
    </row>
    <row r="3344" spans="2:16" x14ac:dyDescent="0.25">
      <c r="B3344" s="24"/>
      <c r="E3344" s="24"/>
      <c r="G3344" s="24"/>
      <c r="H3344" s="24"/>
      <c r="J3344" s="24"/>
      <c r="K3344" s="24"/>
      <c r="M3344" s="24"/>
      <c r="N3344" s="24"/>
      <c r="P3344" s="24"/>
    </row>
    <row r="3345" spans="2:16" x14ac:dyDescent="0.25">
      <c r="B3345" s="24"/>
      <c r="E3345" s="24"/>
      <c r="G3345" s="24"/>
      <c r="H3345" s="24"/>
      <c r="J3345" s="24"/>
      <c r="K3345" s="24"/>
      <c r="M3345" s="24"/>
      <c r="N3345" s="24"/>
      <c r="P3345" s="24"/>
    </row>
    <row r="3346" spans="2:16" x14ac:dyDescent="0.25">
      <c r="B3346" s="24"/>
      <c r="E3346" s="24"/>
      <c r="G3346" s="24"/>
      <c r="H3346" s="24"/>
      <c r="J3346" s="24"/>
      <c r="K3346" s="24"/>
      <c r="M3346" s="24"/>
      <c r="N3346" s="24"/>
      <c r="P3346" s="24"/>
    </row>
    <row r="3347" spans="2:16" x14ac:dyDescent="0.25">
      <c r="B3347" s="24"/>
      <c r="E3347" s="24"/>
      <c r="G3347" s="24"/>
      <c r="H3347" s="24"/>
      <c r="J3347" s="24"/>
      <c r="K3347" s="24"/>
      <c r="M3347" s="24"/>
      <c r="N3347" s="24"/>
      <c r="P3347" s="24"/>
    </row>
    <row r="3348" spans="2:16" x14ac:dyDescent="0.25">
      <c r="B3348" s="24"/>
      <c r="E3348" s="24"/>
      <c r="G3348" s="24"/>
      <c r="H3348" s="24"/>
      <c r="J3348" s="24"/>
      <c r="K3348" s="24"/>
      <c r="M3348" s="24"/>
      <c r="N3348" s="24"/>
      <c r="P3348" s="24"/>
    </row>
    <row r="3349" spans="2:16" x14ac:dyDescent="0.25">
      <c r="B3349" s="24"/>
      <c r="E3349" s="24"/>
      <c r="G3349" s="24"/>
      <c r="H3349" s="24"/>
      <c r="J3349" s="24"/>
      <c r="K3349" s="24"/>
      <c r="M3349" s="24"/>
      <c r="N3349" s="24"/>
      <c r="P3349" s="24"/>
    </row>
    <row r="3350" spans="2:16" x14ac:dyDescent="0.25">
      <c r="B3350" s="24"/>
      <c r="E3350" s="24"/>
      <c r="G3350" s="24"/>
      <c r="H3350" s="24"/>
      <c r="J3350" s="24"/>
      <c r="K3350" s="24"/>
      <c r="M3350" s="24"/>
      <c r="N3350" s="24"/>
      <c r="P3350" s="24"/>
    </row>
    <row r="3351" spans="2:16" x14ac:dyDescent="0.25">
      <c r="B3351" s="24"/>
      <c r="E3351" s="24"/>
      <c r="G3351" s="24"/>
      <c r="H3351" s="24"/>
      <c r="J3351" s="24"/>
      <c r="K3351" s="24"/>
      <c r="M3351" s="24"/>
      <c r="N3351" s="24"/>
      <c r="P3351" s="24"/>
    </row>
    <row r="3352" spans="2:16" x14ac:dyDescent="0.25">
      <c r="B3352" s="24"/>
      <c r="E3352" s="24"/>
      <c r="G3352" s="24"/>
      <c r="H3352" s="24"/>
      <c r="J3352" s="24"/>
      <c r="K3352" s="24"/>
      <c r="M3352" s="24"/>
      <c r="N3352" s="24"/>
      <c r="P3352" s="24"/>
    </row>
    <row r="3353" spans="2:16" x14ac:dyDescent="0.25">
      <c r="B3353" s="24"/>
      <c r="E3353" s="24"/>
      <c r="G3353" s="24"/>
      <c r="H3353" s="24"/>
      <c r="J3353" s="24"/>
      <c r="K3353" s="24"/>
      <c r="M3353" s="24"/>
      <c r="N3353" s="24"/>
      <c r="P3353" s="24"/>
    </row>
    <row r="3354" spans="2:16" x14ac:dyDescent="0.25">
      <c r="B3354" s="24"/>
      <c r="E3354" s="24"/>
      <c r="G3354" s="24"/>
      <c r="H3354" s="24"/>
      <c r="J3354" s="24"/>
      <c r="K3354" s="24"/>
      <c r="M3354" s="24"/>
      <c r="N3354" s="24"/>
      <c r="P3354" s="24"/>
    </row>
    <row r="3355" spans="2:16" x14ac:dyDescent="0.25">
      <c r="B3355" s="24"/>
      <c r="E3355" s="24"/>
      <c r="G3355" s="24"/>
      <c r="H3355" s="24"/>
      <c r="J3355" s="24"/>
      <c r="K3355" s="24"/>
      <c r="M3355" s="24"/>
      <c r="N3355" s="24"/>
      <c r="P3355" s="24"/>
    </row>
    <row r="3356" spans="2:16" x14ac:dyDescent="0.25">
      <c r="B3356" s="24"/>
      <c r="E3356" s="24"/>
      <c r="G3356" s="24"/>
      <c r="H3356" s="24"/>
      <c r="J3356" s="24"/>
      <c r="K3356" s="24"/>
      <c r="M3356" s="24"/>
      <c r="N3356" s="24"/>
      <c r="P3356" s="24"/>
    </row>
    <row r="3357" spans="2:16" x14ac:dyDescent="0.25">
      <c r="B3357" s="24"/>
      <c r="E3357" s="24"/>
      <c r="G3357" s="24"/>
      <c r="H3357" s="24"/>
      <c r="J3357" s="24"/>
      <c r="K3357" s="24"/>
      <c r="M3357" s="24"/>
      <c r="N3357" s="24"/>
      <c r="P3357" s="24"/>
    </row>
    <row r="3358" spans="2:16" x14ac:dyDescent="0.25">
      <c r="B3358" s="24"/>
      <c r="E3358" s="24"/>
      <c r="G3358" s="24"/>
      <c r="H3358" s="24"/>
      <c r="J3358" s="24"/>
      <c r="K3358" s="24"/>
      <c r="M3358" s="24"/>
      <c r="N3358" s="24"/>
      <c r="P3358" s="24"/>
    </row>
    <row r="3359" spans="2:16" x14ac:dyDescent="0.25">
      <c r="B3359" s="24"/>
      <c r="E3359" s="24"/>
      <c r="G3359" s="24"/>
      <c r="H3359" s="24"/>
      <c r="J3359" s="24"/>
      <c r="K3359" s="24"/>
      <c r="M3359" s="24"/>
      <c r="N3359" s="24"/>
      <c r="P3359" s="24"/>
    </row>
    <row r="3360" spans="2:16" x14ac:dyDescent="0.25">
      <c r="B3360" s="24"/>
      <c r="E3360" s="24"/>
      <c r="G3360" s="24"/>
      <c r="H3360" s="24"/>
      <c r="J3360" s="24"/>
      <c r="K3360" s="24"/>
      <c r="M3360" s="24"/>
      <c r="N3360" s="24"/>
      <c r="P3360" s="24"/>
    </row>
    <row r="3361" spans="2:16" x14ac:dyDescent="0.25">
      <c r="B3361" s="24"/>
      <c r="E3361" s="24"/>
      <c r="G3361" s="24"/>
      <c r="H3361" s="24"/>
      <c r="J3361" s="24"/>
      <c r="K3361" s="24"/>
      <c r="M3361" s="24"/>
      <c r="N3361" s="24"/>
      <c r="P3361" s="24"/>
    </row>
    <row r="3362" spans="2:16" x14ac:dyDescent="0.25">
      <c r="B3362" s="24"/>
      <c r="E3362" s="24"/>
      <c r="G3362" s="24"/>
      <c r="H3362" s="24"/>
      <c r="J3362" s="24"/>
      <c r="K3362" s="24"/>
      <c r="M3362" s="24"/>
      <c r="N3362" s="24"/>
      <c r="P3362" s="24"/>
    </row>
    <row r="3363" spans="2:16" x14ac:dyDescent="0.25">
      <c r="B3363" s="24"/>
      <c r="E3363" s="24"/>
      <c r="G3363" s="24"/>
      <c r="H3363" s="24"/>
      <c r="J3363" s="24"/>
      <c r="K3363" s="24"/>
      <c r="M3363" s="24"/>
      <c r="N3363" s="24"/>
      <c r="P3363" s="24"/>
    </row>
    <row r="3364" spans="2:16" x14ac:dyDescent="0.25">
      <c r="B3364" s="24"/>
      <c r="E3364" s="24"/>
      <c r="G3364" s="24"/>
      <c r="H3364" s="24"/>
      <c r="J3364" s="24"/>
      <c r="K3364" s="24"/>
      <c r="M3364" s="24"/>
      <c r="N3364" s="24"/>
      <c r="P3364" s="24"/>
    </row>
    <row r="3365" spans="2:16" x14ac:dyDescent="0.25">
      <c r="B3365" s="24"/>
      <c r="E3365" s="24"/>
      <c r="G3365" s="24"/>
      <c r="H3365" s="24"/>
      <c r="J3365" s="24"/>
      <c r="K3365" s="24"/>
      <c r="M3365" s="24"/>
      <c r="N3365" s="24"/>
      <c r="P3365" s="24"/>
    </row>
    <row r="3366" spans="2:16" x14ac:dyDescent="0.25">
      <c r="B3366" s="24"/>
      <c r="E3366" s="24"/>
      <c r="G3366" s="24"/>
      <c r="H3366" s="24"/>
      <c r="J3366" s="24"/>
      <c r="K3366" s="24"/>
      <c r="M3366" s="24"/>
      <c r="N3366" s="24"/>
      <c r="P3366" s="24"/>
    </row>
    <row r="3367" spans="2:16" x14ac:dyDescent="0.25">
      <c r="B3367" s="24"/>
      <c r="E3367" s="24"/>
      <c r="G3367" s="24"/>
      <c r="H3367" s="24"/>
      <c r="J3367" s="24"/>
      <c r="K3367" s="24"/>
      <c r="M3367" s="24"/>
      <c r="N3367" s="24"/>
      <c r="P3367" s="24"/>
    </row>
    <row r="3368" spans="2:16" x14ac:dyDescent="0.25">
      <c r="B3368" s="24"/>
      <c r="E3368" s="24"/>
      <c r="G3368" s="24"/>
      <c r="H3368" s="24"/>
      <c r="J3368" s="24"/>
      <c r="K3368" s="24"/>
      <c r="M3368" s="24"/>
      <c r="N3368" s="24"/>
      <c r="P3368" s="24"/>
    </row>
    <row r="3369" spans="2:16" x14ac:dyDescent="0.25">
      <c r="B3369" s="24"/>
      <c r="E3369" s="24"/>
      <c r="G3369" s="24"/>
      <c r="H3369" s="24"/>
      <c r="J3369" s="24"/>
      <c r="K3369" s="24"/>
      <c r="M3369" s="24"/>
      <c r="N3369" s="24"/>
      <c r="P3369" s="24"/>
    </row>
    <row r="3370" spans="2:16" x14ac:dyDescent="0.25">
      <c r="B3370" s="24"/>
      <c r="E3370" s="24"/>
      <c r="G3370" s="24"/>
      <c r="H3370" s="24"/>
      <c r="J3370" s="24"/>
      <c r="K3370" s="24"/>
      <c r="M3370" s="24"/>
      <c r="N3370" s="24"/>
      <c r="P3370" s="24"/>
    </row>
    <row r="3371" spans="2:16" x14ac:dyDescent="0.25">
      <c r="B3371" s="24"/>
      <c r="E3371" s="24"/>
      <c r="G3371" s="24"/>
      <c r="H3371" s="24"/>
      <c r="J3371" s="24"/>
      <c r="K3371" s="24"/>
      <c r="M3371" s="24"/>
      <c r="N3371" s="24"/>
      <c r="P3371" s="24"/>
    </row>
    <row r="3372" spans="2:16" x14ac:dyDescent="0.25">
      <c r="B3372" s="24"/>
      <c r="E3372" s="24"/>
      <c r="G3372" s="24"/>
      <c r="H3372" s="24"/>
      <c r="J3372" s="24"/>
      <c r="K3372" s="24"/>
      <c r="M3372" s="24"/>
      <c r="N3372" s="24"/>
      <c r="P3372" s="24"/>
    </row>
    <row r="3373" spans="2:16" x14ac:dyDescent="0.25">
      <c r="B3373" s="24"/>
      <c r="E3373" s="24"/>
      <c r="G3373" s="24"/>
      <c r="H3373" s="24"/>
      <c r="J3373" s="24"/>
      <c r="K3373" s="24"/>
      <c r="M3373" s="24"/>
      <c r="N3373" s="24"/>
      <c r="P3373" s="24"/>
    </row>
    <row r="3374" spans="2:16" x14ac:dyDescent="0.25">
      <c r="B3374" s="24"/>
      <c r="E3374" s="24"/>
      <c r="G3374" s="24"/>
      <c r="H3374" s="24"/>
      <c r="J3374" s="24"/>
      <c r="K3374" s="24"/>
      <c r="M3374" s="24"/>
      <c r="N3374" s="24"/>
      <c r="P3374" s="24"/>
    </row>
    <row r="3375" spans="2:16" x14ac:dyDescent="0.25">
      <c r="B3375" s="24"/>
      <c r="E3375" s="24"/>
      <c r="G3375" s="24"/>
      <c r="H3375" s="24"/>
      <c r="J3375" s="24"/>
      <c r="K3375" s="24"/>
      <c r="M3375" s="24"/>
      <c r="N3375" s="24"/>
      <c r="P3375" s="24"/>
    </row>
    <row r="3376" spans="2:16" x14ac:dyDescent="0.25">
      <c r="B3376" s="24"/>
      <c r="E3376" s="24"/>
      <c r="G3376" s="24"/>
      <c r="H3376" s="24"/>
      <c r="J3376" s="24"/>
      <c r="K3376" s="24"/>
      <c r="M3376" s="24"/>
      <c r="N3376" s="24"/>
      <c r="P3376" s="24"/>
    </row>
    <row r="3377" spans="2:16" x14ac:dyDescent="0.25">
      <c r="B3377" s="24"/>
      <c r="E3377" s="24"/>
      <c r="G3377" s="24"/>
      <c r="H3377" s="24"/>
      <c r="J3377" s="24"/>
      <c r="K3377" s="24"/>
      <c r="M3377" s="24"/>
      <c r="N3377" s="24"/>
      <c r="P3377" s="24"/>
    </row>
    <row r="3378" spans="2:16" x14ac:dyDescent="0.25">
      <c r="B3378" s="24"/>
      <c r="E3378" s="24"/>
      <c r="G3378" s="24"/>
      <c r="H3378" s="24"/>
      <c r="J3378" s="24"/>
      <c r="K3378" s="24"/>
      <c r="M3378" s="24"/>
      <c r="N3378" s="24"/>
      <c r="P3378" s="24"/>
    </row>
    <row r="3379" spans="2:16" x14ac:dyDescent="0.25">
      <c r="B3379" s="24"/>
      <c r="E3379" s="24"/>
      <c r="G3379" s="24"/>
      <c r="H3379" s="24"/>
      <c r="J3379" s="24"/>
      <c r="K3379" s="24"/>
      <c r="M3379" s="24"/>
      <c r="N3379" s="24"/>
      <c r="P3379" s="24"/>
    </row>
    <row r="3380" spans="2:16" x14ac:dyDescent="0.25">
      <c r="B3380" s="24"/>
      <c r="E3380" s="24"/>
      <c r="G3380" s="24"/>
      <c r="H3380" s="24"/>
      <c r="J3380" s="24"/>
      <c r="K3380" s="24"/>
      <c r="M3380" s="24"/>
      <c r="N3380" s="24"/>
      <c r="P3380" s="24"/>
    </row>
    <row r="3381" spans="2:16" x14ac:dyDescent="0.25">
      <c r="B3381" s="24"/>
      <c r="E3381" s="24"/>
      <c r="G3381" s="24"/>
      <c r="H3381" s="24"/>
      <c r="J3381" s="24"/>
      <c r="K3381" s="24"/>
      <c r="M3381" s="24"/>
      <c r="N3381" s="24"/>
      <c r="P3381" s="24"/>
    </row>
    <row r="3382" spans="2:16" x14ac:dyDescent="0.25">
      <c r="B3382" s="24"/>
      <c r="E3382" s="24"/>
      <c r="G3382" s="24"/>
      <c r="H3382" s="24"/>
      <c r="J3382" s="24"/>
      <c r="K3382" s="24"/>
      <c r="M3382" s="24"/>
      <c r="N3382" s="24"/>
      <c r="P3382" s="24"/>
    </row>
    <row r="3383" spans="2:16" x14ac:dyDescent="0.25">
      <c r="B3383" s="24"/>
      <c r="E3383" s="24"/>
      <c r="G3383" s="24"/>
      <c r="H3383" s="24"/>
      <c r="J3383" s="24"/>
      <c r="K3383" s="24"/>
      <c r="M3383" s="24"/>
      <c r="N3383" s="24"/>
      <c r="P3383" s="24"/>
    </row>
    <row r="3384" spans="2:16" x14ac:dyDescent="0.25">
      <c r="B3384" s="24"/>
      <c r="E3384" s="24"/>
      <c r="G3384" s="24"/>
      <c r="H3384" s="24"/>
      <c r="J3384" s="24"/>
      <c r="K3384" s="24"/>
      <c r="M3384" s="24"/>
      <c r="N3384" s="24"/>
      <c r="P3384" s="24"/>
    </row>
    <row r="3385" spans="2:16" x14ac:dyDescent="0.25">
      <c r="B3385" s="24"/>
      <c r="E3385" s="24"/>
      <c r="G3385" s="24"/>
      <c r="H3385" s="24"/>
      <c r="J3385" s="24"/>
      <c r="K3385" s="24"/>
      <c r="M3385" s="24"/>
      <c r="N3385" s="24"/>
      <c r="P3385" s="24"/>
    </row>
    <row r="3386" spans="2:16" x14ac:dyDescent="0.25">
      <c r="B3386" s="24"/>
      <c r="E3386" s="24"/>
      <c r="G3386" s="24"/>
      <c r="H3386" s="24"/>
      <c r="J3386" s="24"/>
      <c r="K3386" s="24"/>
      <c r="M3386" s="24"/>
      <c r="N3386" s="24"/>
      <c r="P3386" s="24"/>
    </row>
    <row r="3387" spans="2:16" x14ac:dyDescent="0.25">
      <c r="B3387" s="24"/>
      <c r="E3387" s="24"/>
      <c r="G3387" s="24"/>
      <c r="H3387" s="24"/>
      <c r="J3387" s="24"/>
      <c r="K3387" s="24"/>
      <c r="M3387" s="24"/>
      <c r="N3387" s="24"/>
      <c r="P3387" s="24"/>
    </row>
    <row r="3388" spans="2:16" x14ac:dyDescent="0.25">
      <c r="B3388" s="24"/>
      <c r="E3388" s="24"/>
      <c r="G3388" s="24"/>
      <c r="H3388" s="24"/>
      <c r="J3388" s="24"/>
      <c r="K3388" s="24"/>
      <c r="M3388" s="24"/>
      <c r="N3388" s="24"/>
      <c r="P3388" s="24"/>
    </row>
    <row r="3389" spans="2:16" x14ac:dyDescent="0.25">
      <c r="B3389" s="24"/>
      <c r="E3389" s="24"/>
      <c r="G3389" s="24"/>
      <c r="H3389" s="24"/>
      <c r="J3389" s="24"/>
      <c r="K3389" s="24"/>
      <c r="M3389" s="24"/>
      <c r="N3389" s="24"/>
      <c r="P3389" s="24"/>
    </row>
    <row r="3390" spans="2:16" x14ac:dyDescent="0.25">
      <c r="B3390" s="24"/>
      <c r="E3390" s="24"/>
      <c r="G3390" s="24"/>
      <c r="H3390" s="24"/>
      <c r="J3390" s="24"/>
      <c r="K3390" s="24"/>
      <c r="M3390" s="24"/>
      <c r="N3390" s="24"/>
      <c r="P3390" s="24"/>
    </row>
    <row r="3391" spans="2:16" x14ac:dyDescent="0.25">
      <c r="B3391" s="24"/>
      <c r="E3391" s="24"/>
      <c r="G3391" s="24"/>
      <c r="H3391" s="24"/>
      <c r="J3391" s="24"/>
      <c r="K3391" s="24"/>
      <c r="M3391" s="24"/>
      <c r="N3391" s="24"/>
      <c r="P3391" s="24"/>
    </row>
    <row r="3392" spans="2:16" x14ac:dyDescent="0.25">
      <c r="B3392" s="24"/>
      <c r="E3392" s="24"/>
      <c r="G3392" s="24"/>
      <c r="H3392" s="24"/>
      <c r="J3392" s="24"/>
      <c r="K3392" s="24"/>
      <c r="M3392" s="24"/>
      <c r="N3392" s="24"/>
      <c r="P3392" s="24"/>
    </row>
    <row r="3393" spans="2:16" x14ac:dyDescent="0.25">
      <c r="B3393" s="24"/>
      <c r="E3393" s="24"/>
      <c r="G3393" s="24"/>
      <c r="H3393" s="24"/>
      <c r="J3393" s="24"/>
      <c r="K3393" s="24"/>
      <c r="M3393" s="24"/>
      <c r="N3393" s="24"/>
      <c r="P3393" s="24"/>
    </row>
    <row r="3394" spans="2:16" x14ac:dyDescent="0.25">
      <c r="B3394" s="24"/>
      <c r="E3394" s="24"/>
      <c r="G3394" s="24"/>
      <c r="H3394" s="24"/>
      <c r="J3394" s="24"/>
      <c r="K3394" s="24"/>
      <c r="M3394" s="24"/>
      <c r="N3394" s="24"/>
      <c r="P3394" s="24"/>
    </row>
    <row r="3395" spans="2:16" x14ac:dyDescent="0.25">
      <c r="B3395" s="24"/>
      <c r="E3395" s="24"/>
      <c r="G3395" s="24"/>
      <c r="H3395" s="24"/>
      <c r="J3395" s="24"/>
      <c r="K3395" s="24"/>
      <c r="M3395" s="24"/>
      <c r="N3395" s="24"/>
      <c r="P3395" s="24"/>
    </row>
    <row r="3396" spans="2:16" x14ac:dyDescent="0.25">
      <c r="B3396" s="24"/>
      <c r="E3396" s="24"/>
      <c r="G3396" s="24"/>
      <c r="H3396" s="24"/>
      <c r="J3396" s="24"/>
      <c r="K3396" s="24"/>
      <c r="M3396" s="24"/>
      <c r="N3396" s="24"/>
      <c r="P3396" s="24"/>
    </row>
    <row r="3397" spans="2:16" x14ac:dyDescent="0.25">
      <c r="B3397" s="24"/>
      <c r="E3397" s="24"/>
      <c r="G3397" s="24"/>
      <c r="H3397" s="24"/>
      <c r="J3397" s="24"/>
      <c r="K3397" s="24"/>
      <c r="M3397" s="24"/>
      <c r="N3397" s="24"/>
      <c r="P3397" s="24"/>
    </row>
    <row r="3398" spans="2:16" x14ac:dyDescent="0.25">
      <c r="B3398" s="24"/>
      <c r="E3398" s="24"/>
      <c r="G3398" s="24"/>
      <c r="H3398" s="24"/>
      <c r="J3398" s="24"/>
      <c r="K3398" s="24"/>
      <c r="M3398" s="24"/>
      <c r="N3398" s="24"/>
      <c r="P3398" s="24"/>
    </row>
    <row r="3399" spans="2:16" x14ac:dyDescent="0.25">
      <c r="B3399" s="24"/>
      <c r="E3399" s="24"/>
      <c r="G3399" s="24"/>
      <c r="H3399" s="24"/>
      <c r="J3399" s="24"/>
      <c r="K3399" s="24"/>
      <c r="M3399" s="24"/>
      <c r="N3399" s="24"/>
      <c r="P3399" s="24"/>
    </row>
    <row r="3400" spans="2:16" x14ac:dyDescent="0.25">
      <c r="B3400" s="24"/>
      <c r="E3400" s="24"/>
      <c r="G3400" s="24"/>
      <c r="H3400" s="24"/>
      <c r="J3400" s="24"/>
      <c r="K3400" s="24"/>
      <c r="M3400" s="24"/>
      <c r="N3400" s="24"/>
      <c r="P3400" s="24"/>
    </row>
    <row r="3401" spans="2:16" x14ac:dyDescent="0.25">
      <c r="B3401" s="24"/>
      <c r="E3401" s="24"/>
      <c r="G3401" s="24"/>
      <c r="H3401" s="24"/>
      <c r="J3401" s="24"/>
      <c r="K3401" s="24"/>
      <c r="M3401" s="24"/>
      <c r="N3401" s="24"/>
      <c r="P3401" s="24"/>
    </row>
    <row r="3402" spans="2:16" x14ac:dyDescent="0.25">
      <c r="B3402" s="24"/>
      <c r="E3402" s="24"/>
      <c r="G3402" s="24"/>
      <c r="H3402" s="24"/>
      <c r="J3402" s="24"/>
      <c r="K3402" s="24"/>
      <c r="M3402" s="24"/>
      <c r="N3402" s="24"/>
      <c r="P3402" s="24"/>
    </row>
    <row r="3403" spans="2:16" x14ac:dyDescent="0.25">
      <c r="B3403" s="24"/>
      <c r="E3403" s="24"/>
      <c r="G3403" s="24"/>
      <c r="H3403" s="24"/>
      <c r="J3403" s="24"/>
      <c r="K3403" s="24"/>
      <c r="M3403" s="24"/>
      <c r="N3403" s="24"/>
      <c r="P3403" s="24"/>
    </row>
    <row r="3404" spans="2:16" x14ac:dyDescent="0.25">
      <c r="B3404" s="24"/>
      <c r="E3404" s="24"/>
      <c r="G3404" s="24"/>
      <c r="H3404" s="24"/>
      <c r="J3404" s="24"/>
      <c r="K3404" s="24"/>
      <c r="M3404" s="24"/>
      <c r="N3404" s="24"/>
      <c r="P3404" s="24"/>
    </row>
    <row r="3405" spans="2:16" x14ac:dyDescent="0.25">
      <c r="B3405" s="24"/>
      <c r="E3405" s="24"/>
      <c r="G3405" s="24"/>
      <c r="H3405" s="24"/>
      <c r="J3405" s="24"/>
      <c r="K3405" s="24"/>
      <c r="M3405" s="24"/>
      <c r="N3405" s="24"/>
      <c r="P3405" s="24"/>
    </row>
    <row r="3406" spans="2:16" x14ac:dyDescent="0.25">
      <c r="B3406" s="24"/>
      <c r="E3406" s="24"/>
      <c r="G3406" s="24"/>
      <c r="H3406" s="24"/>
      <c r="J3406" s="24"/>
      <c r="K3406" s="24"/>
      <c r="M3406" s="24"/>
      <c r="N3406" s="24"/>
      <c r="P3406" s="24"/>
    </row>
    <row r="3407" spans="2:16" x14ac:dyDescent="0.25">
      <c r="B3407" s="24"/>
      <c r="E3407" s="24"/>
      <c r="G3407" s="24"/>
      <c r="H3407" s="24"/>
      <c r="J3407" s="24"/>
      <c r="K3407" s="24"/>
      <c r="M3407" s="24"/>
      <c r="N3407" s="24"/>
      <c r="P3407" s="24"/>
    </row>
    <row r="3408" spans="2:16" x14ac:dyDescent="0.25">
      <c r="B3408" s="24"/>
      <c r="E3408" s="24"/>
      <c r="G3408" s="24"/>
      <c r="H3408" s="24"/>
      <c r="J3408" s="24"/>
      <c r="K3408" s="24"/>
      <c r="M3408" s="24"/>
      <c r="N3408" s="24"/>
      <c r="P3408" s="24"/>
    </row>
    <row r="3409" spans="2:16" x14ac:dyDescent="0.25">
      <c r="B3409" s="24"/>
      <c r="E3409" s="24"/>
      <c r="G3409" s="24"/>
      <c r="H3409" s="24"/>
      <c r="J3409" s="24"/>
      <c r="K3409" s="24"/>
      <c r="M3409" s="24"/>
      <c r="N3409" s="24"/>
      <c r="P3409" s="24"/>
    </row>
    <row r="3410" spans="2:16" x14ac:dyDescent="0.25">
      <c r="B3410" s="24"/>
      <c r="E3410" s="24"/>
      <c r="G3410" s="24"/>
      <c r="H3410" s="24"/>
      <c r="J3410" s="24"/>
      <c r="K3410" s="24"/>
      <c r="M3410" s="24"/>
      <c r="N3410" s="24"/>
      <c r="P3410" s="24"/>
    </row>
    <row r="3411" spans="2:16" x14ac:dyDescent="0.25">
      <c r="B3411" s="24"/>
      <c r="E3411" s="24"/>
      <c r="G3411" s="24"/>
      <c r="H3411" s="24"/>
      <c r="J3411" s="24"/>
      <c r="K3411" s="24"/>
      <c r="M3411" s="24"/>
      <c r="N3411" s="24"/>
      <c r="P3411" s="24"/>
    </row>
    <row r="3412" spans="2:16" x14ac:dyDescent="0.25">
      <c r="B3412" s="24"/>
      <c r="E3412" s="24"/>
      <c r="G3412" s="24"/>
      <c r="H3412" s="24"/>
      <c r="J3412" s="24"/>
      <c r="K3412" s="24"/>
      <c r="M3412" s="24"/>
      <c r="N3412" s="24"/>
      <c r="P3412" s="24"/>
    </row>
    <row r="3413" spans="2:16" x14ac:dyDescent="0.25">
      <c r="B3413" s="24"/>
      <c r="E3413" s="24"/>
      <c r="G3413" s="24"/>
      <c r="H3413" s="24"/>
      <c r="J3413" s="24"/>
      <c r="K3413" s="24"/>
      <c r="M3413" s="24"/>
      <c r="N3413" s="24"/>
      <c r="P3413" s="24"/>
    </row>
    <row r="3414" spans="2:16" x14ac:dyDescent="0.25">
      <c r="B3414" s="24"/>
      <c r="E3414" s="24"/>
      <c r="G3414" s="24"/>
      <c r="H3414" s="24"/>
      <c r="J3414" s="24"/>
      <c r="K3414" s="24"/>
      <c r="M3414" s="24"/>
      <c r="N3414" s="24"/>
      <c r="P3414" s="24"/>
    </row>
    <row r="3415" spans="2:16" x14ac:dyDescent="0.25">
      <c r="B3415" s="24"/>
      <c r="E3415" s="24"/>
      <c r="G3415" s="24"/>
      <c r="H3415" s="24"/>
      <c r="J3415" s="24"/>
      <c r="K3415" s="24"/>
      <c r="M3415" s="24"/>
      <c r="N3415" s="24"/>
      <c r="P3415" s="24"/>
    </row>
    <row r="3416" spans="2:16" x14ac:dyDescent="0.25">
      <c r="B3416" s="24"/>
      <c r="E3416" s="24"/>
      <c r="G3416" s="24"/>
      <c r="H3416" s="24"/>
      <c r="J3416" s="24"/>
      <c r="K3416" s="24"/>
      <c r="M3416" s="24"/>
      <c r="N3416" s="24"/>
      <c r="P3416" s="24"/>
    </row>
    <row r="3417" spans="2:16" x14ac:dyDescent="0.25">
      <c r="B3417" s="24"/>
      <c r="E3417" s="24"/>
      <c r="G3417" s="24"/>
      <c r="H3417" s="24"/>
      <c r="J3417" s="24"/>
      <c r="K3417" s="24"/>
      <c r="M3417" s="24"/>
      <c r="N3417" s="24"/>
      <c r="P3417" s="24"/>
    </row>
    <row r="3418" spans="2:16" x14ac:dyDescent="0.25">
      <c r="B3418" s="24"/>
      <c r="E3418" s="24"/>
      <c r="G3418" s="24"/>
      <c r="H3418" s="24"/>
      <c r="J3418" s="24"/>
      <c r="K3418" s="24"/>
      <c r="M3418" s="24"/>
      <c r="N3418" s="24"/>
      <c r="P3418" s="24"/>
    </row>
    <row r="3419" spans="2:16" x14ac:dyDescent="0.25">
      <c r="B3419" s="24"/>
      <c r="E3419" s="24"/>
      <c r="G3419" s="24"/>
      <c r="H3419" s="24"/>
      <c r="J3419" s="24"/>
      <c r="K3419" s="24"/>
      <c r="M3419" s="24"/>
      <c r="N3419" s="24"/>
      <c r="P3419" s="24"/>
    </row>
    <row r="3420" spans="2:16" x14ac:dyDescent="0.25">
      <c r="B3420" s="24"/>
      <c r="E3420" s="24"/>
      <c r="G3420" s="24"/>
      <c r="H3420" s="24"/>
      <c r="J3420" s="24"/>
      <c r="K3420" s="24"/>
      <c r="M3420" s="24"/>
      <c r="N3420" s="24"/>
      <c r="P3420" s="24"/>
    </row>
    <row r="3421" spans="2:16" x14ac:dyDescent="0.25">
      <c r="B3421" s="24"/>
      <c r="E3421" s="24"/>
      <c r="G3421" s="24"/>
      <c r="H3421" s="24"/>
      <c r="J3421" s="24"/>
      <c r="K3421" s="24"/>
      <c r="M3421" s="24"/>
      <c r="N3421" s="24"/>
      <c r="P3421" s="24"/>
    </row>
    <row r="3422" spans="2:16" x14ac:dyDescent="0.25">
      <c r="B3422" s="24"/>
      <c r="E3422" s="24"/>
      <c r="G3422" s="24"/>
      <c r="H3422" s="24"/>
      <c r="J3422" s="24"/>
      <c r="K3422" s="24"/>
      <c r="M3422" s="24"/>
      <c r="N3422" s="24"/>
      <c r="P3422" s="24"/>
    </row>
    <row r="3423" spans="2:16" x14ac:dyDescent="0.25">
      <c r="B3423" s="24"/>
      <c r="E3423" s="24"/>
      <c r="G3423" s="24"/>
      <c r="H3423" s="24"/>
      <c r="J3423" s="24"/>
      <c r="K3423" s="24"/>
      <c r="M3423" s="24"/>
      <c r="N3423" s="24"/>
      <c r="P3423" s="24"/>
    </row>
    <row r="3424" spans="2:16" x14ac:dyDescent="0.25">
      <c r="B3424" s="24"/>
      <c r="E3424" s="24"/>
      <c r="G3424" s="24"/>
      <c r="H3424" s="24"/>
      <c r="J3424" s="24"/>
      <c r="K3424" s="24"/>
      <c r="M3424" s="24"/>
      <c r="N3424" s="24"/>
      <c r="P3424" s="24"/>
    </row>
    <row r="3425" spans="2:16" x14ac:dyDescent="0.25">
      <c r="B3425" s="24"/>
      <c r="E3425" s="24"/>
      <c r="G3425" s="24"/>
      <c r="H3425" s="24"/>
      <c r="J3425" s="24"/>
      <c r="K3425" s="24"/>
      <c r="M3425" s="24"/>
      <c r="N3425" s="24"/>
      <c r="P3425" s="24"/>
    </row>
    <row r="3426" spans="2:16" x14ac:dyDescent="0.25">
      <c r="B3426" s="24"/>
      <c r="E3426" s="24"/>
      <c r="G3426" s="24"/>
      <c r="H3426" s="24"/>
      <c r="J3426" s="24"/>
      <c r="K3426" s="24"/>
      <c r="M3426" s="24"/>
      <c r="N3426" s="24"/>
      <c r="P3426" s="24"/>
    </row>
    <row r="3427" spans="2:16" x14ac:dyDescent="0.25">
      <c r="B3427" s="24"/>
      <c r="E3427" s="24"/>
      <c r="G3427" s="24"/>
      <c r="H3427" s="24"/>
      <c r="J3427" s="24"/>
      <c r="K3427" s="24"/>
      <c r="M3427" s="24"/>
      <c r="N3427" s="24"/>
      <c r="P3427" s="24"/>
    </row>
    <row r="3428" spans="2:16" x14ac:dyDescent="0.25">
      <c r="B3428" s="24"/>
      <c r="E3428" s="24"/>
      <c r="G3428" s="24"/>
      <c r="H3428" s="24"/>
      <c r="J3428" s="24"/>
      <c r="K3428" s="24"/>
      <c r="M3428" s="24"/>
      <c r="N3428" s="24"/>
      <c r="P3428" s="24"/>
    </row>
    <row r="3429" spans="2:16" x14ac:dyDescent="0.25">
      <c r="B3429" s="24"/>
      <c r="E3429" s="24"/>
      <c r="G3429" s="24"/>
      <c r="H3429" s="24"/>
      <c r="J3429" s="24"/>
      <c r="K3429" s="24"/>
      <c r="M3429" s="24"/>
      <c r="N3429" s="24"/>
      <c r="P3429" s="24"/>
    </row>
    <row r="3430" spans="2:16" x14ac:dyDescent="0.25">
      <c r="B3430" s="24"/>
      <c r="E3430" s="24"/>
      <c r="G3430" s="24"/>
      <c r="H3430" s="24"/>
      <c r="J3430" s="24"/>
      <c r="K3430" s="24"/>
      <c r="M3430" s="24"/>
      <c r="N3430" s="24"/>
      <c r="P3430" s="24"/>
    </row>
    <row r="3431" spans="2:16" x14ac:dyDescent="0.25">
      <c r="B3431" s="24"/>
      <c r="E3431" s="24"/>
      <c r="G3431" s="24"/>
      <c r="H3431" s="24"/>
      <c r="J3431" s="24"/>
      <c r="K3431" s="24"/>
      <c r="M3431" s="24"/>
      <c r="N3431" s="24"/>
      <c r="P3431" s="24"/>
    </row>
    <row r="3432" spans="2:16" x14ac:dyDescent="0.25">
      <c r="B3432" s="24"/>
      <c r="E3432" s="24"/>
      <c r="G3432" s="24"/>
      <c r="H3432" s="24"/>
      <c r="J3432" s="24"/>
      <c r="K3432" s="24"/>
      <c r="M3432" s="24"/>
      <c r="N3432" s="24"/>
      <c r="P3432" s="24"/>
    </row>
    <row r="3433" spans="2:16" x14ac:dyDescent="0.25">
      <c r="B3433" s="24"/>
      <c r="E3433" s="24"/>
      <c r="G3433" s="24"/>
      <c r="H3433" s="24"/>
      <c r="J3433" s="24"/>
      <c r="K3433" s="24"/>
      <c r="M3433" s="24"/>
      <c r="N3433" s="24"/>
      <c r="P3433" s="24"/>
    </row>
    <row r="3434" spans="2:16" x14ac:dyDescent="0.25">
      <c r="B3434" s="24"/>
      <c r="E3434" s="24"/>
      <c r="G3434" s="24"/>
      <c r="H3434" s="24"/>
      <c r="J3434" s="24"/>
      <c r="K3434" s="24"/>
      <c r="M3434" s="24"/>
      <c r="N3434" s="24"/>
      <c r="P3434" s="24"/>
    </row>
    <row r="3435" spans="2:16" x14ac:dyDescent="0.25">
      <c r="B3435" s="24"/>
      <c r="E3435" s="24"/>
      <c r="G3435" s="24"/>
      <c r="H3435" s="24"/>
      <c r="J3435" s="24"/>
      <c r="K3435" s="24"/>
      <c r="M3435" s="24"/>
      <c r="N3435" s="24"/>
      <c r="P3435" s="24"/>
    </row>
    <row r="3436" spans="2:16" x14ac:dyDescent="0.25">
      <c r="B3436" s="24"/>
      <c r="E3436" s="24"/>
      <c r="G3436" s="24"/>
      <c r="H3436" s="24"/>
      <c r="J3436" s="24"/>
      <c r="K3436" s="24"/>
      <c r="M3436" s="24"/>
      <c r="N3436" s="24"/>
      <c r="P3436" s="24"/>
    </row>
    <row r="3437" spans="2:16" x14ac:dyDescent="0.25">
      <c r="B3437" s="24"/>
      <c r="E3437" s="24"/>
      <c r="G3437" s="24"/>
      <c r="H3437" s="24"/>
      <c r="J3437" s="24"/>
      <c r="K3437" s="24"/>
      <c r="M3437" s="24"/>
      <c r="N3437" s="24"/>
      <c r="P3437" s="24"/>
    </row>
    <row r="3438" spans="2:16" x14ac:dyDescent="0.25">
      <c r="B3438" s="24"/>
      <c r="E3438" s="24"/>
      <c r="G3438" s="24"/>
      <c r="H3438" s="24"/>
      <c r="J3438" s="24"/>
      <c r="K3438" s="24"/>
      <c r="M3438" s="24"/>
      <c r="N3438" s="24"/>
      <c r="P3438" s="24"/>
    </row>
    <row r="3439" spans="2:16" x14ac:dyDescent="0.25">
      <c r="B3439" s="24"/>
      <c r="E3439" s="24"/>
      <c r="G3439" s="24"/>
      <c r="H3439" s="24"/>
      <c r="J3439" s="24"/>
      <c r="K3439" s="24"/>
      <c r="M3439" s="24"/>
      <c r="N3439" s="24"/>
      <c r="P3439" s="24"/>
    </row>
    <row r="3440" spans="2:16" x14ac:dyDescent="0.25">
      <c r="B3440" s="24"/>
      <c r="E3440" s="24"/>
      <c r="G3440" s="24"/>
      <c r="H3440" s="24"/>
      <c r="J3440" s="24"/>
      <c r="K3440" s="24"/>
      <c r="M3440" s="24"/>
      <c r="N3440" s="24"/>
      <c r="P3440" s="24"/>
    </row>
    <row r="3441" spans="2:16" x14ac:dyDescent="0.25">
      <c r="B3441" s="24"/>
      <c r="E3441" s="24"/>
      <c r="G3441" s="24"/>
      <c r="H3441" s="24"/>
      <c r="J3441" s="24"/>
      <c r="K3441" s="24"/>
      <c r="M3441" s="24"/>
      <c r="N3441" s="24"/>
      <c r="P3441" s="24"/>
    </row>
    <row r="3442" spans="2:16" x14ac:dyDescent="0.25">
      <c r="B3442" s="24"/>
      <c r="E3442" s="24"/>
      <c r="G3442" s="24"/>
      <c r="H3442" s="24"/>
      <c r="J3442" s="24"/>
      <c r="K3442" s="24"/>
      <c r="M3442" s="24"/>
      <c r="N3442" s="24"/>
      <c r="P3442" s="24"/>
    </row>
    <row r="3443" spans="2:16" x14ac:dyDescent="0.25">
      <c r="B3443" s="24"/>
      <c r="E3443" s="24"/>
      <c r="G3443" s="24"/>
      <c r="H3443" s="24"/>
      <c r="J3443" s="24"/>
      <c r="K3443" s="24"/>
      <c r="M3443" s="24"/>
      <c r="N3443" s="24"/>
      <c r="P3443" s="24"/>
    </row>
    <row r="3444" spans="2:16" x14ac:dyDescent="0.25">
      <c r="B3444" s="24"/>
      <c r="E3444" s="24"/>
      <c r="G3444" s="24"/>
      <c r="H3444" s="24"/>
      <c r="J3444" s="24"/>
      <c r="K3444" s="24"/>
      <c r="M3444" s="24"/>
      <c r="N3444" s="24"/>
      <c r="P3444" s="24"/>
    </row>
    <row r="3445" spans="2:16" x14ac:dyDescent="0.25">
      <c r="B3445" s="24"/>
      <c r="E3445" s="24"/>
      <c r="G3445" s="24"/>
      <c r="H3445" s="24"/>
      <c r="J3445" s="24"/>
      <c r="K3445" s="24"/>
      <c r="M3445" s="24"/>
      <c r="N3445" s="24"/>
      <c r="P3445" s="24"/>
    </row>
    <row r="3446" spans="2:16" x14ac:dyDescent="0.25">
      <c r="B3446" s="24"/>
      <c r="E3446" s="24"/>
      <c r="G3446" s="24"/>
      <c r="H3446" s="24"/>
      <c r="J3446" s="24"/>
      <c r="K3446" s="24"/>
      <c r="M3446" s="24"/>
      <c r="N3446" s="24"/>
      <c r="P3446" s="24"/>
    </row>
    <row r="3447" spans="2:16" x14ac:dyDescent="0.25">
      <c r="B3447" s="24"/>
      <c r="E3447" s="24"/>
      <c r="G3447" s="24"/>
      <c r="H3447" s="24"/>
      <c r="J3447" s="24"/>
      <c r="K3447" s="24"/>
      <c r="M3447" s="24"/>
      <c r="N3447" s="24"/>
      <c r="P3447" s="24"/>
    </row>
    <row r="3448" spans="2:16" x14ac:dyDescent="0.25">
      <c r="B3448" s="24"/>
      <c r="E3448" s="24"/>
      <c r="G3448" s="24"/>
      <c r="H3448" s="24"/>
      <c r="J3448" s="24"/>
      <c r="K3448" s="24"/>
      <c r="M3448" s="24"/>
      <c r="N3448" s="24"/>
      <c r="P3448" s="24"/>
    </row>
    <row r="3449" spans="2:16" x14ac:dyDescent="0.25">
      <c r="B3449" s="24"/>
      <c r="E3449" s="24"/>
      <c r="G3449" s="24"/>
      <c r="H3449" s="24"/>
      <c r="J3449" s="24"/>
      <c r="K3449" s="24"/>
      <c r="M3449" s="24"/>
      <c r="N3449" s="24"/>
      <c r="P3449" s="24"/>
    </row>
    <row r="3450" spans="2:16" x14ac:dyDescent="0.25">
      <c r="B3450" s="24"/>
      <c r="E3450" s="24"/>
      <c r="G3450" s="24"/>
      <c r="H3450" s="24"/>
      <c r="J3450" s="24"/>
      <c r="K3450" s="24"/>
      <c r="M3450" s="24"/>
      <c r="N3450" s="24"/>
      <c r="P3450" s="24"/>
    </row>
    <row r="3451" spans="2:16" x14ac:dyDescent="0.25">
      <c r="B3451" s="24"/>
      <c r="E3451" s="24"/>
      <c r="G3451" s="24"/>
      <c r="H3451" s="24"/>
      <c r="J3451" s="24"/>
      <c r="K3451" s="24"/>
      <c r="M3451" s="24"/>
      <c r="N3451" s="24"/>
      <c r="P3451" s="24"/>
    </row>
    <row r="3452" spans="2:16" x14ac:dyDescent="0.25">
      <c r="B3452" s="24"/>
      <c r="E3452" s="24"/>
      <c r="G3452" s="24"/>
      <c r="H3452" s="24"/>
      <c r="J3452" s="24"/>
      <c r="K3452" s="24"/>
      <c r="M3452" s="24"/>
      <c r="N3452" s="24"/>
      <c r="P3452" s="24"/>
    </row>
    <row r="3453" spans="2:16" x14ac:dyDescent="0.25">
      <c r="B3453" s="24"/>
      <c r="E3453" s="24"/>
      <c r="G3453" s="24"/>
      <c r="H3453" s="24"/>
      <c r="J3453" s="24"/>
      <c r="K3453" s="24"/>
      <c r="M3453" s="24"/>
      <c r="N3453" s="24"/>
      <c r="P3453" s="24"/>
    </row>
    <row r="3454" spans="2:16" x14ac:dyDescent="0.25">
      <c r="B3454" s="24"/>
      <c r="E3454" s="24"/>
      <c r="G3454" s="24"/>
      <c r="H3454" s="24"/>
      <c r="J3454" s="24"/>
      <c r="K3454" s="24"/>
      <c r="M3454" s="24"/>
      <c r="N3454" s="24"/>
      <c r="P3454" s="24"/>
    </row>
    <row r="3455" spans="2:16" x14ac:dyDescent="0.25">
      <c r="B3455" s="24"/>
      <c r="E3455" s="24"/>
      <c r="G3455" s="24"/>
      <c r="H3455" s="24"/>
      <c r="J3455" s="24"/>
      <c r="K3455" s="24"/>
      <c r="M3455" s="24"/>
      <c r="N3455" s="24"/>
      <c r="P3455" s="24"/>
    </row>
    <row r="3456" spans="2:16" x14ac:dyDescent="0.25">
      <c r="B3456" s="24"/>
      <c r="E3456" s="24"/>
      <c r="G3456" s="24"/>
      <c r="H3456" s="24"/>
      <c r="J3456" s="24"/>
      <c r="K3456" s="24"/>
      <c r="M3456" s="24"/>
      <c r="N3456" s="24"/>
      <c r="P3456" s="24"/>
    </row>
    <row r="3457" spans="2:16" x14ac:dyDescent="0.25">
      <c r="B3457" s="24"/>
      <c r="E3457" s="24"/>
      <c r="G3457" s="24"/>
      <c r="H3457" s="24"/>
      <c r="J3457" s="24"/>
      <c r="K3457" s="24"/>
      <c r="M3457" s="24"/>
      <c r="N3457" s="24"/>
      <c r="P3457" s="24"/>
    </row>
    <row r="3458" spans="2:16" x14ac:dyDescent="0.25">
      <c r="B3458" s="24"/>
      <c r="E3458" s="24"/>
      <c r="G3458" s="24"/>
      <c r="H3458" s="24"/>
      <c r="J3458" s="24"/>
      <c r="K3458" s="24"/>
      <c r="M3458" s="24"/>
      <c r="N3458" s="24"/>
      <c r="P3458" s="24"/>
    </row>
    <row r="3459" spans="2:16" x14ac:dyDescent="0.25">
      <c r="B3459" s="24"/>
      <c r="E3459" s="24"/>
      <c r="G3459" s="24"/>
      <c r="H3459" s="24"/>
      <c r="J3459" s="24"/>
      <c r="K3459" s="24"/>
      <c r="M3459" s="24"/>
      <c r="N3459" s="24"/>
      <c r="P3459" s="24"/>
    </row>
    <row r="3460" spans="2:16" x14ac:dyDescent="0.25">
      <c r="B3460" s="24"/>
      <c r="E3460" s="24"/>
      <c r="G3460" s="24"/>
      <c r="H3460" s="24"/>
      <c r="J3460" s="24"/>
      <c r="K3460" s="24"/>
      <c r="M3460" s="24"/>
      <c r="N3460" s="24"/>
      <c r="P3460" s="24"/>
    </row>
    <row r="3461" spans="2:16" x14ac:dyDescent="0.25">
      <c r="B3461" s="24"/>
      <c r="E3461" s="24"/>
      <c r="G3461" s="24"/>
      <c r="H3461" s="24"/>
      <c r="J3461" s="24"/>
      <c r="K3461" s="24"/>
      <c r="M3461" s="24"/>
      <c r="N3461" s="24"/>
      <c r="P3461" s="24"/>
    </row>
    <row r="3462" spans="2:16" x14ac:dyDescent="0.25">
      <c r="B3462" s="24"/>
      <c r="E3462" s="24"/>
      <c r="G3462" s="24"/>
      <c r="H3462" s="24"/>
      <c r="J3462" s="24"/>
      <c r="K3462" s="24"/>
      <c r="M3462" s="24"/>
      <c r="N3462" s="24"/>
      <c r="P3462" s="24"/>
    </row>
    <row r="3463" spans="2:16" x14ac:dyDescent="0.25">
      <c r="B3463" s="24"/>
      <c r="E3463" s="24"/>
      <c r="G3463" s="24"/>
      <c r="H3463" s="24"/>
      <c r="J3463" s="24"/>
      <c r="K3463" s="24"/>
      <c r="M3463" s="24"/>
      <c r="N3463" s="24"/>
      <c r="P3463" s="24"/>
    </row>
    <row r="3464" spans="2:16" x14ac:dyDescent="0.25">
      <c r="B3464" s="24"/>
      <c r="E3464" s="24"/>
      <c r="G3464" s="24"/>
      <c r="H3464" s="24"/>
      <c r="J3464" s="24"/>
      <c r="K3464" s="24"/>
      <c r="M3464" s="24"/>
      <c r="N3464" s="24"/>
      <c r="P3464" s="24"/>
    </row>
    <row r="3465" spans="2:16" x14ac:dyDescent="0.25">
      <c r="B3465" s="24"/>
      <c r="E3465" s="24"/>
      <c r="G3465" s="24"/>
      <c r="H3465" s="24"/>
      <c r="J3465" s="24"/>
      <c r="K3465" s="24"/>
      <c r="M3465" s="24"/>
      <c r="N3465" s="24"/>
      <c r="P3465" s="24"/>
    </row>
    <row r="3466" spans="2:16" x14ac:dyDescent="0.25">
      <c r="B3466" s="24"/>
      <c r="E3466" s="24"/>
      <c r="G3466" s="24"/>
      <c r="H3466" s="24"/>
      <c r="J3466" s="24"/>
      <c r="K3466" s="24"/>
      <c r="M3466" s="24"/>
      <c r="N3466" s="24"/>
      <c r="P3466" s="24"/>
    </row>
    <row r="3467" spans="2:16" x14ac:dyDescent="0.25">
      <c r="B3467" s="24"/>
      <c r="E3467" s="24"/>
      <c r="G3467" s="24"/>
      <c r="H3467" s="24"/>
      <c r="J3467" s="24"/>
      <c r="K3467" s="24"/>
      <c r="M3467" s="24"/>
      <c r="N3467" s="24"/>
      <c r="P3467" s="24"/>
    </row>
    <row r="3468" spans="2:16" x14ac:dyDescent="0.25">
      <c r="B3468" s="24"/>
      <c r="E3468" s="24"/>
      <c r="G3468" s="24"/>
      <c r="H3468" s="24"/>
      <c r="J3468" s="24"/>
      <c r="K3468" s="24"/>
      <c r="M3468" s="24"/>
      <c r="N3468" s="24"/>
      <c r="P3468" s="24"/>
    </row>
    <row r="3469" spans="2:16" x14ac:dyDescent="0.25">
      <c r="B3469" s="24"/>
      <c r="E3469" s="24"/>
      <c r="G3469" s="24"/>
      <c r="H3469" s="24"/>
      <c r="J3469" s="24"/>
      <c r="K3469" s="24"/>
      <c r="M3469" s="24"/>
      <c r="N3469" s="24"/>
      <c r="P3469" s="24"/>
    </row>
    <row r="3470" spans="2:16" x14ac:dyDescent="0.25">
      <c r="B3470" s="24"/>
      <c r="E3470" s="24"/>
      <c r="G3470" s="24"/>
      <c r="H3470" s="24"/>
      <c r="J3470" s="24"/>
      <c r="K3470" s="24"/>
      <c r="M3470" s="24"/>
      <c r="N3470" s="24"/>
      <c r="P3470" s="24"/>
    </row>
    <row r="3471" spans="2:16" x14ac:dyDescent="0.25">
      <c r="B3471" s="24"/>
      <c r="E3471" s="24"/>
      <c r="G3471" s="24"/>
      <c r="H3471" s="24"/>
      <c r="J3471" s="24"/>
      <c r="K3471" s="24"/>
      <c r="M3471" s="24"/>
      <c r="N3471" s="24"/>
      <c r="P3471" s="24"/>
    </row>
    <row r="3472" spans="2:16" x14ac:dyDescent="0.25">
      <c r="B3472" s="24"/>
      <c r="E3472" s="24"/>
      <c r="G3472" s="24"/>
      <c r="H3472" s="24"/>
      <c r="J3472" s="24"/>
      <c r="K3472" s="24"/>
      <c r="M3472" s="24"/>
      <c r="N3472" s="24"/>
      <c r="P3472" s="24"/>
    </row>
    <row r="3473" spans="2:16" x14ac:dyDescent="0.25">
      <c r="B3473" s="24"/>
      <c r="E3473" s="24"/>
      <c r="G3473" s="24"/>
      <c r="H3473" s="24"/>
      <c r="J3473" s="24"/>
      <c r="K3473" s="24"/>
      <c r="M3473" s="24"/>
      <c r="N3473" s="24"/>
      <c r="P3473" s="24"/>
    </row>
    <row r="3474" spans="2:16" x14ac:dyDescent="0.25">
      <c r="B3474" s="24"/>
      <c r="E3474" s="24"/>
      <c r="G3474" s="24"/>
      <c r="H3474" s="24"/>
      <c r="J3474" s="24"/>
      <c r="K3474" s="24"/>
      <c r="M3474" s="24"/>
      <c r="N3474" s="24"/>
      <c r="P3474" s="24"/>
    </row>
    <row r="3475" spans="2:16" x14ac:dyDescent="0.25">
      <c r="B3475" s="24"/>
      <c r="E3475" s="24"/>
      <c r="G3475" s="24"/>
      <c r="H3475" s="24"/>
      <c r="J3475" s="24"/>
      <c r="K3475" s="24"/>
      <c r="M3475" s="24"/>
      <c r="N3475" s="24"/>
      <c r="P3475" s="24"/>
    </row>
    <row r="3476" spans="2:16" x14ac:dyDescent="0.25">
      <c r="B3476" s="24"/>
      <c r="E3476" s="24"/>
      <c r="G3476" s="24"/>
      <c r="H3476" s="24"/>
      <c r="J3476" s="24"/>
      <c r="K3476" s="24"/>
      <c r="M3476" s="24"/>
      <c r="N3476" s="24"/>
      <c r="P3476" s="24"/>
    </row>
    <row r="3477" spans="2:16" x14ac:dyDescent="0.25">
      <c r="B3477" s="24"/>
      <c r="E3477" s="24"/>
      <c r="G3477" s="24"/>
      <c r="H3477" s="24"/>
      <c r="J3477" s="24"/>
      <c r="K3477" s="24"/>
      <c r="M3477" s="24"/>
      <c r="N3477" s="24"/>
      <c r="P3477" s="24"/>
    </row>
    <row r="3478" spans="2:16" x14ac:dyDescent="0.25">
      <c r="B3478" s="24"/>
      <c r="E3478" s="24"/>
      <c r="G3478" s="24"/>
      <c r="H3478" s="24"/>
      <c r="J3478" s="24"/>
      <c r="K3478" s="24"/>
      <c r="M3478" s="24"/>
      <c r="N3478" s="24"/>
      <c r="P3478" s="24"/>
    </row>
    <row r="3479" spans="2:16" x14ac:dyDescent="0.25">
      <c r="B3479" s="24"/>
      <c r="E3479" s="24"/>
      <c r="G3479" s="24"/>
      <c r="H3479" s="24"/>
      <c r="J3479" s="24"/>
      <c r="K3479" s="24"/>
      <c r="M3479" s="24"/>
      <c r="N3479" s="24"/>
      <c r="P3479" s="24"/>
    </row>
    <row r="3480" spans="2:16" x14ac:dyDescent="0.25">
      <c r="B3480" s="24"/>
      <c r="E3480" s="24"/>
      <c r="G3480" s="24"/>
      <c r="H3480" s="24"/>
      <c r="J3480" s="24"/>
      <c r="K3480" s="24"/>
      <c r="M3480" s="24"/>
      <c r="N3480" s="24"/>
      <c r="P3480" s="24"/>
    </row>
    <row r="3481" spans="2:16" x14ac:dyDescent="0.25">
      <c r="B3481" s="24"/>
      <c r="E3481" s="24"/>
      <c r="G3481" s="24"/>
      <c r="H3481" s="24"/>
      <c r="J3481" s="24"/>
      <c r="K3481" s="24"/>
      <c r="M3481" s="24"/>
      <c r="N3481" s="24"/>
      <c r="P3481" s="24"/>
    </row>
    <row r="3482" spans="2:16" x14ac:dyDescent="0.25">
      <c r="B3482" s="24"/>
      <c r="E3482" s="24"/>
      <c r="G3482" s="24"/>
      <c r="H3482" s="24"/>
      <c r="J3482" s="24"/>
      <c r="K3482" s="24"/>
      <c r="M3482" s="24"/>
      <c r="N3482" s="24"/>
      <c r="P3482" s="24"/>
    </row>
    <row r="3483" spans="2:16" x14ac:dyDescent="0.25">
      <c r="B3483" s="24"/>
      <c r="E3483" s="24"/>
      <c r="G3483" s="24"/>
      <c r="H3483" s="24"/>
      <c r="J3483" s="24"/>
      <c r="K3483" s="24"/>
      <c r="M3483" s="24"/>
      <c r="N3483" s="24"/>
      <c r="P3483" s="24"/>
    </row>
    <row r="3484" spans="2:16" x14ac:dyDescent="0.25">
      <c r="B3484" s="24"/>
      <c r="E3484" s="24"/>
      <c r="G3484" s="24"/>
      <c r="H3484" s="24"/>
      <c r="J3484" s="24"/>
      <c r="K3484" s="24"/>
      <c r="M3484" s="24"/>
      <c r="N3484" s="24"/>
      <c r="P3484" s="24"/>
    </row>
    <row r="3485" spans="2:16" x14ac:dyDescent="0.25">
      <c r="B3485" s="24"/>
      <c r="E3485" s="24"/>
      <c r="G3485" s="24"/>
      <c r="H3485" s="24"/>
      <c r="J3485" s="24"/>
      <c r="K3485" s="24"/>
      <c r="M3485" s="24"/>
      <c r="N3485" s="24"/>
      <c r="P3485" s="24"/>
    </row>
    <row r="3486" spans="2:16" x14ac:dyDescent="0.25">
      <c r="B3486" s="24"/>
      <c r="E3486" s="24"/>
      <c r="G3486" s="24"/>
      <c r="H3486" s="24"/>
      <c r="J3486" s="24"/>
      <c r="K3486" s="24"/>
      <c r="M3486" s="24"/>
      <c r="N3486" s="24"/>
      <c r="P3486" s="24"/>
    </row>
    <row r="3487" spans="2:16" x14ac:dyDescent="0.25">
      <c r="B3487" s="24"/>
      <c r="E3487" s="24"/>
      <c r="G3487" s="24"/>
      <c r="H3487" s="24"/>
      <c r="J3487" s="24"/>
      <c r="K3487" s="24"/>
      <c r="M3487" s="24"/>
      <c r="N3487" s="24"/>
      <c r="P3487" s="24"/>
    </row>
    <row r="3488" spans="2:16" x14ac:dyDescent="0.25">
      <c r="B3488" s="24"/>
      <c r="E3488" s="24"/>
      <c r="G3488" s="24"/>
      <c r="H3488" s="24"/>
      <c r="J3488" s="24"/>
      <c r="K3488" s="24"/>
      <c r="M3488" s="24"/>
      <c r="N3488" s="24"/>
      <c r="P3488" s="24"/>
    </row>
    <row r="3489" spans="2:16" x14ac:dyDescent="0.25">
      <c r="B3489" s="24"/>
      <c r="E3489" s="24"/>
      <c r="G3489" s="24"/>
      <c r="H3489" s="24"/>
      <c r="J3489" s="24"/>
      <c r="K3489" s="24"/>
      <c r="M3489" s="24"/>
      <c r="N3489" s="24"/>
      <c r="P3489" s="24"/>
    </row>
    <row r="3490" spans="2:16" x14ac:dyDescent="0.25">
      <c r="B3490" s="24"/>
      <c r="E3490" s="24"/>
      <c r="G3490" s="24"/>
      <c r="H3490" s="24"/>
      <c r="J3490" s="24"/>
      <c r="K3490" s="24"/>
      <c r="M3490" s="24"/>
      <c r="N3490" s="24"/>
      <c r="P3490" s="24"/>
    </row>
    <row r="3491" spans="2:16" x14ac:dyDescent="0.25">
      <c r="B3491" s="24"/>
      <c r="E3491" s="24"/>
      <c r="G3491" s="24"/>
      <c r="H3491" s="24"/>
      <c r="J3491" s="24"/>
      <c r="K3491" s="24"/>
      <c r="M3491" s="24"/>
      <c r="N3491" s="24"/>
      <c r="P3491" s="24"/>
    </row>
    <row r="3492" spans="2:16" x14ac:dyDescent="0.25">
      <c r="B3492" s="24"/>
      <c r="E3492" s="24"/>
      <c r="G3492" s="24"/>
      <c r="H3492" s="24"/>
      <c r="J3492" s="24"/>
      <c r="K3492" s="24"/>
      <c r="M3492" s="24"/>
      <c r="N3492" s="24"/>
      <c r="P3492" s="24"/>
    </row>
    <row r="3493" spans="2:16" x14ac:dyDescent="0.25">
      <c r="B3493" s="24"/>
      <c r="E3493" s="24"/>
      <c r="G3493" s="24"/>
      <c r="H3493" s="24"/>
      <c r="J3493" s="24"/>
      <c r="K3493" s="24"/>
      <c r="M3493" s="24"/>
      <c r="N3493" s="24"/>
      <c r="P3493" s="24"/>
    </row>
    <row r="3494" spans="2:16" x14ac:dyDescent="0.25">
      <c r="B3494" s="24"/>
      <c r="E3494" s="24"/>
      <c r="G3494" s="24"/>
      <c r="H3494" s="24"/>
      <c r="J3494" s="24"/>
      <c r="K3494" s="24"/>
      <c r="M3494" s="24"/>
      <c r="N3494" s="24"/>
      <c r="P3494" s="24"/>
    </row>
    <row r="3495" spans="2:16" x14ac:dyDescent="0.25">
      <c r="B3495" s="24"/>
      <c r="E3495" s="24"/>
      <c r="G3495" s="24"/>
      <c r="H3495" s="24"/>
      <c r="J3495" s="24"/>
      <c r="K3495" s="24"/>
      <c r="M3495" s="24"/>
      <c r="N3495" s="24"/>
      <c r="P3495" s="24"/>
    </row>
    <row r="3496" spans="2:16" x14ac:dyDescent="0.25">
      <c r="B3496" s="24"/>
      <c r="E3496" s="24"/>
      <c r="G3496" s="24"/>
      <c r="H3496" s="24"/>
      <c r="J3496" s="24"/>
      <c r="K3496" s="24"/>
      <c r="M3496" s="24"/>
      <c r="N3496" s="24"/>
      <c r="P3496" s="24"/>
    </row>
    <row r="3497" spans="2:16" x14ac:dyDescent="0.25">
      <c r="B3497" s="24"/>
      <c r="E3497" s="24"/>
      <c r="G3497" s="24"/>
      <c r="H3497" s="24"/>
      <c r="J3497" s="24"/>
      <c r="K3497" s="24"/>
      <c r="M3497" s="24"/>
      <c r="N3497" s="24"/>
      <c r="P3497" s="24"/>
    </row>
    <row r="3498" spans="2:16" x14ac:dyDescent="0.25">
      <c r="B3498" s="24"/>
      <c r="E3498" s="24"/>
      <c r="G3498" s="24"/>
      <c r="H3498" s="24"/>
      <c r="J3498" s="24"/>
      <c r="K3498" s="24"/>
      <c r="M3498" s="24"/>
      <c r="N3498" s="24"/>
      <c r="P3498" s="24"/>
    </row>
    <row r="3499" spans="2:16" x14ac:dyDescent="0.25">
      <c r="B3499" s="24"/>
      <c r="E3499" s="24"/>
      <c r="G3499" s="24"/>
      <c r="H3499" s="24"/>
      <c r="J3499" s="24"/>
      <c r="K3499" s="24"/>
      <c r="M3499" s="24"/>
      <c r="N3499" s="24"/>
      <c r="P3499" s="24"/>
    </row>
    <row r="3500" spans="2:16" x14ac:dyDescent="0.25">
      <c r="B3500" s="24"/>
      <c r="E3500" s="24"/>
      <c r="G3500" s="24"/>
      <c r="H3500" s="24"/>
      <c r="J3500" s="24"/>
      <c r="K3500" s="24"/>
      <c r="M3500" s="24"/>
      <c r="N3500" s="24"/>
      <c r="P3500" s="24"/>
    </row>
    <row r="3501" spans="2:16" x14ac:dyDescent="0.25">
      <c r="B3501" s="24"/>
      <c r="E3501" s="24"/>
      <c r="G3501" s="24"/>
      <c r="H3501" s="24"/>
      <c r="J3501" s="24"/>
      <c r="K3501" s="24"/>
      <c r="M3501" s="24"/>
      <c r="N3501" s="24"/>
      <c r="P3501" s="24"/>
    </row>
    <row r="3502" spans="2:16" x14ac:dyDescent="0.25">
      <c r="B3502" s="24"/>
      <c r="E3502" s="24"/>
      <c r="G3502" s="24"/>
      <c r="H3502" s="24"/>
      <c r="J3502" s="24"/>
      <c r="K3502" s="24"/>
      <c r="M3502" s="24"/>
      <c r="N3502" s="24"/>
      <c r="P3502" s="24"/>
    </row>
    <row r="3503" spans="2:16" x14ac:dyDescent="0.25">
      <c r="B3503" s="24"/>
      <c r="E3503" s="24"/>
      <c r="G3503" s="24"/>
      <c r="H3503" s="24"/>
      <c r="J3503" s="24"/>
      <c r="K3503" s="24"/>
      <c r="M3503" s="24"/>
      <c r="N3503" s="24"/>
      <c r="P3503" s="24"/>
    </row>
    <row r="3504" spans="2:16" x14ac:dyDescent="0.25">
      <c r="B3504" s="24"/>
      <c r="E3504" s="24"/>
      <c r="G3504" s="24"/>
      <c r="H3504" s="24"/>
      <c r="J3504" s="24"/>
      <c r="K3504" s="24"/>
      <c r="M3504" s="24"/>
      <c r="N3504" s="24"/>
      <c r="P3504" s="24"/>
    </row>
    <row r="3505" spans="2:16" x14ac:dyDescent="0.25">
      <c r="B3505" s="24"/>
      <c r="E3505" s="24"/>
      <c r="G3505" s="24"/>
      <c r="H3505" s="24"/>
      <c r="J3505" s="24"/>
      <c r="K3505" s="24"/>
      <c r="M3505" s="24"/>
      <c r="N3505" s="24"/>
      <c r="P3505" s="24"/>
    </row>
    <row r="3506" spans="2:16" x14ac:dyDescent="0.25">
      <c r="B3506" s="24"/>
      <c r="E3506" s="24"/>
      <c r="G3506" s="24"/>
      <c r="H3506" s="24"/>
      <c r="J3506" s="24"/>
      <c r="K3506" s="24"/>
      <c r="M3506" s="24"/>
      <c r="N3506" s="24"/>
      <c r="P3506" s="24"/>
    </row>
    <row r="3507" spans="2:16" x14ac:dyDescent="0.25">
      <c r="B3507" s="24"/>
      <c r="E3507" s="24"/>
      <c r="G3507" s="24"/>
      <c r="H3507" s="24"/>
      <c r="J3507" s="24"/>
      <c r="K3507" s="24"/>
      <c r="M3507" s="24"/>
      <c r="N3507" s="24"/>
      <c r="P3507" s="24"/>
    </row>
    <row r="3508" spans="2:16" x14ac:dyDescent="0.25">
      <c r="B3508" s="24"/>
      <c r="E3508" s="24"/>
      <c r="G3508" s="24"/>
      <c r="H3508" s="24"/>
      <c r="J3508" s="24"/>
      <c r="K3508" s="24"/>
      <c r="M3508" s="24"/>
      <c r="N3508" s="24"/>
      <c r="P3508" s="24"/>
    </row>
    <row r="3509" spans="2:16" x14ac:dyDescent="0.25">
      <c r="B3509" s="24"/>
      <c r="E3509" s="24"/>
      <c r="G3509" s="24"/>
      <c r="H3509" s="24"/>
      <c r="J3509" s="24"/>
      <c r="K3509" s="24"/>
      <c r="M3509" s="24"/>
      <c r="N3509" s="24"/>
      <c r="P3509" s="24"/>
    </row>
    <row r="3510" spans="2:16" x14ac:dyDescent="0.25">
      <c r="B3510" s="24"/>
      <c r="E3510" s="24"/>
      <c r="G3510" s="24"/>
      <c r="H3510" s="24"/>
      <c r="J3510" s="24"/>
      <c r="K3510" s="24"/>
      <c r="M3510" s="24"/>
      <c r="N3510" s="24"/>
      <c r="P3510" s="24"/>
    </row>
    <row r="3511" spans="2:16" x14ac:dyDescent="0.25">
      <c r="B3511" s="24"/>
      <c r="E3511" s="24"/>
      <c r="G3511" s="24"/>
      <c r="H3511" s="24"/>
      <c r="J3511" s="24"/>
      <c r="K3511" s="24"/>
      <c r="M3511" s="24"/>
      <c r="N3511" s="24"/>
      <c r="P3511" s="24"/>
    </row>
    <row r="3512" spans="2:16" x14ac:dyDescent="0.25">
      <c r="B3512" s="24"/>
      <c r="E3512" s="24"/>
      <c r="G3512" s="24"/>
      <c r="H3512" s="24"/>
      <c r="J3512" s="24"/>
      <c r="K3512" s="24"/>
      <c r="M3512" s="24"/>
      <c r="N3512" s="24"/>
      <c r="P3512" s="24"/>
    </row>
    <row r="3513" spans="2:16" x14ac:dyDescent="0.25">
      <c r="B3513" s="24"/>
      <c r="E3513" s="24"/>
      <c r="G3513" s="24"/>
      <c r="H3513" s="24"/>
      <c r="J3513" s="24"/>
      <c r="K3513" s="24"/>
      <c r="M3513" s="24"/>
      <c r="N3513" s="24"/>
      <c r="P3513" s="24"/>
    </row>
    <row r="3514" spans="2:16" x14ac:dyDescent="0.25">
      <c r="B3514" s="24"/>
      <c r="E3514" s="24"/>
      <c r="G3514" s="24"/>
      <c r="H3514" s="24"/>
      <c r="J3514" s="24"/>
      <c r="K3514" s="24"/>
      <c r="M3514" s="24"/>
      <c r="N3514" s="24"/>
      <c r="P3514" s="24"/>
    </row>
    <row r="3515" spans="2:16" x14ac:dyDescent="0.25">
      <c r="B3515" s="24"/>
      <c r="E3515" s="24"/>
      <c r="G3515" s="24"/>
      <c r="H3515" s="24"/>
      <c r="J3515" s="24"/>
      <c r="K3515" s="24"/>
      <c r="M3515" s="24"/>
      <c r="N3515" s="24"/>
      <c r="P3515" s="24"/>
    </row>
    <row r="3516" spans="2:16" x14ac:dyDescent="0.25">
      <c r="B3516" s="24"/>
      <c r="E3516" s="24"/>
      <c r="G3516" s="24"/>
      <c r="H3516" s="24"/>
      <c r="J3516" s="24"/>
      <c r="K3516" s="24"/>
      <c r="M3516" s="24"/>
      <c r="N3516" s="24"/>
      <c r="P3516" s="24"/>
    </row>
    <row r="3517" spans="2:16" x14ac:dyDescent="0.25">
      <c r="B3517" s="24"/>
      <c r="E3517" s="24"/>
      <c r="G3517" s="24"/>
      <c r="H3517" s="24"/>
      <c r="J3517" s="24"/>
      <c r="K3517" s="24"/>
      <c r="M3517" s="24"/>
      <c r="N3517" s="24"/>
      <c r="P3517" s="24"/>
    </row>
    <row r="3518" spans="2:16" x14ac:dyDescent="0.25">
      <c r="B3518" s="24"/>
      <c r="E3518" s="24"/>
      <c r="G3518" s="24"/>
      <c r="H3518" s="24"/>
      <c r="J3518" s="24"/>
      <c r="K3518" s="24"/>
      <c r="M3518" s="24"/>
      <c r="N3518" s="24"/>
      <c r="P3518" s="24"/>
    </row>
    <row r="3519" spans="2:16" x14ac:dyDescent="0.25">
      <c r="B3519" s="24"/>
      <c r="E3519" s="24"/>
      <c r="G3519" s="24"/>
      <c r="H3519" s="24"/>
      <c r="J3519" s="24"/>
      <c r="K3519" s="24"/>
      <c r="M3519" s="24"/>
      <c r="N3519" s="24"/>
      <c r="P3519" s="24"/>
    </row>
    <row r="3520" spans="2:16" x14ac:dyDescent="0.25">
      <c r="B3520" s="24"/>
      <c r="E3520" s="24"/>
      <c r="G3520" s="24"/>
      <c r="H3520" s="24"/>
      <c r="J3520" s="24"/>
      <c r="K3520" s="24"/>
      <c r="M3520" s="24"/>
      <c r="N3520" s="24"/>
      <c r="P3520" s="24"/>
    </row>
    <row r="3521" spans="2:16" x14ac:dyDescent="0.25">
      <c r="B3521" s="24"/>
      <c r="E3521" s="24"/>
      <c r="G3521" s="24"/>
      <c r="H3521" s="24"/>
      <c r="J3521" s="24"/>
      <c r="K3521" s="24"/>
      <c r="M3521" s="24"/>
      <c r="N3521" s="24"/>
      <c r="P3521" s="24"/>
    </row>
    <row r="3522" spans="2:16" x14ac:dyDescent="0.25">
      <c r="B3522" s="24"/>
      <c r="E3522" s="24"/>
      <c r="G3522" s="24"/>
      <c r="H3522" s="24"/>
      <c r="J3522" s="24"/>
      <c r="K3522" s="24"/>
      <c r="M3522" s="24"/>
      <c r="N3522" s="24"/>
      <c r="P3522" s="24"/>
    </row>
    <row r="3523" spans="2:16" x14ac:dyDescent="0.25">
      <c r="B3523" s="24"/>
      <c r="E3523" s="24"/>
      <c r="G3523" s="24"/>
      <c r="H3523" s="24"/>
      <c r="J3523" s="24"/>
      <c r="K3523" s="24"/>
      <c r="M3523" s="24"/>
      <c r="N3523" s="24"/>
      <c r="P3523" s="24"/>
    </row>
    <row r="3524" spans="2:16" x14ac:dyDescent="0.25">
      <c r="B3524" s="24"/>
      <c r="E3524" s="24"/>
      <c r="G3524" s="24"/>
      <c r="H3524" s="24"/>
      <c r="J3524" s="24"/>
      <c r="K3524" s="24"/>
      <c r="M3524" s="24"/>
      <c r="N3524" s="24"/>
      <c r="P3524" s="24"/>
    </row>
    <row r="3525" spans="2:16" x14ac:dyDescent="0.25">
      <c r="B3525" s="24"/>
      <c r="E3525" s="24"/>
      <c r="G3525" s="24"/>
      <c r="H3525" s="24"/>
      <c r="J3525" s="24"/>
      <c r="K3525" s="24"/>
      <c r="M3525" s="24"/>
      <c r="N3525" s="24"/>
      <c r="P3525" s="24"/>
    </row>
    <row r="3526" spans="2:16" x14ac:dyDescent="0.25">
      <c r="B3526" s="24"/>
      <c r="E3526" s="24"/>
      <c r="G3526" s="24"/>
      <c r="H3526" s="24"/>
      <c r="J3526" s="24"/>
      <c r="K3526" s="24"/>
      <c r="M3526" s="24"/>
      <c r="N3526" s="24"/>
      <c r="P3526" s="24"/>
    </row>
    <row r="3527" spans="2:16" x14ac:dyDescent="0.25">
      <c r="B3527" s="24"/>
      <c r="E3527" s="24"/>
      <c r="G3527" s="24"/>
      <c r="H3527" s="24"/>
      <c r="J3527" s="24"/>
      <c r="K3527" s="24"/>
      <c r="M3527" s="24"/>
      <c r="N3527" s="24"/>
      <c r="P3527" s="24"/>
    </row>
    <row r="3528" spans="2:16" x14ac:dyDescent="0.25">
      <c r="B3528" s="24"/>
      <c r="E3528" s="24"/>
      <c r="G3528" s="24"/>
      <c r="H3528" s="24"/>
      <c r="J3528" s="24"/>
      <c r="K3528" s="24"/>
      <c r="M3528" s="24"/>
      <c r="N3528" s="24"/>
      <c r="P3528" s="24"/>
    </row>
    <row r="3529" spans="2:16" x14ac:dyDescent="0.25">
      <c r="B3529" s="24"/>
      <c r="E3529" s="24"/>
      <c r="G3529" s="24"/>
      <c r="H3529" s="24"/>
      <c r="J3529" s="24"/>
      <c r="K3529" s="24"/>
      <c r="M3529" s="24"/>
      <c r="N3529" s="24"/>
      <c r="P3529" s="24"/>
    </row>
    <row r="3530" spans="2:16" x14ac:dyDescent="0.25">
      <c r="B3530" s="24"/>
      <c r="E3530" s="24"/>
      <c r="G3530" s="24"/>
      <c r="H3530" s="24"/>
      <c r="J3530" s="24"/>
      <c r="K3530" s="24"/>
      <c r="M3530" s="24"/>
      <c r="N3530" s="24"/>
      <c r="P3530" s="24"/>
    </row>
    <row r="3531" spans="2:16" x14ac:dyDescent="0.25">
      <c r="B3531" s="24"/>
      <c r="E3531" s="24"/>
      <c r="G3531" s="24"/>
      <c r="H3531" s="24"/>
      <c r="J3531" s="24"/>
      <c r="K3531" s="24"/>
      <c r="M3531" s="24"/>
      <c r="N3531" s="24"/>
      <c r="P3531" s="24"/>
    </row>
    <row r="3532" spans="2:16" x14ac:dyDescent="0.25">
      <c r="B3532" s="24"/>
      <c r="E3532" s="24"/>
      <c r="G3532" s="24"/>
      <c r="H3532" s="24"/>
      <c r="J3532" s="24"/>
      <c r="K3532" s="24"/>
      <c r="M3532" s="24"/>
      <c r="N3532" s="24"/>
      <c r="P3532" s="24"/>
    </row>
    <row r="3533" spans="2:16" x14ac:dyDescent="0.25">
      <c r="B3533" s="24"/>
      <c r="E3533" s="24"/>
      <c r="G3533" s="24"/>
      <c r="H3533" s="24"/>
      <c r="J3533" s="24"/>
      <c r="K3533" s="24"/>
      <c r="M3533" s="24"/>
      <c r="N3533" s="24"/>
      <c r="P3533" s="24"/>
    </row>
    <row r="3534" spans="2:16" x14ac:dyDescent="0.25">
      <c r="B3534" s="24"/>
      <c r="E3534" s="24"/>
      <c r="G3534" s="24"/>
      <c r="H3534" s="24"/>
      <c r="J3534" s="24"/>
      <c r="K3534" s="24"/>
      <c r="M3534" s="24"/>
      <c r="N3534" s="24"/>
      <c r="P3534" s="24"/>
    </row>
    <row r="3535" spans="2:16" x14ac:dyDescent="0.25">
      <c r="B3535" s="24"/>
      <c r="E3535" s="24"/>
      <c r="G3535" s="24"/>
      <c r="H3535" s="24"/>
      <c r="J3535" s="24"/>
      <c r="K3535" s="24"/>
      <c r="M3535" s="24"/>
      <c r="N3535" s="24"/>
      <c r="P3535" s="24"/>
    </row>
    <row r="3536" spans="2:16" x14ac:dyDescent="0.25">
      <c r="B3536" s="24"/>
      <c r="E3536" s="24"/>
      <c r="G3536" s="24"/>
      <c r="H3536" s="24"/>
      <c r="J3536" s="24"/>
      <c r="K3536" s="24"/>
      <c r="M3536" s="24"/>
      <c r="N3536" s="24"/>
      <c r="P3536" s="24"/>
    </row>
    <row r="3537" spans="2:16" x14ac:dyDescent="0.25">
      <c r="B3537" s="24"/>
      <c r="E3537" s="24"/>
      <c r="G3537" s="24"/>
      <c r="H3537" s="24"/>
      <c r="J3537" s="24"/>
      <c r="K3537" s="24"/>
      <c r="M3537" s="24"/>
      <c r="N3537" s="24"/>
      <c r="P3537" s="24"/>
    </row>
    <row r="3538" spans="2:16" x14ac:dyDescent="0.25">
      <c r="B3538" s="24"/>
      <c r="E3538" s="24"/>
      <c r="G3538" s="24"/>
      <c r="H3538" s="24"/>
      <c r="J3538" s="24"/>
      <c r="K3538" s="24"/>
      <c r="M3538" s="24"/>
      <c r="N3538" s="24"/>
      <c r="P3538" s="24"/>
    </row>
    <row r="3539" spans="2:16" x14ac:dyDescent="0.25">
      <c r="B3539" s="24"/>
      <c r="E3539" s="24"/>
      <c r="G3539" s="24"/>
      <c r="H3539" s="24"/>
      <c r="J3539" s="24"/>
      <c r="K3539" s="24"/>
      <c r="M3539" s="24"/>
      <c r="N3539" s="24"/>
      <c r="P3539" s="24"/>
    </row>
    <row r="3540" spans="2:16" x14ac:dyDescent="0.25">
      <c r="B3540" s="24"/>
      <c r="E3540" s="24"/>
      <c r="G3540" s="24"/>
      <c r="H3540" s="24"/>
      <c r="J3540" s="24"/>
      <c r="K3540" s="24"/>
      <c r="M3540" s="24"/>
      <c r="N3540" s="24"/>
      <c r="P3540" s="24"/>
    </row>
    <row r="3541" spans="2:16" x14ac:dyDescent="0.25">
      <c r="B3541" s="24"/>
      <c r="E3541" s="24"/>
      <c r="G3541" s="24"/>
      <c r="H3541" s="24"/>
      <c r="J3541" s="24"/>
      <c r="K3541" s="24"/>
      <c r="M3541" s="24"/>
      <c r="N3541" s="24"/>
      <c r="P3541" s="24"/>
    </row>
    <row r="3542" spans="2:16" x14ac:dyDescent="0.25">
      <c r="B3542" s="24"/>
      <c r="E3542" s="24"/>
      <c r="G3542" s="24"/>
      <c r="H3542" s="24"/>
      <c r="J3542" s="24"/>
      <c r="K3542" s="24"/>
      <c r="M3542" s="24"/>
      <c r="N3542" s="24"/>
      <c r="P3542" s="24"/>
    </row>
    <row r="3543" spans="2:16" x14ac:dyDescent="0.25">
      <c r="B3543" s="24"/>
      <c r="E3543" s="24"/>
      <c r="G3543" s="24"/>
      <c r="H3543" s="24"/>
      <c r="J3543" s="24"/>
      <c r="K3543" s="24"/>
      <c r="M3543" s="24"/>
      <c r="N3543" s="24"/>
      <c r="P3543" s="24"/>
    </row>
    <row r="3544" spans="2:16" x14ac:dyDescent="0.25">
      <c r="B3544" s="24"/>
      <c r="E3544" s="24"/>
      <c r="G3544" s="24"/>
      <c r="H3544" s="24"/>
      <c r="J3544" s="24"/>
      <c r="K3544" s="24"/>
      <c r="M3544" s="24"/>
      <c r="N3544" s="24"/>
      <c r="P3544" s="24"/>
    </row>
    <row r="3545" spans="2:16" x14ac:dyDescent="0.25">
      <c r="B3545" s="24"/>
      <c r="E3545" s="24"/>
      <c r="G3545" s="24"/>
      <c r="H3545" s="24"/>
      <c r="J3545" s="24"/>
      <c r="K3545" s="24"/>
      <c r="M3545" s="24"/>
      <c r="N3545" s="24"/>
      <c r="P3545" s="24"/>
    </row>
    <row r="3546" spans="2:16" x14ac:dyDescent="0.25">
      <c r="B3546" s="24"/>
      <c r="E3546" s="24"/>
      <c r="G3546" s="24"/>
      <c r="H3546" s="24"/>
      <c r="J3546" s="24"/>
      <c r="K3546" s="24"/>
      <c r="M3546" s="24"/>
      <c r="N3546" s="24"/>
      <c r="P3546" s="24"/>
    </row>
    <row r="3547" spans="2:16" x14ac:dyDescent="0.25">
      <c r="B3547" s="24"/>
      <c r="E3547" s="24"/>
      <c r="G3547" s="24"/>
      <c r="H3547" s="24"/>
      <c r="J3547" s="24"/>
      <c r="K3547" s="24"/>
      <c r="M3547" s="24"/>
      <c r="N3547" s="24"/>
      <c r="P3547" s="24"/>
    </row>
    <row r="3548" spans="2:16" x14ac:dyDescent="0.25">
      <c r="B3548" s="24"/>
      <c r="E3548" s="24"/>
      <c r="G3548" s="24"/>
      <c r="H3548" s="24"/>
      <c r="J3548" s="24"/>
      <c r="K3548" s="24"/>
      <c r="M3548" s="24"/>
      <c r="N3548" s="24"/>
      <c r="P3548" s="24"/>
    </row>
    <row r="3549" spans="2:16" x14ac:dyDescent="0.25">
      <c r="B3549" s="24"/>
      <c r="E3549" s="24"/>
      <c r="G3549" s="24"/>
      <c r="H3549" s="24"/>
      <c r="J3549" s="24"/>
      <c r="K3549" s="24"/>
      <c r="M3549" s="24"/>
      <c r="N3549" s="24"/>
      <c r="P3549" s="24"/>
    </row>
    <row r="3550" spans="2:16" x14ac:dyDescent="0.25">
      <c r="B3550" s="24"/>
      <c r="E3550" s="24"/>
      <c r="G3550" s="24"/>
      <c r="H3550" s="24"/>
      <c r="J3550" s="24"/>
      <c r="K3550" s="24"/>
      <c r="M3550" s="24"/>
      <c r="N3550" s="24"/>
      <c r="P3550" s="24"/>
    </row>
    <row r="3551" spans="2:16" x14ac:dyDescent="0.25">
      <c r="B3551" s="24"/>
      <c r="E3551" s="24"/>
      <c r="G3551" s="24"/>
      <c r="H3551" s="24"/>
      <c r="J3551" s="24"/>
      <c r="K3551" s="24"/>
      <c r="M3551" s="24"/>
      <c r="N3551" s="24"/>
      <c r="P3551" s="24"/>
    </row>
    <row r="3552" spans="2:16" x14ac:dyDescent="0.25">
      <c r="B3552" s="24"/>
      <c r="E3552" s="24"/>
      <c r="G3552" s="24"/>
      <c r="H3552" s="24"/>
      <c r="J3552" s="24"/>
      <c r="K3552" s="24"/>
      <c r="M3552" s="24"/>
      <c r="N3552" s="24"/>
      <c r="P3552" s="24"/>
    </row>
    <row r="3553" spans="2:16" x14ac:dyDescent="0.25">
      <c r="B3553" s="24"/>
      <c r="E3553" s="24"/>
      <c r="G3553" s="24"/>
      <c r="H3553" s="24"/>
      <c r="J3553" s="24"/>
      <c r="K3553" s="24"/>
      <c r="M3553" s="24"/>
      <c r="N3553" s="24"/>
      <c r="P3553" s="24"/>
    </row>
    <row r="3554" spans="2:16" x14ac:dyDescent="0.25">
      <c r="B3554" s="24"/>
      <c r="E3554" s="24"/>
      <c r="G3554" s="24"/>
      <c r="H3554" s="24"/>
      <c r="J3554" s="24"/>
      <c r="K3554" s="24"/>
      <c r="M3554" s="24"/>
      <c r="N3554" s="24"/>
      <c r="P3554" s="24"/>
    </row>
    <row r="3555" spans="2:16" x14ac:dyDescent="0.25">
      <c r="B3555" s="24"/>
      <c r="E3555" s="24"/>
      <c r="G3555" s="24"/>
      <c r="H3555" s="24"/>
      <c r="J3555" s="24"/>
      <c r="K3555" s="24"/>
      <c r="M3555" s="24"/>
      <c r="N3555" s="24"/>
      <c r="P3555" s="24"/>
    </row>
    <row r="3556" spans="2:16" x14ac:dyDescent="0.25">
      <c r="B3556" s="24"/>
      <c r="E3556" s="24"/>
      <c r="G3556" s="24"/>
      <c r="H3556" s="24"/>
      <c r="J3556" s="24"/>
      <c r="K3556" s="24"/>
      <c r="M3556" s="24"/>
      <c r="N3556" s="24"/>
      <c r="P3556" s="24"/>
    </row>
    <row r="3557" spans="2:16" x14ac:dyDescent="0.25">
      <c r="B3557" s="24"/>
      <c r="E3557" s="24"/>
      <c r="G3557" s="24"/>
      <c r="H3557" s="24"/>
      <c r="J3557" s="24"/>
      <c r="K3557" s="24"/>
      <c r="M3557" s="24"/>
      <c r="N3557" s="24"/>
      <c r="P3557" s="24"/>
    </row>
    <row r="3558" spans="2:16" x14ac:dyDescent="0.25">
      <c r="B3558" s="24"/>
      <c r="E3558" s="24"/>
      <c r="G3558" s="24"/>
      <c r="H3558" s="24"/>
      <c r="J3558" s="24"/>
      <c r="K3558" s="24"/>
      <c r="M3558" s="24"/>
      <c r="N3558" s="24"/>
      <c r="P3558" s="24"/>
    </row>
    <row r="3559" spans="2:16" x14ac:dyDescent="0.25">
      <c r="B3559" s="24"/>
      <c r="E3559" s="24"/>
      <c r="G3559" s="24"/>
      <c r="H3559" s="24"/>
      <c r="J3559" s="24"/>
      <c r="K3559" s="24"/>
      <c r="M3559" s="24"/>
      <c r="N3559" s="24"/>
      <c r="P3559" s="24"/>
    </row>
    <row r="3560" spans="2:16" x14ac:dyDescent="0.25">
      <c r="B3560" s="24"/>
      <c r="E3560" s="24"/>
      <c r="G3560" s="24"/>
      <c r="H3560" s="24"/>
      <c r="J3560" s="24"/>
      <c r="K3560" s="24"/>
      <c r="M3560" s="24"/>
      <c r="N3560" s="24"/>
      <c r="P3560" s="24"/>
    </row>
    <row r="3561" spans="2:16" x14ac:dyDescent="0.25">
      <c r="B3561" s="24"/>
      <c r="E3561" s="24"/>
      <c r="G3561" s="24"/>
      <c r="H3561" s="24"/>
      <c r="J3561" s="24"/>
      <c r="K3561" s="24"/>
      <c r="M3561" s="24"/>
      <c r="N3561" s="24"/>
      <c r="P3561" s="24"/>
    </row>
    <row r="3562" spans="2:16" x14ac:dyDescent="0.25">
      <c r="B3562" s="24"/>
      <c r="E3562" s="24"/>
      <c r="G3562" s="24"/>
      <c r="H3562" s="24"/>
      <c r="J3562" s="24"/>
      <c r="K3562" s="24"/>
      <c r="M3562" s="24"/>
      <c r="N3562" s="24"/>
      <c r="P3562" s="24"/>
    </row>
    <row r="3563" spans="2:16" x14ac:dyDescent="0.25">
      <c r="B3563" s="24"/>
      <c r="E3563" s="24"/>
      <c r="G3563" s="24"/>
      <c r="H3563" s="24"/>
      <c r="J3563" s="24"/>
      <c r="K3563" s="24"/>
      <c r="M3563" s="24"/>
      <c r="N3563" s="24"/>
      <c r="P3563" s="24"/>
    </row>
    <row r="3564" spans="2:16" x14ac:dyDescent="0.25">
      <c r="B3564" s="24"/>
      <c r="E3564" s="24"/>
      <c r="G3564" s="24"/>
      <c r="H3564" s="24"/>
      <c r="J3564" s="24"/>
      <c r="K3564" s="24"/>
      <c r="M3564" s="24"/>
      <c r="N3564" s="24"/>
      <c r="P3564" s="24"/>
    </row>
    <row r="3565" spans="2:16" x14ac:dyDescent="0.25">
      <c r="B3565" s="24"/>
      <c r="E3565" s="24"/>
      <c r="G3565" s="24"/>
      <c r="H3565" s="24"/>
      <c r="J3565" s="24"/>
      <c r="K3565" s="24"/>
      <c r="M3565" s="24"/>
      <c r="N3565" s="24"/>
      <c r="P3565" s="24"/>
    </row>
    <row r="3566" spans="2:16" x14ac:dyDescent="0.25">
      <c r="B3566" s="24"/>
      <c r="E3566" s="24"/>
      <c r="G3566" s="24"/>
      <c r="H3566" s="24"/>
      <c r="J3566" s="24"/>
      <c r="K3566" s="24"/>
      <c r="M3566" s="24"/>
      <c r="N3566" s="24"/>
      <c r="P3566" s="24"/>
    </row>
    <row r="3567" spans="2:16" x14ac:dyDescent="0.25">
      <c r="B3567" s="24"/>
      <c r="E3567" s="24"/>
      <c r="G3567" s="24"/>
      <c r="H3567" s="24"/>
      <c r="J3567" s="24"/>
      <c r="K3567" s="24"/>
      <c r="M3567" s="24"/>
      <c r="N3567" s="24"/>
      <c r="P3567" s="24"/>
    </row>
    <row r="3568" spans="2:16" x14ac:dyDescent="0.25">
      <c r="B3568" s="24"/>
      <c r="E3568" s="24"/>
      <c r="G3568" s="24"/>
      <c r="H3568" s="24"/>
      <c r="J3568" s="24"/>
      <c r="K3568" s="24"/>
      <c r="M3568" s="24"/>
      <c r="N3568" s="24"/>
      <c r="P3568" s="24"/>
    </row>
    <row r="3569" spans="2:16" x14ac:dyDescent="0.25">
      <c r="B3569" s="24"/>
      <c r="E3569" s="24"/>
      <c r="G3569" s="24"/>
      <c r="H3569" s="24"/>
      <c r="J3569" s="24"/>
      <c r="K3569" s="24"/>
      <c r="M3569" s="24"/>
      <c r="N3569" s="24"/>
      <c r="P3569" s="24"/>
    </row>
    <row r="3570" spans="2:16" x14ac:dyDescent="0.25">
      <c r="B3570" s="24"/>
      <c r="E3570" s="24"/>
      <c r="G3570" s="24"/>
      <c r="H3570" s="24"/>
      <c r="J3570" s="24"/>
      <c r="K3570" s="24"/>
      <c r="M3570" s="24"/>
      <c r="N3570" s="24"/>
      <c r="P3570" s="24"/>
    </row>
    <row r="3571" spans="2:16" x14ac:dyDescent="0.25">
      <c r="B3571" s="24"/>
      <c r="E3571" s="24"/>
      <c r="G3571" s="24"/>
      <c r="H3571" s="24"/>
      <c r="J3571" s="24"/>
      <c r="K3571" s="24"/>
      <c r="M3571" s="24"/>
      <c r="N3571" s="24"/>
      <c r="P3571" s="24"/>
    </row>
    <row r="3572" spans="2:16" x14ac:dyDescent="0.25">
      <c r="B3572" s="24"/>
      <c r="E3572" s="24"/>
      <c r="G3572" s="24"/>
      <c r="H3572" s="24"/>
      <c r="J3572" s="24"/>
      <c r="K3572" s="24"/>
      <c r="M3572" s="24"/>
      <c r="N3572" s="24"/>
      <c r="P3572" s="24"/>
    </row>
    <row r="3573" spans="2:16" x14ac:dyDescent="0.25">
      <c r="B3573" s="24"/>
      <c r="E3573" s="24"/>
      <c r="G3573" s="24"/>
      <c r="H3573" s="24"/>
      <c r="J3573" s="24"/>
      <c r="K3573" s="24"/>
      <c r="M3573" s="24"/>
      <c r="N3573" s="24"/>
      <c r="P3573" s="24"/>
    </row>
    <row r="3574" spans="2:16" x14ac:dyDescent="0.25">
      <c r="B3574" s="24"/>
      <c r="E3574" s="24"/>
      <c r="G3574" s="24"/>
      <c r="H3574" s="24"/>
      <c r="J3574" s="24"/>
      <c r="K3574" s="24"/>
      <c r="M3574" s="24"/>
      <c r="N3574" s="24"/>
      <c r="P3574" s="24"/>
    </row>
    <row r="3575" spans="2:16" x14ac:dyDescent="0.25">
      <c r="B3575" s="24"/>
      <c r="E3575" s="24"/>
      <c r="G3575" s="24"/>
      <c r="H3575" s="24"/>
      <c r="J3575" s="24"/>
      <c r="K3575" s="24"/>
      <c r="M3575" s="24"/>
      <c r="N3575" s="24"/>
      <c r="P3575" s="24"/>
    </row>
    <row r="3576" spans="2:16" x14ac:dyDescent="0.25">
      <c r="B3576" s="24"/>
      <c r="E3576" s="24"/>
      <c r="G3576" s="24"/>
      <c r="H3576" s="24"/>
      <c r="J3576" s="24"/>
      <c r="K3576" s="24"/>
      <c r="M3576" s="24"/>
      <c r="N3576" s="24"/>
      <c r="P3576" s="24"/>
    </row>
    <row r="3577" spans="2:16" x14ac:dyDescent="0.25">
      <c r="B3577" s="24"/>
      <c r="E3577" s="24"/>
      <c r="G3577" s="24"/>
      <c r="H3577" s="24"/>
      <c r="J3577" s="24"/>
      <c r="K3577" s="24"/>
      <c r="M3577" s="24"/>
      <c r="N3577" s="24"/>
      <c r="P3577" s="24"/>
    </row>
    <row r="3578" spans="2:16" x14ac:dyDescent="0.25">
      <c r="B3578" s="24"/>
      <c r="E3578" s="24"/>
      <c r="G3578" s="24"/>
      <c r="H3578" s="24"/>
      <c r="J3578" s="24"/>
      <c r="K3578" s="24"/>
      <c r="M3578" s="24"/>
      <c r="N3578" s="24"/>
      <c r="P3578" s="24"/>
    </row>
    <row r="3579" spans="2:16" x14ac:dyDescent="0.25">
      <c r="B3579" s="24"/>
      <c r="E3579" s="24"/>
      <c r="G3579" s="24"/>
      <c r="H3579" s="24"/>
      <c r="J3579" s="24"/>
      <c r="K3579" s="24"/>
      <c r="M3579" s="24"/>
      <c r="N3579" s="24"/>
      <c r="P3579" s="24"/>
    </row>
    <row r="3580" spans="2:16" x14ac:dyDescent="0.25">
      <c r="B3580" s="24"/>
      <c r="E3580" s="24"/>
      <c r="G3580" s="24"/>
      <c r="H3580" s="24"/>
      <c r="J3580" s="24"/>
      <c r="K3580" s="24"/>
      <c r="M3580" s="24"/>
      <c r="N3580" s="24"/>
      <c r="P3580" s="24"/>
    </row>
    <row r="3581" spans="2:16" x14ac:dyDescent="0.25">
      <c r="B3581" s="24"/>
      <c r="E3581" s="24"/>
      <c r="G3581" s="24"/>
      <c r="H3581" s="24"/>
      <c r="J3581" s="24"/>
      <c r="K3581" s="24"/>
      <c r="M3581" s="24"/>
      <c r="N3581" s="24"/>
      <c r="P3581" s="24"/>
    </row>
    <row r="3582" spans="2:16" x14ac:dyDescent="0.25">
      <c r="B3582" s="24"/>
      <c r="E3582" s="24"/>
      <c r="G3582" s="24"/>
      <c r="H3582" s="24"/>
      <c r="J3582" s="24"/>
      <c r="K3582" s="24"/>
      <c r="M3582" s="24"/>
      <c r="N3582" s="24"/>
      <c r="P3582" s="24"/>
    </row>
    <row r="3583" spans="2:16" x14ac:dyDescent="0.25">
      <c r="B3583" s="24"/>
      <c r="E3583" s="24"/>
      <c r="G3583" s="24"/>
      <c r="H3583" s="24"/>
      <c r="J3583" s="24"/>
      <c r="K3583" s="24"/>
      <c r="M3583" s="24"/>
      <c r="N3583" s="24"/>
      <c r="P3583" s="24"/>
    </row>
    <row r="3584" spans="2:16" x14ac:dyDescent="0.25">
      <c r="B3584" s="24"/>
      <c r="E3584" s="24"/>
      <c r="G3584" s="24"/>
      <c r="H3584" s="24"/>
      <c r="J3584" s="24"/>
      <c r="K3584" s="24"/>
      <c r="M3584" s="24"/>
      <c r="N3584" s="24"/>
      <c r="P3584" s="24"/>
    </row>
    <row r="3585" spans="2:16" x14ac:dyDescent="0.25">
      <c r="B3585" s="24"/>
      <c r="E3585" s="24"/>
      <c r="G3585" s="24"/>
      <c r="H3585" s="24"/>
      <c r="J3585" s="24"/>
      <c r="K3585" s="24"/>
      <c r="M3585" s="24"/>
      <c r="N3585" s="24"/>
      <c r="P3585" s="24"/>
    </row>
    <row r="3586" spans="2:16" x14ac:dyDescent="0.25">
      <c r="B3586" s="24"/>
      <c r="E3586" s="24"/>
      <c r="G3586" s="24"/>
      <c r="H3586" s="24"/>
      <c r="J3586" s="24"/>
      <c r="K3586" s="24"/>
      <c r="M3586" s="24"/>
      <c r="N3586" s="24"/>
      <c r="P3586" s="24"/>
    </row>
    <row r="3587" spans="2:16" x14ac:dyDescent="0.25">
      <c r="B3587" s="24"/>
      <c r="E3587" s="24"/>
      <c r="G3587" s="24"/>
      <c r="H3587" s="24"/>
      <c r="J3587" s="24"/>
      <c r="K3587" s="24"/>
      <c r="M3587" s="24"/>
      <c r="N3587" s="24"/>
      <c r="P3587" s="24"/>
    </row>
    <row r="3588" spans="2:16" x14ac:dyDescent="0.25">
      <c r="B3588" s="24"/>
      <c r="E3588" s="24"/>
      <c r="G3588" s="24"/>
      <c r="H3588" s="24"/>
      <c r="J3588" s="24"/>
      <c r="K3588" s="24"/>
      <c r="M3588" s="24"/>
      <c r="N3588" s="24"/>
      <c r="P3588" s="24"/>
    </row>
    <row r="3589" spans="2:16" x14ac:dyDescent="0.25">
      <c r="B3589" s="24"/>
      <c r="E3589" s="24"/>
      <c r="G3589" s="24"/>
      <c r="H3589" s="24"/>
      <c r="J3589" s="24"/>
      <c r="K3589" s="24"/>
      <c r="M3589" s="24"/>
      <c r="N3589" s="24"/>
      <c r="P3589" s="24"/>
    </row>
    <row r="3590" spans="2:16" x14ac:dyDescent="0.25">
      <c r="B3590" s="24"/>
      <c r="E3590" s="24"/>
      <c r="G3590" s="24"/>
      <c r="H3590" s="24"/>
      <c r="J3590" s="24"/>
      <c r="K3590" s="24"/>
      <c r="M3590" s="24"/>
      <c r="N3590" s="24"/>
      <c r="P3590" s="24"/>
    </row>
    <row r="3591" spans="2:16" x14ac:dyDescent="0.25">
      <c r="B3591" s="24"/>
      <c r="E3591" s="24"/>
      <c r="G3591" s="24"/>
      <c r="H3591" s="24"/>
      <c r="J3591" s="24"/>
      <c r="K3591" s="24"/>
      <c r="M3591" s="24"/>
      <c r="N3591" s="24"/>
      <c r="P3591" s="24"/>
    </row>
    <row r="3592" spans="2:16" x14ac:dyDescent="0.25">
      <c r="B3592" s="24"/>
      <c r="E3592" s="24"/>
      <c r="G3592" s="24"/>
      <c r="H3592" s="24"/>
      <c r="J3592" s="24"/>
      <c r="K3592" s="24"/>
      <c r="M3592" s="24"/>
      <c r="N3592" s="24"/>
      <c r="P3592" s="24"/>
    </row>
    <row r="3593" spans="2:16" x14ac:dyDescent="0.25">
      <c r="B3593" s="24"/>
      <c r="E3593" s="24"/>
      <c r="G3593" s="24"/>
      <c r="H3593" s="24"/>
      <c r="J3593" s="24"/>
      <c r="K3593" s="24"/>
      <c r="M3593" s="24"/>
      <c r="N3593" s="24"/>
      <c r="P3593" s="24"/>
    </row>
    <row r="3594" spans="2:16" x14ac:dyDescent="0.25">
      <c r="B3594" s="24"/>
      <c r="E3594" s="24"/>
      <c r="G3594" s="24"/>
      <c r="H3594" s="24"/>
      <c r="J3594" s="24"/>
      <c r="K3594" s="24"/>
      <c r="M3594" s="24"/>
      <c r="N3594" s="24"/>
      <c r="P3594" s="24"/>
    </row>
    <row r="3595" spans="2:16" x14ac:dyDescent="0.25">
      <c r="B3595" s="24"/>
      <c r="E3595" s="24"/>
      <c r="G3595" s="24"/>
      <c r="H3595" s="24"/>
      <c r="J3595" s="24"/>
      <c r="K3595" s="24"/>
      <c r="M3595" s="24"/>
      <c r="N3595" s="24"/>
      <c r="P3595" s="24"/>
    </row>
    <row r="3596" spans="2:16" x14ac:dyDescent="0.25">
      <c r="B3596" s="24"/>
      <c r="E3596" s="24"/>
      <c r="G3596" s="24"/>
      <c r="H3596" s="24"/>
      <c r="J3596" s="24"/>
      <c r="K3596" s="24"/>
      <c r="M3596" s="24"/>
      <c r="N3596" s="24"/>
      <c r="P3596" s="24"/>
    </row>
    <row r="3597" spans="2:16" x14ac:dyDescent="0.25">
      <c r="B3597" s="24"/>
      <c r="E3597" s="24"/>
      <c r="G3597" s="24"/>
      <c r="H3597" s="24"/>
      <c r="J3597" s="24"/>
      <c r="K3597" s="24"/>
      <c r="M3597" s="24"/>
      <c r="N3597" s="24"/>
      <c r="P3597" s="24"/>
    </row>
    <row r="3598" spans="2:16" x14ac:dyDescent="0.25">
      <c r="B3598" s="24"/>
      <c r="E3598" s="24"/>
      <c r="G3598" s="24"/>
      <c r="H3598" s="24"/>
      <c r="J3598" s="24"/>
      <c r="K3598" s="24"/>
      <c r="M3598" s="24"/>
      <c r="N3598" s="24"/>
      <c r="P3598" s="24"/>
    </row>
    <row r="3599" spans="2:16" x14ac:dyDescent="0.25">
      <c r="B3599" s="24"/>
      <c r="E3599" s="24"/>
      <c r="G3599" s="24"/>
      <c r="H3599" s="24"/>
      <c r="J3599" s="24"/>
      <c r="K3599" s="24"/>
      <c r="M3599" s="24"/>
      <c r="N3599" s="24"/>
      <c r="P3599" s="24"/>
    </row>
    <row r="3600" spans="2:16" x14ac:dyDescent="0.25">
      <c r="B3600" s="24"/>
      <c r="E3600" s="24"/>
      <c r="G3600" s="24"/>
      <c r="H3600" s="24"/>
      <c r="J3600" s="24"/>
      <c r="K3600" s="24"/>
      <c r="M3600" s="24"/>
      <c r="N3600" s="24"/>
      <c r="P3600" s="24"/>
    </row>
    <row r="3601" spans="2:16" x14ac:dyDescent="0.25">
      <c r="B3601" s="24"/>
      <c r="E3601" s="24"/>
      <c r="G3601" s="24"/>
      <c r="H3601" s="24"/>
      <c r="J3601" s="24"/>
      <c r="K3601" s="24"/>
      <c r="M3601" s="24"/>
      <c r="N3601" s="24"/>
      <c r="P3601" s="24"/>
    </row>
    <row r="3602" spans="2:16" x14ac:dyDescent="0.25">
      <c r="B3602" s="24"/>
      <c r="E3602" s="24"/>
      <c r="G3602" s="24"/>
      <c r="H3602" s="24"/>
      <c r="J3602" s="24"/>
      <c r="K3602" s="24"/>
      <c r="M3602" s="24"/>
      <c r="N3602" s="24"/>
      <c r="P3602" s="24"/>
    </row>
    <row r="3603" spans="2:16" x14ac:dyDescent="0.25">
      <c r="B3603" s="24"/>
      <c r="E3603" s="24"/>
      <c r="G3603" s="24"/>
      <c r="H3603" s="24"/>
      <c r="J3603" s="24"/>
      <c r="K3603" s="24"/>
      <c r="M3603" s="24"/>
      <c r="N3603" s="24"/>
      <c r="P3603" s="24"/>
    </row>
    <row r="3604" spans="2:16" x14ac:dyDescent="0.25">
      <c r="B3604" s="24"/>
      <c r="E3604" s="24"/>
      <c r="G3604" s="24"/>
      <c r="H3604" s="24"/>
      <c r="J3604" s="24"/>
      <c r="K3604" s="24"/>
      <c r="M3604" s="24"/>
      <c r="N3604" s="24"/>
      <c r="P3604" s="24"/>
    </row>
    <row r="3605" spans="2:16" x14ac:dyDescent="0.25">
      <c r="B3605" s="24"/>
      <c r="E3605" s="24"/>
      <c r="G3605" s="24"/>
      <c r="H3605" s="24"/>
      <c r="J3605" s="24"/>
      <c r="K3605" s="24"/>
      <c r="M3605" s="24"/>
      <c r="N3605" s="24"/>
      <c r="P3605" s="24"/>
    </row>
    <row r="3606" spans="2:16" x14ac:dyDescent="0.25">
      <c r="B3606" s="24"/>
      <c r="E3606" s="24"/>
      <c r="G3606" s="24"/>
      <c r="H3606" s="24"/>
      <c r="J3606" s="24"/>
      <c r="K3606" s="24"/>
      <c r="M3606" s="24"/>
      <c r="N3606" s="24"/>
      <c r="P3606" s="24"/>
    </row>
    <row r="3607" spans="2:16" x14ac:dyDescent="0.25">
      <c r="B3607" s="24"/>
      <c r="E3607" s="24"/>
      <c r="G3607" s="24"/>
      <c r="H3607" s="24"/>
      <c r="J3607" s="24"/>
      <c r="K3607" s="24"/>
      <c r="M3607" s="24"/>
      <c r="N3607" s="24"/>
      <c r="P3607" s="24"/>
    </row>
    <row r="3608" spans="2:16" x14ac:dyDescent="0.25">
      <c r="B3608" s="24"/>
      <c r="E3608" s="24"/>
      <c r="G3608" s="24"/>
      <c r="H3608" s="24"/>
      <c r="J3608" s="24"/>
      <c r="K3608" s="24"/>
      <c r="M3608" s="24"/>
      <c r="N3608" s="24"/>
      <c r="P3608" s="24"/>
    </row>
    <row r="3609" spans="2:16" x14ac:dyDescent="0.25">
      <c r="B3609" s="24"/>
      <c r="E3609" s="24"/>
      <c r="G3609" s="24"/>
      <c r="H3609" s="24"/>
      <c r="J3609" s="24"/>
      <c r="K3609" s="24"/>
      <c r="M3609" s="24"/>
      <c r="N3609" s="24"/>
      <c r="P3609" s="24"/>
    </row>
    <row r="3610" spans="2:16" x14ac:dyDescent="0.25">
      <c r="B3610" s="24"/>
      <c r="E3610" s="24"/>
      <c r="G3610" s="24"/>
      <c r="H3610" s="24"/>
      <c r="J3610" s="24"/>
      <c r="K3610" s="24"/>
      <c r="M3610" s="24"/>
      <c r="N3610" s="24"/>
      <c r="P3610" s="24"/>
    </row>
    <row r="3611" spans="2:16" x14ac:dyDescent="0.25">
      <c r="B3611" s="24"/>
      <c r="E3611" s="24"/>
      <c r="G3611" s="24"/>
      <c r="H3611" s="24"/>
      <c r="J3611" s="24"/>
      <c r="K3611" s="24"/>
      <c r="M3611" s="24"/>
      <c r="N3611" s="24"/>
      <c r="P3611" s="24"/>
    </row>
    <row r="3612" spans="2:16" x14ac:dyDescent="0.25">
      <c r="B3612" s="24"/>
      <c r="E3612" s="24"/>
      <c r="G3612" s="24"/>
      <c r="H3612" s="24"/>
      <c r="J3612" s="24"/>
      <c r="K3612" s="24"/>
      <c r="M3612" s="24"/>
      <c r="N3612" s="24"/>
      <c r="P3612" s="24"/>
    </row>
    <row r="3613" spans="2:16" x14ac:dyDescent="0.25">
      <c r="B3613" s="24"/>
      <c r="E3613" s="24"/>
      <c r="G3613" s="24"/>
      <c r="H3613" s="24"/>
      <c r="J3613" s="24"/>
      <c r="K3613" s="24"/>
      <c r="M3613" s="24"/>
      <c r="N3613" s="24"/>
      <c r="P3613" s="24"/>
    </row>
    <row r="3614" spans="2:16" x14ac:dyDescent="0.25">
      <c r="B3614" s="24"/>
      <c r="E3614" s="24"/>
      <c r="G3614" s="24"/>
      <c r="H3614" s="24"/>
      <c r="J3614" s="24"/>
      <c r="K3614" s="24"/>
      <c r="M3614" s="24"/>
      <c r="N3614" s="24"/>
      <c r="P3614" s="24"/>
    </row>
    <row r="3615" spans="2:16" x14ac:dyDescent="0.25">
      <c r="B3615" s="24"/>
      <c r="E3615" s="24"/>
      <c r="G3615" s="24"/>
      <c r="H3615" s="24"/>
      <c r="J3615" s="24"/>
      <c r="K3615" s="24"/>
      <c r="M3615" s="24"/>
      <c r="N3615" s="24"/>
      <c r="P3615" s="24"/>
    </row>
    <row r="3616" spans="2:16" x14ac:dyDescent="0.25">
      <c r="B3616" s="24"/>
      <c r="E3616" s="24"/>
      <c r="G3616" s="24"/>
      <c r="H3616" s="24"/>
      <c r="J3616" s="24"/>
      <c r="K3616" s="24"/>
      <c r="M3616" s="24"/>
      <c r="N3616" s="24"/>
      <c r="P3616" s="24"/>
    </row>
    <row r="3617" spans="2:16" x14ac:dyDescent="0.25">
      <c r="B3617" s="24"/>
      <c r="E3617" s="24"/>
      <c r="G3617" s="24"/>
      <c r="H3617" s="24"/>
      <c r="J3617" s="24"/>
      <c r="K3617" s="24"/>
      <c r="M3617" s="24"/>
      <c r="N3617" s="24"/>
      <c r="P3617" s="24"/>
    </row>
    <row r="3618" spans="2:16" x14ac:dyDescent="0.25">
      <c r="B3618" s="24"/>
      <c r="E3618" s="24"/>
      <c r="G3618" s="24"/>
      <c r="H3618" s="24"/>
      <c r="J3618" s="24"/>
      <c r="K3618" s="24"/>
      <c r="M3618" s="24"/>
      <c r="N3618" s="24"/>
      <c r="P3618" s="24"/>
    </row>
    <row r="3619" spans="2:16" x14ac:dyDescent="0.25">
      <c r="B3619" s="24"/>
      <c r="E3619" s="24"/>
      <c r="G3619" s="24"/>
      <c r="H3619" s="24"/>
      <c r="J3619" s="24"/>
      <c r="K3619" s="24"/>
      <c r="M3619" s="24"/>
      <c r="N3619" s="24"/>
      <c r="P3619" s="24"/>
    </row>
    <row r="3620" spans="2:16" x14ac:dyDescent="0.25">
      <c r="B3620" s="24"/>
      <c r="E3620" s="24"/>
      <c r="G3620" s="24"/>
      <c r="H3620" s="24"/>
      <c r="J3620" s="24"/>
      <c r="K3620" s="24"/>
      <c r="M3620" s="24"/>
      <c r="N3620" s="24"/>
      <c r="P3620" s="24"/>
    </row>
    <row r="3621" spans="2:16" x14ac:dyDescent="0.25">
      <c r="B3621" s="24"/>
      <c r="E3621" s="24"/>
      <c r="G3621" s="24"/>
      <c r="H3621" s="24"/>
      <c r="J3621" s="24"/>
      <c r="K3621" s="24"/>
      <c r="M3621" s="24"/>
      <c r="N3621" s="24"/>
      <c r="P3621" s="24"/>
    </row>
    <row r="3622" spans="2:16" x14ac:dyDescent="0.25">
      <c r="B3622" s="24"/>
      <c r="E3622" s="24"/>
      <c r="G3622" s="24"/>
      <c r="H3622" s="24"/>
      <c r="J3622" s="24"/>
      <c r="K3622" s="24"/>
      <c r="M3622" s="24"/>
      <c r="N3622" s="24"/>
      <c r="P3622" s="24"/>
    </row>
    <row r="3623" spans="2:16" x14ac:dyDescent="0.25">
      <c r="B3623" s="24"/>
      <c r="E3623" s="24"/>
      <c r="G3623" s="24"/>
      <c r="H3623" s="24"/>
      <c r="J3623" s="24"/>
      <c r="K3623" s="24"/>
      <c r="M3623" s="24"/>
      <c r="N3623" s="24"/>
      <c r="P3623" s="24"/>
    </row>
    <row r="3624" spans="2:16" x14ac:dyDescent="0.25">
      <c r="B3624" s="24"/>
      <c r="E3624" s="24"/>
      <c r="G3624" s="24"/>
      <c r="H3624" s="24"/>
      <c r="J3624" s="24"/>
      <c r="K3624" s="24"/>
      <c r="M3624" s="24"/>
      <c r="N3624" s="24"/>
      <c r="P3624" s="24"/>
    </row>
    <row r="3625" spans="2:16" x14ac:dyDescent="0.25">
      <c r="B3625" s="24"/>
      <c r="E3625" s="24"/>
      <c r="G3625" s="24"/>
      <c r="H3625" s="24"/>
      <c r="J3625" s="24"/>
      <c r="K3625" s="24"/>
      <c r="M3625" s="24"/>
      <c r="N3625" s="24"/>
      <c r="P3625" s="24"/>
    </row>
    <row r="3626" spans="2:16" x14ac:dyDescent="0.25">
      <c r="B3626" s="24"/>
      <c r="E3626" s="24"/>
      <c r="G3626" s="24"/>
      <c r="H3626" s="24"/>
      <c r="J3626" s="24"/>
      <c r="K3626" s="24"/>
      <c r="M3626" s="24"/>
      <c r="N3626" s="24"/>
      <c r="P3626" s="24"/>
    </row>
    <row r="3627" spans="2:16" x14ac:dyDescent="0.25">
      <c r="B3627" s="24"/>
      <c r="E3627" s="24"/>
      <c r="G3627" s="24"/>
      <c r="H3627" s="24"/>
      <c r="J3627" s="24"/>
      <c r="K3627" s="24"/>
      <c r="M3627" s="24"/>
      <c r="N3627" s="24"/>
      <c r="P3627" s="24"/>
    </row>
    <row r="3628" spans="2:16" x14ac:dyDescent="0.25">
      <c r="B3628" s="24"/>
      <c r="E3628" s="24"/>
      <c r="G3628" s="24"/>
      <c r="H3628" s="24"/>
      <c r="J3628" s="24"/>
      <c r="K3628" s="24"/>
      <c r="M3628" s="24"/>
      <c r="N3628" s="24"/>
      <c r="P3628" s="24"/>
    </row>
    <row r="3629" spans="2:16" x14ac:dyDescent="0.25">
      <c r="B3629" s="24"/>
      <c r="E3629" s="24"/>
      <c r="G3629" s="24"/>
      <c r="H3629" s="24"/>
      <c r="J3629" s="24"/>
      <c r="K3629" s="24"/>
      <c r="M3629" s="24"/>
      <c r="N3629" s="24"/>
      <c r="P3629" s="24"/>
    </row>
    <row r="3630" spans="2:16" x14ac:dyDescent="0.25">
      <c r="B3630" s="24"/>
      <c r="E3630" s="24"/>
      <c r="G3630" s="24"/>
      <c r="H3630" s="24"/>
      <c r="J3630" s="24"/>
      <c r="K3630" s="24"/>
      <c r="M3630" s="24"/>
      <c r="N3630" s="24"/>
      <c r="P3630" s="24"/>
    </row>
    <row r="3631" spans="2:16" x14ac:dyDescent="0.25">
      <c r="B3631" s="24"/>
      <c r="E3631" s="24"/>
      <c r="G3631" s="24"/>
      <c r="H3631" s="24"/>
      <c r="J3631" s="24"/>
      <c r="K3631" s="24"/>
      <c r="M3631" s="24"/>
      <c r="N3631" s="24"/>
      <c r="P3631" s="24"/>
    </row>
    <row r="3632" spans="2:16" x14ac:dyDescent="0.25">
      <c r="B3632" s="24"/>
      <c r="E3632" s="24"/>
      <c r="G3632" s="24"/>
      <c r="H3632" s="24"/>
      <c r="J3632" s="24"/>
      <c r="K3632" s="24"/>
      <c r="M3632" s="24"/>
      <c r="N3632" s="24"/>
      <c r="P3632" s="24"/>
    </row>
    <row r="3633" spans="2:16" x14ac:dyDescent="0.25">
      <c r="B3633" s="24"/>
      <c r="E3633" s="24"/>
      <c r="G3633" s="24"/>
      <c r="H3633" s="24"/>
      <c r="J3633" s="24"/>
      <c r="K3633" s="24"/>
      <c r="M3633" s="24"/>
      <c r="N3633" s="24"/>
      <c r="P3633" s="24"/>
    </row>
    <row r="3634" spans="2:16" x14ac:dyDescent="0.25">
      <c r="B3634" s="24"/>
      <c r="E3634" s="24"/>
      <c r="G3634" s="24"/>
      <c r="H3634" s="24"/>
      <c r="J3634" s="24"/>
      <c r="K3634" s="24"/>
      <c r="M3634" s="24"/>
      <c r="N3634" s="24"/>
      <c r="P3634" s="24"/>
    </row>
    <row r="3635" spans="2:16" x14ac:dyDescent="0.25">
      <c r="B3635" s="24"/>
      <c r="E3635" s="24"/>
      <c r="G3635" s="24"/>
      <c r="H3635" s="24"/>
      <c r="J3635" s="24"/>
      <c r="K3635" s="24"/>
      <c r="M3635" s="24"/>
      <c r="N3635" s="24"/>
      <c r="P3635" s="24"/>
    </row>
    <row r="3636" spans="2:16" x14ac:dyDescent="0.25">
      <c r="B3636" s="24"/>
      <c r="E3636" s="24"/>
      <c r="G3636" s="24"/>
      <c r="H3636" s="24"/>
      <c r="J3636" s="24"/>
      <c r="K3636" s="24"/>
      <c r="M3636" s="24"/>
      <c r="N3636" s="24"/>
      <c r="P3636" s="24"/>
    </row>
    <row r="3637" spans="2:16" x14ac:dyDescent="0.25">
      <c r="B3637" s="24"/>
      <c r="E3637" s="24"/>
      <c r="G3637" s="24"/>
      <c r="H3637" s="24"/>
      <c r="J3637" s="24"/>
      <c r="K3637" s="24"/>
      <c r="M3637" s="24"/>
      <c r="N3637" s="24"/>
      <c r="P3637" s="24"/>
    </row>
    <row r="3638" spans="2:16" x14ac:dyDescent="0.25">
      <c r="B3638" s="24"/>
      <c r="E3638" s="24"/>
      <c r="G3638" s="24"/>
      <c r="H3638" s="24"/>
      <c r="J3638" s="24"/>
      <c r="K3638" s="24"/>
      <c r="M3638" s="24"/>
      <c r="N3638" s="24"/>
      <c r="P3638" s="24"/>
    </row>
    <row r="3639" spans="2:16" x14ac:dyDescent="0.25">
      <c r="B3639" s="24"/>
      <c r="E3639" s="24"/>
      <c r="G3639" s="24"/>
      <c r="H3639" s="24"/>
      <c r="J3639" s="24"/>
      <c r="K3639" s="24"/>
      <c r="M3639" s="24"/>
      <c r="N3639" s="24"/>
      <c r="P3639" s="24"/>
    </row>
    <row r="3640" spans="2:16" x14ac:dyDescent="0.25">
      <c r="B3640" s="24"/>
      <c r="E3640" s="24"/>
      <c r="G3640" s="24"/>
      <c r="H3640" s="24"/>
      <c r="J3640" s="24"/>
      <c r="K3640" s="24"/>
      <c r="M3640" s="24"/>
      <c r="N3640" s="24"/>
      <c r="P3640" s="24"/>
    </row>
    <row r="3641" spans="2:16" x14ac:dyDescent="0.25">
      <c r="B3641" s="24"/>
      <c r="E3641" s="24"/>
      <c r="G3641" s="24"/>
      <c r="H3641" s="24"/>
      <c r="J3641" s="24"/>
      <c r="K3641" s="24"/>
      <c r="M3641" s="24"/>
      <c r="N3641" s="24"/>
      <c r="P3641" s="24"/>
    </row>
    <row r="3642" spans="2:16" x14ac:dyDescent="0.25">
      <c r="B3642" s="24"/>
      <c r="E3642" s="24"/>
      <c r="G3642" s="24"/>
      <c r="H3642" s="24"/>
      <c r="J3642" s="24"/>
      <c r="K3642" s="24"/>
      <c r="M3642" s="24"/>
      <c r="N3642" s="24"/>
      <c r="P3642" s="24"/>
    </row>
    <row r="3643" spans="2:16" x14ac:dyDescent="0.25">
      <c r="B3643" s="24"/>
      <c r="E3643" s="24"/>
      <c r="G3643" s="24"/>
      <c r="H3643" s="24"/>
      <c r="J3643" s="24"/>
      <c r="K3643" s="24"/>
      <c r="M3643" s="24"/>
      <c r="N3643" s="24"/>
      <c r="P3643" s="24"/>
    </row>
    <row r="3644" spans="2:16" x14ac:dyDescent="0.25">
      <c r="B3644" s="24"/>
      <c r="E3644" s="24"/>
      <c r="G3644" s="24"/>
      <c r="H3644" s="24"/>
      <c r="J3644" s="24"/>
      <c r="K3644" s="24"/>
      <c r="M3644" s="24"/>
      <c r="N3644" s="24"/>
      <c r="P3644" s="24"/>
    </row>
    <row r="3645" spans="2:16" x14ac:dyDescent="0.25">
      <c r="B3645" s="24"/>
      <c r="E3645" s="24"/>
      <c r="G3645" s="24"/>
      <c r="H3645" s="24"/>
      <c r="J3645" s="24"/>
      <c r="K3645" s="24"/>
      <c r="M3645" s="24"/>
      <c r="N3645" s="24"/>
      <c r="P3645" s="24"/>
    </row>
    <row r="3646" spans="2:16" x14ac:dyDescent="0.25">
      <c r="B3646" s="24"/>
      <c r="E3646" s="24"/>
      <c r="G3646" s="24"/>
      <c r="H3646" s="24"/>
      <c r="J3646" s="24"/>
      <c r="K3646" s="24"/>
      <c r="M3646" s="24"/>
      <c r="N3646" s="24"/>
      <c r="P3646" s="24"/>
    </row>
    <row r="3647" spans="2:16" x14ac:dyDescent="0.25">
      <c r="B3647" s="24"/>
      <c r="E3647" s="24"/>
      <c r="G3647" s="24"/>
      <c r="H3647" s="24"/>
      <c r="J3647" s="24"/>
      <c r="K3647" s="24"/>
      <c r="M3647" s="24"/>
      <c r="N3647" s="24"/>
      <c r="P3647" s="24"/>
    </row>
    <row r="3648" spans="2:16" x14ac:dyDescent="0.25">
      <c r="B3648" s="24"/>
      <c r="E3648" s="24"/>
      <c r="G3648" s="24"/>
      <c r="H3648" s="24"/>
      <c r="J3648" s="24"/>
      <c r="K3648" s="24"/>
      <c r="M3648" s="24"/>
      <c r="N3648" s="24"/>
      <c r="P3648" s="24"/>
    </row>
    <row r="3649" spans="2:16" x14ac:dyDescent="0.25">
      <c r="B3649" s="24"/>
      <c r="E3649" s="24"/>
      <c r="G3649" s="24"/>
      <c r="H3649" s="24"/>
      <c r="J3649" s="24"/>
      <c r="K3649" s="24"/>
      <c r="M3649" s="24"/>
      <c r="N3649" s="24"/>
      <c r="P3649" s="24"/>
    </row>
    <row r="3650" spans="2:16" x14ac:dyDescent="0.25">
      <c r="B3650" s="24"/>
      <c r="E3650" s="24"/>
      <c r="G3650" s="24"/>
      <c r="H3650" s="24"/>
      <c r="J3650" s="24"/>
      <c r="K3650" s="24"/>
      <c r="M3650" s="24"/>
      <c r="N3650" s="24"/>
      <c r="P3650" s="24"/>
    </row>
    <row r="3651" spans="2:16" x14ac:dyDescent="0.25">
      <c r="B3651" s="24"/>
      <c r="E3651" s="24"/>
      <c r="G3651" s="24"/>
      <c r="H3651" s="24"/>
      <c r="J3651" s="24"/>
      <c r="K3651" s="24"/>
      <c r="M3651" s="24"/>
      <c r="N3651" s="24"/>
      <c r="P3651" s="24"/>
    </row>
    <row r="3652" spans="2:16" x14ac:dyDescent="0.25">
      <c r="B3652" s="24"/>
      <c r="E3652" s="24"/>
      <c r="G3652" s="24"/>
      <c r="H3652" s="24"/>
      <c r="J3652" s="24"/>
      <c r="K3652" s="24"/>
      <c r="M3652" s="24"/>
      <c r="N3652" s="24"/>
      <c r="P3652" s="24"/>
    </row>
    <row r="3653" spans="2:16" x14ac:dyDescent="0.25">
      <c r="B3653" s="24"/>
      <c r="E3653" s="24"/>
      <c r="G3653" s="24"/>
      <c r="H3653" s="24"/>
      <c r="J3653" s="24"/>
      <c r="K3653" s="24"/>
      <c r="M3653" s="24"/>
      <c r="N3653" s="24"/>
      <c r="P3653" s="24"/>
    </row>
    <row r="3654" spans="2:16" x14ac:dyDescent="0.25">
      <c r="B3654" s="24"/>
      <c r="E3654" s="24"/>
      <c r="G3654" s="24"/>
      <c r="H3654" s="24"/>
      <c r="J3654" s="24"/>
      <c r="K3654" s="24"/>
      <c r="M3654" s="24"/>
      <c r="N3654" s="24"/>
      <c r="P3654" s="24"/>
    </row>
    <row r="3655" spans="2:16" x14ac:dyDescent="0.25">
      <c r="B3655" s="24"/>
      <c r="E3655" s="24"/>
      <c r="G3655" s="24"/>
      <c r="H3655" s="24"/>
      <c r="J3655" s="24"/>
      <c r="K3655" s="24"/>
      <c r="M3655" s="24"/>
      <c r="N3655" s="24"/>
      <c r="P3655" s="24"/>
    </row>
    <row r="3656" spans="2:16" x14ac:dyDescent="0.25">
      <c r="B3656" s="24"/>
      <c r="E3656" s="24"/>
      <c r="G3656" s="24"/>
      <c r="H3656" s="24"/>
      <c r="J3656" s="24"/>
      <c r="K3656" s="24"/>
      <c r="M3656" s="24"/>
      <c r="N3656" s="24"/>
      <c r="P3656" s="24"/>
    </row>
    <row r="3657" spans="2:16" x14ac:dyDescent="0.25">
      <c r="B3657" s="24"/>
      <c r="E3657" s="24"/>
      <c r="G3657" s="24"/>
      <c r="H3657" s="24"/>
      <c r="J3657" s="24"/>
      <c r="K3657" s="24"/>
      <c r="M3657" s="24"/>
      <c r="N3657" s="24"/>
      <c r="P3657" s="24"/>
    </row>
    <row r="3658" spans="2:16" x14ac:dyDescent="0.25">
      <c r="B3658" s="24"/>
      <c r="E3658" s="24"/>
      <c r="G3658" s="24"/>
      <c r="H3658" s="24"/>
      <c r="J3658" s="24"/>
      <c r="K3658" s="24"/>
      <c r="M3658" s="24"/>
      <c r="N3658" s="24"/>
      <c r="P3658" s="24"/>
    </row>
    <row r="3659" spans="2:16" x14ac:dyDescent="0.25">
      <c r="B3659" s="24"/>
      <c r="E3659" s="24"/>
      <c r="G3659" s="24"/>
      <c r="H3659" s="24"/>
      <c r="J3659" s="24"/>
      <c r="K3659" s="24"/>
      <c r="M3659" s="24"/>
      <c r="N3659" s="24"/>
      <c r="P3659" s="24"/>
    </row>
    <row r="3660" spans="2:16" x14ac:dyDescent="0.25">
      <c r="B3660" s="24"/>
      <c r="E3660" s="24"/>
      <c r="G3660" s="24"/>
      <c r="H3660" s="24"/>
      <c r="J3660" s="24"/>
      <c r="K3660" s="24"/>
      <c r="M3660" s="24"/>
      <c r="N3660" s="24"/>
      <c r="P3660" s="24"/>
    </row>
    <row r="3661" spans="2:16" x14ac:dyDescent="0.25">
      <c r="B3661" s="24"/>
      <c r="E3661" s="24"/>
      <c r="G3661" s="24"/>
      <c r="H3661" s="24"/>
      <c r="J3661" s="24"/>
      <c r="K3661" s="24"/>
      <c r="M3661" s="24"/>
      <c r="N3661" s="24"/>
      <c r="P3661" s="24"/>
    </row>
    <row r="3662" spans="2:16" x14ac:dyDescent="0.25">
      <c r="B3662" s="24"/>
      <c r="E3662" s="24"/>
      <c r="G3662" s="24"/>
      <c r="H3662" s="24"/>
      <c r="J3662" s="24"/>
      <c r="K3662" s="24"/>
      <c r="M3662" s="24"/>
      <c r="N3662" s="24"/>
      <c r="P3662" s="24"/>
    </row>
    <row r="3663" spans="2:16" x14ac:dyDescent="0.25">
      <c r="B3663" s="24"/>
      <c r="E3663" s="24"/>
      <c r="G3663" s="24"/>
      <c r="H3663" s="24"/>
      <c r="J3663" s="24"/>
      <c r="K3663" s="24"/>
      <c r="M3663" s="24"/>
      <c r="N3663" s="24"/>
      <c r="P3663" s="24"/>
    </row>
    <row r="3664" spans="2:16" x14ac:dyDescent="0.25">
      <c r="B3664" s="24"/>
      <c r="E3664" s="24"/>
      <c r="G3664" s="24"/>
      <c r="H3664" s="24"/>
      <c r="J3664" s="24"/>
      <c r="K3664" s="24"/>
      <c r="M3664" s="24"/>
      <c r="N3664" s="24"/>
      <c r="P3664" s="24"/>
    </row>
    <row r="3665" spans="2:16" x14ac:dyDescent="0.25">
      <c r="B3665" s="24"/>
      <c r="E3665" s="24"/>
      <c r="G3665" s="24"/>
      <c r="H3665" s="24"/>
      <c r="J3665" s="24"/>
      <c r="K3665" s="24"/>
      <c r="M3665" s="24"/>
      <c r="N3665" s="24"/>
      <c r="P3665" s="24"/>
    </row>
    <row r="3666" spans="2:16" x14ac:dyDescent="0.25">
      <c r="B3666" s="24"/>
      <c r="E3666" s="24"/>
      <c r="G3666" s="24"/>
      <c r="H3666" s="24"/>
      <c r="J3666" s="24"/>
      <c r="K3666" s="24"/>
      <c r="M3666" s="24"/>
      <c r="N3666" s="24"/>
      <c r="P3666" s="24"/>
    </row>
    <row r="3667" spans="2:16" x14ac:dyDescent="0.25">
      <c r="B3667" s="24"/>
      <c r="E3667" s="24"/>
      <c r="G3667" s="24"/>
      <c r="H3667" s="24"/>
      <c r="J3667" s="24"/>
      <c r="K3667" s="24"/>
      <c r="M3667" s="24"/>
      <c r="N3667" s="24"/>
      <c r="P3667" s="24"/>
    </row>
    <row r="3668" spans="2:16" x14ac:dyDescent="0.25">
      <c r="B3668" s="24"/>
      <c r="E3668" s="24"/>
      <c r="G3668" s="24"/>
      <c r="H3668" s="24"/>
      <c r="J3668" s="24"/>
      <c r="K3668" s="24"/>
      <c r="M3668" s="24"/>
      <c r="N3668" s="24"/>
      <c r="P3668" s="24"/>
    </row>
    <row r="3669" spans="2:16" x14ac:dyDescent="0.25">
      <c r="B3669" s="24"/>
      <c r="E3669" s="24"/>
      <c r="G3669" s="24"/>
      <c r="H3669" s="24"/>
      <c r="J3669" s="24"/>
      <c r="K3669" s="24"/>
      <c r="M3669" s="24"/>
      <c r="N3669" s="24"/>
      <c r="P3669" s="24"/>
    </row>
    <row r="3670" spans="2:16" x14ac:dyDescent="0.25">
      <c r="B3670" s="24"/>
      <c r="E3670" s="24"/>
      <c r="G3670" s="24"/>
      <c r="H3670" s="24"/>
      <c r="J3670" s="24"/>
      <c r="K3670" s="24"/>
      <c r="M3670" s="24"/>
      <c r="N3670" s="24"/>
      <c r="P3670" s="24"/>
    </row>
    <row r="3671" spans="2:16" x14ac:dyDescent="0.25">
      <c r="B3671" s="24"/>
      <c r="E3671" s="24"/>
      <c r="G3671" s="24"/>
      <c r="H3671" s="24"/>
      <c r="J3671" s="24"/>
      <c r="K3671" s="24"/>
      <c r="M3671" s="24"/>
      <c r="N3671" s="24"/>
      <c r="P3671" s="24"/>
    </row>
    <row r="3672" spans="2:16" x14ac:dyDescent="0.25">
      <c r="B3672" s="24"/>
      <c r="E3672" s="24"/>
      <c r="G3672" s="24"/>
      <c r="H3672" s="24"/>
      <c r="J3672" s="24"/>
      <c r="K3672" s="24"/>
      <c r="M3672" s="24"/>
      <c r="N3672" s="24"/>
      <c r="P3672" s="24"/>
    </row>
    <row r="3673" spans="2:16" x14ac:dyDescent="0.25">
      <c r="B3673" s="24"/>
      <c r="E3673" s="24"/>
      <c r="G3673" s="24"/>
      <c r="H3673" s="24"/>
      <c r="J3673" s="24"/>
      <c r="K3673" s="24"/>
      <c r="M3673" s="24"/>
      <c r="N3673" s="24"/>
      <c r="P3673" s="24"/>
    </row>
    <row r="3674" spans="2:16" x14ac:dyDescent="0.25">
      <c r="B3674" s="24"/>
      <c r="E3674" s="24"/>
      <c r="G3674" s="24"/>
      <c r="H3674" s="24"/>
      <c r="J3674" s="24"/>
      <c r="K3674" s="24"/>
      <c r="M3674" s="24"/>
      <c r="N3674" s="24"/>
      <c r="P3674" s="24"/>
    </row>
    <row r="3675" spans="2:16" x14ac:dyDescent="0.25">
      <c r="B3675" s="24"/>
      <c r="E3675" s="24"/>
      <c r="G3675" s="24"/>
      <c r="H3675" s="24"/>
      <c r="J3675" s="24"/>
      <c r="K3675" s="24"/>
      <c r="M3675" s="24"/>
      <c r="N3675" s="24"/>
      <c r="P3675" s="24"/>
    </row>
    <row r="3676" spans="2:16" x14ac:dyDescent="0.25">
      <c r="B3676" s="24"/>
      <c r="E3676" s="24"/>
      <c r="G3676" s="24"/>
      <c r="H3676" s="24"/>
      <c r="J3676" s="24"/>
      <c r="K3676" s="24"/>
      <c r="M3676" s="24"/>
      <c r="N3676" s="24"/>
      <c r="P3676" s="24"/>
    </row>
    <row r="3677" spans="2:16" x14ac:dyDescent="0.25">
      <c r="B3677" s="24"/>
      <c r="E3677" s="24"/>
      <c r="G3677" s="24"/>
      <c r="H3677" s="24"/>
      <c r="J3677" s="24"/>
      <c r="K3677" s="24"/>
      <c r="M3677" s="24"/>
      <c r="N3677" s="24"/>
      <c r="P3677" s="24"/>
    </row>
    <row r="3678" spans="2:16" x14ac:dyDescent="0.25">
      <c r="B3678" s="24"/>
      <c r="E3678" s="24"/>
      <c r="G3678" s="24"/>
      <c r="H3678" s="24"/>
      <c r="J3678" s="24"/>
      <c r="K3678" s="24"/>
      <c r="M3678" s="24"/>
      <c r="N3678" s="24"/>
      <c r="P3678" s="24"/>
    </row>
    <row r="3679" spans="2:16" x14ac:dyDescent="0.25">
      <c r="B3679" s="24"/>
      <c r="E3679" s="24"/>
      <c r="G3679" s="24"/>
      <c r="H3679" s="24"/>
      <c r="J3679" s="24"/>
      <c r="K3679" s="24"/>
      <c r="M3679" s="24"/>
      <c r="N3679" s="24"/>
      <c r="P3679" s="24"/>
    </row>
    <row r="3680" spans="2:16" x14ac:dyDescent="0.25">
      <c r="B3680" s="24"/>
      <c r="E3680" s="24"/>
      <c r="G3680" s="24"/>
      <c r="H3680" s="24"/>
      <c r="J3680" s="24"/>
      <c r="K3680" s="24"/>
      <c r="M3680" s="24"/>
      <c r="N3680" s="24"/>
      <c r="P3680" s="24"/>
    </row>
    <row r="3681" spans="2:16" x14ac:dyDescent="0.25">
      <c r="B3681" s="24"/>
      <c r="E3681" s="24"/>
      <c r="G3681" s="24"/>
      <c r="H3681" s="24"/>
      <c r="J3681" s="24"/>
      <c r="K3681" s="24"/>
      <c r="M3681" s="24"/>
      <c r="N3681" s="24"/>
      <c r="P3681" s="24"/>
    </row>
    <row r="3682" spans="2:16" x14ac:dyDescent="0.25">
      <c r="B3682" s="24"/>
      <c r="E3682" s="24"/>
      <c r="G3682" s="24"/>
      <c r="H3682" s="24"/>
      <c r="J3682" s="24"/>
      <c r="K3682" s="24"/>
      <c r="M3682" s="24"/>
      <c r="N3682" s="24"/>
      <c r="P3682" s="24"/>
    </row>
    <row r="3683" spans="2:16" x14ac:dyDescent="0.25">
      <c r="B3683" s="24"/>
      <c r="E3683" s="24"/>
      <c r="G3683" s="24"/>
      <c r="H3683" s="24"/>
      <c r="J3683" s="24"/>
      <c r="K3683" s="24"/>
      <c r="M3683" s="24"/>
      <c r="N3683" s="24"/>
      <c r="P3683" s="24"/>
    </row>
    <row r="3684" spans="2:16" x14ac:dyDescent="0.25">
      <c r="B3684" s="24"/>
      <c r="E3684" s="24"/>
      <c r="G3684" s="24"/>
      <c r="H3684" s="24"/>
      <c r="J3684" s="24"/>
      <c r="K3684" s="24"/>
      <c r="M3684" s="24"/>
      <c r="N3684" s="24"/>
      <c r="P3684" s="24"/>
    </row>
    <row r="3685" spans="2:16" x14ac:dyDescent="0.25">
      <c r="B3685" s="24"/>
      <c r="E3685" s="24"/>
      <c r="G3685" s="24"/>
      <c r="H3685" s="24"/>
      <c r="J3685" s="24"/>
      <c r="K3685" s="24"/>
      <c r="M3685" s="24"/>
      <c r="N3685" s="24"/>
      <c r="P3685" s="24"/>
    </row>
    <row r="3686" spans="2:16" x14ac:dyDescent="0.25">
      <c r="B3686" s="24"/>
      <c r="E3686" s="24"/>
      <c r="G3686" s="24"/>
      <c r="H3686" s="24"/>
      <c r="J3686" s="24"/>
      <c r="K3686" s="24"/>
      <c r="M3686" s="24"/>
      <c r="N3686" s="24"/>
      <c r="P3686" s="24"/>
    </row>
    <row r="3687" spans="2:16" x14ac:dyDescent="0.25">
      <c r="B3687" s="24"/>
      <c r="E3687" s="24"/>
      <c r="G3687" s="24"/>
      <c r="H3687" s="24"/>
      <c r="J3687" s="24"/>
      <c r="K3687" s="24"/>
      <c r="M3687" s="24"/>
      <c r="N3687" s="24"/>
      <c r="P3687" s="24"/>
    </row>
    <row r="3688" spans="2:16" x14ac:dyDescent="0.25">
      <c r="B3688" s="24"/>
      <c r="E3688" s="24"/>
      <c r="G3688" s="24"/>
      <c r="H3688" s="24"/>
      <c r="J3688" s="24"/>
      <c r="K3688" s="24"/>
      <c r="M3688" s="24"/>
      <c r="N3688" s="24"/>
      <c r="P3688" s="24"/>
    </row>
    <row r="3689" spans="2:16" x14ac:dyDescent="0.25">
      <c r="B3689" s="24"/>
      <c r="E3689" s="24"/>
      <c r="G3689" s="24"/>
      <c r="H3689" s="24"/>
      <c r="J3689" s="24"/>
      <c r="K3689" s="24"/>
      <c r="M3689" s="24"/>
      <c r="N3689" s="24"/>
      <c r="P3689" s="24"/>
    </row>
    <row r="3690" spans="2:16" x14ac:dyDescent="0.25">
      <c r="B3690" s="24"/>
      <c r="E3690" s="24"/>
      <c r="G3690" s="24"/>
      <c r="H3690" s="24"/>
      <c r="J3690" s="24"/>
      <c r="K3690" s="24"/>
      <c r="M3690" s="24"/>
      <c r="N3690" s="24"/>
      <c r="P3690" s="24"/>
    </row>
    <row r="3691" spans="2:16" x14ac:dyDescent="0.25">
      <c r="B3691" s="24"/>
      <c r="E3691" s="24"/>
      <c r="G3691" s="24"/>
      <c r="H3691" s="24"/>
      <c r="J3691" s="24"/>
      <c r="K3691" s="24"/>
      <c r="M3691" s="24"/>
      <c r="N3691" s="24"/>
      <c r="P3691" s="24"/>
    </row>
    <row r="3692" spans="2:16" x14ac:dyDescent="0.25">
      <c r="B3692" s="24"/>
      <c r="E3692" s="24"/>
      <c r="G3692" s="24"/>
      <c r="H3692" s="24"/>
      <c r="J3692" s="24"/>
      <c r="K3692" s="24"/>
      <c r="M3692" s="24"/>
      <c r="N3692" s="24"/>
      <c r="P3692" s="24"/>
    </row>
    <row r="3693" spans="2:16" x14ac:dyDescent="0.25">
      <c r="B3693" s="24"/>
      <c r="E3693" s="24"/>
      <c r="G3693" s="24"/>
      <c r="H3693" s="24"/>
      <c r="J3693" s="24"/>
      <c r="K3693" s="24"/>
      <c r="M3693" s="24"/>
      <c r="N3693" s="24"/>
      <c r="P3693" s="24"/>
    </row>
    <row r="3694" spans="2:16" x14ac:dyDescent="0.25">
      <c r="B3694" s="24"/>
      <c r="E3694" s="24"/>
      <c r="G3694" s="24"/>
      <c r="H3694" s="24"/>
      <c r="J3694" s="24"/>
      <c r="K3694" s="24"/>
      <c r="M3694" s="24"/>
      <c r="N3694" s="24"/>
      <c r="P3694" s="24"/>
    </row>
    <row r="3695" spans="2:16" x14ac:dyDescent="0.25">
      <c r="B3695" s="24"/>
      <c r="E3695" s="24"/>
      <c r="G3695" s="24"/>
      <c r="H3695" s="24"/>
      <c r="J3695" s="24"/>
      <c r="K3695" s="24"/>
      <c r="M3695" s="24"/>
      <c r="N3695" s="24"/>
      <c r="P3695" s="24"/>
    </row>
    <row r="3696" spans="2:16" x14ac:dyDescent="0.25">
      <c r="B3696" s="24"/>
      <c r="E3696" s="24"/>
      <c r="G3696" s="24"/>
      <c r="H3696" s="24"/>
      <c r="J3696" s="24"/>
      <c r="K3696" s="24"/>
      <c r="M3696" s="24"/>
      <c r="N3696" s="24"/>
      <c r="P3696" s="24"/>
    </row>
    <row r="3697" spans="2:16" x14ac:dyDescent="0.25">
      <c r="B3697" s="24"/>
      <c r="E3697" s="24"/>
      <c r="G3697" s="24"/>
      <c r="H3697" s="24"/>
      <c r="J3697" s="24"/>
      <c r="K3697" s="24"/>
      <c r="M3697" s="24"/>
      <c r="N3697" s="24"/>
      <c r="P3697" s="24"/>
    </row>
    <row r="3698" spans="2:16" x14ac:dyDescent="0.25">
      <c r="B3698" s="24"/>
      <c r="E3698" s="24"/>
      <c r="G3698" s="24"/>
      <c r="H3698" s="24"/>
      <c r="J3698" s="24"/>
      <c r="K3698" s="24"/>
      <c r="M3698" s="24"/>
      <c r="N3698" s="24"/>
      <c r="P3698" s="24"/>
    </row>
    <row r="3699" spans="2:16" x14ac:dyDescent="0.25">
      <c r="B3699" s="24"/>
      <c r="E3699" s="24"/>
      <c r="G3699" s="24"/>
      <c r="H3699" s="24"/>
      <c r="J3699" s="24"/>
      <c r="K3699" s="24"/>
      <c r="M3699" s="24"/>
      <c r="N3699" s="24"/>
      <c r="P3699" s="24"/>
    </row>
    <row r="3700" spans="2:16" x14ac:dyDescent="0.25">
      <c r="B3700" s="24"/>
      <c r="E3700" s="24"/>
      <c r="G3700" s="24"/>
      <c r="H3700" s="24"/>
      <c r="J3700" s="24"/>
      <c r="K3700" s="24"/>
      <c r="M3700" s="24"/>
      <c r="N3700" s="24"/>
      <c r="P3700" s="24"/>
    </row>
    <row r="3701" spans="2:16" x14ac:dyDescent="0.25">
      <c r="B3701" s="24"/>
      <c r="E3701" s="24"/>
      <c r="G3701" s="24"/>
      <c r="H3701" s="24"/>
      <c r="J3701" s="24"/>
      <c r="K3701" s="24"/>
      <c r="M3701" s="24"/>
      <c r="N3701" s="24"/>
      <c r="P3701" s="24"/>
    </row>
    <row r="3702" spans="2:16" x14ac:dyDescent="0.25">
      <c r="B3702" s="24"/>
      <c r="E3702" s="24"/>
      <c r="G3702" s="24"/>
      <c r="H3702" s="24"/>
      <c r="J3702" s="24"/>
      <c r="K3702" s="24"/>
      <c r="M3702" s="24"/>
      <c r="N3702" s="24"/>
      <c r="P3702" s="24"/>
    </row>
    <row r="3703" spans="2:16" x14ac:dyDescent="0.25">
      <c r="B3703" s="24"/>
      <c r="E3703" s="24"/>
      <c r="G3703" s="24"/>
      <c r="H3703" s="24"/>
      <c r="J3703" s="24"/>
      <c r="K3703" s="24"/>
      <c r="M3703" s="24"/>
      <c r="N3703" s="24"/>
      <c r="P3703" s="24"/>
    </row>
    <row r="3704" spans="2:16" x14ac:dyDescent="0.25">
      <c r="B3704" s="24"/>
      <c r="E3704" s="24"/>
      <c r="G3704" s="24"/>
      <c r="H3704" s="24"/>
      <c r="J3704" s="24"/>
      <c r="K3704" s="24"/>
      <c r="M3704" s="24"/>
      <c r="N3704" s="24"/>
      <c r="P3704" s="24"/>
    </row>
    <row r="3705" spans="2:16" x14ac:dyDescent="0.25">
      <c r="B3705" s="24"/>
      <c r="E3705" s="24"/>
      <c r="G3705" s="24"/>
      <c r="H3705" s="24"/>
      <c r="J3705" s="24"/>
      <c r="K3705" s="24"/>
      <c r="M3705" s="24"/>
      <c r="N3705" s="24"/>
      <c r="P3705" s="24"/>
    </row>
    <row r="3706" spans="2:16" x14ac:dyDescent="0.25">
      <c r="B3706" s="24"/>
      <c r="E3706" s="24"/>
      <c r="G3706" s="24"/>
      <c r="H3706" s="24"/>
      <c r="J3706" s="24"/>
      <c r="K3706" s="24"/>
      <c r="M3706" s="24"/>
      <c r="N3706" s="24"/>
      <c r="P3706" s="24"/>
    </row>
    <row r="3707" spans="2:16" x14ac:dyDescent="0.25">
      <c r="B3707" s="24"/>
      <c r="E3707" s="24"/>
      <c r="G3707" s="24"/>
      <c r="H3707" s="24"/>
      <c r="J3707" s="24"/>
      <c r="K3707" s="24"/>
      <c r="M3707" s="24"/>
      <c r="N3707" s="24"/>
      <c r="P3707" s="24"/>
    </row>
    <row r="3708" spans="2:16" x14ac:dyDescent="0.25">
      <c r="B3708" s="24"/>
      <c r="E3708" s="24"/>
      <c r="G3708" s="24"/>
      <c r="H3708" s="24"/>
      <c r="J3708" s="24"/>
      <c r="K3708" s="24"/>
      <c r="M3708" s="24"/>
      <c r="N3708" s="24"/>
      <c r="P3708" s="24"/>
    </row>
    <row r="3709" spans="2:16" x14ac:dyDescent="0.25">
      <c r="B3709" s="24"/>
      <c r="E3709" s="24"/>
      <c r="G3709" s="24"/>
      <c r="H3709" s="24"/>
      <c r="J3709" s="24"/>
      <c r="K3709" s="24"/>
      <c r="M3709" s="24"/>
      <c r="N3709" s="24"/>
      <c r="P3709" s="24"/>
    </row>
    <row r="3710" spans="2:16" x14ac:dyDescent="0.25">
      <c r="B3710" s="24"/>
      <c r="E3710" s="24"/>
      <c r="G3710" s="24"/>
      <c r="H3710" s="24"/>
      <c r="J3710" s="24"/>
      <c r="K3710" s="24"/>
      <c r="M3710" s="24"/>
      <c r="N3710" s="24"/>
      <c r="P3710" s="24"/>
    </row>
    <row r="3711" spans="2:16" x14ac:dyDescent="0.25">
      <c r="B3711" s="24"/>
      <c r="E3711" s="24"/>
      <c r="G3711" s="24"/>
      <c r="H3711" s="24"/>
      <c r="J3711" s="24"/>
      <c r="K3711" s="24"/>
      <c r="M3711" s="24"/>
      <c r="N3711" s="24"/>
      <c r="P3711" s="24"/>
    </row>
    <row r="3712" spans="2:16" x14ac:dyDescent="0.25">
      <c r="B3712" s="24"/>
      <c r="E3712" s="24"/>
      <c r="G3712" s="24"/>
      <c r="H3712" s="24"/>
      <c r="J3712" s="24"/>
      <c r="K3712" s="24"/>
      <c r="M3712" s="24"/>
      <c r="N3712" s="24"/>
      <c r="P3712" s="24"/>
    </row>
    <row r="3713" spans="2:16" x14ac:dyDescent="0.25">
      <c r="B3713" s="24"/>
      <c r="E3713" s="24"/>
      <c r="G3713" s="24"/>
      <c r="H3713" s="24"/>
      <c r="J3713" s="24"/>
      <c r="K3713" s="24"/>
      <c r="M3713" s="24"/>
      <c r="N3713" s="24"/>
      <c r="P3713" s="24"/>
    </row>
    <row r="3714" spans="2:16" x14ac:dyDescent="0.25">
      <c r="B3714" s="24"/>
      <c r="E3714" s="24"/>
      <c r="G3714" s="24"/>
      <c r="H3714" s="24"/>
      <c r="J3714" s="24"/>
      <c r="K3714" s="24"/>
      <c r="M3714" s="24"/>
      <c r="N3714" s="24"/>
      <c r="P3714" s="24"/>
    </row>
    <row r="3715" spans="2:16" x14ac:dyDescent="0.25">
      <c r="B3715" s="24"/>
      <c r="E3715" s="24"/>
      <c r="G3715" s="24"/>
      <c r="H3715" s="24"/>
      <c r="J3715" s="24"/>
      <c r="K3715" s="24"/>
      <c r="M3715" s="24"/>
      <c r="N3715" s="24"/>
      <c r="P3715" s="24"/>
    </row>
    <row r="3716" spans="2:16" x14ac:dyDescent="0.25">
      <c r="B3716" s="24"/>
      <c r="E3716" s="24"/>
      <c r="G3716" s="24"/>
      <c r="H3716" s="24"/>
      <c r="J3716" s="24"/>
      <c r="K3716" s="24"/>
      <c r="M3716" s="24"/>
      <c r="N3716" s="24"/>
      <c r="P3716" s="24"/>
    </row>
    <row r="3717" spans="2:16" x14ac:dyDescent="0.25">
      <c r="B3717" s="24"/>
      <c r="E3717" s="24"/>
      <c r="G3717" s="24"/>
      <c r="H3717" s="24"/>
      <c r="J3717" s="24"/>
      <c r="K3717" s="24"/>
      <c r="M3717" s="24"/>
      <c r="N3717" s="24"/>
      <c r="P3717" s="24"/>
    </row>
    <row r="3718" spans="2:16" x14ac:dyDescent="0.25">
      <c r="B3718" s="24"/>
      <c r="E3718" s="24"/>
      <c r="G3718" s="24"/>
      <c r="H3718" s="24"/>
      <c r="J3718" s="24"/>
      <c r="K3718" s="24"/>
      <c r="M3718" s="24"/>
      <c r="N3718" s="24"/>
      <c r="P3718" s="24"/>
    </row>
    <row r="3719" spans="2:16" x14ac:dyDescent="0.25">
      <c r="B3719" s="24"/>
      <c r="E3719" s="24"/>
      <c r="G3719" s="24"/>
      <c r="H3719" s="24"/>
      <c r="J3719" s="24"/>
      <c r="K3719" s="24"/>
      <c r="M3719" s="24"/>
      <c r="N3719" s="24"/>
      <c r="P3719" s="24"/>
    </row>
    <row r="3720" spans="2:16" x14ac:dyDescent="0.25">
      <c r="B3720" s="24"/>
      <c r="E3720" s="24"/>
      <c r="G3720" s="24"/>
      <c r="H3720" s="24"/>
      <c r="J3720" s="24"/>
      <c r="K3720" s="24"/>
      <c r="M3720" s="24"/>
      <c r="N3720" s="24"/>
      <c r="P3720" s="24"/>
    </row>
    <row r="3721" spans="2:16" x14ac:dyDescent="0.25">
      <c r="B3721" s="24"/>
      <c r="E3721" s="24"/>
      <c r="G3721" s="24"/>
      <c r="H3721" s="24"/>
      <c r="J3721" s="24"/>
      <c r="K3721" s="24"/>
      <c r="M3721" s="24"/>
      <c r="N3721" s="24"/>
      <c r="P3721" s="24"/>
    </row>
    <row r="3722" spans="2:16" x14ac:dyDescent="0.25">
      <c r="B3722" s="24"/>
      <c r="E3722" s="24"/>
      <c r="G3722" s="24"/>
      <c r="H3722" s="24"/>
      <c r="J3722" s="24"/>
      <c r="K3722" s="24"/>
      <c r="M3722" s="24"/>
      <c r="N3722" s="24"/>
      <c r="P3722" s="24"/>
    </row>
    <row r="3723" spans="2:16" x14ac:dyDescent="0.25">
      <c r="B3723" s="24"/>
      <c r="E3723" s="24"/>
      <c r="G3723" s="24"/>
      <c r="H3723" s="24"/>
      <c r="J3723" s="24"/>
      <c r="K3723" s="24"/>
      <c r="M3723" s="24"/>
      <c r="N3723" s="24"/>
      <c r="P3723" s="24"/>
    </row>
    <row r="3724" spans="2:16" x14ac:dyDescent="0.25">
      <c r="B3724" s="24"/>
      <c r="E3724" s="24"/>
      <c r="G3724" s="24"/>
      <c r="H3724" s="24"/>
      <c r="J3724" s="24"/>
      <c r="K3724" s="24"/>
      <c r="M3724" s="24"/>
      <c r="N3724" s="24"/>
      <c r="P3724" s="24"/>
    </row>
    <row r="3725" spans="2:16" x14ac:dyDescent="0.25">
      <c r="B3725" s="24"/>
      <c r="E3725" s="24"/>
      <c r="G3725" s="24"/>
      <c r="H3725" s="24"/>
      <c r="J3725" s="24"/>
      <c r="K3725" s="24"/>
      <c r="M3725" s="24"/>
      <c r="N3725" s="24"/>
      <c r="P3725" s="24"/>
    </row>
    <row r="3726" spans="2:16" x14ac:dyDescent="0.25">
      <c r="B3726" s="24"/>
      <c r="E3726" s="24"/>
      <c r="G3726" s="24"/>
      <c r="H3726" s="24"/>
      <c r="J3726" s="24"/>
      <c r="K3726" s="24"/>
      <c r="M3726" s="24"/>
      <c r="N3726" s="24"/>
      <c r="P3726" s="24"/>
    </row>
    <row r="3727" spans="2:16" x14ac:dyDescent="0.25">
      <c r="B3727" s="24"/>
      <c r="E3727" s="24"/>
      <c r="G3727" s="24"/>
      <c r="H3727" s="24"/>
      <c r="J3727" s="24"/>
      <c r="K3727" s="24"/>
      <c r="M3727" s="24"/>
      <c r="N3727" s="24"/>
      <c r="P3727" s="24"/>
    </row>
    <row r="3728" spans="2:16" x14ac:dyDescent="0.25">
      <c r="B3728" s="24"/>
      <c r="E3728" s="24"/>
      <c r="G3728" s="24"/>
      <c r="H3728" s="24"/>
      <c r="J3728" s="24"/>
      <c r="K3728" s="24"/>
      <c r="M3728" s="24"/>
      <c r="N3728" s="24"/>
      <c r="P3728" s="24"/>
    </row>
    <row r="3729" spans="2:16" x14ac:dyDescent="0.25">
      <c r="B3729" s="24"/>
      <c r="E3729" s="24"/>
      <c r="G3729" s="24"/>
      <c r="H3729" s="24"/>
      <c r="J3729" s="24"/>
      <c r="K3729" s="24"/>
      <c r="M3729" s="24"/>
      <c r="N3729" s="24"/>
      <c r="P3729" s="24"/>
    </row>
    <row r="3730" spans="2:16" x14ac:dyDescent="0.25">
      <c r="B3730" s="24"/>
      <c r="E3730" s="24"/>
      <c r="G3730" s="24"/>
      <c r="H3730" s="24"/>
      <c r="J3730" s="24"/>
      <c r="K3730" s="24"/>
      <c r="M3730" s="24"/>
      <c r="N3730" s="24"/>
      <c r="P3730" s="24"/>
    </row>
    <row r="3731" spans="2:16" x14ac:dyDescent="0.25">
      <c r="B3731" s="24"/>
      <c r="E3731" s="24"/>
      <c r="G3731" s="24"/>
      <c r="H3731" s="24"/>
      <c r="J3731" s="24"/>
      <c r="K3731" s="24"/>
      <c r="M3731" s="24"/>
      <c r="N3731" s="24"/>
      <c r="P3731" s="24"/>
    </row>
    <row r="3732" spans="2:16" x14ac:dyDescent="0.25">
      <c r="B3732" s="24"/>
      <c r="E3732" s="24"/>
      <c r="G3732" s="24"/>
      <c r="H3732" s="24"/>
      <c r="J3732" s="24"/>
      <c r="K3732" s="24"/>
      <c r="M3732" s="24"/>
      <c r="N3732" s="24"/>
      <c r="P3732" s="24"/>
    </row>
    <row r="3733" spans="2:16" x14ac:dyDescent="0.25">
      <c r="B3733" s="24"/>
      <c r="E3733" s="24"/>
      <c r="G3733" s="24"/>
      <c r="H3733" s="24"/>
      <c r="J3733" s="24"/>
      <c r="K3733" s="24"/>
      <c r="M3733" s="24"/>
      <c r="N3733" s="24"/>
      <c r="P3733" s="24"/>
    </row>
    <row r="3734" spans="2:16" x14ac:dyDescent="0.25">
      <c r="B3734" s="24"/>
      <c r="E3734" s="24"/>
      <c r="G3734" s="24"/>
      <c r="H3734" s="24"/>
      <c r="J3734" s="24"/>
      <c r="K3734" s="24"/>
      <c r="M3734" s="24"/>
      <c r="N3734" s="24"/>
      <c r="P3734" s="24"/>
    </row>
    <row r="3735" spans="2:16" x14ac:dyDescent="0.25">
      <c r="B3735" s="24"/>
      <c r="E3735" s="24"/>
      <c r="G3735" s="24"/>
      <c r="H3735" s="24"/>
      <c r="J3735" s="24"/>
      <c r="K3735" s="24"/>
      <c r="M3735" s="24"/>
      <c r="N3735" s="24"/>
      <c r="P3735" s="24"/>
    </row>
    <row r="3736" spans="2:16" x14ac:dyDescent="0.25">
      <c r="B3736" s="24"/>
      <c r="E3736" s="24"/>
      <c r="G3736" s="24"/>
      <c r="H3736" s="24"/>
      <c r="J3736" s="24"/>
      <c r="K3736" s="24"/>
      <c r="M3736" s="24"/>
      <c r="N3736" s="24"/>
      <c r="P3736" s="24"/>
    </row>
    <row r="3737" spans="2:16" x14ac:dyDescent="0.25">
      <c r="B3737" s="24"/>
      <c r="E3737" s="24"/>
      <c r="G3737" s="24"/>
      <c r="H3737" s="24"/>
      <c r="J3737" s="24"/>
      <c r="K3737" s="24"/>
      <c r="M3737" s="24"/>
      <c r="N3737" s="24"/>
      <c r="P3737" s="24"/>
    </row>
    <row r="3738" spans="2:16" x14ac:dyDescent="0.25">
      <c r="B3738" s="24"/>
      <c r="E3738" s="24"/>
      <c r="G3738" s="24"/>
      <c r="H3738" s="24"/>
      <c r="J3738" s="24"/>
      <c r="K3738" s="24"/>
      <c r="M3738" s="24"/>
      <c r="N3738" s="24"/>
      <c r="P3738" s="24"/>
    </row>
    <row r="3739" spans="2:16" x14ac:dyDescent="0.25">
      <c r="B3739" s="24"/>
      <c r="E3739" s="24"/>
      <c r="G3739" s="24"/>
      <c r="H3739" s="24"/>
      <c r="J3739" s="24"/>
      <c r="K3739" s="24"/>
      <c r="M3739" s="24"/>
      <c r="N3739" s="24"/>
      <c r="P3739" s="24"/>
    </row>
    <row r="3740" spans="2:16" x14ac:dyDescent="0.25">
      <c r="B3740" s="24"/>
      <c r="E3740" s="24"/>
      <c r="G3740" s="24"/>
      <c r="H3740" s="24"/>
      <c r="J3740" s="24"/>
      <c r="K3740" s="24"/>
      <c r="M3740" s="24"/>
      <c r="N3740" s="24"/>
      <c r="P3740" s="24"/>
    </row>
    <row r="3741" spans="2:16" x14ac:dyDescent="0.25">
      <c r="B3741" s="24"/>
      <c r="E3741" s="24"/>
      <c r="G3741" s="24"/>
      <c r="H3741" s="24"/>
      <c r="J3741" s="24"/>
      <c r="K3741" s="24"/>
      <c r="M3741" s="24"/>
      <c r="N3741" s="24"/>
      <c r="P3741" s="24"/>
    </row>
    <row r="3742" spans="2:16" x14ac:dyDescent="0.25">
      <c r="B3742" s="24"/>
      <c r="E3742" s="24"/>
      <c r="G3742" s="24"/>
      <c r="H3742" s="24"/>
      <c r="J3742" s="24"/>
      <c r="K3742" s="24"/>
      <c r="M3742" s="24"/>
      <c r="N3742" s="24"/>
      <c r="P3742" s="24"/>
    </row>
    <row r="3743" spans="2:16" x14ac:dyDescent="0.25">
      <c r="B3743" s="24"/>
      <c r="E3743" s="24"/>
      <c r="G3743" s="24"/>
      <c r="H3743" s="24"/>
      <c r="J3743" s="24"/>
      <c r="K3743" s="24"/>
      <c r="M3743" s="24"/>
      <c r="N3743" s="24"/>
      <c r="P3743" s="24"/>
    </row>
    <row r="3744" spans="2:16" x14ac:dyDescent="0.25">
      <c r="B3744" s="24"/>
      <c r="E3744" s="24"/>
      <c r="G3744" s="24"/>
      <c r="H3744" s="24"/>
      <c r="J3744" s="24"/>
      <c r="K3744" s="24"/>
      <c r="M3744" s="24"/>
      <c r="N3744" s="24"/>
      <c r="P3744" s="24"/>
    </row>
    <row r="3745" spans="2:16" x14ac:dyDescent="0.25">
      <c r="B3745" s="24"/>
      <c r="E3745" s="24"/>
      <c r="G3745" s="24"/>
      <c r="H3745" s="24"/>
      <c r="J3745" s="24"/>
      <c r="K3745" s="24"/>
      <c r="M3745" s="24"/>
      <c r="N3745" s="24"/>
      <c r="P3745" s="24"/>
    </row>
    <row r="3746" spans="2:16" x14ac:dyDescent="0.25">
      <c r="B3746" s="24"/>
      <c r="E3746" s="24"/>
      <c r="G3746" s="24"/>
      <c r="H3746" s="24"/>
      <c r="J3746" s="24"/>
      <c r="K3746" s="24"/>
      <c r="M3746" s="24"/>
      <c r="N3746" s="24"/>
      <c r="P3746" s="24"/>
    </row>
    <row r="3747" spans="2:16" x14ac:dyDescent="0.25">
      <c r="B3747" s="24"/>
      <c r="E3747" s="24"/>
      <c r="G3747" s="24"/>
      <c r="H3747" s="24"/>
      <c r="J3747" s="24"/>
      <c r="K3747" s="24"/>
      <c r="M3747" s="24"/>
      <c r="N3747" s="24"/>
      <c r="P3747" s="24"/>
    </row>
    <row r="3748" spans="2:16" x14ac:dyDescent="0.25">
      <c r="B3748" s="24"/>
      <c r="E3748" s="24"/>
      <c r="G3748" s="24"/>
      <c r="H3748" s="24"/>
      <c r="J3748" s="24"/>
      <c r="K3748" s="24"/>
      <c r="M3748" s="24"/>
      <c r="N3748" s="24"/>
      <c r="P3748" s="24"/>
    </row>
    <row r="3749" spans="2:16" x14ac:dyDescent="0.25">
      <c r="B3749" s="24"/>
      <c r="E3749" s="24"/>
      <c r="G3749" s="24"/>
      <c r="H3749" s="24"/>
      <c r="J3749" s="24"/>
      <c r="K3749" s="24"/>
      <c r="M3749" s="24"/>
      <c r="N3749" s="24"/>
      <c r="P3749" s="24"/>
    </row>
    <row r="3750" spans="2:16" x14ac:dyDescent="0.25">
      <c r="B3750" s="24"/>
      <c r="E3750" s="24"/>
      <c r="G3750" s="24"/>
      <c r="H3750" s="24"/>
      <c r="J3750" s="24"/>
      <c r="K3750" s="24"/>
      <c r="M3750" s="24"/>
      <c r="N3750" s="24"/>
      <c r="P3750" s="24"/>
    </row>
    <row r="3751" spans="2:16" x14ac:dyDescent="0.25">
      <c r="B3751" s="24"/>
      <c r="E3751" s="24"/>
      <c r="G3751" s="24"/>
      <c r="H3751" s="24"/>
      <c r="J3751" s="24"/>
      <c r="K3751" s="24"/>
      <c r="M3751" s="24"/>
      <c r="N3751" s="24"/>
      <c r="P3751" s="24"/>
    </row>
    <row r="3752" spans="2:16" x14ac:dyDescent="0.25">
      <c r="B3752" s="24"/>
      <c r="E3752" s="24"/>
      <c r="G3752" s="24"/>
      <c r="H3752" s="24"/>
      <c r="J3752" s="24"/>
      <c r="K3752" s="24"/>
      <c r="M3752" s="24"/>
      <c r="N3752" s="24"/>
      <c r="P3752" s="24"/>
    </row>
    <row r="3753" spans="2:16" x14ac:dyDescent="0.25">
      <c r="B3753" s="24"/>
      <c r="E3753" s="24"/>
      <c r="G3753" s="24"/>
      <c r="H3753" s="24"/>
      <c r="J3753" s="24"/>
      <c r="K3753" s="24"/>
      <c r="M3753" s="24"/>
      <c r="N3753" s="24"/>
      <c r="P3753" s="24"/>
    </row>
    <row r="3754" spans="2:16" x14ac:dyDescent="0.25">
      <c r="B3754" s="24"/>
      <c r="E3754" s="24"/>
      <c r="G3754" s="24"/>
      <c r="H3754" s="24"/>
      <c r="J3754" s="24"/>
      <c r="K3754" s="24"/>
      <c r="M3754" s="24"/>
      <c r="N3754" s="24"/>
      <c r="P3754" s="24"/>
    </row>
    <row r="3755" spans="2:16" x14ac:dyDescent="0.25">
      <c r="B3755" s="24"/>
      <c r="E3755" s="24"/>
      <c r="G3755" s="24"/>
      <c r="H3755" s="24"/>
      <c r="J3755" s="24"/>
      <c r="K3755" s="24"/>
      <c r="M3755" s="24"/>
      <c r="N3755" s="24"/>
      <c r="P3755" s="24"/>
    </row>
    <row r="3756" spans="2:16" x14ac:dyDescent="0.25">
      <c r="B3756" s="24"/>
      <c r="E3756" s="24"/>
      <c r="G3756" s="24"/>
      <c r="H3756" s="24"/>
      <c r="J3756" s="24"/>
      <c r="K3756" s="24"/>
      <c r="M3756" s="24"/>
      <c r="N3756" s="24"/>
      <c r="P3756" s="24"/>
    </row>
    <row r="3757" spans="2:16" x14ac:dyDescent="0.25">
      <c r="B3757" s="24"/>
      <c r="E3757" s="24"/>
      <c r="G3757" s="24"/>
      <c r="H3757" s="24"/>
      <c r="J3757" s="24"/>
      <c r="K3757" s="24"/>
      <c r="M3757" s="24"/>
      <c r="N3757" s="24"/>
      <c r="P3757" s="24"/>
    </row>
    <row r="3758" spans="2:16" x14ac:dyDescent="0.25">
      <c r="B3758" s="24"/>
      <c r="E3758" s="24"/>
      <c r="G3758" s="24"/>
      <c r="H3758" s="24"/>
      <c r="J3758" s="24"/>
      <c r="K3758" s="24"/>
      <c r="M3758" s="24"/>
      <c r="N3758" s="24"/>
      <c r="P3758" s="24"/>
    </row>
    <row r="3759" spans="2:16" x14ac:dyDescent="0.25">
      <c r="B3759" s="24"/>
      <c r="E3759" s="24"/>
      <c r="G3759" s="24"/>
      <c r="H3759" s="24"/>
      <c r="J3759" s="24"/>
      <c r="K3759" s="24"/>
      <c r="M3759" s="24"/>
      <c r="N3759" s="24"/>
      <c r="P3759" s="24"/>
    </row>
    <row r="3760" spans="2:16" x14ac:dyDescent="0.25">
      <c r="B3760" s="24"/>
      <c r="E3760" s="24"/>
      <c r="G3760" s="24"/>
      <c r="H3760" s="24"/>
      <c r="J3760" s="24"/>
      <c r="K3760" s="24"/>
      <c r="M3760" s="24"/>
      <c r="N3760" s="24"/>
      <c r="P3760" s="24"/>
    </row>
    <row r="3761" spans="2:16" x14ac:dyDescent="0.25">
      <c r="B3761" s="24"/>
      <c r="E3761" s="24"/>
      <c r="G3761" s="24"/>
      <c r="H3761" s="24"/>
      <c r="J3761" s="24"/>
      <c r="K3761" s="24"/>
      <c r="M3761" s="24"/>
      <c r="N3761" s="24"/>
      <c r="P3761" s="24"/>
    </row>
    <row r="3762" spans="2:16" x14ac:dyDescent="0.25">
      <c r="B3762" s="24"/>
      <c r="E3762" s="24"/>
      <c r="G3762" s="24"/>
      <c r="H3762" s="24"/>
      <c r="J3762" s="24"/>
      <c r="K3762" s="24"/>
      <c r="M3762" s="24"/>
      <c r="N3762" s="24"/>
      <c r="P3762" s="24"/>
    </row>
    <row r="3763" spans="2:16" x14ac:dyDescent="0.25">
      <c r="B3763" s="24"/>
      <c r="E3763" s="24"/>
      <c r="G3763" s="24"/>
      <c r="H3763" s="24"/>
      <c r="J3763" s="24"/>
      <c r="K3763" s="24"/>
      <c r="M3763" s="24"/>
      <c r="N3763" s="24"/>
      <c r="P3763" s="24"/>
    </row>
    <row r="3764" spans="2:16" x14ac:dyDescent="0.25">
      <c r="B3764" s="24"/>
      <c r="E3764" s="24"/>
      <c r="G3764" s="24"/>
      <c r="H3764" s="24"/>
      <c r="J3764" s="24"/>
      <c r="K3764" s="24"/>
      <c r="M3764" s="24"/>
      <c r="N3764" s="24"/>
      <c r="P3764" s="24"/>
    </row>
    <row r="3765" spans="2:16" x14ac:dyDescent="0.25">
      <c r="B3765" s="24"/>
      <c r="E3765" s="24"/>
      <c r="G3765" s="24"/>
      <c r="H3765" s="24"/>
      <c r="J3765" s="24"/>
      <c r="K3765" s="24"/>
      <c r="M3765" s="24"/>
      <c r="N3765" s="24"/>
      <c r="P3765" s="24"/>
    </row>
    <row r="3766" spans="2:16" x14ac:dyDescent="0.25">
      <c r="B3766" s="24"/>
      <c r="E3766" s="24"/>
      <c r="G3766" s="24"/>
      <c r="H3766" s="24"/>
      <c r="J3766" s="24"/>
      <c r="K3766" s="24"/>
      <c r="M3766" s="24"/>
      <c r="N3766" s="24"/>
      <c r="P3766" s="24"/>
    </row>
    <row r="3767" spans="2:16" x14ac:dyDescent="0.25">
      <c r="B3767" s="24"/>
      <c r="E3767" s="24"/>
      <c r="G3767" s="24"/>
      <c r="H3767" s="24"/>
      <c r="J3767" s="24"/>
      <c r="K3767" s="24"/>
      <c r="M3767" s="24"/>
      <c r="N3767" s="24"/>
      <c r="P3767" s="24"/>
    </row>
    <row r="3768" spans="2:16" x14ac:dyDescent="0.25">
      <c r="B3768" s="24"/>
      <c r="E3768" s="24"/>
      <c r="G3768" s="24"/>
      <c r="H3768" s="24"/>
      <c r="J3768" s="24"/>
      <c r="K3768" s="24"/>
      <c r="M3768" s="24"/>
      <c r="N3768" s="24"/>
      <c r="P3768" s="24"/>
    </row>
    <row r="3769" spans="2:16" x14ac:dyDescent="0.25">
      <c r="B3769" s="24"/>
      <c r="E3769" s="24"/>
      <c r="G3769" s="24"/>
      <c r="H3769" s="24"/>
      <c r="J3769" s="24"/>
      <c r="K3769" s="24"/>
      <c r="M3769" s="24"/>
      <c r="N3769" s="24"/>
      <c r="P3769" s="24"/>
    </row>
    <row r="3770" spans="2:16" x14ac:dyDescent="0.25">
      <c r="B3770" s="24"/>
      <c r="E3770" s="24"/>
      <c r="G3770" s="24"/>
      <c r="H3770" s="24"/>
      <c r="J3770" s="24"/>
      <c r="K3770" s="24"/>
      <c r="M3770" s="24"/>
      <c r="N3770" s="24"/>
      <c r="P3770" s="24"/>
    </row>
    <row r="3771" spans="2:16" x14ac:dyDescent="0.25">
      <c r="B3771" s="24"/>
      <c r="E3771" s="24"/>
      <c r="G3771" s="24"/>
      <c r="H3771" s="24"/>
      <c r="J3771" s="24"/>
      <c r="K3771" s="24"/>
      <c r="M3771" s="24"/>
      <c r="N3771" s="24"/>
      <c r="P3771" s="24"/>
    </row>
    <row r="3772" spans="2:16" x14ac:dyDescent="0.25">
      <c r="B3772" s="24"/>
      <c r="E3772" s="24"/>
      <c r="G3772" s="24"/>
      <c r="H3772" s="24"/>
      <c r="J3772" s="24"/>
      <c r="K3772" s="24"/>
      <c r="M3772" s="24"/>
      <c r="N3772" s="24"/>
      <c r="P3772" s="24"/>
    </row>
    <row r="3773" spans="2:16" x14ac:dyDescent="0.25">
      <c r="B3773" s="24"/>
      <c r="E3773" s="24"/>
      <c r="G3773" s="24"/>
      <c r="H3773" s="24"/>
      <c r="J3773" s="24"/>
      <c r="K3773" s="24"/>
      <c r="M3773" s="24"/>
      <c r="N3773" s="24"/>
      <c r="P3773" s="24"/>
    </row>
    <row r="3774" spans="2:16" x14ac:dyDescent="0.25">
      <c r="B3774" s="24"/>
      <c r="E3774" s="24"/>
      <c r="G3774" s="24"/>
      <c r="H3774" s="24"/>
      <c r="J3774" s="24"/>
      <c r="K3774" s="24"/>
      <c r="M3774" s="24"/>
      <c r="N3774" s="24"/>
      <c r="P3774" s="24"/>
    </row>
    <row r="3775" spans="2:16" x14ac:dyDescent="0.25">
      <c r="B3775" s="24"/>
      <c r="E3775" s="24"/>
      <c r="G3775" s="24"/>
      <c r="H3775" s="24"/>
      <c r="J3775" s="24"/>
      <c r="K3775" s="24"/>
      <c r="M3775" s="24"/>
      <c r="N3775" s="24"/>
      <c r="P3775" s="24"/>
    </row>
    <row r="3776" spans="2:16" x14ac:dyDescent="0.25">
      <c r="B3776" s="24"/>
      <c r="E3776" s="24"/>
      <c r="G3776" s="24"/>
      <c r="H3776" s="24"/>
      <c r="J3776" s="24"/>
      <c r="K3776" s="24"/>
      <c r="M3776" s="24"/>
      <c r="N3776" s="24"/>
      <c r="P3776" s="24"/>
    </row>
    <row r="3777" spans="2:16" x14ac:dyDescent="0.25">
      <c r="B3777" s="24"/>
      <c r="E3777" s="24"/>
      <c r="G3777" s="24"/>
      <c r="H3777" s="24"/>
      <c r="J3777" s="24"/>
      <c r="K3777" s="24"/>
      <c r="M3777" s="24"/>
      <c r="N3777" s="24"/>
      <c r="P3777" s="24"/>
    </row>
    <row r="3778" spans="2:16" x14ac:dyDescent="0.25">
      <c r="B3778" s="24"/>
      <c r="E3778" s="24"/>
      <c r="G3778" s="24"/>
      <c r="H3778" s="24"/>
      <c r="J3778" s="24"/>
      <c r="K3778" s="24"/>
      <c r="M3778" s="24"/>
      <c r="N3778" s="24"/>
      <c r="P3778" s="24"/>
    </row>
    <row r="3779" spans="2:16" x14ac:dyDescent="0.25">
      <c r="B3779" s="24"/>
      <c r="E3779" s="24"/>
      <c r="G3779" s="24"/>
      <c r="H3779" s="24"/>
      <c r="J3779" s="24"/>
      <c r="K3779" s="24"/>
      <c r="M3779" s="24"/>
      <c r="N3779" s="24"/>
      <c r="P3779" s="24"/>
    </row>
    <row r="3780" spans="2:16" x14ac:dyDescent="0.25">
      <c r="B3780" s="24"/>
      <c r="E3780" s="24"/>
      <c r="G3780" s="24"/>
      <c r="H3780" s="24"/>
      <c r="J3780" s="24"/>
      <c r="K3780" s="24"/>
      <c r="M3780" s="24"/>
      <c r="N3780" s="24"/>
      <c r="P3780" s="24"/>
    </row>
    <row r="3781" spans="2:16" x14ac:dyDescent="0.25">
      <c r="B3781" s="24"/>
      <c r="E3781" s="24"/>
      <c r="G3781" s="24"/>
      <c r="H3781" s="24"/>
      <c r="J3781" s="24"/>
      <c r="K3781" s="24"/>
      <c r="M3781" s="24"/>
      <c r="N3781" s="24"/>
      <c r="P3781" s="24"/>
    </row>
    <row r="3782" spans="2:16" x14ac:dyDescent="0.25">
      <c r="B3782" s="24"/>
      <c r="E3782" s="24"/>
      <c r="G3782" s="24"/>
      <c r="H3782" s="24"/>
      <c r="J3782" s="24"/>
      <c r="K3782" s="24"/>
      <c r="M3782" s="24"/>
      <c r="N3782" s="24"/>
      <c r="P3782" s="24"/>
    </row>
    <row r="3783" spans="2:16" x14ac:dyDescent="0.25">
      <c r="B3783" s="24"/>
      <c r="E3783" s="24"/>
      <c r="G3783" s="24"/>
      <c r="H3783" s="24"/>
      <c r="J3783" s="24"/>
      <c r="K3783" s="24"/>
      <c r="M3783" s="24"/>
      <c r="N3783" s="24"/>
      <c r="P3783" s="24"/>
    </row>
    <row r="3784" spans="2:16" x14ac:dyDescent="0.25">
      <c r="B3784" s="24"/>
      <c r="E3784" s="24"/>
      <c r="G3784" s="24"/>
      <c r="H3784" s="24"/>
      <c r="J3784" s="24"/>
      <c r="K3784" s="24"/>
      <c r="M3784" s="24"/>
      <c r="N3784" s="24"/>
      <c r="P3784" s="24"/>
    </row>
    <row r="3785" spans="2:16" x14ac:dyDescent="0.25">
      <c r="B3785" s="24"/>
      <c r="E3785" s="24"/>
      <c r="G3785" s="24"/>
      <c r="H3785" s="24"/>
      <c r="J3785" s="24"/>
      <c r="K3785" s="24"/>
      <c r="M3785" s="24"/>
      <c r="N3785" s="24"/>
      <c r="P3785" s="24"/>
    </row>
    <row r="3786" spans="2:16" x14ac:dyDescent="0.25">
      <c r="B3786" s="24"/>
      <c r="E3786" s="24"/>
      <c r="G3786" s="24"/>
      <c r="H3786" s="24"/>
      <c r="J3786" s="24"/>
      <c r="K3786" s="24"/>
      <c r="M3786" s="24"/>
      <c r="N3786" s="24"/>
      <c r="P3786" s="24"/>
    </row>
    <row r="3787" spans="2:16" x14ac:dyDescent="0.25">
      <c r="B3787" s="24"/>
      <c r="E3787" s="24"/>
      <c r="G3787" s="24"/>
      <c r="H3787" s="24"/>
      <c r="J3787" s="24"/>
      <c r="K3787" s="24"/>
      <c r="M3787" s="24"/>
      <c r="N3787" s="24"/>
      <c r="P3787" s="24"/>
    </row>
    <row r="3788" spans="2:16" x14ac:dyDescent="0.25">
      <c r="B3788" s="24"/>
      <c r="E3788" s="24"/>
      <c r="G3788" s="24"/>
      <c r="H3788" s="24"/>
      <c r="J3788" s="24"/>
      <c r="K3788" s="24"/>
      <c r="M3788" s="24"/>
      <c r="N3788" s="24"/>
      <c r="P3788" s="24"/>
    </row>
    <row r="3789" spans="2:16" x14ac:dyDescent="0.25">
      <c r="B3789" s="24"/>
      <c r="E3789" s="24"/>
      <c r="G3789" s="24"/>
      <c r="H3789" s="24"/>
      <c r="J3789" s="24"/>
      <c r="K3789" s="24"/>
      <c r="M3789" s="24"/>
      <c r="N3789" s="24"/>
      <c r="P3789" s="24"/>
    </row>
    <row r="3790" spans="2:16" x14ac:dyDescent="0.25">
      <c r="B3790" s="24"/>
      <c r="E3790" s="24"/>
      <c r="G3790" s="24"/>
      <c r="H3790" s="24"/>
      <c r="J3790" s="24"/>
      <c r="K3790" s="24"/>
      <c r="M3790" s="24"/>
      <c r="N3790" s="24"/>
      <c r="P3790" s="24"/>
    </row>
    <row r="3791" spans="2:16" x14ac:dyDescent="0.25">
      <c r="B3791" s="24"/>
      <c r="E3791" s="24"/>
      <c r="G3791" s="24"/>
      <c r="H3791" s="24"/>
      <c r="J3791" s="24"/>
      <c r="K3791" s="24"/>
      <c r="M3791" s="24"/>
      <c r="N3791" s="24"/>
      <c r="P3791" s="24"/>
    </row>
    <row r="3792" spans="2:16" x14ac:dyDescent="0.25">
      <c r="B3792" s="24"/>
      <c r="E3792" s="24"/>
      <c r="G3792" s="24"/>
      <c r="H3792" s="24"/>
      <c r="J3792" s="24"/>
      <c r="K3792" s="24"/>
      <c r="M3792" s="24"/>
      <c r="N3792" s="24"/>
      <c r="P3792" s="24"/>
    </row>
    <row r="3793" spans="2:16" x14ac:dyDescent="0.25">
      <c r="B3793" s="24"/>
      <c r="E3793" s="24"/>
      <c r="G3793" s="24"/>
      <c r="H3793" s="24"/>
      <c r="J3793" s="24"/>
      <c r="K3793" s="24"/>
      <c r="M3793" s="24"/>
      <c r="N3793" s="24"/>
      <c r="P3793" s="24"/>
    </row>
    <row r="3794" spans="2:16" x14ac:dyDescent="0.25">
      <c r="B3794" s="24"/>
      <c r="E3794" s="24"/>
      <c r="G3794" s="24"/>
      <c r="H3794" s="24"/>
      <c r="J3794" s="24"/>
      <c r="K3794" s="24"/>
      <c r="M3794" s="24"/>
      <c r="N3794" s="24"/>
      <c r="P3794" s="24"/>
    </row>
    <row r="3795" spans="2:16" x14ac:dyDescent="0.25">
      <c r="B3795" s="24"/>
      <c r="E3795" s="24"/>
      <c r="G3795" s="24"/>
      <c r="H3795" s="24"/>
      <c r="J3795" s="24"/>
      <c r="K3795" s="24"/>
      <c r="M3795" s="24"/>
      <c r="N3795" s="24"/>
      <c r="P3795" s="24"/>
    </row>
    <row r="3796" spans="2:16" x14ac:dyDescent="0.25">
      <c r="B3796" s="24"/>
      <c r="E3796" s="24"/>
      <c r="G3796" s="24"/>
      <c r="H3796" s="24"/>
      <c r="J3796" s="24"/>
      <c r="K3796" s="24"/>
      <c r="M3796" s="24"/>
      <c r="N3796" s="24"/>
      <c r="P3796" s="24"/>
    </row>
    <row r="3797" spans="2:16" x14ac:dyDescent="0.25">
      <c r="B3797" s="24"/>
      <c r="E3797" s="24"/>
      <c r="G3797" s="24"/>
      <c r="H3797" s="24"/>
      <c r="J3797" s="24"/>
      <c r="K3797" s="24"/>
      <c r="M3797" s="24"/>
      <c r="N3797" s="24"/>
      <c r="P3797" s="24"/>
    </row>
    <row r="3798" spans="2:16" x14ac:dyDescent="0.25">
      <c r="B3798" s="24"/>
      <c r="E3798" s="24"/>
      <c r="G3798" s="24"/>
      <c r="H3798" s="24"/>
      <c r="J3798" s="24"/>
      <c r="K3798" s="24"/>
      <c r="M3798" s="24"/>
      <c r="N3798" s="24"/>
      <c r="P3798" s="24"/>
    </row>
    <row r="3799" spans="2:16" x14ac:dyDescent="0.25">
      <c r="B3799" s="24"/>
      <c r="E3799" s="24"/>
      <c r="G3799" s="24"/>
      <c r="H3799" s="24"/>
      <c r="J3799" s="24"/>
      <c r="K3799" s="24"/>
      <c r="M3799" s="24"/>
      <c r="N3799" s="24"/>
      <c r="P3799" s="24"/>
    </row>
    <row r="3800" spans="2:16" x14ac:dyDescent="0.25">
      <c r="B3800" s="24"/>
      <c r="E3800" s="24"/>
      <c r="G3800" s="24"/>
      <c r="H3800" s="24"/>
      <c r="J3800" s="24"/>
      <c r="K3800" s="24"/>
      <c r="M3800" s="24"/>
      <c r="N3800" s="24"/>
      <c r="P3800" s="24"/>
    </row>
    <row r="3801" spans="2:16" x14ac:dyDescent="0.25">
      <c r="B3801" s="24"/>
      <c r="E3801" s="24"/>
      <c r="G3801" s="24"/>
      <c r="H3801" s="24"/>
      <c r="J3801" s="24"/>
      <c r="K3801" s="24"/>
      <c r="M3801" s="24"/>
      <c r="N3801" s="24"/>
      <c r="P3801" s="24"/>
    </row>
    <row r="3802" spans="2:16" x14ac:dyDescent="0.25">
      <c r="B3802" s="24"/>
      <c r="E3802" s="24"/>
      <c r="G3802" s="24"/>
      <c r="H3802" s="24"/>
      <c r="J3802" s="24"/>
      <c r="K3802" s="24"/>
      <c r="M3802" s="24"/>
      <c r="N3802" s="24"/>
      <c r="P3802" s="24"/>
    </row>
    <row r="3803" spans="2:16" x14ac:dyDescent="0.25">
      <c r="B3803" s="24"/>
      <c r="E3803" s="24"/>
      <c r="G3803" s="24"/>
      <c r="H3803" s="24"/>
      <c r="J3803" s="24"/>
      <c r="K3803" s="24"/>
      <c r="M3803" s="24"/>
      <c r="N3803" s="24"/>
      <c r="P3803" s="24"/>
    </row>
    <row r="3804" spans="2:16" x14ac:dyDescent="0.25">
      <c r="B3804" s="24"/>
      <c r="E3804" s="24"/>
      <c r="G3804" s="24"/>
      <c r="H3804" s="24"/>
      <c r="J3804" s="24"/>
      <c r="K3804" s="24"/>
      <c r="M3804" s="24"/>
      <c r="N3804" s="24"/>
      <c r="P3804" s="24"/>
    </row>
    <row r="3805" spans="2:16" x14ac:dyDescent="0.25">
      <c r="B3805" s="24"/>
      <c r="E3805" s="24"/>
      <c r="G3805" s="24"/>
      <c r="H3805" s="24"/>
      <c r="J3805" s="24"/>
      <c r="K3805" s="24"/>
      <c r="M3805" s="24"/>
      <c r="N3805" s="24"/>
      <c r="P3805" s="24"/>
    </row>
    <row r="3806" spans="2:16" x14ac:dyDescent="0.25">
      <c r="B3806" s="24"/>
      <c r="E3806" s="24"/>
      <c r="G3806" s="24"/>
      <c r="H3806" s="24"/>
      <c r="J3806" s="24"/>
      <c r="K3806" s="24"/>
      <c r="M3806" s="24"/>
      <c r="N3806" s="24"/>
      <c r="P3806" s="24"/>
    </row>
    <row r="3807" spans="2:16" x14ac:dyDescent="0.25">
      <c r="B3807" s="24"/>
      <c r="E3807" s="24"/>
      <c r="G3807" s="24"/>
      <c r="H3807" s="24"/>
      <c r="J3807" s="24"/>
      <c r="K3807" s="24"/>
      <c r="M3807" s="24"/>
      <c r="N3807" s="24"/>
      <c r="P3807" s="24"/>
    </row>
    <row r="3808" spans="2:16" x14ac:dyDescent="0.25">
      <c r="B3808" s="24"/>
      <c r="E3808" s="24"/>
      <c r="G3808" s="24"/>
      <c r="H3808" s="24"/>
      <c r="J3808" s="24"/>
      <c r="K3808" s="24"/>
      <c r="M3808" s="24"/>
      <c r="N3808" s="24"/>
      <c r="P3808" s="24"/>
    </row>
    <row r="3809" spans="2:16" x14ac:dyDescent="0.25">
      <c r="B3809" s="24"/>
      <c r="E3809" s="24"/>
      <c r="G3809" s="24"/>
      <c r="H3809" s="24"/>
      <c r="J3809" s="24"/>
      <c r="K3809" s="24"/>
      <c r="M3809" s="24"/>
      <c r="N3809" s="24"/>
      <c r="P3809" s="24"/>
    </row>
    <row r="3810" spans="2:16" x14ac:dyDescent="0.25">
      <c r="B3810" s="24"/>
      <c r="E3810" s="24"/>
      <c r="G3810" s="24"/>
      <c r="H3810" s="24"/>
      <c r="J3810" s="24"/>
      <c r="K3810" s="24"/>
      <c r="M3810" s="24"/>
      <c r="N3810" s="24"/>
      <c r="P3810" s="24"/>
    </row>
    <row r="3811" spans="2:16" x14ac:dyDescent="0.25">
      <c r="B3811" s="24"/>
      <c r="E3811" s="24"/>
      <c r="G3811" s="24"/>
      <c r="H3811" s="24"/>
      <c r="J3811" s="24"/>
      <c r="K3811" s="24"/>
      <c r="M3811" s="24"/>
      <c r="N3811" s="24"/>
      <c r="P3811" s="24"/>
    </row>
    <row r="3812" spans="2:16" x14ac:dyDescent="0.25">
      <c r="B3812" s="24"/>
      <c r="E3812" s="24"/>
      <c r="G3812" s="24"/>
      <c r="H3812" s="24"/>
      <c r="J3812" s="24"/>
      <c r="K3812" s="24"/>
      <c r="M3812" s="24"/>
      <c r="N3812" s="24"/>
      <c r="P3812" s="24"/>
    </row>
    <row r="3813" spans="2:16" x14ac:dyDescent="0.25">
      <c r="B3813" s="24"/>
      <c r="E3813" s="24"/>
      <c r="G3813" s="24"/>
      <c r="H3813" s="24"/>
      <c r="J3813" s="24"/>
      <c r="K3813" s="24"/>
      <c r="M3813" s="24"/>
      <c r="N3813" s="24"/>
      <c r="P3813" s="24"/>
    </row>
    <row r="3814" spans="2:16" x14ac:dyDescent="0.25">
      <c r="B3814" s="24"/>
      <c r="E3814" s="24"/>
      <c r="G3814" s="24"/>
      <c r="H3814" s="24"/>
      <c r="J3814" s="24"/>
      <c r="K3814" s="24"/>
      <c r="M3814" s="24"/>
      <c r="N3814" s="24"/>
      <c r="P3814" s="24"/>
    </row>
    <row r="3815" spans="2:16" x14ac:dyDescent="0.25">
      <c r="B3815" s="24"/>
      <c r="E3815" s="24"/>
      <c r="G3815" s="24"/>
      <c r="H3815" s="24"/>
      <c r="J3815" s="24"/>
      <c r="K3815" s="24"/>
      <c r="M3815" s="24"/>
      <c r="N3815" s="24"/>
      <c r="P3815" s="24"/>
    </row>
    <row r="3816" spans="2:16" x14ac:dyDescent="0.25">
      <c r="B3816" s="24"/>
      <c r="E3816" s="24"/>
      <c r="G3816" s="24"/>
      <c r="H3816" s="24"/>
      <c r="J3816" s="24"/>
      <c r="K3816" s="24"/>
      <c r="M3816" s="24"/>
      <c r="N3816" s="24"/>
      <c r="P3816" s="24"/>
    </row>
    <row r="3817" spans="2:16" x14ac:dyDescent="0.25">
      <c r="B3817" s="24"/>
      <c r="E3817" s="24"/>
      <c r="G3817" s="24"/>
      <c r="H3817" s="24"/>
      <c r="J3817" s="24"/>
      <c r="K3817" s="24"/>
      <c r="M3817" s="24"/>
      <c r="N3817" s="24"/>
      <c r="P3817" s="24"/>
    </row>
    <row r="3818" spans="2:16" x14ac:dyDescent="0.25">
      <c r="B3818" s="24"/>
      <c r="E3818" s="24"/>
      <c r="G3818" s="24"/>
      <c r="H3818" s="24"/>
      <c r="J3818" s="24"/>
      <c r="K3818" s="24"/>
      <c r="M3818" s="24"/>
      <c r="N3818" s="24"/>
      <c r="P3818" s="24"/>
    </row>
    <row r="3819" spans="2:16" x14ac:dyDescent="0.25">
      <c r="B3819" s="24"/>
      <c r="E3819" s="24"/>
      <c r="G3819" s="24"/>
      <c r="H3819" s="24"/>
      <c r="J3819" s="24"/>
      <c r="K3819" s="24"/>
      <c r="M3819" s="24"/>
      <c r="N3819" s="24"/>
      <c r="P3819" s="24"/>
    </row>
    <row r="3820" spans="2:16" x14ac:dyDescent="0.25">
      <c r="B3820" s="24"/>
      <c r="E3820" s="24"/>
      <c r="G3820" s="24"/>
      <c r="H3820" s="24"/>
      <c r="J3820" s="24"/>
      <c r="K3820" s="24"/>
      <c r="M3820" s="24"/>
      <c r="N3820" s="24"/>
      <c r="P3820" s="24"/>
    </row>
    <row r="3821" spans="2:16" x14ac:dyDescent="0.25">
      <c r="B3821" s="24"/>
      <c r="E3821" s="24"/>
      <c r="G3821" s="24"/>
      <c r="H3821" s="24"/>
      <c r="J3821" s="24"/>
      <c r="K3821" s="24"/>
      <c r="M3821" s="24"/>
      <c r="N3821" s="24"/>
      <c r="P3821" s="24"/>
    </row>
    <row r="3822" spans="2:16" x14ac:dyDescent="0.25">
      <c r="B3822" s="24"/>
      <c r="E3822" s="24"/>
      <c r="G3822" s="24"/>
      <c r="H3822" s="24"/>
      <c r="J3822" s="24"/>
      <c r="K3822" s="24"/>
      <c r="M3822" s="24"/>
      <c r="N3822" s="24"/>
      <c r="P3822" s="24"/>
    </row>
    <row r="3823" spans="2:16" x14ac:dyDescent="0.25">
      <c r="B3823" s="24"/>
      <c r="E3823" s="24"/>
      <c r="G3823" s="24"/>
      <c r="H3823" s="24"/>
      <c r="J3823" s="24"/>
      <c r="K3823" s="24"/>
      <c r="M3823" s="24"/>
      <c r="N3823" s="24"/>
      <c r="P3823" s="24"/>
    </row>
    <row r="3824" spans="2:16" x14ac:dyDescent="0.25">
      <c r="B3824" s="24"/>
      <c r="E3824" s="24"/>
      <c r="G3824" s="24"/>
      <c r="H3824" s="24"/>
      <c r="J3824" s="24"/>
      <c r="K3824" s="24"/>
      <c r="M3824" s="24"/>
      <c r="N3824" s="24"/>
      <c r="P3824" s="24"/>
    </row>
    <row r="3825" spans="2:16" x14ac:dyDescent="0.25">
      <c r="B3825" s="24"/>
      <c r="E3825" s="24"/>
      <c r="G3825" s="24"/>
      <c r="H3825" s="24"/>
      <c r="J3825" s="24"/>
      <c r="K3825" s="24"/>
      <c r="M3825" s="24"/>
      <c r="N3825" s="24"/>
      <c r="P3825" s="24"/>
    </row>
    <row r="3826" spans="2:16" x14ac:dyDescent="0.25">
      <c r="B3826" s="24"/>
      <c r="E3826" s="24"/>
      <c r="G3826" s="24"/>
      <c r="H3826" s="24"/>
      <c r="J3826" s="24"/>
      <c r="K3826" s="24"/>
      <c r="M3826" s="24"/>
      <c r="N3826" s="24"/>
      <c r="P3826" s="24"/>
    </row>
    <row r="3827" spans="2:16" x14ac:dyDescent="0.25">
      <c r="B3827" s="24"/>
      <c r="E3827" s="24"/>
      <c r="G3827" s="24"/>
      <c r="H3827" s="24"/>
      <c r="J3827" s="24"/>
      <c r="K3827" s="24"/>
      <c r="M3827" s="24"/>
      <c r="N3827" s="24"/>
      <c r="P3827" s="24"/>
    </row>
    <row r="3828" spans="2:16" x14ac:dyDescent="0.25">
      <c r="B3828" s="24"/>
      <c r="E3828" s="24"/>
      <c r="G3828" s="24"/>
      <c r="H3828" s="24"/>
      <c r="J3828" s="24"/>
      <c r="K3828" s="24"/>
      <c r="M3828" s="24"/>
      <c r="N3828" s="24"/>
      <c r="P3828" s="24"/>
    </row>
    <row r="3829" spans="2:16" x14ac:dyDescent="0.25">
      <c r="B3829" s="24"/>
      <c r="E3829" s="24"/>
      <c r="G3829" s="24"/>
      <c r="H3829" s="24"/>
      <c r="J3829" s="24"/>
      <c r="K3829" s="24"/>
      <c r="M3829" s="24"/>
      <c r="N3829" s="24"/>
      <c r="P3829" s="24"/>
    </row>
    <row r="3830" spans="2:16" x14ac:dyDescent="0.25">
      <c r="B3830" s="24"/>
      <c r="E3830" s="24"/>
      <c r="G3830" s="24"/>
      <c r="H3830" s="24"/>
      <c r="J3830" s="24"/>
      <c r="K3830" s="24"/>
      <c r="M3830" s="24"/>
      <c r="N3830" s="24"/>
      <c r="P3830" s="24"/>
    </row>
    <row r="3831" spans="2:16" x14ac:dyDescent="0.25">
      <c r="B3831" s="24"/>
      <c r="E3831" s="24"/>
      <c r="G3831" s="24"/>
      <c r="H3831" s="24"/>
      <c r="J3831" s="24"/>
      <c r="K3831" s="24"/>
      <c r="M3831" s="24"/>
      <c r="N3831" s="24"/>
      <c r="P3831" s="24"/>
    </row>
    <row r="3832" spans="2:16" x14ac:dyDescent="0.25">
      <c r="B3832" s="24"/>
      <c r="E3832" s="24"/>
      <c r="G3832" s="24"/>
      <c r="H3832" s="24"/>
      <c r="J3832" s="24"/>
      <c r="K3832" s="24"/>
      <c r="M3832" s="24"/>
      <c r="N3832" s="24"/>
      <c r="P3832" s="24"/>
    </row>
    <row r="3833" spans="2:16" x14ac:dyDescent="0.25">
      <c r="B3833" s="24"/>
      <c r="E3833" s="24"/>
      <c r="G3833" s="24"/>
      <c r="H3833" s="24"/>
      <c r="J3833" s="24"/>
      <c r="K3833" s="24"/>
      <c r="M3833" s="24"/>
      <c r="N3833" s="24"/>
      <c r="P3833" s="24"/>
    </row>
    <row r="3834" spans="2:16" x14ac:dyDescent="0.25">
      <c r="B3834" s="24"/>
      <c r="E3834" s="24"/>
      <c r="G3834" s="24"/>
      <c r="H3834" s="24"/>
      <c r="J3834" s="24"/>
      <c r="K3834" s="24"/>
      <c r="M3834" s="24"/>
      <c r="N3834" s="24"/>
      <c r="P3834" s="24"/>
    </row>
    <row r="3835" spans="2:16" x14ac:dyDescent="0.25">
      <c r="B3835" s="24"/>
      <c r="E3835" s="24"/>
      <c r="G3835" s="24"/>
      <c r="H3835" s="24"/>
      <c r="J3835" s="24"/>
      <c r="K3835" s="24"/>
      <c r="M3835" s="24"/>
      <c r="N3835" s="24"/>
      <c r="P3835" s="24"/>
    </row>
    <row r="3836" spans="2:16" x14ac:dyDescent="0.25">
      <c r="B3836" s="24"/>
      <c r="E3836" s="24"/>
      <c r="G3836" s="24"/>
      <c r="H3836" s="24"/>
      <c r="J3836" s="24"/>
      <c r="K3836" s="24"/>
      <c r="M3836" s="24"/>
      <c r="N3836" s="24"/>
      <c r="P3836" s="24"/>
    </row>
    <row r="3837" spans="2:16" x14ac:dyDescent="0.25">
      <c r="B3837" s="24"/>
      <c r="E3837" s="24"/>
      <c r="G3837" s="24"/>
      <c r="H3837" s="24"/>
      <c r="J3837" s="24"/>
      <c r="K3837" s="24"/>
      <c r="M3837" s="24"/>
      <c r="N3837" s="24"/>
      <c r="P3837" s="24"/>
    </row>
    <row r="3838" spans="2:16" x14ac:dyDescent="0.25">
      <c r="B3838" s="24"/>
      <c r="E3838" s="24"/>
      <c r="G3838" s="24"/>
      <c r="H3838" s="24"/>
      <c r="J3838" s="24"/>
      <c r="K3838" s="24"/>
      <c r="M3838" s="24"/>
      <c r="N3838" s="24"/>
      <c r="P3838" s="24"/>
    </row>
    <row r="3839" spans="2:16" x14ac:dyDescent="0.25">
      <c r="B3839" s="24"/>
      <c r="E3839" s="24"/>
      <c r="G3839" s="24"/>
      <c r="H3839" s="24"/>
      <c r="J3839" s="24"/>
      <c r="K3839" s="24"/>
      <c r="M3839" s="24"/>
      <c r="N3839" s="24"/>
      <c r="P3839" s="24"/>
    </row>
    <row r="3840" spans="2:16" x14ac:dyDescent="0.25">
      <c r="B3840" s="24"/>
      <c r="E3840" s="24"/>
      <c r="G3840" s="24"/>
      <c r="H3840" s="24"/>
      <c r="J3840" s="24"/>
      <c r="K3840" s="24"/>
      <c r="M3840" s="24"/>
      <c r="N3840" s="24"/>
      <c r="P3840" s="24"/>
    </row>
    <row r="3841" spans="2:16" x14ac:dyDescent="0.25">
      <c r="B3841" s="24"/>
      <c r="E3841" s="24"/>
      <c r="G3841" s="24"/>
      <c r="H3841" s="24"/>
      <c r="J3841" s="24"/>
      <c r="K3841" s="24"/>
      <c r="M3841" s="24"/>
      <c r="N3841" s="24"/>
      <c r="P3841" s="24"/>
    </row>
    <row r="3842" spans="2:16" x14ac:dyDescent="0.25">
      <c r="B3842" s="24"/>
      <c r="E3842" s="24"/>
      <c r="G3842" s="24"/>
      <c r="H3842" s="24"/>
      <c r="J3842" s="24"/>
      <c r="K3842" s="24"/>
      <c r="M3842" s="24"/>
      <c r="N3842" s="24"/>
      <c r="P3842" s="24"/>
    </row>
    <row r="3843" spans="2:16" x14ac:dyDescent="0.25">
      <c r="B3843" s="24"/>
      <c r="E3843" s="24"/>
      <c r="G3843" s="24"/>
      <c r="H3843" s="24"/>
      <c r="J3843" s="24"/>
      <c r="K3843" s="24"/>
      <c r="M3843" s="24"/>
      <c r="N3843" s="24"/>
      <c r="P3843" s="24"/>
    </row>
    <row r="3844" spans="2:16" x14ac:dyDescent="0.25">
      <c r="B3844" s="24"/>
      <c r="E3844" s="24"/>
      <c r="G3844" s="24"/>
      <c r="H3844" s="24"/>
      <c r="J3844" s="24"/>
      <c r="K3844" s="24"/>
      <c r="M3844" s="24"/>
      <c r="N3844" s="24"/>
      <c r="P3844" s="24"/>
    </row>
    <row r="3845" spans="2:16" x14ac:dyDescent="0.25">
      <c r="B3845" s="24"/>
      <c r="E3845" s="24"/>
      <c r="G3845" s="24"/>
      <c r="H3845" s="24"/>
      <c r="J3845" s="24"/>
      <c r="K3845" s="24"/>
      <c r="M3845" s="24"/>
      <c r="N3845" s="24"/>
      <c r="P3845" s="24"/>
    </row>
    <row r="3846" spans="2:16" x14ac:dyDescent="0.25">
      <c r="B3846" s="24"/>
      <c r="E3846" s="24"/>
      <c r="G3846" s="24"/>
      <c r="H3846" s="24"/>
      <c r="J3846" s="24"/>
      <c r="K3846" s="24"/>
      <c r="M3846" s="24"/>
      <c r="N3846" s="24"/>
      <c r="P3846" s="24"/>
    </row>
    <row r="3847" spans="2:16" x14ac:dyDescent="0.25">
      <c r="B3847" s="24"/>
      <c r="E3847" s="24"/>
      <c r="G3847" s="24"/>
      <c r="H3847" s="24"/>
      <c r="J3847" s="24"/>
      <c r="K3847" s="24"/>
      <c r="M3847" s="24"/>
      <c r="N3847" s="24"/>
      <c r="P3847" s="24"/>
    </row>
    <row r="3848" spans="2:16" x14ac:dyDescent="0.25">
      <c r="B3848" s="24"/>
      <c r="E3848" s="24"/>
      <c r="G3848" s="24"/>
      <c r="H3848" s="24"/>
      <c r="J3848" s="24"/>
      <c r="K3848" s="24"/>
      <c r="M3848" s="24"/>
      <c r="N3848" s="24"/>
      <c r="P3848" s="24"/>
    </row>
    <row r="3849" spans="2:16" x14ac:dyDescent="0.25">
      <c r="B3849" s="24"/>
      <c r="E3849" s="24"/>
      <c r="G3849" s="24"/>
      <c r="H3849" s="24"/>
      <c r="J3849" s="24"/>
      <c r="K3849" s="24"/>
      <c r="M3849" s="24"/>
      <c r="N3849" s="24"/>
      <c r="P3849" s="24"/>
    </row>
    <row r="3850" spans="2:16" x14ac:dyDescent="0.25">
      <c r="B3850" s="24"/>
      <c r="E3850" s="24"/>
      <c r="G3850" s="24"/>
      <c r="H3850" s="24"/>
      <c r="J3850" s="24"/>
      <c r="K3850" s="24"/>
      <c r="M3850" s="24"/>
      <c r="N3850" s="24"/>
      <c r="P3850" s="24"/>
    </row>
    <row r="3851" spans="2:16" x14ac:dyDescent="0.25">
      <c r="B3851" s="24"/>
      <c r="E3851" s="24"/>
      <c r="G3851" s="24"/>
      <c r="H3851" s="24"/>
      <c r="J3851" s="24"/>
      <c r="K3851" s="24"/>
      <c r="M3851" s="24"/>
      <c r="N3851" s="24"/>
      <c r="P3851" s="24"/>
    </row>
    <row r="3852" spans="2:16" x14ac:dyDescent="0.25">
      <c r="B3852" s="24"/>
      <c r="E3852" s="24"/>
      <c r="G3852" s="24"/>
      <c r="H3852" s="24"/>
      <c r="J3852" s="24"/>
      <c r="K3852" s="24"/>
      <c r="M3852" s="24"/>
      <c r="N3852" s="24"/>
      <c r="P3852" s="24"/>
    </row>
    <row r="3853" spans="2:16" x14ac:dyDescent="0.25">
      <c r="B3853" s="24"/>
      <c r="E3853" s="24"/>
      <c r="G3853" s="24"/>
      <c r="H3853" s="24"/>
      <c r="J3853" s="24"/>
      <c r="K3853" s="24"/>
      <c r="M3853" s="24"/>
      <c r="N3853" s="24"/>
      <c r="P3853" s="24"/>
    </row>
    <row r="3854" spans="2:16" x14ac:dyDescent="0.25">
      <c r="B3854" s="24"/>
      <c r="E3854" s="24"/>
      <c r="G3854" s="24"/>
      <c r="H3854" s="24"/>
      <c r="J3854" s="24"/>
      <c r="K3854" s="24"/>
      <c r="M3854" s="24"/>
      <c r="N3854" s="24"/>
      <c r="P3854" s="24"/>
    </row>
    <row r="3855" spans="2:16" x14ac:dyDescent="0.25">
      <c r="B3855" s="24"/>
      <c r="E3855" s="24"/>
      <c r="G3855" s="24"/>
      <c r="H3855" s="24"/>
      <c r="J3855" s="24"/>
      <c r="K3855" s="24"/>
      <c r="M3855" s="24"/>
      <c r="N3855" s="24"/>
      <c r="P3855" s="24"/>
    </row>
    <row r="3856" spans="2:16" x14ac:dyDescent="0.25">
      <c r="B3856" s="24"/>
      <c r="E3856" s="24"/>
      <c r="G3856" s="24"/>
      <c r="H3856" s="24"/>
      <c r="J3856" s="24"/>
      <c r="K3856" s="24"/>
      <c r="M3856" s="24"/>
      <c r="N3856" s="24"/>
      <c r="P3856" s="24"/>
    </row>
    <row r="3857" spans="2:16" x14ac:dyDescent="0.25">
      <c r="B3857" s="24"/>
      <c r="E3857" s="24"/>
      <c r="G3857" s="24"/>
      <c r="H3857" s="24"/>
      <c r="J3857" s="24"/>
      <c r="K3857" s="24"/>
      <c r="M3857" s="24"/>
      <c r="N3857" s="24"/>
      <c r="P3857" s="24"/>
    </row>
    <row r="3858" spans="2:16" x14ac:dyDescent="0.25">
      <c r="B3858" s="24"/>
      <c r="E3858" s="24"/>
      <c r="G3858" s="24"/>
      <c r="H3858" s="24"/>
      <c r="J3858" s="24"/>
      <c r="K3858" s="24"/>
      <c r="M3858" s="24"/>
      <c r="N3858" s="24"/>
      <c r="P3858" s="24"/>
    </row>
    <row r="3859" spans="2:16" x14ac:dyDescent="0.25">
      <c r="B3859" s="24"/>
      <c r="E3859" s="24"/>
      <c r="G3859" s="24"/>
      <c r="H3859" s="24"/>
      <c r="J3859" s="24"/>
      <c r="K3859" s="24"/>
      <c r="M3859" s="24"/>
      <c r="N3859" s="24"/>
      <c r="P3859" s="24"/>
    </row>
    <row r="3860" spans="2:16" x14ac:dyDescent="0.25">
      <c r="B3860" s="24"/>
      <c r="E3860" s="24"/>
      <c r="G3860" s="24"/>
      <c r="H3860" s="24"/>
      <c r="J3860" s="24"/>
      <c r="K3860" s="24"/>
      <c r="M3860" s="24"/>
      <c r="N3860" s="24"/>
      <c r="P3860" s="24"/>
    </row>
    <row r="3861" spans="2:16" x14ac:dyDescent="0.25">
      <c r="B3861" s="24"/>
      <c r="E3861" s="24"/>
      <c r="G3861" s="24"/>
      <c r="H3861" s="24"/>
      <c r="J3861" s="24"/>
      <c r="K3861" s="24"/>
      <c r="M3861" s="24"/>
      <c r="N3861" s="24"/>
      <c r="P3861" s="24"/>
    </row>
    <row r="3862" spans="2:16" x14ac:dyDescent="0.25">
      <c r="B3862" s="24"/>
      <c r="E3862" s="24"/>
      <c r="G3862" s="24"/>
      <c r="H3862" s="24"/>
      <c r="J3862" s="24"/>
      <c r="K3862" s="24"/>
      <c r="M3862" s="24"/>
      <c r="N3862" s="24"/>
      <c r="P3862" s="24"/>
    </row>
    <row r="3863" spans="2:16" x14ac:dyDescent="0.25">
      <c r="B3863" s="24"/>
      <c r="E3863" s="24"/>
      <c r="G3863" s="24"/>
      <c r="H3863" s="24"/>
      <c r="J3863" s="24"/>
      <c r="K3863" s="24"/>
      <c r="M3863" s="24"/>
      <c r="N3863" s="24"/>
      <c r="P3863" s="24"/>
    </row>
    <row r="3864" spans="2:16" x14ac:dyDescent="0.25">
      <c r="B3864" s="24"/>
      <c r="E3864" s="24"/>
      <c r="G3864" s="24"/>
      <c r="H3864" s="24"/>
      <c r="J3864" s="24"/>
      <c r="K3864" s="24"/>
      <c r="M3864" s="24"/>
      <c r="N3864" s="24"/>
      <c r="P3864" s="24"/>
    </row>
    <row r="3865" spans="2:16" x14ac:dyDescent="0.25">
      <c r="B3865" s="24"/>
      <c r="E3865" s="24"/>
      <c r="G3865" s="24"/>
      <c r="H3865" s="24"/>
      <c r="J3865" s="24"/>
      <c r="K3865" s="24"/>
      <c r="M3865" s="24"/>
      <c r="N3865" s="24"/>
      <c r="P3865" s="24"/>
    </row>
    <row r="3866" spans="2:16" x14ac:dyDescent="0.25">
      <c r="B3866" s="24"/>
      <c r="E3866" s="24"/>
      <c r="G3866" s="24"/>
      <c r="H3866" s="24"/>
      <c r="J3866" s="24"/>
      <c r="K3866" s="24"/>
      <c r="M3866" s="24"/>
      <c r="N3866" s="24"/>
      <c r="P3866" s="24"/>
    </row>
    <row r="3867" spans="2:16" x14ac:dyDescent="0.25">
      <c r="B3867" s="24"/>
      <c r="E3867" s="24"/>
      <c r="G3867" s="24"/>
      <c r="H3867" s="24"/>
      <c r="J3867" s="24"/>
      <c r="K3867" s="24"/>
      <c r="M3867" s="24"/>
      <c r="N3867" s="24"/>
      <c r="P3867" s="24"/>
    </row>
    <row r="3868" spans="2:16" x14ac:dyDescent="0.25">
      <c r="B3868" s="24"/>
      <c r="E3868" s="24"/>
      <c r="G3868" s="24"/>
      <c r="H3868" s="24"/>
      <c r="J3868" s="24"/>
      <c r="K3868" s="24"/>
      <c r="M3868" s="24"/>
      <c r="N3868" s="24"/>
      <c r="P3868" s="24"/>
    </row>
    <row r="3869" spans="2:16" x14ac:dyDescent="0.25">
      <c r="B3869" s="24"/>
      <c r="E3869" s="24"/>
      <c r="G3869" s="24"/>
      <c r="H3869" s="24"/>
      <c r="J3869" s="24"/>
      <c r="K3869" s="24"/>
      <c r="M3869" s="24"/>
      <c r="N3869" s="24"/>
      <c r="P3869" s="24"/>
    </row>
    <row r="3870" spans="2:16" x14ac:dyDescent="0.25">
      <c r="B3870" s="24"/>
      <c r="E3870" s="24"/>
      <c r="G3870" s="24"/>
      <c r="H3870" s="24"/>
      <c r="J3870" s="24"/>
      <c r="K3870" s="24"/>
      <c r="M3870" s="24"/>
      <c r="N3870" s="24"/>
      <c r="P3870" s="24"/>
    </row>
    <row r="3871" spans="2:16" x14ac:dyDescent="0.25">
      <c r="B3871" s="24"/>
      <c r="E3871" s="24"/>
      <c r="G3871" s="24"/>
      <c r="H3871" s="24"/>
      <c r="J3871" s="24"/>
      <c r="K3871" s="24"/>
      <c r="M3871" s="24"/>
      <c r="N3871" s="24"/>
      <c r="P3871" s="24"/>
    </row>
    <row r="3872" spans="2:16" x14ac:dyDescent="0.25">
      <c r="B3872" s="24"/>
      <c r="E3872" s="24"/>
      <c r="G3872" s="24"/>
      <c r="H3872" s="24"/>
      <c r="J3872" s="24"/>
      <c r="K3872" s="24"/>
      <c r="M3872" s="24"/>
      <c r="N3872" s="24"/>
      <c r="P3872" s="24"/>
    </row>
    <row r="3873" spans="2:16" x14ac:dyDescent="0.25">
      <c r="B3873" s="24"/>
      <c r="E3873" s="24"/>
      <c r="G3873" s="24"/>
      <c r="H3873" s="24"/>
      <c r="J3873" s="24"/>
      <c r="K3873" s="24"/>
      <c r="M3873" s="24"/>
      <c r="N3873" s="24"/>
      <c r="P3873" s="24"/>
    </row>
    <row r="3874" spans="2:16" x14ac:dyDescent="0.25">
      <c r="B3874" s="24"/>
      <c r="E3874" s="24"/>
      <c r="G3874" s="24"/>
      <c r="H3874" s="24"/>
      <c r="J3874" s="24"/>
      <c r="K3874" s="24"/>
      <c r="M3874" s="24"/>
      <c r="N3874" s="24"/>
      <c r="P3874" s="24"/>
    </row>
    <row r="3875" spans="2:16" x14ac:dyDescent="0.25">
      <c r="B3875" s="24"/>
      <c r="E3875" s="24"/>
      <c r="G3875" s="24"/>
      <c r="H3875" s="24"/>
      <c r="J3875" s="24"/>
      <c r="K3875" s="24"/>
      <c r="M3875" s="24"/>
      <c r="N3875" s="24"/>
      <c r="P3875" s="24"/>
    </row>
    <row r="3876" spans="2:16" x14ac:dyDescent="0.25">
      <c r="B3876" s="24"/>
      <c r="E3876" s="24"/>
      <c r="G3876" s="24"/>
      <c r="H3876" s="24"/>
      <c r="J3876" s="24"/>
      <c r="K3876" s="24"/>
      <c r="M3876" s="24"/>
      <c r="N3876" s="24"/>
      <c r="P3876" s="24"/>
    </row>
    <row r="3877" spans="2:16" x14ac:dyDescent="0.25">
      <c r="B3877" s="24"/>
      <c r="E3877" s="24"/>
      <c r="G3877" s="24"/>
      <c r="H3877" s="24"/>
      <c r="J3877" s="24"/>
      <c r="K3877" s="24"/>
      <c r="M3877" s="24"/>
      <c r="N3877" s="24"/>
      <c r="P3877" s="24"/>
    </row>
    <row r="3878" spans="2:16" x14ac:dyDescent="0.25">
      <c r="B3878" s="24"/>
      <c r="E3878" s="24"/>
      <c r="G3878" s="24"/>
      <c r="H3878" s="24"/>
      <c r="J3878" s="24"/>
      <c r="K3878" s="24"/>
      <c r="M3878" s="24"/>
      <c r="N3878" s="24"/>
      <c r="P3878" s="24"/>
    </row>
    <row r="3879" spans="2:16" x14ac:dyDescent="0.25">
      <c r="B3879" s="24"/>
      <c r="E3879" s="24"/>
      <c r="G3879" s="24"/>
      <c r="H3879" s="24"/>
      <c r="J3879" s="24"/>
      <c r="K3879" s="24"/>
      <c r="M3879" s="24"/>
      <c r="N3879" s="24"/>
      <c r="P3879" s="24"/>
    </row>
    <row r="3880" spans="2:16" x14ac:dyDescent="0.25">
      <c r="B3880" s="24"/>
      <c r="E3880" s="24"/>
      <c r="G3880" s="24"/>
      <c r="H3880" s="24"/>
      <c r="J3880" s="24"/>
      <c r="K3880" s="24"/>
      <c r="M3880" s="24"/>
      <c r="N3880" s="24"/>
      <c r="P3880" s="24"/>
    </row>
    <row r="3881" spans="2:16" x14ac:dyDescent="0.25">
      <c r="B3881" s="24"/>
      <c r="E3881" s="24"/>
      <c r="G3881" s="24"/>
      <c r="H3881" s="24"/>
      <c r="J3881" s="24"/>
      <c r="K3881" s="24"/>
      <c r="M3881" s="24"/>
      <c r="N3881" s="24"/>
      <c r="P3881" s="24"/>
    </row>
    <row r="3882" spans="2:16" x14ac:dyDescent="0.25">
      <c r="B3882" s="24"/>
      <c r="E3882" s="24"/>
      <c r="G3882" s="24"/>
      <c r="H3882" s="24"/>
      <c r="J3882" s="24"/>
      <c r="K3882" s="24"/>
      <c r="M3882" s="24"/>
      <c r="N3882" s="24"/>
      <c r="P3882" s="24"/>
    </row>
    <row r="3883" spans="2:16" x14ac:dyDescent="0.25">
      <c r="B3883" s="24"/>
      <c r="E3883" s="24"/>
      <c r="G3883" s="24"/>
      <c r="H3883" s="24"/>
      <c r="J3883" s="24"/>
      <c r="K3883" s="24"/>
      <c r="M3883" s="24"/>
      <c r="N3883" s="24"/>
      <c r="P3883" s="24"/>
    </row>
    <row r="3884" spans="2:16" x14ac:dyDescent="0.25">
      <c r="B3884" s="24"/>
      <c r="E3884" s="24"/>
      <c r="G3884" s="24"/>
      <c r="H3884" s="24"/>
      <c r="J3884" s="24"/>
      <c r="K3884" s="24"/>
      <c r="M3884" s="24"/>
      <c r="N3884" s="24"/>
      <c r="P3884" s="24"/>
    </row>
    <row r="3885" spans="2:16" x14ac:dyDescent="0.25">
      <c r="B3885" s="24"/>
      <c r="E3885" s="24"/>
      <c r="G3885" s="24"/>
      <c r="H3885" s="24"/>
      <c r="J3885" s="24"/>
      <c r="K3885" s="24"/>
      <c r="M3885" s="24"/>
      <c r="N3885" s="24"/>
      <c r="P3885" s="24"/>
    </row>
    <row r="3886" spans="2:16" x14ac:dyDescent="0.25">
      <c r="B3886" s="24"/>
      <c r="E3886" s="24"/>
      <c r="G3886" s="24"/>
      <c r="H3886" s="24"/>
      <c r="J3886" s="24"/>
      <c r="K3886" s="24"/>
      <c r="M3886" s="24"/>
      <c r="N3886" s="24"/>
      <c r="P3886" s="24"/>
    </row>
    <row r="3887" spans="2:16" x14ac:dyDescent="0.25">
      <c r="B3887" s="24"/>
      <c r="E3887" s="24"/>
      <c r="G3887" s="24"/>
      <c r="H3887" s="24"/>
      <c r="J3887" s="24"/>
      <c r="K3887" s="24"/>
      <c r="M3887" s="24"/>
      <c r="N3887" s="24"/>
      <c r="P3887" s="24"/>
    </row>
    <row r="3888" spans="2:16" x14ac:dyDescent="0.25">
      <c r="B3888" s="24"/>
      <c r="E3888" s="24"/>
      <c r="G3888" s="24"/>
      <c r="H3888" s="24"/>
      <c r="J3888" s="24"/>
      <c r="K3888" s="24"/>
      <c r="M3888" s="24"/>
      <c r="N3888" s="24"/>
      <c r="P3888" s="24"/>
    </row>
    <row r="3889" spans="2:16" x14ac:dyDescent="0.25">
      <c r="B3889" s="24"/>
      <c r="E3889" s="24"/>
      <c r="G3889" s="24"/>
      <c r="H3889" s="24"/>
      <c r="J3889" s="24"/>
      <c r="K3889" s="24"/>
      <c r="M3889" s="24"/>
      <c r="N3889" s="24"/>
      <c r="P3889" s="24"/>
    </row>
    <row r="3890" spans="2:16" x14ac:dyDescent="0.25">
      <c r="B3890" s="24"/>
      <c r="E3890" s="24"/>
      <c r="G3890" s="24"/>
      <c r="H3890" s="24"/>
      <c r="J3890" s="24"/>
      <c r="K3890" s="24"/>
      <c r="M3890" s="24"/>
      <c r="N3890" s="24"/>
      <c r="P3890" s="24"/>
    </row>
    <row r="3891" spans="2:16" x14ac:dyDescent="0.25">
      <c r="B3891" s="24"/>
      <c r="E3891" s="24"/>
      <c r="G3891" s="24"/>
      <c r="H3891" s="24"/>
      <c r="J3891" s="24"/>
      <c r="K3891" s="24"/>
      <c r="M3891" s="24"/>
      <c r="N3891" s="24"/>
      <c r="P3891" s="24"/>
    </row>
    <row r="3892" spans="2:16" x14ac:dyDescent="0.25">
      <c r="B3892" s="24"/>
      <c r="E3892" s="24"/>
      <c r="G3892" s="24"/>
      <c r="H3892" s="24"/>
      <c r="J3892" s="24"/>
      <c r="K3892" s="24"/>
      <c r="M3892" s="24"/>
      <c r="N3892" s="24"/>
      <c r="P3892" s="24"/>
    </row>
    <row r="3893" spans="2:16" x14ac:dyDescent="0.25">
      <c r="B3893" s="24"/>
      <c r="E3893" s="24"/>
      <c r="G3893" s="24"/>
      <c r="H3893" s="24"/>
      <c r="J3893" s="24"/>
      <c r="K3893" s="24"/>
      <c r="M3893" s="24"/>
      <c r="N3893" s="24"/>
      <c r="P3893" s="24"/>
    </row>
    <row r="3894" spans="2:16" x14ac:dyDescent="0.25">
      <c r="B3894" s="24"/>
      <c r="E3894" s="24"/>
      <c r="G3894" s="24"/>
      <c r="H3894" s="24"/>
      <c r="J3894" s="24"/>
      <c r="K3894" s="24"/>
      <c r="M3894" s="24"/>
      <c r="N3894" s="24"/>
      <c r="P3894" s="24"/>
    </row>
    <row r="3895" spans="2:16" x14ac:dyDescent="0.25">
      <c r="B3895" s="24"/>
      <c r="E3895" s="24"/>
      <c r="G3895" s="24"/>
      <c r="H3895" s="24"/>
      <c r="J3895" s="24"/>
      <c r="K3895" s="24"/>
      <c r="M3895" s="24"/>
      <c r="N3895" s="24"/>
      <c r="P3895" s="24"/>
    </row>
    <row r="3896" spans="2:16" x14ac:dyDescent="0.25">
      <c r="B3896" s="24"/>
      <c r="E3896" s="24"/>
      <c r="G3896" s="24"/>
      <c r="H3896" s="24"/>
      <c r="J3896" s="24"/>
      <c r="K3896" s="24"/>
      <c r="M3896" s="24"/>
      <c r="N3896" s="24"/>
      <c r="P3896" s="24"/>
    </row>
    <row r="3897" spans="2:16" x14ac:dyDescent="0.25">
      <c r="B3897" s="24"/>
      <c r="E3897" s="24"/>
      <c r="G3897" s="24"/>
      <c r="H3897" s="24"/>
      <c r="J3897" s="24"/>
      <c r="K3897" s="24"/>
      <c r="M3897" s="24"/>
      <c r="N3897" s="24"/>
      <c r="P3897" s="24"/>
    </row>
    <row r="3898" spans="2:16" x14ac:dyDescent="0.25">
      <c r="B3898" s="24"/>
      <c r="E3898" s="24"/>
      <c r="G3898" s="24"/>
      <c r="H3898" s="24"/>
      <c r="J3898" s="24"/>
      <c r="K3898" s="24"/>
      <c r="M3898" s="24"/>
      <c r="N3898" s="24"/>
      <c r="P3898" s="24"/>
    </row>
    <row r="3899" spans="2:16" x14ac:dyDescent="0.25">
      <c r="B3899" s="24"/>
      <c r="E3899" s="24"/>
      <c r="G3899" s="24"/>
      <c r="H3899" s="24"/>
      <c r="J3899" s="24"/>
      <c r="K3899" s="24"/>
      <c r="M3899" s="24"/>
      <c r="N3899" s="24"/>
      <c r="P3899" s="24"/>
    </row>
    <row r="3900" spans="2:16" x14ac:dyDescent="0.25">
      <c r="B3900" s="24"/>
      <c r="E3900" s="24"/>
      <c r="G3900" s="24"/>
      <c r="H3900" s="24"/>
      <c r="J3900" s="24"/>
      <c r="K3900" s="24"/>
      <c r="M3900" s="24"/>
      <c r="N3900" s="24"/>
      <c r="P3900" s="24"/>
    </row>
    <row r="3901" spans="2:16" x14ac:dyDescent="0.25">
      <c r="B3901" s="24"/>
      <c r="E3901" s="24"/>
      <c r="G3901" s="24"/>
      <c r="H3901" s="24"/>
      <c r="J3901" s="24"/>
      <c r="K3901" s="24"/>
      <c r="M3901" s="24"/>
      <c r="N3901" s="24"/>
      <c r="P3901" s="24"/>
    </row>
    <row r="3902" spans="2:16" x14ac:dyDescent="0.25">
      <c r="B3902" s="24"/>
      <c r="E3902" s="24"/>
      <c r="G3902" s="24"/>
      <c r="H3902" s="24"/>
      <c r="J3902" s="24"/>
      <c r="K3902" s="24"/>
      <c r="M3902" s="24"/>
      <c r="N3902" s="24"/>
      <c r="P3902" s="24"/>
    </row>
    <row r="3903" spans="2:16" x14ac:dyDescent="0.25">
      <c r="B3903" s="24"/>
      <c r="E3903" s="24"/>
      <c r="G3903" s="24"/>
      <c r="H3903" s="24"/>
      <c r="J3903" s="24"/>
      <c r="K3903" s="24"/>
      <c r="M3903" s="24"/>
      <c r="N3903" s="24"/>
      <c r="P3903" s="24"/>
    </row>
    <row r="3904" spans="2:16" x14ac:dyDescent="0.25">
      <c r="B3904" s="24"/>
      <c r="E3904" s="24"/>
      <c r="G3904" s="24"/>
      <c r="H3904" s="24"/>
      <c r="J3904" s="24"/>
      <c r="K3904" s="24"/>
      <c r="M3904" s="24"/>
      <c r="N3904" s="24"/>
      <c r="P3904" s="24"/>
    </row>
    <row r="3905" spans="2:16" x14ac:dyDescent="0.25">
      <c r="B3905" s="24"/>
      <c r="E3905" s="24"/>
      <c r="G3905" s="24"/>
      <c r="H3905" s="24"/>
      <c r="J3905" s="24"/>
      <c r="K3905" s="24"/>
      <c r="M3905" s="24"/>
      <c r="N3905" s="24"/>
      <c r="P3905" s="24"/>
    </row>
    <row r="3906" spans="2:16" x14ac:dyDescent="0.25">
      <c r="B3906" s="24"/>
      <c r="E3906" s="24"/>
      <c r="G3906" s="24"/>
      <c r="H3906" s="24"/>
      <c r="J3906" s="24"/>
      <c r="K3906" s="24"/>
      <c r="M3906" s="24"/>
      <c r="N3906" s="24"/>
      <c r="P3906" s="24"/>
    </row>
    <row r="3907" spans="2:16" x14ac:dyDescent="0.25">
      <c r="B3907" s="24"/>
      <c r="E3907" s="24"/>
      <c r="G3907" s="24"/>
      <c r="H3907" s="24"/>
      <c r="J3907" s="24"/>
      <c r="K3907" s="24"/>
      <c r="M3907" s="24"/>
      <c r="N3907" s="24"/>
      <c r="P3907" s="24"/>
    </row>
    <row r="3908" spans="2:16" x14ac:dyDescent="0.25">
      <c r="B3908" s="24"/>
      <c r="E3908" s="24"/>
      <c r="G3908" s="24"/>
      <c r="H3908" s="24"/>
      <c r="J3908" s="24"/>
      <c r="K3908" s="24"/>
      <c r="M3908" s="24"/>
      <c r="N3908" s="24"/>
      <c r="P3908" s="24"/>
    </row>
    <row r="3909" spans="2:16" x14ac:dyDescent="0.25">
      <c r="B3909" s="24"/>
      <c r="E3909" s="24"/>
      <c r="G3909" s="24"/>
      <c r="H3909" s="24"/>
      <c r="J3909" s="24"/>
      <c r="K3909" s="24"/>
      <c r="M3909" s="24"/>
      <c r="N3909" s="24"/>
      <c r="P3909" s="24"/>
    </row>
    <row r="3910" spans="2:16" x14ac:dyDescent="0.25">
      <c r="B3910" s="24"/>
      <c r="E3910" s="24"/>
      <c r="G3910" s="24"/>
      <c r="H3910" s="24"/>
      <c r="J3910" s="24"/>
      <c r="K3910" s="24"/>
      <c r="M3910" s="24"/>
      <c r="N3910" s="24"/>
      <c r="P3910" s="24"/>
    </row>
    <row r="3911" spans="2:16" x14ac:dyDescent="0.25">
      <c r="B3911" s="24"/>
      <c r="E3911" s="24"/>
      <c r="G3911" s="24"/>
      <c r="H3911" s="24"/>
      <c r="J3911" s="24"/>
      <c r="K3911" s="24"/>
      <c r="M3911" s="24"/>
      <c r="N3911" s="24"/>
      <c r="P3911" s="24"/>
    </row>
    <row r="3912" spans="2:16" x14ac:dyDescent="0.25">
      <c r="B3912" s="24"/>
      <c r="E3912" s="24"/>
      <c r="G3912" s="24"/>
      <c r="H3912" s="24"/>
      <c r="J3912" s="24"/>
      <c r="K3912" s="24"/>
      <c r="M3912" s="24"/>
      <c r="N3912" s="24"/>
      <c r="P3912" s="24"/>
    </row>
    <row r="3913" spans="2:16" x14ac:dyDescent="0.25">
      <c r="B3913" s="24"/>
      <c r="E3913" s="24"/>
      <c r="G3913" s="24"/>
      <c r="H3913" s="24"/>
      <c r="J3913" s="24"/>
      <c r="K3913" s="24"/>
      <c r="M3913" s="24"/>
      <c r="N3913" s="24"/>
      <c r="P3913" s="24"/>
    </row>
    <row r="3914" spans="2:16" x14ac:dyDescent="0.25">
      <c r="B3914" s="24"/>
      <c r="E3914" s="24"/>
      <c r="G3914" s="24"/>
      <c r="H3914" s="24"/>
      <c r="J3914" s="24"/>
      <c r="K3914" s="24"/>
      <c r="M3914" s="24"/>
      <c r="N3914" s="24"/>
      <c r="P3914" s="24"/>
    </row>
    <row r="3915" spans="2:16" x14ac:dyDescent="0.25">
      <c r="B3915" s="24"/>
      <c r="E3915" s="24"/>
      <c r="G3915" s="24"/>
      <c r="H3915" s="24"/>
      <c r="J3915" s="24"/>
      <c r="K3915" s="24"/>
      <c r="M3915" s="24"/>
      <c r="N3915" s="24"/>
      <c r="P3915" s="24"/>
    </row>
    <row r="3916" spans="2:16" x14ac:dyDescent="0.25">
      <c r="B3916" s="24"/>
      <c r="E3916" s="24"/>
      <c r="G3916" s="24"/>
      <c r="H3916" s="24"/>
      <c r="J3916" s="24"/>
      <c r="K3916" s="24"/>
      <c r="M3916" s="24"/>
      <c r="N3916" s="24"/>
      <c r="P3916" s="24"/>
    </row>
    <row r="3917" spans="2:16" x14ac:dyDescent="0.25">
      <c r="B3917" s="24"/>
      <c r="E3917" s="24"/>
      <c r="G3917" s="24"/>
      <c r="H3917" s="24"/>
      <c r="J3917" s="24"/>
      <c r="K3917" s="24"/>
      <c r="M3917" s="24"/>
      <c r="N3917" s="24"/>
      <c r="P3917" s="24"/>
    </row>
    <row r="3918" spans="2:16" x14ac:dyDescent="0.25">
      <c r="B3918" s="24"/>
      <c r="E3918" s="24"/>
      <c r="G3918" s="24"/>
      <c r="H3918" s="24"/>
      <c r="J3918" s="24"/>
      <c r="K3918" s="24"/>
      <c r="M3918" s="24"/>
      <c r="N3918" s="24"/>
      <c r="P3918" s="24"/>
    </row>
    <row r="3919" spans="2:16" x14ac:dyDescent="0.25">
      <c r="B3919" s="24"/>
      <c r="E3919" s="24"/>
      <c r="G3919" s="24"/>
      <c r="H3919" s="24"/>
      <c r="J3919" s="24"/>
      <c r="K3919" s="24"/>
      <c r="M3919" s="24"/>
      <c r="N3919" s="24"/>
      <c r="P3919" s="24"/>
    </row>
    <row r="3920" spans="2:16" x14ac:dyDescent="0.25">
      <c r="B3920" s="24"/>
      <c r="E3920" s="24"/>
      <c r="G3920" s="24"/>
      <c r="H3920" s="24"/>
      <c r="J3920" s="24"/>
      <c r="K3920" s="24"/>
      <c r="M3920" s="24"/>
      <c r="N3920" s="24"/>
      <c r="P3920" s="24"/>
    </row>
    <row r="3921" spans="2:16" x14ac:dyDescent="0.25">
      <c r="B3921" s="24"/>
      <c r="E3921" s="24"/>
      <c r="G3921" s="24"/>
      <c r="H3921" s="24"/>
      <c r="J3921" s="24"/>
      <c r="K3921" s="24"/>
      <c r="M3921" s="24"/>
      <c r="N3921" s="24"/>
      <c r="P3921" s="24"/>
    </row>
    <row r="3922" spans="2:16" x14ac:dyDescent="0.25">
      <c r="B3922" s="24"/>
      <c r="E3922" s="24"/>
      <c r="G3922" s="24"/>
      <c r="H3922" s="24"/>
      <c r="J3922" s="24"/>
      <c r="K3922" s="24"/>
      <c r="M3922" s="24"/>
      <c r="N3922" s="24"/>
      <c r="P3922" s="24"/>
    </row>
    <row r="3923" spans="2:16" x14ac:dyDescent="0.25">
      <c r="B3923" s="24"/>
      <c r="E3923" s="24"/>
      <c r="G3923" s="24"/>
      <c r="H3923" s="24"/>
      <c r="J3923" s="24"/>
      <c r="K3923" s="24"/>
      <c r="M3923" s="24"/>
      <c r="N3923" s="24"/>
      <c r="P3923" s="24"/>
    </row>
    <row r="3924" spans="2:16" x14ac:dyDescent="0.25">
      <c r="B3924" s="24"/>
      <c r="E3924" s="24"/>
      <c r="G3924" s="24"/>
      <c r="H3924" s="24"/>
      <c r="J3924" s="24"/>
      <c r="K3924" s="24"/>
      <c r="M3924" s="24"/>
      <c r="N3924" s="24"/>
      <c r="P3924" s="24"/>
    </row>
    <row r="3925" spans="2:16" x14ac:dyDescent="0.25">
      <c r="B3925" s="24"/>
      <c r="E3925" s="24"/>
      <c r="G3925" s="24"/>
      <c r="H3925" s="24"/>
      <c r="J3925" s="24"/>
      <c r="K3925" s="24"/>
      <c r="M3925" s="24"/>
      <c r="N3925" s="24"/>
      <c r="P3925" s="24"/>
    </row>
    <row r="3926" spans="2:16" x14ac:dyDescent="0.25">
      <c r="B3926" s="24"/>
      <c r="E3926" s="24"/>
      <c r="G3926" s="24"/>
      <c r="H3926" s="24"/>
      <c r="J3926" s="24"/>
      <c r="K3926" s="24"/>
      <c r="M3926" s="24"/>
      <c r="N3926" s="24"/>
      <c r="P3926" s="24"/>
    </row>
    <row r="3927" spans="2:16" x14ac:dyDescent="0.25">
      <c r="B3927" s="24"/>
      <c r="E3927" s="24"/>
      <c r="G3927" s="24"/>
      <c r="H3927" s="24"/>
      <c r="J3927" s="24"/>
      <c r="K3927" s="24"/>
      <c r="M3927" s="24"/>
      <c r="N3927" s="24"/>
      <c r="P3927" s="24"/>
    </row>
    <row r="3928" spans="2:16" x14ac:dyDescent="0.25">
      <c r="B3928" s="24"/>
      <c r="E3928" s="24"/>
      <c r="G3928" s="24"/>
      <c r="H3928" s="24"/>
      <c r="J3928" s="24"/>
      <c r="K3928" s="24"/>
      <c r="M3928" s="24"/>
      <c r="N3928" s="24"/>
      <c r="P3928" s="24"/>
    </row>
    <row r="3929" spans="2:16" x14ac:dyDescent="0.25">
      <c r="B3929" s="24"/>
      <c r="E3929" s="24"/>
      <c r="G3929" s="24"/>
      <c r="H3929" s="24"/>
      <c r="J3929" s="24"/>
      <c r="K3929" s="24"/>
      <c r="M3929" s="24"/>
      <c r="N3929" s="24"/>
      <c r="P3929" s="24"/>
    </row>
    <row r="3930" spans="2:16" x14ac:dyDescent="0.25">
      <c r="B3930" s="24"/>
      <c r="E3930" s="24"/>
      <c r="G3930" s="24"/>
      <c r="H3930" s="24"/>
      <c r="J3930" s="24"/>
      <c r="K3930" s="24"/>
      <c r="M3930" s="24"/>
      <c r="N3930" s="24"/>
      <c r="P3930" s="24"/>
    </row>
    <row r="3931" spans="2:16" x14ac:dyDescent="0.25">
      <c r="B3931" s="24"/>
      <c r="E3931" s="24"/>
      <c r="G3931" s="24"/>
      <c r="H3931" s="24"/>
      <c r="J3931" s="24"/>
      <c r="K3931" s="24"/>
      <c r="M3931" s="24"/>
      <c r="N3931" s="24"/>
      <c r="P3931" s="24"/>
    </row>
    <row r="3932" spans="2:16" x14ac:dyDescent="0.25">
      <c r="B3932" s="24"/>
      <c r="E3932" s="24"/>
      <c r="G3932" s="24"/>
      <c r="H3932" s="24"/>
      <c r="J3932" s="24"/>
      <c r="K3932" s="24"/>
      <c r="M3932" s="24"/>
      <c r="N3932" s="24"/>
      <c r="P3932" s="24"/>
    </row>
    <row r="3933" spans="2:16" x14ac:dyDescent="0.25">
      <c r="B3933" s="24"/>
      <c r="E3933" s="24"/>
      <c r="G3933" s="24"/>
      <c r="H3933" s="24"/>
      <c r="J3933" s="24"/>
      <c r="K3933" s="24"/>
      <c r="M3933" s="24"/>
      <c r="N3933" s="24"/>
      <c r="P3933" s="24"/>
    </row>
    <row r="3934" spans="2:16" x14ac:dyDescent="0.25">
      <c r="B3934" s="24"/>
      <c r="E3934" s="24"/>
      <c r="G3934" s="24"/>
      <c r="H3934" s="24"/>
      <c r="J3934" s="24"/>
      <c r="K3934" s="24"/>
      <c r="M3934" s="24"/>
      <c r="N3934" s="24"/>
      <c r="P3934" s="24"/>
    </row>
    <row r="3935" spans="2:16" x14ac:dyDescent="0.25">
      <c r="B3935" s="24"/>
      <c r="E3935" s="24"/>
      <c r="G3935" s="24"/>
      <c r="H3935" s="24"/>
      <c r="J3935" s="24"/>
      <c r="K3935" s="24"/>
      <c r="M3935" s="24"/>
      <c r="N3935" s="24"/>
      <c r="P3935" s="24"/>
    </row>
    <row r="3936" spans="2:16" x14ac:dyDescent="0.25">
      <c r="B3936" s="24"/>
      <c r="E3936" s="24"/>
      <c r="G3936" s="24"/>
      <c r="H3936" s="24"/>
      <c r="J3936" s="24"/>
      <c r="K3936" s="24"/>
      <c r="M3936" s="24"/>
      <c r="N3936" s="24"/>
      <c r="P3936" s="24"/>
    </row>
    <row r="3937" spans="2:16" x14ac:dyDescent="0.25">
      <c r="B3937" s="24"/>
      <c r="E3937" s="24"/>
      <c r="G3937" s="24"/>
      <c r="H3937" s="24"/>
      <c r="J3937" s="24"/>
      <c r="K3937" s="24"/>
      <c r="M3937" s="24"/>
      <c r="N3937" s="24"/>
      <c r="P3937" s="24"/>
    </row>
    <row r="3938" spans="2:16" x14ac:dyDescent="0.25">
      <c r="B3938" s="24"/>
      <c r="E3938" s="24"/>
      <c r="G3938" s="24"/>
      <c r="H3938" s="24"/>
      <c r="J3938" s="24"/>
      <c r="K3938" s="24"/>
      <c r="M3938" s="24"/>
      <c r="N3938" s="24"/>
      <c r="P3938" s="24"/>
    </row>
    <row r="3939" spans="2:16" x14ac:dyDescent="0.25">
      <c r="B3939" s="24"/>
      <c r="E3939" s="24"/>
      <c r="G3939" s="24"/>
      <c r="H3939" s="24"/>
      <c r="J3939" s="24"/>
      <c r="K3939" s="24"/>
      <c r="M3939" s="24"/>
      <c r="N3939" s="24"/>
      <c r="P3939" s="24"/>
    </row>
    <row r="3940" spans="2:16" x14ac:dyDescent="0.25">
      <c r="B3940" s="24"/>
      <c r="E3940" s="24"/>
      <c r="G3940" s="24"/>
      <c r="H3940" s="24"/>
      <c r="J3940" s="24"/>
      <c r="K3940" s="24"/>
      <c r="M3940" s="24"/>
      <c r="N3940" s="24"/>
      <c r="P3940" s="24"/>
    </row>
    <row r="3941" spans="2:16" x14ac:dyDescent="0.25">
      <c r="B3941" s="24"/>
      <c r="E3941" s="24"/>
      <c r="G3941" s="24"/>
      <c r="H3941" s="24"/>
      <c r="J3941" s="24"/>
      <c r="K3941" s="24"/>
      <c r="M3941" s="24"/>
      <c r="N3941" s="24"/>
      <c r="P3941" s="24"/>
    </row>
    <row r="3942" spans="2:16" x14ac:dyDescent="0.25">
      <c r="B3942" s="24"/>
      <c r="E3942" s="24"/>
      <c r="G3942" s="24"/>
      <c r="H3942" s="24"/>
      <c r="J3942" s="24"/>
      <c r="K3942" s="24"/>
      <c r="M3942" s="24"/>
      <c r="N3942" s="24"/>
      <c r="P3942" s="24"/>
    </row>
    <row r="3943" spans="2:16" x14ac:dyDescent="0.25">
      <c r="B3943" s="24"/>
      <c r="E3943" s="24"/>
      <c r="G3943" s="24"/>
      <c r="H3943" s="24"/>
      <c r="J3943" s="24"/>
      <c r="K3943" s="24"/>
      <c r="M3943" s="24"/>
      <c r="N3943" s="24"/>
      <c r="P3943" s="24"/>
    </row>
    <row r="3944" spans="2:16" x14ac:dyDescent="0.25">
      <c r="B3944" s="24"/>
      <c r="E3944" s="24"/>
      <c r="G3944" s="24"/>
      <c r="H3944" s="24"/>
      <c r="J3944" s="24"/>
      <c r="K3944" s="24"/>
      <c r="M3944" s="24"/>
      <c r="N3944" s="24"/>
      <c r="P3944" s="24"/>
    </row>
    <row r="3945" spans="2:16" x14ac:dyDescent="0.25">
      <c r="B3945" s="24"/>
      <c r="E3945" s="24"/>
      <c r="G3945" s="24"/>
      <c r="H3945" s="24"/>
      <c r="J3945" s="24"/>
      <c r="K3945" s="24"/>
      <c r="M3945" s="24"/>
      <c r="N3945" s="24"/>
      <c r="P3945" s="24"/>
    </row>
    <row r="3946" spans="2:16" x14ac:dyDescent="0.25">
      <c r="B3946" s="24"/>
      <c r="E3946" s="24"/>
      <c r="G3946" s="24"/>
      <c r="H3946" s="24"/>
      <c r="J3946" s="24"/>
      <c r="K3946" s="24"/>
      <c r="M3946" s="24"/>
      <c r="N3946" s="24"/>
      <c r="P3946" s="24"/>
    </row>
    <row r="3947" spans="2:16" x14ac:dyDescent="0.25">
      <c r="B3947" s="24"/>
      <c r="E3947" s="24"/>
      <c r="G3947" s="24"/>
      <c r="H3947" s="24"/>
      <c r="J3947" s="24"/>
      <c r="K3947" s="24"/>
      <c r="M3947" s="24"/>
      <c r="N3947" s="24"/>
      <c r="P3947" s="24"/>
    </row>
    <row r="3948" spans="2:16" x14ac:dyDescent="0.25">
      <c r="B3948" s="24"/>
      <c r="E3948" s="24"/>
      <c r="G3948" s="24"/>
      <c r="H3948" s="24"/>
      <c r="J3948" s="24"/>
      <c r="K3948" s="24"/>
      <c r="M3948" s="24"/>
      <c r="N3948" s="24"/>
      <c r="P3948" s="24"/>
    </row>
    <row r="3949" spans="2:16" x14ac:dyDescent="0.25">
      <c r="B3949" s="24"/>
      <c r="E3949" s="24"/>
      <c r="G3949" s="24"/>
      <c r="H3949" s="24"/>
      <c r="J3949" s="24"/>
      <c r="K3949" s="24"/>
      <c r="M3949" s="24"/>
      <c r="N3949" s="24"/>
      <c r="P3949" s="24"/>
    </row>
    <row r="3950" spans="2:16" x14ac:dyDescent="0.25">
      <c r="B3950" s="24"/>
      <c r="E3950" s="24"/>
      <c r="G3950" s="24"/>
      <c r="H3950" s="24"/>
      <c r="J3950" s="24"/>
      <c r="K3950" s="24"/>
      <c r="M3950" s="24"/>
      <c r="N3950" s="24"/>
      <c r="P3950" s="24"/>
    </row>
    <row r="3951" spans="2:16" x14ac:dyDescent="0.25">
      <c r="B3951" s="24"/>
      <c r="E3951" s="24"/>
      <c r="G3951" s="24"/>
      <c r="H3951" s="24"/>
      <c r="J3951" s="24"/>
      <c r="K3951" s="24"/>
      <c r="M3951" s="24"/>
      <c r="N3951" s="24"/>
      <c r="P3951" s="24"/>
    </row>
    <row r="3952" spans="2:16" x14ac:dyDescent="0.25">
      <c r="B3952" s="24"/>
      <c r="E3952" s="24"/>
      <c r="G3952" s="24"/>
      <c r="H3952" s="24"/>
      <c r="J3952" s="24"/>
      <c r="K3952" s="24"/>
      <c r="M3952" s="24"/>
      <c r="N3952" s="24"/>
      <c r="P3952" s="24"/>
    </row>
    <row r="3953" spans="2:16" x14ac:dyDescent="0.25">
      <c r="B3953" s="24"/>
      <c r="E3953" s="24"/>
      <c r="G3953" s="24"/>
      <c r="H3953" s="24"/>
      <c r="J3953" s="24"/>
      <c r="K3953" s="24"/>
      <c r="M3953" s="24"/>
      <c r="N3953" s="24"/>
      <c r="P3953" s="24"/>
    </row>
    <row r="3954" spans="2:16" x14ac:dyDescent="0.25">
      <c r="B3954" s="24"/>
      <c r="E3954" s="24"/>
      <c r="G3954" s="24"/>
      <c r="H3954" s="24"/>
      <c r="J3954" s="24"/>
      <c r="K3954" s="24"/>
      <c r="M3954" s="24"/>
      <c r="N3954" s="24"/>
      <c r="P3954" s="24"/>
    </row>
    <row r="3955" spans="2:16" x14ac:dyDescent="0.25">
      <c r="B3955" s="24"/>
      <c r="E3955" s="24"/>
      <c r="G3955" s="24"/>
      <c r="H3955" s="24"/>
      <c r="J3955" s="24"/>
      <c r="K3955" s="24"/>
      <c r="M3955" s="24"/>
      <c r="N3955" s="24"/>
      <c r="P3955" s="24"/>
    </row>
    <row r="3956" spans="2:16" x14ac:dyDescent="0.25">
      <c r="B3956" s="24"/>
      <c r="E3956" s="24"/>
      <c r="G3956" s="24"/>
      <c r="H3956" s="24"/>
      <c r="J3956" s="24"/>
      <c r="K3956" s="24"/>
      <c r="M3956" s="24"/>
      <c r="N3956" s="24"/>
      <c r="P3956" s="24"/>
    </row>
    <row r="3957" spans="2:16" x14ac:dyDescent="0.25">
      <c r="B3957" s="24"/>
      <c r="E3957" s="24"/>
      <c r="G3957" s="24"/>
      <c r="H3957" s="24"/>
      <c r="J3957" s="24"/>
      <c r="K3957" s="24"/>
      <c r="M3957" s="24"/>
      <c r="N3957" s="24"/>
      <c r="P3957" s="24"/>
    </row>
    <row r="3958" spans="2:16" x14ac:dyDescent="0.25">
      <c r="B3958" s="24"/>
      <c r="E3958" s="24"/>
      <c r="G3958" s="24"/>
      <c r="H3958" s="24"/>
      <c r="J3958" s="24"/>
      <c r="K3958" s="24"/>
      <c r="M3958" s="24"/>
      <c r="N3958" s="24"/>
      <c r="P3958" s="24"/>
    </row>
    <row r="3959" spans="2:16" x14ac:dyDescent="0.25">
      <c r="B3959" s="24"/>
      <c r="E3959" s="24"/>
      <c r="G3959" s="24"/>
      <c r="H3959" s="24"/>
      <c r="J3959" s="24"/>
      <c r="K3959" s="24"/>
      <c r="M3959" s="24"/>
      <c r="N3959" s="24"/>
      <c r="P3959" s="24"/>
    </row>
    <row r="3960" spans="2:16" x14ac:dyDescent="0.25">
      <c r="B3960" s="24"/>
      <c r="E3960" s="24"/>
      <c r="G3960" s="24"/>
      <c r="H3960" s="24"/>
      <c r="J3960" s="24"/>
      <c r="K3960" s="24"/>
      <c r="M3960" s="24"/>
      <c r="N3960" s="24"/>
      <c r="P3960" s="24"/>
    </row>
    <row r="3961" spans="2:16" x14ac:dyDescent="0.25">
      <c r="B3961" s="24"/>
      <c r="E3961" s="24"/>
      <c r="G3961" s="24"/>
      <c r="H3961" s="24"/>
      <c r="J3961" s="24"/>
      <c r="K3961" s="24"/>
      <c r="M3961" s="24"/>
      <c r="N3961" s="24"/>
      <c r="P3961" s="24"/>
    </row>
    <row r="3962" spans="2:16" x14ac:dyDescent="0.25">
      <c r="B3962" s="24"/>
      <c r="E3962" s="24"/>
      <c r="G3962" s="24"/>
      <c r="H3962" s="24"/>
      <c r="J3962" s="24"/>
      <c r="K3962" s="24"/>
      <c r="M3962" s="24"/>
      <c r="N3962" s="24"/>
      <c r="P3962" s="24"/>
    </row>
    <row r="3963" spans="2:16" x14ac:dyDescent="0.25">
      <c r="B3963" s="24"/>
      <c r="E3963" s="24"/>
      <c r="G3963" s="24"/>
      <c r="H3963" s="24"/>
      <c r="J3963" s="24"/>
      <c r="K3963" s="24"/>
      <c r="M3963" s="24"/>
      <c r="N3963" s="24"/>
      <c r="P3963" s="24"/>
    </row>
    <row r="3964" spans="2:16" x14ac:dyDescent="0.25">
      <c r="B3964" s="24"/>
      <c r="E3964" s="24"/>
      <c r="G3964" s="24"/>
      <c r="H3964" s="24"/>
      <c r="J3964" s="24"/>
      <c r="K3964" s="24"/>
      <c r="M3964" s="24"/>
      <c r="N3964" s="24"/>
      <c r="P3964" s="24"/>
    </row>
    <row r="3965" spans="2:16" x14ac:dyDescent="0.25">
      <c r="B3965" s="24"/>
      <c r="E3965" s="24"/>
      <c r="G3965" s="24"/>
      <c r="H3965" s="24"/>
      <c r="J3965" s="24"/>
      <c r="K3965" s="24"/>
      <c r="M3965" s="24"/>
      <c r="N3965" s="24"/>
      <c r="P3965" s="24"/>
    </row>
    <row r="3966" spans="2:16" x14ac:dyDescent="0.25">
      <c r="B3966" s="24"/>
      <c r="E3966" s="24"/>
      <c r="G3966" s="24"/>
      <c r="H3966" s="24"/>
      <c r="J3966" s="24"/>
      <c r="K3966" s="24"/>
      <c r="M3966" s="24"/>
      <c r="N3966" s="24"/>
      <c r="P3966" s="24"/>
    </row>
    <row r="3967" spans="2:16" x14ac:dyDescent="0.25">
      <c r="B3967" s="24"/>
      <c r="E3967" s="24"/>
      <c r="G3967" s="24"/>
      <c r="H3967" s="24"/>
      <c r="J3967" s="24"/>
      <c r="K3967" s="24"/>
      <c r="M3967" s="24"/>
      <c r="N3967" s="24"/>
      <c r="P3967" s="24"/>
    </row>
    <row r="3968" spans="2:16" x14ac:dyDescent="0.25">
      <c r="B3968" s="24"/>
      <c r="E3968" s="24"/>
      <c r="G3968" s="24"/>
      <c r="H3968" s="24"/>
      <c r="J3968" s="24"/>
      <c r="K3968" s="24"/>
      <c r="M3968" s="24"/>
      <c r="N3968" s="24"/>
      <c r="P3968" s="24"/>
    </row>
    <row r="3969" spans="2:16" x14ac:dyDescent="0.25">
      <c r="B3969" s="24"/>
      <c r="E3969" s="24"/>
      <c r="G3969" s="24"/>
      <c r="H3969" s="24"/>
      <c r="J3969" s="24"/>
      <c r="K3969" s="24"/>
      <c r="M3969" s="24"/>
      <c r="N3969" s="24"/>
      <c r="P3969" s="24"/>
    </row>
    <row r="3970" spans="2:16" x14ac:dyDescent="0.25">
      <c r="B3970" s="24"/>
      <c r="E3970" s="24"/>
      <c r="G3970" s="24"/>
      <c r="H3970" s="24"/>
      <c r="J3970" s="24"/>
      <c r="K3970" s="24"/>
      <c r="M3970" s="24"/>
      <c r="N3970" s="24"/>
      <c r="P3970" s="24"/>
    </row>
    <row r="3971" spans="2:16" x14ac:dyDescent="0.25">
      <c r="B3971" s="24"/>
      <c r="E3971" s="24"/>
      <c r="G3971" s="24"/>
      <c r="H3971" s="24"/>
      <c r="J3971" s="24"/>
      <c r="K3971" s="24"/>
      <c r="M3971" s="24"/>
      <c r="N3971" s="24"/>
      <c r="P3971" s="24"/>
    </row>
    <row r="3972" spans="2:16" x14ac:dyDescent="0.25">
      <c r="B3972" s="24"/>
      <c r="E3972" s="24"/>
      <c r="G3972" s="24"/>
      <c r="H3972" s="24"/>
      <c r="J3972" s="24"/>
      <c r="K3972" s="24"/>
      <c r="M3972" s="24"/>
      <c r="N3972" s="24"/>
      <c r="P3972" s="24"/>
    </row>
    <row r="3973" spans="2:16" x14ac:dyDescent="0.25">
      <c r="B3973" s="24"/>
      <c r="E3973" s="24"/>
      <c r="G3973" s="24"/>
      <c r="H3973" s="24"/>
      <c r="J3973" s="24"/>
      <c r="K3973" s="24"/>
      <c r="M3973" s="24"/>
      <c r="N3973" s="24"/>
      <c r="P3973" s="24"/>
    </row>
    <row r="3974" spans="2:16" x14ac:dyDescent="0.25">
      <c r="B3974" s="24"/>
      <c r="E3974" s="24"/>
      <c r="G3974" s="24"/>
      <c r="H3974" s="24"/>
      <c r="J3974" s="24"/>
      <c r="K3974" s="24"/>
      <c r="M3974" s="24"/>
      <c r="N3974" s="24"/>
      <c r="P3974" s="24"/>
    </row>
    <row r="3975" spans="2:16" x14ac:dyDescent="0.25">
      <c r="B3975" s="24"/>
      <c r="E3975" s="24"/>
      <c r="G3975" s="24"/>
      <c r="H3975" s="24"/>
      <c r="J3975" s="24"/>
      <c r="K3975" s="24"/>
      <c r="M3975" s="24"/>
      <c r="N3975" s="24"/>
      <c r="P3975" s="24"/>
    </row>
    <row r="3976" spans="2:16" x14ac:dyDescent="0.25">
      <c r="B3976" s="24"/>
      <c r="E3976" s="24"/>
      <c r="G3976" s="24"/>
      <c r="H3976" s="24"/>
      <c r="J3976" s="24"/>
      <c r="K3976" s="24"/>
      <c r="M3976" s="24"/>
      <c r="N3976" s="24"/>
      <c r="P3976" s="24"/>
    </row>
    <row r="3977" spans="2:16" x14ac:dyDescent="0.25">
      <c r="B3977" s="24"/>
      <c r="E3977" s="24"/>
      <c r="G3977" s="24"/>
      <c r="H3977" s="24"/>
      <c r="J3977" s="24"/>
      <c r="K3977" s="24"/>
      <c r="M3977" s="24"/>
      <c r="N3977" s="24"/>
      <c r="P3977" s="24"/>
    </row>
    <row r="3978" spans="2:16" x14ac:dyDescent="0.25">
      <c r="B3978" s="24"/>
      <c r="E3978" s="24"/>
      <c r="G3978" s="24"/>
      <c r="H3978" s="24"/>
      <c r="J3978" s="24"/>
      <c r="K3978" s="24"/>
      <c r="M3978" s="24"/>
      <c r="N3978" s="24"/>
      <c r="P3978" s="24"/>
    </row>
    <row r="3979" spans="2:16" x14ac:dyDescent="0.25">
      <c r="B3979" s="24"/>
      <c r="E3979" s="24"/>
      <c r="G3979" s="24"/>
      <c r="H3979" s="24"/>
      <c r="J3979" s="24"/>
      <c r="K3979" s="24"/>
      <c r="M3979" s="24"/>
      <c r="N3979" s="24"/>
      <c r="P3979" s="24"/>
    </row>
    <row r="3980" spans="2:16" x14ac:dyDescent="0.25">
      <c r="B3980" s="24"/>
      <c r="E3980" s="24"/>
      <c r="G3980" s="24"/>
      <c r="H3980" s="24"/>
      <c r="J3980" s="24"/>
      <c r="K3980" s="24"/>
      <c r="M3980" s="24"/>
      <c r="N3980" s="24"/>
      <c r="P3980" s="24"/>
    </row>
    <row r="3981" spans="2:16" x14ac:dyDescent="0.25">
      <c r="B3981" s="24"/>
      <c r="E3981" s="24"/>
      <c r="G3981" s="24"/>
      <c r="H3981" s="24"/>
      <c r="J3981" s="24"/>
      <c r="K3981" s="24"/>
      <c r="M3981" s="24"/>
      <c r="N3981" s="24"/>
      <c r="P3981" s="24"/>
    </row>
    <row r="3982" spans="2:16" x14ac:dyDescent="0.25">
      <c r="B3982" s="24"/>
      <c r="E3982" s="24"/>
      <c r="G3982" s="24"/>
      <c r="H3982" s="24"/>
      <c r="J3982" s="24"/>
      <c r="K3982" s="24"/>
      <c r="M3982" s="24"/>
      <c r="N3982" s="24"/>
      <c r="P3982" s="24"/>
    </row>
    <row r="3983" spans="2:16" x14ac:dyDescent="0.25">
      <c r="B3983" s="24"/>
      <c r="E3983" s="24"/>
      <c r="G3983" s="24"/>
      <c r="H3983" s="24"/>
      <c r="J3983" s="24"/>
      <c r="K3983" s="24"/>
      <c r="M3983" s="24"/>
      <c r="N3983" s="24"/>
      <c r="P3983" s="24"/>
    </row>
    <row r="3984" spans="2:16" x14ac:dyDescent="0.25">
      <c r="B3984" s="24"/>
      <c r="E3984" s="24"/>
      <c r="G3984" s="24"/>
      <c r="H3984" s="24"/>
      <c r="J3984" s="24"/>
      <c r="K3984" s="24"/>
      <c r="M3984" s="24"/>
      <c r="N3984" s="24"/>
      <c r="P3984" s="24"/>
    </row>
    <row r="3985" spans="2:16" x14ac:dyDescent="0.25">
      <c r="B3985" s="24"/>
      <c r="E3985" s="24"/>
      <c r="G3985" s="24"/>
      <c r="H3985" s="24"/>
      <c r="J3985" s="24"/>
      <c r="K3985" s="24"/>
      <c r="M3985" s="24"/>
      <c r="N3985" s="24"/>
      <c r="P3985" s="24"/>
    </row>
    <row r="3986" spans="2:16" x14ac:dyDescent="0.25">
      <c r="B3986" s="24"/>
      <c r="E3986" s="24"/>
      <c r="G3986" s="24"/>
      <c r="H3986" s="24"/>
      <c r="J3986" s="24"/>
      <c r="K3986" s="24"/>
      <c r="M3986" s="24"/>
      <c r="N3986" s="24"/>
      <c r="P3986" s="24"/>
    </row>
    <row r="3987" spans="2:16" x14ac:dyDescent="0.25">
      <c r="B3987" s="24"/>
      <c r="E3987" s="24"/>
      <c r="G3987" s="24"/>
      <c r="H3987" s="24"/>
      <c r="J3987" s="24"/>
      <c r="K3987" s="24"/>
      <c r="M3987" s="24"/>
      <c r="N3987" s="24"/>
      <c r="P3987" s="24"/>
    </row>
    <row r="3988" spans="2:16" x14ac:dyDescent="0.25">
      <c r="B3988" s="24"/>
      <c r="E3988" s="24"/>
      <c r="G3988" s="24"/>
      <c r="H3988" s="24"/>
      <c r="J3988" s="24"/>
      <c r="K3988" s="24"/>
      <c r="M3988" s="24"/>
      <c r="N3988" s="24"/>
      <c r="P3988" s="24"/>
    </row>
    <row r="3989" spans="2:16" x14ac:dyDescent="0.25">
      <c r="B3989" s="24"/>
      <c r="E3989" s="24"/>
      <c r="G3989" s="24"/>
      <c r="H3989" s="24"/>
      <c r="J3989" s="24"/>
      <c r="K3989" s="24"/>
      <c r="M3989" s="24"/>
      <c r="N3989" s="24"/>
      <c r="P3989" s="24"/>
    </row>
    <row r="3990" spans="2:16" x14ac:dyDescent="0.25">
      <c r="B3990" s="24"/>
      <c r="E3990" s="24"/>
      <c r="G3990" s="24"/>
      <c r="H3990" s="24"/>
      <c r="J3990" s="24"/>
      <c r="K3990" s="24"/>
      <c r="M3990" s="24"/>
      <c r="N3990" s="24"/>
      <c r="P3990" s="24"/>
    </row>
    <row r="3991" spans="2:16" x14ac:dyDescent="0.25">
      <c r="B3991" s="24"/>
      <c r="E3991" s="24"/>
      <c r="G3991" s="24"/>
      <c r="H3991" s="24"/>
      <c r="J3991" s="24"/>
      <c r="K3991" s="24"/>
      <c r="M3991" s="24"/>
      <c r="N3991" s="24"/>
      <c r="P3991" s="24"/>
    </row>
    <row r="3992" spans="2:16" x14ac:dyDescent="0.25">
      <c r="B3992" s="24"/>
      <c r="E3992" s="24"/>
      <c r="G3992" s="24"/>
      <c r="H3992" s="24"/>
      <c r="J3992" s="24"/>
      <c r="K3992" s="24"/>
      <c r="M3992" s="24"/>
      <c r="N3992" s="24"/>
      <c r="P3992" s="24"/>
    </row>
    <row r="3993" spans="2:16" x14ac:dyDescent="0.25">
      <c r="B3993" s="24"/>
      <c r="E3993" s="24"/>
      <c r="G3993" s="24"/>
      <c r="H3993" s="24"/>
      <c r="J3993" s="24"/>
      <c r="K3993" s="24"/>
      <c r="M3993" s="24"/>
      <c r="N3993" s="24"/>
      <c r="P3993" s="24"/>
    </row>
    <row r="3994" spans="2:16" x14ac:dyDescent="0.25">
      <c r="B3994" s="24"/>
      <c r="E3994" s="24"/>
      <c r="G3994" s="24"/>
      <c r="H3994" s="24"/>
      <c r="J3994" s="24"/>
      <c r="K3994" s="24"/>
      <c r="M3994" s="24"/>
      <c r="N3994" s="24"/>
      <c r="P3994" s="24"/>
    </row>
    <row r="3995" spans="2:16" x14ac:dyDescent="0.25">
      <c r="B3995" s="24"/>
      <c r="E3995" s="24"/>
      <c r="G3995" s="24"/>
      <c r="H3995" s="24"/>
      <c r="J3995" s="24"/>
      <c r="K3995" s="24"/>
      <c r="M3995" s="24"/>
      <c r="N3995" s="24"/>
      <c r="P3995" s="24"/>
    </row>
    <row r="3996" spans="2:16" x14ac:dyDescent="0.25">
      <c r="B3996" s="24"/>
      <c r="E3996" s="24"/>
      <c r="G3996" s="24"/>
      <c r="H3996" s="24"/>
      <c r="J3996" s="24"/>
      <c r="K3996" s="24"/>
      <c r="M3996" s="24"/>
      <c r="N3996" s="24"/>
      <c r="P3996" s="24"/>
    </row>
    <row r="3997" spans="2:16" x14ac:dyDescent="0.25">
      <c r="B3997" s="24"/>
      <c r="E3997" s="24"/>
      <c r="G3997" s="24"/>
      <c r="H3997" s="24"/>
      <c r="J3997" s="24"/>
      <c r="K3997" s="24"/>
      <c r="M3997" s="24"/>
      <c r="N3997" s="24"/>
      <c r="P3997" s="24"/>
    </row>
    <row r="3998" spans="2:16" x14ac:dyDescent="0.25">
      <c r="B3998" s="24"/>
      <c r="E3998" s="24"/>
      <c r="G3998" s="24"/>
      <c r="H3998" s="24"/>
      <c r="J3998" s="24"/>
      <c r="K3998" s="24"/>
      <c r="M3998" s="24"/>
      <c r="N3998" s="24"/>
      <c r="P3998" s="24"/>
    </row>
    <row r="3999" spans="2:16" x14ac:dyDescent="0.25">
      <c r="B3999" s="24"/>
      <c r="E3999" s="24"/>
      <c r="G3999" s="24"/>
      <c r="H3999" s="24"/>
      <c r="J3999" s="24"/>
      <c r="K3999" s="24"/>
      <c r="M3999" s="24"/>
      <c r="N3999" s="24"/>
      <c r="P3999" s="24"/>
    </row>
    <row r="4000" spans="2:16" x14ac:dyDescent="0.25">
      <c r="B4000" s="24"/>
      <c r="E4000" s="24"/>
      <c r="G4000" s="24"/>
      <c r="H4000" s="24"/>
      <c r="J4000" s="24"/>
      <c r="K4000" s="24"/>
      <c r="M4000" s="24"/>
      <c r="N4000" s="24"/>
      <c r="P4000" s="24"/>
    </row>
    <row r="4001" spans="2:16" x14ac:dyDescent="0.25">
      <c r="B4001" s="24"/>
      <c r="E4001" s="24"/>
      <c r="G4001" s="24"/>
      <c r="H4001" s="24"/>
      <c r="J4001" s="24"/>
      <c r="K4001" s="24"/>
      <c r="M4001" s="24"/>
      <c r="N4001" s="24"/>
      <c r="P4001" s="24"/>
    </row>
    <row r="4002" spans="2:16" x14ac:dyDescent="0.25">
      <c r="B4002" s="24"/>
      <c r="E4002" s="24"/>
      <c r="G4002" s="24"/>
      <c r="H4002" s="24"/>
      <c r="J4002" s="24"/>
      <c r="K4002" s="24"/>
      <c r="M4002" s="24"/>
      <c r="N4002" s="24"/>
      <c r="P4002" s="24"/>
    </row>
    <row r="4003" spans="2:16" x14ac:dyDescent="0.25">
      <c r="B4003" s="24"/>
      <c r="E4003" s="24"/>
      <c r="G4003" s="24"/>
      <c r="H4003" s="24"/>
      <c r="J4003" s="24"/>
      <c r="K4003" s="24"/>
      <c r="M4003" s="24"/>
      <c r="N4003" s="24"/>
      <c r="P4003" s="24"/>
    </row>
    <row r="4004" spans="2:16" x14ac:dyDescent="0.25">
      <c r="B4004" s="24"/>
      <c r="E4004" s="24"/>
      <c r="G4004" s="24"/>
      <c r="H4004" s="24"/>
      <c r="J4004" s="24"/>
      <c r="K4004" s="24"/>
      <c r="M4004" s="24"/>
      <c r="N4004" s="24"/>
      <c r="P4004" s="24"/>
    </row>
    <row r="4005" spans="2:16" x14ac:dyDescent="0.25">
      <c r="B4005" s="24"/>
      <c r="E4005" s="24"/>
      <c r="G4005" s="24"/>
      <c r="H4005" s="24"/>
      <c r="J4005" s="24"/>
      <c r="K4005" s="24"/>
      <c r="M4005" s="24"/>
      <c r="N4005" s="24"/>
      <c r="P4005" s="24"/>
    </row>
    <row r="4006" spans="2:16" x14ac:dyDescent="0.25">
      <c r="B4006" s="24"/>
      <c r="E4006" s="24"/>
      <c r="G4006" s="24"/>
      <c r="H4006" s="24"/>
      <c r="J4006" s="24"/>
      <c r="K4006" s="24"/>
      <c r="M4006" s="24"/>
      <c r="N4006" s="24"/>
      <c r="P4006" s="24"/>
    </row>
    <row r="4007" spans="2:16" x14ac:dyDescent="0.25">
      <c r="B4007" s="24"/>
      <c r="E4007" s="24"/>
      <c r="G4007" s="24"/>
      <c r="H4007" s="24"/>
      <c r="J4007" s="24"/>
      <c r="K4007" s="24"/>
      <c r="M4007" s="24"/>
      <c r="N4007" s="24"/>
      <c r="P4007" s="24"/>
    </row>
    <row r="4008" spans="2:16" x14ac:dyDescent="0.25">
      <c r="B4008" s="24"/>
      <c r="E4008" s="24"/>
      <c r="G4008" s="24"/>
      <c r="H4008" s="24"/>
      <c r="J4008" s="24"/>
      <c r="K4008" s="24"/>
      <c r="M4008" s="24"/>
      <c r="N4008" s="24"/>
      <c r="P4008" s="24"/>
    </row>
    <row r="4009" spans="2:16" x14ac:dyDescent="0.25">
      <c r="B4009" s="24"/>
      <c r="E4009" s="24"/>
      <c r="G4009" s="24"/>
      <c r="H4009" s="24"/>
      <c r="J4009" s="24"/>
      <c r="K4009" s="24"/>
      <c r="M4009" s="24"/>
      <c r="N4009" s="24"/>
      <c r="P4009" s="24"/>
    </row>
    <row r="4010" spans="2:16" x14ac:dyDescent="0.25">
      <c r="B4010" s="24"/>
      <c r="E4010" s="24"/>
      <c r="G4010" s="24"/>
      <c r="H4010" s="24"/>
      <c r="J4010" s="24"/>
      <c r="K4010" s="24"/>
      <c r="M4010" s="24"/>
      <c r="N4010" s="24"/>
      <c r="P4010" s="24"/>
    </row>
    <row r="4011" spans="2:16" x14ac:dyDescent="0.25">
      <c r="B4011" s="24"/>
      <c r="E4011" s="24"/>
      <c r="G4011" s="24"/>
      <c r="H4011" s="24"/>
      <c r="J4011" s="24"/>
      <c r="K4011" s="24"/>
      <c r="M4011" s="24"/>
      <c r="N4011" s="24"/>
      <c r="P4011" s="24"/>
    </row>
    <row r="4012" spans="2:16" x14ac:dyDescent="0.25">
      <c r="B4012" s="24"/>
      <c r="E4012" s="24"/>
      <c r="G4012" s="24"/>
      <c r="H4012" s="24"/>
      <c r="J4012" s="24"/>
      <c r="K4012" s="24"/>
      <c r="M4012" s="24"/>
      <c r="N4012" s="24"/>
      <c r="P4012" s="24"/>
    </row>
    <row r="4013" spans="2:16" x14ac:dyDescent="0.25">
      <c r="B4013" s="24"/>
      <c r="E4013" s="24"/>
      <c r="G4013" s="24"/>
      <c r="H4013" s="24"/>
      <c r="J4013" s="24"/>
      <c r="K4013" s="24"/>
      <c r="M4013" s="24"/>
      <c r="N4013" s="24"/>
      <c r="P4013" s="24"/>
    </row>
    <row r="4014" spans="2:16" x14ac:dyDescent="0.25">
      <c r="B4014" s="24"/>
      <c r="E4014" s="24"/>
      <c r="G4014" s="24"/>
      <c r="H4014" s="24"/>
      <c r="J4014" s="24"/>
      <c r="K4014" s="24"/>
      <c r="M4014" s="24"/>
      <c r="N4014" s="24"/>
      <c r="P4014" s="24"/>
    </row>
    <row r="4015" spans="2:16" x14ac:dyDescent="0.25">
      <c r="B4015" s="24"/>
      <c r="E4015" s="24"/>
      <c r="G4015" s="24"/>
      <c r="H4015" s="24"/>
      <c r="J4015" s="24"/>
      <c r="K4015" s="24"/>
      <c r="M4015" s="24"/>
      <c r="N4015" s="24"/>
      <c r="P4015" s="24"/>
    </row>
    <row r="4016" spans="2:16" x14ac:dyDescent="0.25">
      <c r="B4016" s="24"/>
      <c r="E4016" s="24"/>
      <c r="G4016" s="24"/>
      <c r="H4016" s="24"/>
      <c r="J4016" s="24"/>
      <c r="K4016" s="24"/>
      <c r="M4016" s="24"/>
      <c r="N4016" s="24"/>
      <c r="P4016" s="24"/>
    </row>
    <row r="4017" spans="2:16" x14ac:dyDescent="0.25">
      <c r="B4017" s="24"/>
      <c r="E4017" s="24"/>
      <c r="G4017" s="24"/>
      <c r="H4017" s="24"/>
      <c r="J4017" s="24"/>
      <c r="K4017" s="24"/>
      <c r="M4017" s="24"/>
      <c r="N4017" s="24"/>
      <c r="P4017" s="24"/>
    </row>
    <row r="4018" spans="2:16" x14ac:dyDescent="0.25">
      <c r="B4018" s="24"/>
      <c r="E4018" s="24"/>
      <c r="G4018" s="24"/>
      <c r="H4018" s="24"/>
      <c r="J4018" s="24"/>
      <c r="K4018" s="24"/>
      <c r="M4018" s="24"/>
      <c r="N4018" s="24"/>
      <c r="P4018" s="24"/>
    </row>
    <row r="4019" spans="2:16" x14ac:dyDescent="0.25">
      <c r="B4019" s="24"/>
      <c r="E4019" s="24"/>
      <c r="G4019" s="24"/>
      <c r="H4019" s="24"/>
      <c r="J4019" s="24"/>
      <c r="K4019" s="24"/>
      <c r="M4019" s="24"/>
      <c r="N4019" s="24"/>
      <c r="P4019" s="24"/>
    </row>
    <row r="4020" spans="2:16" x14ac:dyDescent="0.25">
      <c r="B4020" s="24"/>
      <c r="E4020" s="24"/>
      <c r="G4020" s="24"/>
      <c r="H4020" s="24"/>
      <c r="J4020" s="24"/>
      <c r="K4020" s="24"/>
      <c r="M4020" s="24"/>
      <c r="N4020" s="24"/>
      <c r="P4020" s="24"/>
    </row>
    <row r="4021" spans="2:16" x14ac:dyDescent="0.25">
      <c r="B4021" s="24"/>
      <c r="E4021" s="24"/>
      <c r="G4021" s="24"/>
      <c r="H4021" s="24"/>
      <c r="J4021" s="24"/>
      <c r="K4021" s="24"/>
      <c r="M4021" s="24"/>
      <c r="N4021" s="24"/>
      <c r="P4021" s="24"/>
    </row>
    <row r="4022" spans="2:16" x14ac:dyDescent="0.25">
      <c r="B4022" s="24"/>
      <c r="E4022" s="24"/>
      <c r="G4022" s="24"/>
      <c r="H4022" s="24"/>
      <c r="J4022" s="24"/>
      <c r="K4022" s="24"/>
      <c r="M4022" s="24"/>
      <c r="N4022" s="24"/>
      <c r="P4022" s="24"/>
    </row>
    <row r="4023" spans="2:16" x14ac:dyDescent="0.25">
      <c r="B4023" s="24"/>
      <c r="E4023" s="24"/>
      <c r="G4023" s="24"/>
      <c r="H4023" s="24"/>
      <c r="J4023" s="24"/>
      <c r="K4023" s="24"/>
      <c r="M4023" s="24"/>
      <c r="N4023" s="24"/>
      <c r="P4023" s="24"/>
    </row>
    <row r="4024" spans="2:16" x14ac:dyDescent="0.25">
      <c r="B4024" s="24"/>
      <c r="E4024" s="24"/>
      <c r="G4024" s="24"/>
      <c r="H4024" s="24"/>
      <c r="J4024" s="24"/>
      <c r="K4024" s="24"/>
      <c r="M4024" s="24"/>
      <c r="N4024" s="24"/>
      <c r="P4024" s="24"/>
    </row>
    <row r="4025" spans="2:16" x14ac:dyDescent="0.25">
      <c r="B4025" s="24"/>
      <c r="E4025" s="24"/>
      <c r="G4025" s="24"/>
      <c r="H4025" s="24"/>
      <c r="J4025" s="24"/>
      <c r="K4025" s="24"/>
      <c r="M4025" s="24"/>
      <c r="N4025" s="24"/>
      <c r="P4025" s="24"/>
    </row>
    <row r="4026" spans="2:16" x14ac:dyDescent="0.25">
      <c r="B4026" s="24"/>
      <c r="E4026" s="24"/>
      <c r="G4026" s="24"/>
      <c r="H4026" s="24"/>
      <c r="J4026" s="24"/>
      <c r="K4026" s="24"/>
      <c r="M4026" s="24"/>
      <c r="N4026" s="24"/>
      <c r="P4026" s="24"/>
    </row>
    <row r="4027" spans="2:16" x14ac:dyDescent="0.25">
      <c r="B4027" s="24"/>
      <c r="E4027" s="24"/>
      <c r="G4027" s="24"/>
      <c r="H4027" s="24"/>
      <c r="J4027" s="24"/>
      <c r="K4027" s="24"/>
      <c r="M4027" s="24"/>
      <c r="N4027" s="24"/>
      <c r="P4027" s="24"/>
    </row>
    <row r="4028" spans="2:16" x14ac:dyDescent="0.25">
      <c r="B4028" s="24"/>
      <c r="E4028" s="24"/>
      <c r="G4028" s="24"/>
      <c r="H4028" s="24"/>
      <c r="J4028" s="24"/>
      <c r="K4028" s="24"/>
      <c r="M4028" s="24"/>
      <c r="N4028" s="24"/>
      <c r="P4028" s="24"/>
    </row>
    <row r="4029" spans="2:16" x14ac:dyDescent="0.25">
      <c r="B4029" s="24"/>
      <c r="E4029" s="24"/>
      <c r="G4029" s="24"/>
      <c r="H4029" s="24"/>
      <c r="J4029" s="24"/>
      <c r="K4029" s="24"/>
      <c r="M4029" s="24"/>
      <c r="N4029" s="24"/>
      <c r="P4029" s="24"/>
    </row>
    <row r="4030" spans="2:16" x14ac:dyDescent="0.25">
      <c r="B4030" s="24"/>
      <c r="E4030" s="24"/>
      <c r="G4030" s="24"/>
      <c r="H4030" s="24"/>
      <c r="J4030" s="24"/>
      <c r="K4030" s="24"/>
      <c r="M4030" s="24"/>
      <c r="N4030" s="24"/>
      <c r="P4030" s="24"/>
    </row>
    <row r="4031" spans="2:16" x14ac:dyDescent="0.25">
      <c r="B4031" s="24"/>
      <c r="E4031" s="24"/>
      <c r="G4031" s="24"/>
      <c r="H4031" s="24"/>
      <c r="J4031" s="24"/>
      <c r="K4031" s="24"/>
      <c r="M4031" s="24"/>
      <c r="N4031" s="24"/>
      <c r="P4031" s="24"/>
    </row>
    <row r="4032" spans="2:16" x14ac:dyDescent="0.25">
      <c r="B4032" s="24"/>
      <c r="E4032" s="24"/>
      <c r="G4032" s="24"/>
      <c r="H4032" s="24"/>
      <c r="J4032" s="24"/>
      <c r="K4032" s="24"/>
      <c r="M4032" s="24"/>
      <c r="N4032" s="24"/>
      <c r="P4032" s="24"/>
    </row>
    <row r="4033" spans="2:16" x14ac:dyDescent="0.25">
      <c r="B4033" s="24"/>
      <c r="E4033" s="24"/>
      <c r="G4033" s="24"/>
      <c r="H4033" s="24"/>
      <c r="J4033" s="24"/>
      <c r="K4033" s="24"/>
      <c r="M4033" s="24"/>
      <c r="N4033" s="24"/>
      <c r="P4033" s="24"/>
    </row>
    <row r="4034" spans="2:16" x14ac:dyDescent="0.25">
      <c r="B4034" s="24"/>
      <c r="E4034" s="24"/>
      <c r="G4034" s="24"/>
      <c r="H4034" s="24"/>
      <c r="J4034" s="24"/>
      <c r="K4034" s="24"/>
      <c r="M4034" s="24"/>
      <c r="N4034" s="24"/>
      <c r="P4034" s="24"/>
    </row>
    <row r="4035" spans="2:16" x14ac:dyDescent="0.25">
      <c r="B4035" s="24"/>
      <c r="E4035" s="24"/>
      <c r="G4035" s="24"/>
      <c r="H4035" s="24"/>
      <c r="J4035" s="24"/>
      <c r="K4035" s="24"/>
      <c r="M4035" s="24"/>
      <c r="N4035" s="24"/>
      <c r="P4035" s="24"/>
    </row>
    <row r="4036" spans="2:16" x14ac:dyDescent="0.25">
      <c r="B4036" s="24"/>
      <c r="E4036" s="24"/>
      <c r="G4036" s="24"/>
      <c r="H4036" s="24"/>
      <c r="J4036" s="24"/>
      <c r="K4036" s="24"/>
      <c r="M4036" s="24"/>
      <c r="N4036" s="24"/>
      <c r="P4036" s="24"/>
    </row>
    <row r="4037" spans="2:16" x14ac:dyDescent="0.25">
      <c r="B4037" s="24"/>
      <c r="E4037" s="24"/>
      <c r="G4037" s="24"/>
      <c r="H4037" s="24"/>
      <c r="J4037" s="24"/>
      <c r="K4037" s="24"/>
      <c r="M4037" s="24"/>
      <c r="N4037" s="24"/>
      <c r="P4037" s="24"/>
    </row>
    <row r="4038" spans="2:16" x14ac:dyDescent="0.25">
      <c r="B4038" s="24"/>
      <c r="E4038" s="24"/>
      <c r="G4038" s="24"/>
      <c r="H4038" s="24"/>
      <c r="J4038" s="24"/>
      <c r="K4038" s="24"/>
      <c r="M4038" s="24"/>
      <c r="N4038" s="24"/>
      <c r="P4038" s="24"/>
    </row>
    <row r="4039" spans="2:16" x14ac:dyDescent="0.25">
      <c r="B4039" s="24"/>
      <c r="E4039" s="24"/>
      <c r="G4039" s="24"/>
      <c r="H4039" s="24"/>
      <c r="J4039" s="24"/>
      <c r="K4039" s="24"/>
      <c r="M4039" s="24"/>
      <c r="N4039" s="24"/>
      <c r="P4039" s="24"/>
    </row>
    <row r="4040" spans="2:16" x14ac:dyDescent="0.25">
      <c r="B4040" s="24"/>
      <c r="E4040" s="24"/>
      <c r="G4040" s="24"/>
      <c r="H4040" s="24"/>
      <c r="J4040" s="24"/>
      <c r="K4040" s="24"/>
      <c r="M4040" s="24"/>
      <c r="N4040" s="24"/>
      <c r="P4040" s="24"/>
    </row>
    <row r="4041" spans="2:16" x14ac:dyDescent="0.25">
      <c r="B4041" s="24"/>
      <c r="E4041" s="24"/>
      <c r="G4041" s="24"/>
      <c r="H4041" s="24"/>
      <c r="J4041" s="24"/>
      <c r="K4041" s="24"/>
      <c r="M4041" s="24"/>
      <c r="N4041" s="24"/>
      <c r="P4041" s="24"/>
    </row>
    <row r="4042" spans="2:16" x14ac:dyDescent="0.25">
      <c r="B4042" s="24"/>
      <c r="E4042" s="24"/>
      <c r="G4042" s="24"/>
      <c r="H4042" s="24"/>
      <c r="J4042" s="24"/>
      <c r="K4042" s="24"/>
      <c r="M4042" s="24"/>
      <c r="N4042" s="24"/>
      <c r="P4042" s="24"/>
    </row>
    <row r="4043" spans="2:16" x14ac:dyDescent="0.25">
      <c r="B4043" s="24"/>
      <c r="E4043" s="24"/>
      <c r="G4043" s="24"/>
      <c r="H4043" s="24"/>
      <c r="J4043" s="24"/>
      <c r="K4043" s="24"/>
      <c r="M4043" s="24"/>
      <c r="N4043" s="24"/>
      <c r="P4043" s="24"/>
    </row>
    <row r="4044" spans="2:16" x14ac:dyDescent="0.25">
      <c r="B4044" s="24"/>
      <c r="E4044" s="24"/>
      <c r="G4044" s="24"/>
      <c r="H4044" s="24"/>
      <c r="J4044" s="24"/>
      <c r="K4044" s="24"/>
      <c r="M4044" s="24"/>
      <c r="N4044" s="24"/>
      <c r="P4044" s="24"/>
    </row>
    <row r="4045" spans="2:16" x14ac:dyDescent="0.25">
      <c r="B4045" s="24"/>
      <c r="E4045" s="24"/>
      <c r="G4045" s="24"/>
      <c r="H4045" s="24"/>
      <c r="J4045" s="24"/>
      <c r="K4045" s="24"/>
      <c r="M4045" s="24"/>
      <c r="N4045" s="24"/>
      <c r="P4045" s="24"/>
    </row>
    <row r="4046" spans="2:16" x14ac:dyDescent="0.25">
      <c r="B4046" s="24"/>
      <c r="E4046" s="24"/>
      <c r="G4046" s="24"/>
      <c r="H4046" s="24"/>
      <c r="J4046" s="24"/>
      <c r="K4046" s="24"/>
      <c r="M4046" s="24"/>
      <c r="N4046" s="24"/>
      <c r="P4046" s="24"/>
    </row>
    <row r="4047" spans="2:16" x14ac:dyDescent="0.25">
      <c r="B4047" s="24"/>
      <c r="E4047" s="24"/>
      <c r="G4047" s="24"/>
      <c r="H4047" s="24"/>
      <c r="J4047" s="24"/>
      <c r="K4047" s="24"/>
      <c r="M4047" s="24"/>
      <c r="N4047" s="24"/>
      <c r="P4047" s="24"/>
    </row>
    <row r="4048" spans="2:16" x14ac:dyDescent="0.25">
      <c r="B4048" s="24"/>
      <c r="E4048" s="24"/>
      <c r="G4048" s="24"/>
      <c r="H4048" s="24"/>
      <c r="J4048" s="24"/>
      <c r="K4048" s="24"/>
      <c r="M4048" s="24"/>
      <c r="N4048" s="24"/>
      <c r="P4048" s="24"/>
    </row>
    <row r="4049" spans="2:16" x14ac:dyDescent="0.25">
      <c r="B4049" s="24"/>
      <c r="E4049" s="24"/>
      <c r="G4049" s="24"/>
      <c r="H4049" s="24"/>
      <c r="J4049" s="24"/>
      <c r="K4049" s="24"/>
      <c r="M4049" s="24"/>
      <c r="N4049" s="24"/>
      <c r="P4049" s="24"/>
    </row>
    <row r="4050" spans="2:16" x14ac:dyDescent="0.25">
      <c r="B4050" s="24"/>
      <c r="E4050" s="24"/>
      <c r="G4050" s="24"/>
      <c r="H4050" s="24"/>
      <c r="J4050" s="24"/>
      <c r="K4050" s="24"/>
      <c r="M4050" s="24"/>
      <c r="N4050" s="24"/>
      <c r="P4050" s="24"/>
    </row>
    <row r="4051" spans="2:16" x14ac:dyDescent="0.25">
      <c r="B4051" s="24"/>
      <c r="E4051" s="24"/>
      <c r="G4051" s="24"/>
      <c r="H4051" s="24"/>
      <c r="J4051" s="24"/>
      <c r="K4051" s="24"/>
      <c r="M4051" s="24"/>
      <c r="N4051" s="24"/>
      <c r="P4051" s="24"/>
    </row>
    <row r="4052" spans="2:16" x14ac:dyDescent="0.25">
      <c r="B4052" s="24"/>
      <c r="E4052" s="24"/>
      <c r="G4052" s="24"/>
      <c r="H4052" s="24"/>
      <c r="J4052" s="24"/>
      <c r="K4052" s="24"/>
      <c r="M4052" s="24"/>
      <c r="N4052" s="24"/>
      <c r="P4052" s="24"/>
    </row>
    <row r="4053" spans="2:16" x14ac:dyDescent="0.25">
      <c r="B4053" s="24"/>
      <c r="E4053" s="24"/>
      <c r="G4053" s="24"/>
      <c r="H4053" s="24"/>
      <c r="J4053" s="24"/>
      <c r="K4053" s="24"/>
      <c r="M4053" s="24"/>
      <c r="N4053" s="24"/>
      <c r="P4053" s="24"/>
    </row>
    <row r="4054" spans="2:16" x14ac:dyDescent="0.25">
      <c r="B4054" s="24"/>
      <c r="E4054" s="24"/>
      <c r="G4054" s="24"/>
      <c r="H4054" s="24"/>
      <c r="J4054" s="24"/>
      <c r="K4054" s="24"/>
      <c r="M4054" s="24"/>
      <c r="N4054" s="24"/>
      <c r="P4054" s="24"/>
    </row>
    <row r="4055" spans="2:16" x14ac:dyDescent="0.25">
      <c r="B4055" s="24"/>
      <c r="E4055" s="24"/>
      <c r="G4055" s="24"/>
      <c r="H4055" s="24"/>
      <c r="J4055" s="24"/>
      <c r="K4055" s="24"/>
      <c r="M4055" s="24"/>
      <c r="N4055" s="24"/>
      <c r="P4055" s="24"/>
    </row>
    <row r="4056" spans="2:16" x14ac:dyDescent="0.25">
      <c r="B4056" s="24"/>
      <c r="E4056" s="24"/>
      <c r="G4056" s="24"/>
      <c r="H4056" s="24"/>
      <c r="J4056" s="24"/>
      <c r="K4056" s="24"/>
      <c r="M4056" s="24"/>
      <c r="N4056" s="24"/>
      <c r="P4056" s="24"/>
    </row>
    <row r="4057" spans="2:16" x14ac:dyDescent="0.25">
      <c r="B4057" s="24"/>
      <c r="E4057" s="24"/>
      <c r="G4057" s="24"/>
      <c r="H4057" s="24"/>
      <c r="J4057" s="24"/>
      <c r="K4057" s="24"/>
      <c r="M4057" s="24"/>
      <c r="N4057" s="24"/>
      <c r="P4057" s="24"/>
    </row>
    <row r="4058" spans="2:16" x14ac:dyDescent="0.25">
      <c r="B4058" s="24"/>
      <c r="E4058" s="24"/>
      <c r="G4058" s="24"/>
      <c r="H4058" s="24"/>
      <c r="J4058" s="24"/>
      <c r="K4058" s="24"/>
      <c r="M4058" s="24"/>
      <c r="N4058" s="24"/>
      <c r="P4058" s="24"/>
    </row>
    <row r="4059" spans="2:16" x14ac:dyDescent="0.25">
      <c r="B4059" s="24"/>
      <c r="E4059" s="24"/>
      <c r="G4059" s="24"/>
      <c r="H4059" s="24"/>
      <c r="J4059" s="24"/>
      <c r="K4059" s="24"/>
      <c r="M4059" s="24"/>
      <c r="N4059" s="24"/>
      <c r="P4059" s="24"/>
    </row>
    <row r="4060" spans="2:16" x14ac:dyDescent="0.25">
      <c r="B4060" s="24"/>
      <c r="E4060" s="24"/>
      <c r="G4060" s="24"/>
      <c r="H4060" s="24"/>
      <c r="J4060" s="24"/>
      <c r="K4060" s="24"/>
      <c r="M4060" s="24"/>
      <c r="N4060" s="24"/>
      <c r="P4060" s="24"/>
    </row>
    <row r="4061" spans="2:16" x14ac:dyDescent="0.25">
      <c r="B4061" s="24"/>
      <c r="E4061" s="24"/>
      <c r="G4061" s="24"/>
      <c r="H4061" s="24"/>
      <c r="J4061" s="24"/>
      <c r="K4061" s="24"/>
      <c r="M4061" s="24"/>
      <c r="N4061" s="24"/>
      <c r="P4061" s="24"/>
    </row>
    <row r="4062" spans="2:16" x14ac:dyDescent="0.25">
      <c r="B4062" s="24"/>
      <c r="E4062" s="24"/>
      <c r="G4062" s="24"/>
      <c r="H4062" s="24"/>
      <c r="J4062" s="24"/>
      <c r="K4062" s="24"/>
      <c r="M4062" s="24"/>
      <c r="N4062" s="24"/>
      <c r="P4062" s="24"/>
    </row>
    <row r="4063" spans="2:16" x14ac:dyDescent="0.25">
      <c r="B4063" s="24"/>
      <c r="E4063" s="24"/>
      <c r="G4063" s="24"/>
      <c r="H4063" s="24"/>
      <c r="J4063" s="24"/>
      <c r="K4063" s="24"/>
      <c r="M4063" s="24"/>
      <c r="N4063" s="24"/>
      <c r="P4063" s="24"/>
    </row>
    <row r="4064" spans="2:16" x14ac:dyDescent="0.25">
      <c r="B4064" s="24"/>
      <c r="E4064" s="24"/>
      <c r="G4064" s="24"/>
      <c r="H4064" s="24"/>
      <c r="J4064" s="24"/>
      <c r="K4064" s="24"/>
      <c r="M4064" s="24"/>
      <c r="N4064" s="24"/>
      <c r="P4064" s="24"/>
    </row>
    <row r="4065" spans="2:16" x14ac:dyDescent="0.25">
      <c r="B4065" s="24"/>
      <c r="E4065" s="24"/>
      <c r="G4065" s="24"/>
      <c r="H4065" s="24"/>
      <c r="J4065" s="24"/>
      <c r="K4065" s="24"/>
      <c r="M4065" s="24"/>
      <c r="N4065" s="24"/>
      <c r="P4065" s="24"/>
    </row>
    <row r="4066" spans="2:16" x14ac:dyDescent="0.25">
      <c r="B4066" s="24"/>
      <c r="E4066" s="24"/>
      <c r="G4066" s="24"/>
      <c r="H4066" s="24"/>
      <c r="J4066" s="24"/>
      <c r="K4066" s="24"/>
      <c r="M4066" s="24"/>
      <c r="N4066" s="24"/>
      <c r="P4066" s="24"/>
    </row>
    <row r="4067" spans="2:16" x14ac:dyDescent="0.25">
      <c r="B4067" s="24"/>
      <c r="E4067" s="24"/>
      <c r="G4067" s="24"/>
      <c r="H4067" s="24"/>
      <c r="J4067" s="24"/>
      <c r="K4067" s="24"/>
      <c r="M4067" s="24"/>
      <c r="N4067" s="24"/>
      <c r="P4067" s="24"/>
    </row>
    <row r="4068" spans="2:16" x14ac:dyDescent="0.25">
      <c r="B4068" s="24"/>
      <c r="E4068" s="24"/>
      <c r="G4068" s="24"/>
      <c r="H4068" s="24"/>
      <c r="J4068" s="24"/>
      <c r="K4068" s="24"/>
      <c r="M4068" s="24"/>
      <c r="N4068" s="24"/>
      <c r="P4068" s="24"/>
    </row>
    <row r="4069" spans="2:16" x14ac:dyDescent="0.25">
      <c r="B4069" s="24"/>
      <c r="E4069" s="24"/>
      <c r="G4069" s="24"/>
      <c r="H4069" s="24"/>
      <c r="J4069" s="24"/>
      <c r="K4069" s="24"/>
      <c r="M4069" s="24"/>
      <c r="N4069" s="24"/>
      <c r="P4069" s="24"/>
    </row>
    <row r="4070" spans="2:16" x14ac:dyDescent="0.25">
      <c r="B4070" s="24"/>
      <c r="E4070" s="24"/>
      <c r="G4070" s="24"/>
      <c r="H4070" s="24"/>
      <c r="J4070" s="24"/>
      <c r="K4070" s="24"/>
      <c r="M4070" s="24"/>
      <c r="N4070" s="24"/>
      <c r="P4070" s="24"/>
    </row>
    <row r="4071" spans="2:16" x14ac:dyDescent="0.25">
      <c r="B4071" s="24"/>
      <c r="E4071" s="24"/>
      <c r="G4071" s="24"/>
      <c r="H4071" s="24"/>
      <c r="J4071" s="24"/>
      <c r="K4071" s="24"/>
      <c r="M4071" s="24"/>
      <c r="N4071" s="24"/>
      <c r="P4071" s="24"/>
    </row>
    <row r="4072" spans="2:16" x14ac:dyDescent="0.25">
      <c r="B4072" s="24"/>
      <c r="E4072" s="24"/>
      <c r="G4072" s="24"/>
      <c r="H4072" s="24"/>
      <c r="J4072" s="24"/>
      <c r="K4072" s="24"/>
      <c r="M4072" s="24"/>
      <c r="N4072" s="24"/>
      <c r="P4072" s="24"/>
    </row>
    <row r="4073" spans="2:16" x14ac:dyDescent="0.25">
      <c r="B4073" s="24"/>
      <c r="E4073" s="24"/>
      <c r="G4073" s="24"/>
      <c r="H4073" s="24"/>
      <c r="J4073" s="24"/>
      <c r="K4073" s="24"/>
      <c r="M4073" s="24"/>
      <c r="N4073" s="24"/>
      <c r="P4073" s="24"/>
    </row>
    <row r="4074" spans="2:16" x14ac:dyDescent="0.25">
      <c r="B4074" s="24"/>
      <c r="E4074" s="24"/>
      <c r="G4074" s="24"/>
      <c r="H4074" s="24"/>
      <c r="J4074" s="24"/>
      <c r="K4074" s="24"/>
      <c r="M4074" s="24"/>
      <c r="N4074" s="24"/>
      <c r="P4074" s="24"/>
    </row>
    <row r="4075" spans="2:16" x14ac:dyDescent="0.25">
      <c r="B4075" s="24"/>
      <c r="E4075" s="24"/>
      <c r="G4075" s="24"/>
      <c r="H4075" s="24"/>
      <c r="J4075" s="24"/>
      <c r="K4075" s="24"/>
      <c r="M4075" s="24"/>
      <c r="N4075" s="24"/>
      <c r="P4075" s="24"/>
    </row>
    <row r="4076" spans="2:16" x14ac:dyDescent="0.25">
      <c r="B4076" s="24"/>
      <c r="E4076" s="24"/>
      <c r="G4076" s="24"/>
      <c r="H4076" s="24"/>
      <c r="J4076" s="24"/>
      <c r="K4076" s="24"/>
      <c r="M4076" s="24"/>
      <c r="N4076" s="24"/>
      <c r="P4076" s="24"/>
    </row>
    <row r="4077" spans="2:16" x14ac:dyDescent="0.25">
      <c r="B4077" s="24"/>
      <c r="E4077" s="24"/>
      <c r="G4077" s="24"/>
      <c r="H4077" s="24"/>
      <c r="J4077" s="24"/>
      <c r="K4077" s="24"/>
      <c r="M4077" s="24"/>
      <c r="N4077" s="24"/>
      <c r="P4077" s="24"/>
    </row>
    <row r="4078" spans="2:16" x14ac:dyDescent="0.25">
      <c r="B4078" s="24"/>
      <c r="E4078" s="24"/>
      <c r="G4078" s="24"/>
      <c r="H4078" s="24"/>
      <c r="J4078" s="24"/>
      <c r="K4078" s="24"/>
      <c r="M4078" s="24"/>
      <c r="N4078" s="24"/>
      <c r="P4078" s="24"/>
    </row>
    <row r="4079" spans="2:16" x14ac:dyDescent="0.25">
      <c r="B4079" s="24"/>
      <c r="E4079" s="24"/>
      <c r="G4079" s="24"/>
      <c r="H4079" s="24"/>
      <c r="J4079" s="24"/>
      <c r="K4079" s="24"/>
      <c r="M4079" s="24"/>
      <c r="N4079" s="24"/>
      <c r="P4079" s="24"/>
    </row>
    <row r="4080" spans="2:16" x14ac:dyDescent="0.25">
      <c r="B4080" s="24"/>
      <c r="E4080" s="24"/>
      <c r="G4080" s="24"/>
      <c r="H4080" s="24"/>
      <c r="J4080" s="24"/>
      <c r="K4080" s="24"/>
      <c r="M4080" s="24"/>
      <c r="N4080" s="24"/>
      <c r="P4080" s="24"/>
    </row>
    <row r="4081" spans="2:16" x14ac:dyDescent="0.25">
      <c r="B4081" s="24"/>
      <c r="E4081" s="24"/>
      <c r="G4081" s="24"/>
      <c r="H4081" s="24"/>
      <c r="J4081" s="24"/>
      <c r="K4081" s="24"/>
      <c r="M4081" s="24"/>
      <c r="N4081" s="24"/>
      <c r="P4081" s="24"/>
    </row>
    <row r="4082" spans="2:16" x14ac:dyDescent="0.25">
      <c r="B4082" s="24"/>
      <c r="E4082" s="24"/>
      <c r="G4082" s="24"/>
      <c r="H4082" s="24"/>
      <c r="J4082" s="24"/>
      <c r="K4082" s="24"/>
      <c r="M4082" s="24"/>
      <c r="N4082" s="24"/>
      <c r="P4082" s="24"/>
    </row>
    <row r="4083" spans="2:16" x14ac:dyDescent="0.25">
      <c r="B4083" s="24"/>
      <c r="E4083" s="24"/>
      <c r="G4083" s="24"/>
      <c r="H4083" s="24"/>
      <c r="J4083" s="24"/>
      <c r="K4083" s="24"/>
      <c r="M4083" s="24"/>
      <c r="N4083" s="24"/>
      <c r="P4083" s="24"/>
    </row>
    <row r="4084" spans="2:16" x14ac:dyDescent="0.25">
      <c r="B4084" s="24"/>
      <c r="E4084" s="24"/>
      <c r="G4084" s="24"/>
      <c r="H4084" s="24"/>
      <c r="J4084" s="24"/>
      <c r="K4084" s="24"/>
      <c r="M4084" s="24"/>
      <c r="N4084" s="24"/>
      <c r="P4084" s="24"/>
    </row>
    <row r="4085" spans="2:16" x14ac:dyDescent="0.25">
      <c r="B4085" s="24"/>
      <c r="E4085" s="24"/>
      <c r="G4085" s="24"/>
      <c r="H4085" s="24"/>
      <c r="J4085" s="24"/>
      <c r="K4085" s="24"/>
      <c r="M4085" s="24"/>
      <c r="N4085" s="24"/>
      <c r="P4085" s="24"/>
    </row>
    <row r="4086" spans="2:16" x14ac:dyDescent="0.25">
      <c r="B4086" s="24"/>
      <c r="E4086" s="24"/>
      <c r="G4086" s="24"/>
      <c r="H4086" s="24"/>
      <c r="J4086" s="24"/>
      <c r="K4086" s="24"/>
      <c r="M4086" s="24"/>
      <c r="N4086" s="24"/>
      <c r="P4086" s="24"/>
    </row>
    <row r="4087" spans="2:16" x14ac:dyDescent="0.25">
      <c r="B4087" s="24"/>
      <c r="E4087" s="24"/>
      <c r="G4087" s="24"/>
      <c r="H4087" s="24"/>
      <c r="J4087" s="24"/>
      <c r="K4087" s="24"/>
      <c r="M4087" s="24"/>
      <c r="N4087" s="24"/>
      <c r="P4087" s="24"/>
    </row>
    <row r="4088" spans="2:16" x14ac:dyDescent="0.25">
      <c r="B4088" s="24"/>
      <c r="E4088" s="24"/>
      <c r="G4088" s="24"/>
      <c r="H4088" s="24"/>
      <c r="J4088" s="24"/>
      <c r="K4088" s="24"/>
      <c r="M4088" s="24"/>
      <c r="N4088" s="24"/>
      <c r="P4088" s="24"/>
    </row>
    <row r="4089" spans="2:16" x14ac:dyDescent="0.25">
      <c r="B4089" s="24"/>
      <c r="E4089" s="24"/>
      <c r="G4089" s="24"/>
      <c r="H4089" s="24"/>
      <c r="J4089" s="24"/>
      <c r="K4089" s="24"/>
      <c r="M4089" s="24"/>
      <c r="N4089" s="24"/>
      <c r="P4089" s="24"/>
    </row>
    <row r="4090" spans="2:16" x14ac:dyDescent="0.25">
      <c r="B4090" s="24"/>
      <c r="E4090" s="24"/>
      <c r="G4090" s="24"/>
      <c r="H4090" s="24"/>
      <c r="J4090" s="24"/>
      <c r="K4090" s="24"/>
      <c r="M4090" s="24"/>
      <c r="N4090" s="24"/>
      <c r="P4090" s="24"/>
    </row>
    <row r="4091" spans="2:16" x14ac:dyDescent="0.25">
      <c r="B4091" s="24"/>
      <c r="E4091" s="24"/>
      <c r="G4091" s="24"/>
      <c r="H4091" s="24"/>
      <c r="J4091" s="24"/>
      <c r="K4091" s="24"/>
      <c r="M4091" s="24"/>
      <c r="N4091" s="24"/>
      <c r="P4091" s="24"/>
    </row>
    <row r="4092" spans="2:16" x14ac:dyDescent="0.25">
      <c r="B4092" s="24"/>
      <c r="E4092" s="24"/>
      <c r="G4092" s="24"/>
      <c r="H4092" s="24"/>
      <c r="J4092" s="24"/>
      <c r="K4092" s="24"/>
      <c r="M4092" s="24"/>
      <c r="N4092" s="24"/>
      <c r="P4092" s="24"/>
    </row>
    <row r="4093" spans="2:16" x14ac:dyDescent="0.25">
      <c r="B4093" s="24"/>
      <c r="E4093" s="24"/>
      <c r="G4093" s="24"/>
      <c r="H4093" s="24"/>
      <c r="J4093" s="24"/>
      <c r="K4093" s="24"/>
      <c r="M4093" s="24"/>
      <c r="N4093" s="24"/>
      <c r="P4093" s="24"/>
    </row>
    <row r="4094" spans="2:16" x14ac:dyDescent="0.25">
      <c r="B4094" s="24"/>
      <c r="E4094" s="24"/>
      <c r="G4094" s="24"/>
      <c r="H4094" s="24"/>
      <c r="J4094" s="24"/>
      <c r="K4094" s="24"/>
      <c r="M4094" s="24"/>
      <c r="N4094" s="24"/>
      <c r="P4094" s="24"/>
    </row>
    <row r="4095" spans="2:16" x14ac:dyDescent="0.25">
      <c r="B4095" s="24"/>
      <c r="E4095" s="24"/>
      <c r="G4095" s="24"/>
      <c r="H4095" s="24"/>
      <c r="J4095" s="24"/>
      <c r="K4095" s="24"/>
      <c r="M4095" s="24"/>
      <c r="N4095" s="24"/>
      <c r="P4095" s="24"/>
    </row>
    <row r="4096" spans="2:16" x14ac:dyDescent="0.25">
      <c r="B4096" s="24"/>
      <c r="E4096" s="24"/>
      <c r="G4096" s="24"/>
      <c r="H4096" s="24"/>
      <c r="J4096" s="24"/>
      <c r="K4096" s="24"/>
      <c r="M4096" s="24"/>
      <c r="N4096" s="24"/>
      <c r="P4096" s="24"/>
    </row>
    <row r="4097" spans="2:16" x14ac:dyDescent="0.25">
      <c r="B4097" s="24"/>
      <c r="E4097" s="24"/>
      <c r="G4097" s="24"/>
      <c r="H4097" s="24"/>
      <c r="J4097" s="24"/>
      <c r="K4097" s="24"/>
      <c r="M4097" s="24"/>
      <c r="N4097" s="24"/>
      <c r="P4097" s="24"/>
    </row>
    <row r="4098" spans="2:16" x14ac:dyDescent="0.25">
      <c r="B4098" s="24"/>
      <c r="E4098" s="24"/>
      <c r="G4098" s="24"/>
      <c r="H4098" s="24"/>
      <c r="J4098" s="24"/>
      <c r="K4098" s="24"/>
      <c r="M4098" s="24"/>
      <c r="N4098" s="24"/>
      <c r="P4098" s="24"/>
    </row>
    <row r="4099" spans="2:16" x14ac:dyDescent="0.25">
      <c r="B4099" s="24"/>
      <c r="E4099" s="24"/>
      <c r="G4099" s="24"/>
      <c r="H4099" s="24"/>
      <c r="J4099" s="24"/>
      <c r="K4099" s="24"/>
      <c r="M4099" s="24"/>
      <c r="N4099" s="24"/>
      <c r="P4099" s="24"/>
    </row>
    <row r="4100" spans="2:16" x14ac:dyDescent="0.25">
      <c r="B4100" s="24"/>
      <c r="E4100" s="24"/>
      <c r="G4100" s="24"/>
      <c r="H4100" s="24"/>
      <c r="J4100" s="24"/>
      <c r="K4100" s="24"/>
      <c r="M4100" s="24"/>
      <c r="N4100" s="24"/>
      <c r="P4100" s="24"/>
    </row>
    <row r="4101" spans="2:16" x14ac:dyDescent="0.25">
      <c r="B4101" s="24"/>
      <c r="E4101" s="24"/>
      <c r="G4101" s="24"/>
      <c r="H4101" s="24"/>
      <c r="J4101" s="24"/>
      <c r="K4101" s="24"/>
      <c r="M4101" s="24"/>
      <c r="N4101" s="24"/>
      <c r="P4101" s="24"/>
    </row>
    <row r="4102" spans="2:16" x14ac:dyDescent="0.25">
      <c r="B4102" s="24"/>
      <c r="E4102" s="24"/>
      <c r="G4102" s="24"/>
      <c r="H4102" s="24"/>
      <c r="J4102" s="24"/>
      <c r="K4102" s="24"/>
      <c r="M4102" s="24"/>
      <c r="N4102" s="24"/>
      <c r="P4102" s="24"/>
    </row>
    <row r="4103" spans="2:16" x14ac:dyDescent="0.25">
      <c r="B4103" s="24"/>
      <c r="E4103" s="24"/>
      <c r="G4103" s="24"/>
      <c r="H4103" s="24"/>
      <c r="J4103" s="24"/>
      <c r="K4103" s="24"/>
      <c r="M4103" s="24"/>
      <c r="N4103" s="24"/>
      <c r="P4103" s="24"/>
    </row>
    <row r="4104" spans="2:16" x14ac:dyDescent="0.25">
      <c r="B4104" s="24"/>
      <c r="E4104" s="24"/>
      <c r="G4104" s="24"/>
      <c r="H4104" s="24"/>
      <c r="J4104" s="24"/>
      <c r="K4104" s="24"/>
      <c r="M4104" s="24"/>
      <c r="N4104" s="24"/>
      <c r="P4104" s="24"/>
    </row>
    <row r="4105" spans="2:16" x14ac:dyDescent="0.25">
      <c r="B4105" s="24"/>
      <c r="E4105" s="24"/>
      <c r="G4105" s="24"/>
      <c r="H4105" s="24"/>
      <c r="J4105" s="24"/>
      <c r="K4105" s="24"/>
      <c r="M4105" s="24"/>
      <c r="N4105" s="24"/>
      <c r="P4105" s="24"/>
    </row>
    <row r="4106" spans="2:16" x14ac:dyDescent="0.25">
      <c r="B4106" s="24"/>
      <c r="E4106" s="24"/>
      <c r="G4106" s="24"/>
      <c r="H4106" s="24"/>
      <c r="J4106" s="24"/>
      <c r="K4106" s="24"/>
      <c r="M4106" s="24"/>
      <c r="N4106" s="24"/>
      <c r="P4106" s="24"/>
    </row>
    <row r="4107" spans="2:16" x14ac:dyDescent="0.25">
      <c r="B4107" s="24"/>
      <c r="E4107" s="24"/>
      <c r="G4107" s="24"/>
      <c r="H4107" s="24"/>
      <c r="J4107" s="24"/>
      <c r="K4107" s="24"/>
      <c r="M4107" s="24"/>
      <c r="N4107" s="24"/>
      <c r="P4107" s="24"/>
    </row>
    <row r="4108" spans="2:16" x14ac:dyDescent="0.25">
      <c r="B4108" s="24"/>
      <c r="E4108" s="24"/>
      <c r="G4108" s="24"/>
      <c r="H4108" s="24"/>
      <c r="J4108" s="24"/>
      <c r="K4108" s="24"/>
      <c r="M4108" s="24"/>
      <c r="N4108" s="24"/>
      <c r="P4108" s="24"/>
    </row>
    <row r="4109" spans="2:16" x14ac:dyDescent="0.25">
      <c r="B4109" s="24"/>
      <c r="E4109" s="24"/>
      <c r="G4109" s="24"/>
      <c r="H4109" s="24"/>
      <c r="J4109" s="24"/>
      <c r="K4109" s="24"/>
      <c r="M4109" s="24"/>
      <c r="N4109" s="24"/>
      <c r="P4109" s="24"/>
    </row>
    <row r="4110" spans="2:16" x14ac:dyDescent="0.25">
      <c r="B4110" s="24"/>
      <c r="E4110" s="24"/>
      <c r="G4110" s="24"/>
      <c r="H4110" s="24"/>
      <c r="J4110" s="24"/>
      <c r="K4110" s="24"/>
      <c r="M4110" s="24"/>
      <c r="N4110" s="24"/>
      <c r="P4110" s="24"/>
    </row>
    <row r="4111" spans="2:16" x14ac:dyDescent="0.25">
      <c r="B4111" s="24"/>
      <c r="E4111" s="24"/>
      <c r="G4111" s="24"/>
      <c r="H4111" s="24"/>
      <c r="J4111" s="24"/>
      <c r="K4111" s="24"/>
      <c r="M4111" s="24"/>
      <c r="N4111" s="24"/>
      <c r="P4111" s="24"/>
    </row>
    <row r="4112" spans="2:16" x14ac:dyDescent="0.25">
      <c r="B4112" s="24"/>
      <c r="E4112" s="24"/>
      <c r="G4112" s="24"/>
      <c r="H4112" s="24"/>
      <c r="J4112" s="24"/>
      <c r="K4112" s="24"/>
      <c r="M4112" s="24"/>
      <c r="N4112" s="24"/>
      <c r="P4112" s="24"/>
    </row>
    <row r="4113" spans="2:16" x14ac:dyDescent="0.25">
      <c r="B4113" s="24"/>
      <c r="E4113" s="24"/>
      <c r="G4113" s="24"/>
      <c r="H4113" s="24"/>
      <c r="J4113" s="24"/>
      <c r="K4113" s="24"/>
      <c r="M4113" s="24"/>
      <c r="N4113" s="24"/>
      <c r="P4113" s="24"/>
    </row>
    <row r="4114" spans="2:16" x14ac:dyDescent="0.25">
      <c r="B4114" s="24"/>
      <c r="E4114" s="24"/>
      <c r="G4114" s="24"/>
      <c r="H4114" s="24"/>
      <c r="J4114" s="24"/>
      <c r="K4114" s="24"/>
      <c r="M4114" s="24"/>
      <c r="N4114" s="24"/>
      <c r="P4114" s="24"/>
    </row>
    <row r="4115" spans="2:16" x14ac:dyDescent="0.25">
      <c r="B4115" s="24"/>
      <c r="E4115" s="24"/>
      <c r="G4115" s="24"/>
      <c r="H4115" s="24"/>
      <c r="J4115" s="24"/>
      <c r="K4115" s="24"/>
      <c r="M4115" s="24"/>
      <c r="N4115" s="24"/>
      <c r="P4115" s="24"/>
    </row>
    <row r="4116" spans="2:16" x14ac:dyDescent="0.25">
      <c r="B4116" s="24"/>
      <c r="E4116" s="24"/>
      <c r="G4116" s="24"/>
      <c r="H4116" s="24"/>
      <c r="J4116" s="24"/>
      <c r="K4116" s="24"/>
      <c r="M4116" s="24"/>
      <c r="N4116" s="24"/>
      <c r="P4116" s="24"/>
    </row>
    <row r="4117" spans="2:16" x14ac:dyDescent="0.25">
      <c r="B4117" s="24"/>
      <c r="E4117" s="24"/>
      <c r="G4117" s="24"/>
      <c r="H4117" s="24"/>
      <c r="J4117" s="24"/>
      <c r="K4117" s="24"/>
      <c r="M4117" s="24"/>
      <c r="N4117" s="24"/>
      <c r="P4117" s="24"/>
    </row>
    <row r="4118" spans="2:16" x14ac:dyDescent="0.25">
      <c r="B4118" s="24"/>
      <c r="E4118" s="24"/>
      <c r="G4118" s="24"/>
      <c r="H4118" s="24"/>
      <c r="J4118" s="24"/>
      <c r="K4118" s="24"/>
      <c r="M4118" s="24"/>
      <c r="N4118" s="24"/>
      <c r="P4118" s="24"/>
    </row>
    <row r="4119" spans="2:16" x14ac:dyDescent="0.25">
      <c r="B4119" s="24"/>
      <c r="E4119" s="24"/>
      <c r="G4119" s="24"/>
      <c r="H4119" s="24"/>
      <c r="J4119" s="24"/>
      <c r="K4119" s="24"/>
      <c r="M4119" s="24"/>
      <c r="N4119" s="24"/>
      <c r="P4119" s="24"/>
    </row>
    <row r="4120" spans="2:16" x14ac:dyDescent="0.25">
      <c r="B4120" s="24"/>
      <c r="E4120" s="24"/>
      <c r="G4120" s="24"/>
      <c r="H4120" s="24"/>
      <c r="J4120" s="24"/>
      <c r="K4120" s="24"/>
      <c r="M4120" s="24"/>
      <c r="N4120" s="24"/>
      <c r="P4120" s="24"/>
    </row>
    <row r="4121" spans="2:16" x14ac:dyDescent="0.25">
      <c r="B4121" s="24"/>
      <c r="E4121" s="24"/>
      <c r="G4121" s="24"/>
      <c r="H4121" s="24"/>
      <c r="J4121" s="24"/>
      <c r="K4121" s="24"/>
      <c r="M4121" s="24"/>
      <c r="N4121" s="24"/>
      <c r="P4121" s="24"/>
    </row>
    <row r="4122" spans="2:16" x14ac:dyDescent="0.25">
      <c r="B4122" s="24"/>
      <c r="E4122" s="24"/>
      <c r="G4122" s="24"/>
      <c r="H4122" s="24"/>
      <c r="J4122" s="24"/>
      <c r="K4122" s="24"/>
      <c r="M4122" s="24"/>
      <c r="N4122" s="24"/>
      <c r="P4122" s="24"/>
    </row>
    <row r="4123" spans="2:16" x14ac:dyDescent="0.25">
      <c r="B4123" s="24"/>
      <c r="E4123" s="24"/>
      <c r="G4123" s="24"/>
      <c r="H4123" s="24"/>
      <c r="J4123" s="24"/>
      <c r="K4123" s="24"/>
      <c r="M4123" s="24"/>
      <c r="N4123" s="24"/>
      <c r="P4123" s="24"/>
    </row>
    <row r="4124" spans="2:16" x14ac:dyDescent="0.25">
      <c r="B4124" s="24"/>
      <c r="E4124" s="24"/>
      <c r="G4124" s="24"/>
      <c r="H4124" s="24"/>
      <c r="J4124" s="24"/>
      <c r="K4124" s="24"/>
      <c r="M4124" s="24"/>
      <c r="N4124" s="24"/>
      <c r="P4124" s="24"/>
    </row>
    <row r="4125" spans="2:16" x14ac:dyDescent="0.25">
      <c r="B4125" s="24"/>
      <c r="E4125" s="24"/>
      <c r="G4125" s="24"/>
      <c r="H4125" s="24"/>
      <c r="J4125" s="24"/>
      <c r="K4125" s="24"/>
      <c r="M4125" s="24"/>
      <c r="N4125" s="24"/>
      <c r="P4125" s="24"/>
    </row>
    <row r="4126" spans="2:16" x14ac:dyDescent="0.25">
      <c r="B4126" s="24"/>
      <c r="E4126" s="24"/>
      <c r="G4126" s="24"/>
      <c r="H4126" s="24"/>
      <c r="J4126" s="24"/>
      <c r="K4126" s="24"/>
      <c r="M4126" s="24"/>
      <c r="N4126" s="24"/>
      <c r="P4126" s="24"/>
    </row>
    <row r="4127" spans="2:16" x14ac:dyDescent="0.25">
      <c r="B4127" s="24"/>
      <c r="E4127" s="24"/>
      <c r="G4127" s="24"/>
      <c r="H4127" s="24"/>
      <c r="J4127" s="24"/>
      <c r="K4127" s="24"/>
      <c r="M4127" s="24"/>
      <c r="N4127" s="24"/>
      <c r="P4127" s="24"/>
    </row>
    <row r="4128" spans="2:16" x14ac:dyDescent="0.25">
      <c r="B4128" s="24"/>
      <c r="E4128" s="24"/>
      <c r="G4128" s="24"/>
      <c r="H4128" s="24"/>
      <c r="J4128" s="24"/>
      <c r="K4128" s="24"/>
      <c r="M4128" s="24"/>
      <c r="N4128" s="24"/>
      <c r="P4128" s="24"/>
    </row>
    <row r="4129" spans="2:16" x14ac:dyDescent="0.25">
      <c r="B4129" s="24"/>
      <c r="E4129" s="24"/>
      <c r="G4129" s="24"/>
      <c r="H4129" s="24"/>
      <c r="J4129" s="24"/>
      <c r="K4129" s="24"/>
      <c r="M4129" s="24"/>
      <c r="N4129" s="24"/>
      <c r="P4129" s="24"/>
    </row>
    <row r="4130" spans="2:16" x14ac:dyDescent="0.25">
      <c r="B4130" s="24"/>
      <c r="E4130" s="24"/>
      <c r="G4130" s="24"/>
      <c r="H4130" s="24"/>
      <c r="J4130" s="24"/>
      <c r="K4130" s="24"/>
      <c r="M4130" s="24"/>
      <c r="N4130" s="24"/>
      <c r="P4130" s="24"/>
    </row>
    <row r="4131" spans="2:16" x14ac:dyDescent="0.25">
      <c r="B4131" s="24"/>
      <c r="E4131" s="24"/>
      <c r="G4131" s="24"/>
      <c r="H4131" s="24"/>
      <c r="J4131" s="24"/>
      <c r="K4131" s="24"/>
      <c r="M4131" s="24"/>
      <c r="N4131" s="24"/>
      <c r="P4131" s="24"/>
    </row>
    <row r="4132" spans="2:16" x14ac:dyDescent="0.25">
      <c r="B4132" s="24"/>
      <c r="E4132" s="24"/>
      <c r="G4132" s="24"/>
      <c r="H4132" s="24"/>
      <c r="J4132" s="24"/>
      <c r="K4132" s="24"/>
      <c r="M4132" s="24"/>
      <c r="N4132" s="24"/>
      <c r="P4132" s="24"/>
    </row>
    <row r="4133" spans="2:16" x14ac:dyDescent="0.25">
      <c r="B4133" s="24"/>
      <c r="E4133" s="24"/>
      <c r="G4133" s="24"/>
      <c r="H4133" s="24"/>
      <c r="J4133" s="24"/>
      <c r="K4133" s="24"/>
      <c r="M4133" s="24"/>
      <c r="N4133" s="24"/>
      <c r="P4133" s="24"/>
    </row>
    <row r="4134" spans="2:16" x14ac:dyDescent="0.25">
      <c r="B4134" s="24"/>
      <c r="E4134" s="24"/>
      <c r="G4134" s="24"/>
      <c r="H4134" s="24"/>
      <c r="J4134" s="24"/>
      <c r="K4134" s="24"/>
      <c r="M4134" s="24"/>
      <c r="N4134" s="24"/>
      <c r="P4134" s="24"/>
    </row>
    <row r="4135" spans="2:16" x14ac:dyDescent="0.25">
      <c r="B4135" s="24"/>
      <c r="E4135" s="24"/>
      <c r="G4135" s="24"/>
      <c r="H4135" s="24"/>
      <c r="J4135" s="24"/>
      <c r="K4135" s="24"/>
      <c r="M4135" s="24"/>
      <c r="N4135" s="24"/>
      <c r="P4135" s="24"/>
    </row>
    <row r="4136" spans="2:16" x14ac:dyDescent="0.25">
      <c r="B4136" s="24"/>
      <c r="E4136" s="24"/>
      <c r="G4136" s="24"/>
      <c r="H4136" s="24"/>
      <c r="J4136" s="24"/>
      <c r="K4136" s="24"/>
      <c r="M4136" s="24"/>
      <c r="N4136" s="24"/>
      <c r="P4136" s="24"/>
    </row>
    <row r="4137" spans="2:16" x14ac:dyDescent="0.25">
      <c r="B4137" s="24"/>
      <c r="E4137" s="24"/>
      <c r="G4137" s="24"/>
      <c r="H4137" s="24"/>
      <c r="J4137" s="24"/>
      <c r="K4137" s="24"/>
      <c r="M4137" s="24"/>
      <c r="N4137" s="24"/>
      <c r="P4137" s="24"/>
    </row>
    <row r="4138" spans="2:16" x14ac:dyDescent="0.25">
      <c r="B4138" s="24"/>
      <c r="E4138" s="24"/>
      <c r="G4138" s="24"/>
      <c r="H4138" s="24"/>
      <c r="J4138" s="24"/>
      <c r="K4138" s="24"/>
      <c r="M4138" s="24"/>
      <c r="N4138" s="24"/>
      <c r="P4138" s="24"/>
    </row>
    <row r="4139" spans="2:16" x14ac:dyDescent="0.25">
      <c r="B4139" s="24"/>
      <c r="E4139" s="24"/>
      <c r="G4139" s="24"/>
      <c r="H4139" s="24"/>
      <c r="J4139" s="24"/>
      <c r="K4139" s="24"/>
      <c r="M4139" s="24"/>
      <c r="N4139" s="24"/>
      <c r="P4139" s="24"/>
    </row>
    <row r="4140" spans="2:16" x14ac:dyDescent="0.25">
      <c r="B4140" s="24"/>
      <c r="E4140" s="24"/>
      <c r="G4140" s="24"/>
      <c r="H4140" s="24"/>
      <c r="J4140" s="24"/>
      <c r="K4140" s="24"/>
      <c r="M4140" s="24"/>
      <c r="N4140" s="24"/>
      <c r="P4140" s="24"/>
    </row>
    <row r="4141" spans="2:16" x14ac:dyDescent="0.25">
      <c r="B4141" s="24"/>
      <c r="E4141" s="24"/>
      <c r="G4141" s="24"/>
      <c r="H4141" s="24"/>
      <c r="J4141" s="24"/>
      <c r="K4141" s="24"/>
      <c r="M4141" s="24"/>
      <c r="N4141" s="24"/>
      <c r="P4141" s="24"/>
    </row>
    <row r="4142" spans="2:16" x14ac:dyDescent="0.25">
      <c r="B4142" s="24"/>
      <c r="E4142" s="24"/>
      <c r="G4142" s="24"/>
      <c r="H4142" s="24"/>
      <c r="J4142" s="24"/>
      <c r="K4142" s="24"/>
      <c r="M4142" s="24"/>
      <c r="N4142" s="24"/>
      <c r="P4142" s="24"/>
    </row>
    <row r="4143" spans="2:16" x14ac:dyDescent="0.25">
      <c r="B4143" s="24"/>
      <c r="E4143" s="24"/>
      <c r="G4143" s="24"/>
      <c r="H4143" s="24"/>
      <c r="J4143" s="24"/>
      <c r="K4143" s="24"/>
      <c r="M4143" s="24"/>
      <c r="N4143" s="24"/>
      <c r="P4143" s="24"/>
    </row>
    <row r="4144" spans="2:16" x14ac:dyDescent="0.25">
      <c r="B4144" s="24"/>
      <c r="E4144" s="24"/>
      <c r="G4144" s="24"/>
      <c r="H4144" s="24"/>
      <c r="J4144" s="24"/>
      <c r="K4144" s="24"/>
      <c r="M4144" s="24"/>
      <c r="N4144" s="24"/>
      <c r="P4144" s="24"/>
    </row>
    <row r="4145" spans="2:16" x14ac:dyDescent="0.25">
      <c r="B4145" s="24"/>
      <c r="E4145" s="24"/>
      <c r="G4145" s="24"/>
      <c r="H4145" s="24"/>
      <c r="J4145" s="24"/>
      <c r="K4145" s="24"/>
      <c r="M4145" s="24"/>
      <c r="N4145" s="24"/>
      <c r="P4145" s="24"/>
    </row>
    <row r="4146" spans="2:16" x14ac:dyDescent="0.25">
      <c r="B4146" s="24"/>
      <c r="E4146" s="24"/>
      <c r="G4146" s="24"/>
      <c r="H4146" s="24"/>
      <c r="J4146" s="24"/>
      <c r="K4146" s="24"/>
      <c r="M4146" s="24"/>
      <c r="N4146" s="24"/>
      <c r="P4146" s="24"/>
    </row>
    <row r="4147" spans="2:16" x14ac:dyDescent="0.25">
      <c r="B4147" s="24"/>
      <c r="E4147" s="24"/>
      <c r="G4147" s="24"/>
      <c r="H4147" s="24"/>
      <c r="J4147" s="24"/>
      <c r="K4147" s="24"/>
      <c r="M4147" s="24"/>
      <c r="N4147" s="24"/>
      <c r="P4147" s="24"/>
    </row>
    <row r="4148" spans="2:16" x14ac:dyDescent="0.25">
      <c r="B4148" s="24"/>
      <c r="E4148" s="24"/>
      <c r="G4148" s="24"/>
      <c r="H4148" s="24"/>
      <c r="J4148" s="24"/>
      <c r="K4148" s="24"/>
      <c r="M4148" s="24"/>
      <c r="N4148" s="24"/>
      <c r="P4148" s="24"/>
    </row>
    <row r="4149" spans="2:16" x14ac:dyDescent="0.25">
      <c r="B4149" s="24"/>
      <c r="E4149" s="24"/>
      <c r="G4149" s="24"/>
      <c r="H4149" s="24"/>
      <c r="J4149" s="24"/>
      <c r="K4149" s="24"/>
      <c r="M4149" s="24"/>
      <c r="N4149" s="24"/>
      <c r="P4149" s="24"/>
    </row>
    <row r="4150" spans="2:16" x14ac:dyDescent="0.25">
      <c r="B4150" s="24"/>
      <c r="E4150" s="24"/>
      <c r="G4150" s="24"/>
      <c r="H4150" s="24"/>
      <c r="J4150" s="24"/>
      <c r="K4150" s="24"/>
      <c r="M4150" s="24"/>
      <c r="N4150" s="24"/>
      <c r="P4150" s="24"/>
    </row>
    <row r="4151" spans="2:16" x14ac:dyDescent="0.25">
      <c r="B4151" s="24"/>
      <c r="E4151" s="24"/>
      <c r="G4151" s="24"/>
      <c r="H4151" s="24"/>
      <c r="J4151" s="24"/>
      <c r="K4151" s="24"/>
      <c r="M4151" s="24"/>
      <c r="N4151" s="24"/>
      <c r="P4151" s="24"/>
    </row>
    <row r="4152" spans="2:16" x14ac:dyDescent="0.25">
      <c r="B4152" s="24"/>
      <c r="E4152" s="24"/>
      <c r="G4152" s="24"/>
      <c r="H4152" s="24"/>
      <c r="J4152" s="24"/>
      <c r="K4152" s="24"/>
      <c r="M4152" s="24"/>
      <c r="N4152" s="24"/>
      <c r="P4152" s="24"/>
    </row>
    <row r="4153" spans="2:16" x14ac:dyDescent="0.25">
      <c r="B4153" s="24"/>
      <c r="E4153" s="24"/>
      <c r="G4153" s="24"/>
      <c r="H4153" s="24"/>
      <c r="J4153" s="24"/>
      <c r="K4153" s="24"/>
      <c r="M4153" s="24"/>
      <c r="N4153" s="24"/>
      <c r="P4153" s="24"/>
    </row>
    <row r="4154" spans="2:16" x14ac:dyDescent="0.25">
      <c r="B4154" s="24"/>
      <c r="E4154" s="24"/>
      <c r="G4154" s="24"/>
      <c r="H4154" s="24"/>
      <c r="J4154" s="24"/>
      <c r="K4154" s="24"/>
      <c r="M4154" s="24"/>
      <c r="N4154" s="24"/>
      <c r="P4154" s="24"/>
    </row>
    <row r="4155" spans="2:16" x14ac:dyDescent="0.25">
      <c r="B4155" s="24"/>
      <c r="E4155" s="24"/>
      <c r="G4155" s="24"/>
      <c r="H4155" s="24"/>
      <c r="J4155" s="24"/>
      <c r="K4155" s="24"/>
      <c r="M4155" s="24"/>
      <c r="N4155" s="24"/>
      <c r="P4155" s="24"/>
    </row>
    <row r="4156" spans="2:16" x14ac:dyDescent="0.25">
      <c r="B4156" s="24"/>
      <c r="E4156" s="24"/>
      <c r="G4156" s="24"/>
      <c r="H4156" s="24"/>
      <c r="J4156" s="24"/>
      <c r="K4156" s="24"/>
      <c r="M4156" s="24"/>
      <c r="N4156" s="24"/>
      <c r="P4156" s="24"/>
    </row>
    <row r="4157" spans="2:16" x14ac:dyDescent="0.25">
      <c r="B4157" s="24"/>
      <c r="E4157" s="24"/>
      <c r="G4157" s="24"/>
      <c r="H4157" s="24"/>
      <c r="J4157" s="24"/>
      <c r="K4157" s="24"/>
      <c r="M4157" s="24"/>
      <c r="N4157" s="24"/>
      <c r="P4157" s="24"/>
    </row>
    <row r="4158" spans="2:16" x14ac:dyDescent="0.25">
      <c r="B4158" s="24"/>
      <c r="E4158" s="24"/>
      <c r="G4158" s="24"/>
      <c r="H4158" s="24"/>
      <c r="J4158" s="24"/>
      <c r="K4158" s="24"/>
      <c r="M4158" s="24"/>
      <c r="N4158" s="24"/>
      <c r="P4158" s="24"/>
    </row>
    <row r="4159" spans="2:16" x14ac:dyDescent="0.25">
      <c r="B4159" s="24"/>
      <c r="E4159" s="24"/>
      <c r="G4159" s="24"/>
      <c r="H4159" s="24"/>
      <c r="J4159" s="24"/>
      <c r="K4159" s="24"/>
      <c r="M4159" s="24"/>
      <c r="N4159" s="24"/>
      <c r="P4159" s="24"/>
    </row>
    <row r="4160" spans="2:16" x14ac:dyDescent="0.25">
      <c r="B4160" s="24"/>
      <c r="E4160" s="24"/>
      <c r="G4160" s="24"/>
      <c r="H4160" s="24"/>
      <c r="J4160" s="24"/>
      <c r="K4160" s="24"/>
      <c r="M4160" s="24"/>
      <c r="N4160" s="24"/>
      <c r="P4160" s="24"/>
    </row>
    <row r="4161" spans="2:16" x14ac:dyDescent="0.25">
      <c r="B4161" s="24"/>
      <c r="E4161" s="24"/>
      <c r="G4161" s="24"/>
      <c r="H4161" s="24"/>
      <c r="J4161" s="24"/>
      <c r="K4161" s="24"/>
      <c r="M4161" s="24"/>
      <c r="N4161" s="24"/>
      <c r="P4161" s="24"/>
    </row>
    <row r="4162" spans="2:16" x14ac:dyDescent="0.25">
      <c r="B4162" s="24"/>
      <c r="E4162" s="24"/>
      <c r="G4162" s="24"/>
      <c r="H4162" s="24"/>
      <c r="J4162" s="24"/>
      <c r="K4162" s="24"/>
      <c r="M4162" s="24"/>
      <c r="N4162" s="24"/>
      <c r="P4162" s="24"/>
    </row>
    <row r="4163" spans="2:16" x14ac:dyDescent="0.25">
      <c r="B4163" s="24"/>
      <c r="E4163" s="24"/>
      <c r="G4163" s="24"/>
      <c r="H4163" s="24"/>
      <c r="J4163" s="24"/>
      <c r="K4163" s="24"/>
      <c r="M4163" s="24"/>
      <c r="N4163" s="24"/>
      <c r="P4163" s="24"/>
    </row>
    <row r="4164" spans="2:16" x14ac:dyDescent="0.25">
      <c r="B4164" s="24"/>
      <c r="E4164" s="24"/>
      <c r="G4164" s="24"/>
      <c r="H4164" s="24"/>
      <c r="J4164" s="24"/>
      <c r="K4164" s="24"/>
      <c r="M4164" s="24"/>
      <c r="N4164" s="24"/>
      <c r="P4164" s="24"/>
    </row>
    <row r="4165" spans="2:16" x14ac:dyDescent="0.25">
      <c r="B4165" s="24"/>
      <c r="E4165" s="24"/>
      <c r="G4165" s="24"/>
      <c r="H4165" s="24"/>
      <c r="J4165" s="24"/>
      <c r="K4165" s="24"/>
      <c r="M4165" s="24"/>
      <c r="N4165" s="24"/>
      <c r="P4165" s="24"/>
    </row>
    <row r="4166" spans="2:16" x14ac:dyDescent="0.25">
      <c r="B4166" s="24"/>
      <c r="E4166" s="24"/>
      <c r="G4166" s="24"/>
      <c r="H4166" s="24"/>
      <c r="J4166" s="24"/>
      <c r="K4166" s="24"/>
      <c r="M4166" s="24"/>
      <c r="N4166" s="24"/>
      <c r="P4166" s="24"/>
    </row>
    <row r="4167" spans="2:16" x14ac:dyDescent="0.25">
      <c r="B4167" s="24"/>
      <c r="E4167" s="24"/>
      <c r="G4167" s="24"/>
      <c r="H4167" s="24"/>
      <c r="J4167" s="24"/>
      <c r="K4167" s="24"/>
      <c r="M4167" s="24"/>
      <c r="N4167" s="24"/>
      <c r="P4167" s="24"/>
    </row>
    <row r="4168" spans="2:16" x14ac:dyDescent="0.25">
      <c r="B4168" s="24"/>
      <c r="E4168" s="24"/>
      <c r="G4168" s="24"/>
      <c r="H4168" s="24"/>
      <c r="J4168" s="24"/>
      <c r="K4168" s="24"/>
      <c r="M4168" s="24"/>
      <c r="N4168" s="24"/>
      <c r="P4168" s="24"/>
    </row>
    <row r="4169" spans="2:16" x14ac:dyDescent="0.25">
      <c r="B4169" s="24"/>
      <c r="E4169" s="24"/>
      <c r="G4169" s="24"/>
      <c r="H4169" s="24"/>
      <c r="J4169" s="24"/>
      <c r="K4169" s="24"/>
      <c r="M4169" s="24"/>
      <c r="N4169" s="24"/>
      <c r="P4169" s="24"/>
    </row>
    <row r="4170" spans="2:16" x14ac:dyDescent="0.25">
      <c r="B4170" s="24"/>
      <c r="E4170" s="24"/>
      <c r="G4170" s="24"/>
      <c r="H4170" s="24"/>
      <c r="J4170" s="24"/>
      <c r="K4170" s="24"/>
      <c r="M4170" s="24"/>
      <c r="N4170" s="24"/>
      <c r="P4170" s="24"/>
    </row>
    <row r="4171" spans="2:16" x14ac:dyDescent="0.25">
      <c r="B4171" s="24"/>
      <c r="E4171" s="24"/>
      <c r="G4171" s="24"/>
      <c r="H4171" s="24"/>
      <c r="J4171" s="24"/>
      <c r="K4171" s="24"/>
      <c r="M4171" s="24"/>
      <c r="N4171" s="24"/>
      <c r="P4171" s="24"/>
    </row>
    <row r="4172" spans="2:16" x14ac:dyDescent="0.25">
      <c r="B4172" s="24"/>
      <c r="E4172" s="24"/>
      <c r="G4172" s="24"/>
      <c r="H4172" s="24"/>
      <c r="J4172" s="24"/>
      <c r="K4172" s="24"/>
      <c r="M4172" s="24"/>
      <c r="N4172" s="24"/>
      <c r="P4172" s="24"/>
    </row>
    <row r="4173" spans="2:16" x14ac:dyDescent="0.25">
      <c r="B4173" s="24"/>
      <c r="E4173" s="24"/>
      <c r="G4173" s="24"/>
      <c r="H4173" s="24"/>
      <c r="J4173" s="24"/>
      <c r="K4173" s="24"/>
      <c r="M4173" s="24"/>
      <c r="N4173" s="24"/>
      <c r="P4173" s="24"/>
    </row>
    <row r="4174" spans="2:16" x14ac:dyDescent="0.25">
      <c r="B4174" s="24"/>
      <c r="E4174" s="24"/>
      <c r="G4174" s="24"/>
      <c r="H4174" s="24"/>
      <c r="J4174" s="24"/>
      <c r="K4174" s="24"/>
      <c r="M4174" s="24"/>
      <c r="N4174" s="24"/>
      <c r="P4174" s="24"/>
    </row>
    <row r="4175" spans="2:16" x14ac:dyDescent="0.25">
      <c r="B4175" s="24"/>
      <c r="E4175" s="24"/>
      <c r="G4175" s="24"/>
      <c r="H4175" s="24"/>
      <c r="J4175" s="24"/>
      <c r="K4175" s="24"/>
      <c r="M4175" s="24"/>
      <c r="N4175" s="24"/>
      <c r="P4175" s="24"/>
    </row>
    <row r="4176" spans="2:16" x14ac:dyDescent="0.25">
      <c r="B4176" s="24"/>
      <c r="E4176" s="24"/>
      <c r="G4176" s="24"/>
      <c r="H4176" s="24"/>
      <c r="J4176" s="24"/>
      <c r="K4176" s="24"/>
      <c r="M4176" s="24"/>
      <c r="N4176" s="24"/>
      <c r="P4176" s="24"/>
    </row>
    <row r="4177" spans="2:16" x14ac:dyDescent="0.25">
      <c r="B4177" s="24"/>
      <c r="E4177" s="24"/>
      <c r="G4177" s="24"/>
      <c r="H4177" s="24"/>
      <c r="J4177" s="24"/>
      <c r="K4177" s="24"/>
      <c r="M4177" s="24"/>
      <c r="N4177" s="24"/>
      <c r="P4177" s="24"/>
    </row>
    <row r="4178" spans="2:16" x14ac:dyDescent="0.25">
      <c r="B4178" s="24"/>
      <c r="E4178" s="24"/>
      <c r="G4178" s="24"/>
      <c r="H4178" s="24"/>
      <c r="J4178" s="24"/>
      <c r="K4178" s="24"/>
      <c r="M4178" s="24"/>
      <c r="N4178" s="24"/>
      <c r="P4178" s="24"/>
    </row>
    <row r="4179" spans="2:16" x14ac:dyDescent="0.25">
      <c r="B4179" s="24"/>
      <c r="E4179" s="24"/>
      <c r="G4179" s="24"/>
      <c r="H4179" s="24"/>
      <c r="J4179" s="24"/>
      <c r="K4179" s="24"/>
      <c r="M4179" s="24"/>
      <c r="N4179" s="24"/>
      <c r="P4179" s="24"/>
    </row>
    <row r="4180" spans="2:16" x14ac:dyDescent="0.25">
      <c r="B4180" s="24"/>
      <c r="E4180" s="24"/>
      <c r="G4180" s="24"/>
      <c r="H4180" s="24"/>
      <c r="J4180" s="24"/>
      <c r="K4180" s="24"/>
      <c r="M4180" s="24"/>
      <c r="N4180" s="24"/>
      <c r="P4180" s="24"/>
    </row>
    <row r="4181" spans="2:16" x14ac:dyDescent="0.25">
      <c r="B4181" s="24"/>
      <c r="E4181" s="24"/>
      <c r="G4181" s="24"/>
      <c r="H4181" s="24"/>
      <c r="J4181" s="24"/>
      <c r="K4181" s="24"/>
      <c r="M4181" s="24"/>
      <c r="N4181" s="24"/>
      <c r="P4181" s="24"/>
    </row>
    <row r="4182" spans="2:16" x14ac:dyDescent="0.25">
      <c r="B4182" s="24"/>
      <c r="E4182" s="24"/>
      <c r="G4182" s="24"/>
      <c r="H4182" s="24"/>
      <c r="J4182" s="24"/>
      <c r="K4182" s="24"/>
      <c r="M4182" s="24"/>
      <c r="N4182" s="24"/>
      <c r="P4182" s="24"/>
    </row>
    <row r="4183" spans="2:16" x14ac:dyDescent="0.25">
      <c r="B4183" s="24"/>
      <c r="E4183" s="24"/>
      <c r="G4183" s="24"/>
      <c r="H4183" s="24"/>
      <c r="J4183" s="24"/>
      <c r="K4183" s="24"/>
      <c r="M4183" s="24"/>
      <c r="N4183" s="24"/>
      <c r="P4183" s="24"/>
    </row>
    <row r="4184" spans="2:16" x14ac:dyDescent="0.25">
      <c r="B4184" s="24"/>
      <c r="E4184" s="24"/>
      <c r="G4184" s="24"/>
      <c r="H4184" s="24"/>
      <c r="J4184" s="24"/>
      <c r="K4184" s="24"/>
      <c r="M4184" s="24"/>
      <c r="N4184" s="24"/>
      <c r="P4184" s="24"/>
    </row>
    <row r="4185" spans="2:16" x14ac:dyDescent="0.25">
      <c r="B4185" s="24"/>
      <c r="E4185" s="24"/>
      <c r="G4185" s="24"/>
      <c r="H4185" s="24"/>
      <c r="J4185" s="24"/>
      <c r="K4185" s="24"/>
      <c r="M4185" s="24"/>
      <c r="N4185" s="24"/>
      <c r="P4185" s="24"/>
    </row>
    <row r="4186" spans="2:16" x14ac:dyDescent="0.25">
      <c r="B4186" s="24"/>
      <c r="E4186" s="24"/>
      <c r="G4186" s="24"/>
      <c r="H4186" s="24"/>
      <c r="J4186" s="24"/>
      <c r="K4186" s="24"/>
      <c r="M4186" s="24"/>
      <c r="N4186" s="24"/>
      <c r="P4186" s="24"/>
    </row>
    <row r="4187" spans="2:16" x14ac:dyDescent="0.25">
      <c r="B4187" s="24"/>
      <c r="E4187" s="24"/>
      <c r="G4187" s="24"/>
      <c r="H4187" s="24"/>
      <c r="J4187" s="24"/>
      <c r="K4187" s="24"/>
      <c r="M4187" s="24"/>
      <c r="N4187" s="24"/>
      <c r="P4187" s="24"/>
    </row>
    <row r="4188" spans="2:16" x14ac:dyDescent="0.25">
      <c r="B4188" s="24"/>
      <c r="E4188" s="24"/>
      <c r="G4188" s="24"/>
      <c r="H4188" s="24"/>
      <c r="J4188" s="24"/>
      <c r="K4188" s="24"/>
      <c r="M4188" s="24"/>
      <c r="N4188" s="24"/>
      <c r="P4188" s="24"/>
    </row>
    <row r="4189" spans="2:16" x14ac:dyDescent="0.25">
      <c r="B4189" s="24"/>
      <c r="E4189" s="24"/>
      <c r="G4189" s="24"/>
      <c r="H4189" s="24"/>
      <c r="J4189" s="24"/>
      <c r="K4189" s="24"/>
      <c r="M4189" s="24"/>
      <c r="N4189" s="24"/>
      <c r="P4189" s="24"/>
    </row>
    <row r="4190" spans="2:16" x14ac:dyDescent="0.25">
      <c r="B4190" s="24"/>
      <c r="E4190" s="24"/>
      <c r="G4190" s="24"/>
      <c r="H4190" s="24"/>
      <c r="J4190" s="24"/>
      <c r="K4190" s="24"/>
      <c r="M4190" s="24"/>
      <c r="N4190" s="24"/>
      <c r="P4190" s="24"/>
    </row>
    <row r="4191" spans="2:16" x14ac:dyDescent="0.25">
      <c r="B4191" s="24"/>
      <c r="E4191" s="24"/>
      <c r="G4191" s="24"/>
      <c r="H4191" s="24"/>
      <c r="J4191" s="24"/>
      <c r="K4191" s="24"/>
      <c r="M4191" s="24"/>
      <c r="N4191" s="24"/>
      <c r="P4191" s="24"/>
    </row>
    <row r="4192" spans="2:16" x14ac:dyDescent="0.25">
      <c r="B4192" s="24"/>
      <c r="E4192" s="24"/>
      <c r="G4192" s="24"/>
      <c r="H4192" s="24"/>
      <c r="J4192" s="24"/>
      <c r="K4192" s="24"/>
      <c r="M4192" s="24"/>
      <c r="N4192" s="24"/>
      <c r="P4192" s="24"/>
    </row>
    <row r="4193" spans="2:16" x14ac:dyDescent="0.25">
      <c r="B4193" s="24"/>
      <c r="E4193" s="24"/>
      <c r="G4193" s="24"/>
      <c r="H4193" s="24"/>
      <c r="J4193" s="24"/>
      <c r="K4193" s="24"/>
      <c r="M4193" s="24"/>
      <c r="N4193" s="24"/>
      <c r="P4193" s="24"/>
    </row>
    <row r="4194" spans="2:16" x14ac:dyDescent="0.25">
      <c r="B4194" s="24"/>
      <c r="E4194" s="24"/>
      <c r="G4194" s="24"/>
      <c r="H4194" s="24"/>
      <c r="J4194" s="24"/>
      <c r="K4194" s="24"/>
      <c r="M4194" s="24"/>
      <c r="N4194" s="24"/>
      <c r="P4194" s="24"/>
    </row>
    <row r="4195" spans="2:16" x14ac:dyDescent="0.25">
      <c r="B4195" s="24"/>
      <c r="E4195" s="24"/>
      <c r="G4195" s="24"/>
      <c r="H4195" s="24"/>
      <c r="J4195" s="24"/>
      <c r="K4195" s="24"/>
      <c r="M4195" s="24"/>
      <c r="N4195" s="24"/>
      <c r="P4195" s="24"/>
    </row>
    <row r="4196" spans="2:16" x14ac:dyDescent="0.25">
      <c r="B4196" s="24"/>
      <c r="E4196" s="24"/>
      <c r="G4196" s="24"/>
      <c r="H4196" s="24"/>
      <c r="J4196" s="24"/>
      <c r="K4196" s="24"/>
      <c r="M4196" s="24"/>
      <c r="N4196" s="24"/>
      <c r="P4196" s="24"/>
    </row>
    <row r="4197" spans="2:16" x14ac:dyDescent="0.25">
      <c r="B4197" s="24"/>
      <c r="E4197" s="24"/>
      <c r="G4197" s="24"/>
      <c r="H4197" s="24"/>
      <c r="J4197" s="24"/>
      <c r="K4197" s="24"/>
      <c r="M4197" s="24"/>
      <c r="N4197" s="24"/>
      <c r="P4197" s="24"/>
    </row>
    <row r="4198" spans="2:16" x14ac:dyDescent="0.25">
      <c r="B4198" s="24"/>
      <c r="E4198" s="24"/>
      <c r="G4198" s="24"/>
      <c r="H4198" s="24"/>
      <c r="J4198" s="24"/>
      <c r="K4198" s="24"/>
      <c r="M4198" s="24"/>
      <c r="N4198" s="24"/>
      <c r="P4198" s="24"/>
    </row>
    <row r="4199" spans="2:16" x14ac:dyDescent="0.25">
      <c r="B4199" s="24"/>
      <c r="E4199" s="24"/>
      <c r="G4199" s="24"/>
      <c r="H4199" s="24"/>
      <c r="J4199" s="24"/>
      <c r="K4199" s="24"/>
      <c r="M4199" s="24"/>
      <c r="N4199" s="24"/>
      <c r="P4199" s="24"/>
    </row>
    <row r="4200" spans="2:16" x14ac:dyDescent="0.25">
      <c r="B4200" s="24"/>
      <c r="E4200" s="24"/>
      <c r="G4200" s="24"/>
      <c r="H4200" s="24"/>
      <c r="J4200" s="24"/>
      <c r="K4200" s="24"/>
      <c r="M4200" s="24"/>
      <c r="N4200" s="24"/>
      <c r="P4200" s="24"/>
    </row>
    <row r="4201" spans="2:16" x14ac:dyDescent="0.25">
      <c r="B4201" s="24"/>
      <c r="E4201" s="24"/>
      <c r="G4201" s="24"/>
      <c r="H4201" s="24"/>
      <c r="J4201" s="24"/>
      <c r="K4201" s="24"/>
      <c r="M4201" s="24"/>
      <c r="N4201" s="24"/>
      <c r="P4201" s="24"/>
    </row>
    <row r="4202" spans="2:16" x14ac:dyDescent="0.25">
      <c r="B4202" s="24"/>
      <c r="E4202" s="24"/>
      <c r="G4202" s="24"/>
      <c r="H4202" s="24"/>
      <c r="J4202" s="24"/>
      <c r="K4202" s="24"/>
      <c r="M4202" s="24"/>
      <c r="N4202" s="24"/>
      <c r="P4202" s="24"/>
    </row>
    <row r="4203" spans="2:16" x14ac:dyDescent="0.25">
      <c r="B4203" s="24"/>
      <c r="E4203" s="24"/>
      <c r="G4203" s="24"/>
      <c r="H4203" s="24"/>
      <c r="J4203" s="24"/>
      <c r="K4203" s="24"/>
      <c r="M4203" s="24"/>
      <c r="N4203" s="24"/>
      <c r="P4203" s="24"/>
    </row>
    <row r="4204" spans="2:16" x14ac:dyDescent="0.25">
      <c r="B4204" s="24"/>
      <c r="E4204" s="24"/>
      <c r="G4204" s="24"/>
      <c r="H4204" s="24"/>
      <c r="J4204" s="24"/>
      <c r="K4204" s="24"/>
      <c r="M4204" s="24"/>
      <c r="N4204" s="24"/>
      <c r="P4204" s="24"/>
    </row>
    <row r="4205" spans="2:16" x14ac:dyDescent="0.25">
      <c r="B4205" s="24"/>
      <c r="E4205" s="24"/>
      <c r="G4205" s="24"/>
      <c r="H4205" s="24"/>
      <c r="J4205" s="24"/>
      <c r="K4205" s="24"/>
      <c r="M4205" s="24"/>
      <c r="N4205" s="24"/>
      <c r="P4205" s="24"/>
    </row>
    <row r="4206" spans="2:16" x14ac:dyDescent="0.25">
      <c r="B4206" s="24"/>
      <c r="E4206" s="24"/>
      <c r="G4206" s="24"/>
      <c r="H4206" s="24"/>
      <c r="J4206" s="24"/>
      <c r="K4206" s="24"/>
      <c r="M4206" s="24"/>
      <c r="N4206" s="24"/>
      <c r="P4206" s="24"/>
    </row>
    <row r="4207" spans="2:16" x14ac:dyDescent="0.25">
      <c r="B4207" s="24"/>
      <c r="E4207" s="24"/>
      <c r="G4207" s="24"/>
      <c r="H4207" s="24"/>
      <c r="J4207" s="24"/>
      <c r="K4207" s="24"/>
      <c r="M4207" s="24"/>
      <c r="N4207" s="24"/>
      <c r="P4207" s="24"/>
    </row>
    <row r="4208" spans="2:16" x14ac:dyDescent="0.25">
      <c r="B4208" s="24"/>
      <c r="E4208" s="24"/>
      <c r="G4208" s="24"/>
      <c r="H4208" s="24"/>
      <c r="J4208" s="24"/>
      <c r="K4208" s="24"/>
      <c r="M4208" s="24"/>
      <c r="N4208" s="24"/>
      <c r="P4208" s="24"/>
    </row>
    <row r="4209" spans="2:16" x14ac:dyDescent="0.25">
      <c r="B4209" s="24"/>
      <c r="E4209" s="24"/>
      <c r="G4209" s="24"/>
      <c r="H4209" s="24"/>
      <c r="J4209" s="24"/>
      <c r="K4209" s="24"/>
      <c r="M4209" s="24"/>
      <c r="N4209" s="24"/>
      <c r="P4209" s="24"/>
    </row>
    <row r="4210" spans="2:16" x14ac:dyDescent="0.25">
      <c r="B4210" s="24"/>
      <c r="E4210" s="24"/>
      <c r="G4210" s="24"/>
      <c r="H4210" s="24"/>
      <c r="J4210" s="24"/>
      <c r="K4210" s="24"/>
      <c r="M4210" s="24"/>
      <c r="N4210" s="24"/>
      <c r="P4210" s="24"/>
    </row>
    <row r="4211" spans="2:16" x14ac:dyDescent="0.25">
      <c r="B4211" s="24"/>
      <c r="E4211" s="24"/>
      <c r="G4211" s="24"/>
      <c r="H4211" s="24"/>
      <c r="J4211" s="24"/>
      <c r="K4211" s="24"/>
      <c r="M4211" s="24"/>
      <c r="N4211" s="24"/>
      <c r="P4211" s="24"/>
    </row>
    <row r="4212" spans="2:16" x14ac:dyDescent="0.25">
      <c r="B4212" s="24"/>
      <c r="E4212" s="24"/>
      <c r="G4212" s="24"/>
      <c r="H4212" s="24"/>
      <c r="J4212" s="24"/>
      <c r="K4212" s="24"/>
      <c r="M4212" s="24"/>
      <c r="N4212" s="24"/>
      <c r="P4212" s="24"/>
    </row>
    <row r="4213" spans="2:16" x14ac:dyDescent="0.25">
      <c r="B4213" s="24"/>
      <c r="E4213" s="24"/>
      <c r="G4213" s="24"/>
      <c r="H4213" s="24"/>
      <c r="J4213" s="24"/>
      <c r="K4213" s="24"/>
      <c r="M4213" s="24"/>
      <c r="N4213" s="24"/>
      <c r="P4213" s="24"/>
    </row>
    <row r="4214" spans="2:16" x14ac:dyDescent="0.25">
      <c r="B4214" s="24"/>
      <c r="E4214" s="24"/>
      <c r="G4214" s="24"/>
      <c r="H4214" s="24"/>
      <c r="J4214" s="24"/>
      <c r="K4214" s="24"/>
      <c r="M4214" s="24"/>
      <c r="N4214" s="24"/>
      <c r="P4214" s="24"/>
    </row>
    <row r="4215" spans="2:16" x14ac:dyDescent="0.25">
      <c r="B4215" s="24"/>
      <c r="E4215" s="24"/>
      <c r="G4215" s="24"/>
      <c r="H4215" s="24"/>
      <c r="J4215" s="24"/>
      <c r="K4215" s="24"/>
      <c r="M4215" s="24"/>
      <c r="N4215" s="24"/>
      <c r="P4215" s="24"/>
    </row>
    <row r="4216" spans="2:16" x14ac:dyDescent="0.25">
      <c r="B4216" s="24"/>
      <c r="E4216" s="24"/>
      <c r="G4216" s="24"/>
      <c r="H4216" s="24"/>
      <c r="J4216" s="24"/>
      <c r="K4216" s="24"/>
      <c r="M4216" s="24"/>
      <c r="N4216" s="24"/>
      <c r="P4216" s="24"/>
    </row>
    <row r="4217" spans="2:16" x14ac:dyDescent="0.25">
      <c r="B4217" s="24"/>
      <c r="E4217" s="24"/>
      <c r="G4217" s="24"/>
      <c r="H4217" s="24"/>
      <c r="J4217" s="24"/>
      <c r="K4217" s="24"/>
      <c r="M4217" s="24"/>
      <c r="N4217" s="24"/>
      <c r="P4217" s="24"/>
    </row>
    <row r="4218" spans="2:16" x14ac:dyDescent="0.25">
      <c r="B4218" s="24"/>
      <c r="E4218" s="24"/>
      <c r="G4218" s="24"/>
      <c r="H4218" s="24"/>
      <c r="J4218" s="24"/>
      <c r="K4218" s="24"/>
      <c r="M4218" s="24"/>
      <c r="N4218" s="24"/>
      <c r="P4218" s="24"/>
    </row>
    <row r="4219" spans="2:16" x14ac:dyDescent="0.25">
      <c r="B4219" s="24"/>
      <c r="E4219" s="24"/>
      <c r="G4219" s="24"/>
      <c r="H4219" s="24"/>
      <c r="J4219" s="24"/>
      <c r="K4219" s="24"/>
      <c r="M4219" s="24"/>
      <c r="N4219" s="24"/>
      <c r="P4219" s="24"/>
    </row>
    <row r="4220" spans="2:16" x14ac:dyDescent="0.25">
      <c r="B4220" s="24"/>
      <c r="E4220" s="24"/>
      <c r="G4220" s="24"/>
      <c r="H4220" s="24"/>
      <c r="J4220" s="24"/>
      <c r="K4220" s="24"/>
      <c r="M4220" s="24"/>
      <c r="N4220" s="24"/>
      <c r="P4220" s="24"/>
    </row>
    <row r="4221" spans="2:16" x14ac:dyDescent="0.25">
      <c r="B4221" s="24"/>
      <c r="E4221" s="24"/>
      <c r="G4221" s="24"/>
      <c r="H4221" s="24"/>
      <c r="J4221" s="24"/>
      <c r="K4221" s="24"/>
      <c r="M4221" s="24"/>
      <c r="N4221" s="24"/>
      <c r="P4221" s="24"/>
    </row>
    <row r="4222" spans="2:16" x14ac:dyDescent="0.25">
      <c r="B4222" s="24"/>
      <c r="E4222" s="24"/>
      <c r="G4222" s="24"/>
      <c r="H4222" s="24"/>
      <c r="J4222" s="24"/>
      <c r="K4222" s="24"/>
      <c r="M4222" s="24"/>
      <c r="N4222" s="24"/>
      <c r="P4222" s="24"/>
    </row>
    <row r="4223" spans="2:16" x14ac:dyDescent="0.25">
      <c r="B4223" s="24"/>
      <c r="E4223" s="24"/>
      <c r="G4223" s="24"/>
      <c r="H4223" s="24"/>
      <c r="J4223" s="24"/>
      <c r="K4223" s="24"/>
      <c r="M4223" s="24"/>
      <c r="N4223" s="24"/>
      <c r="P4223" s="24"/>
    </row>
    <row r="4224" spans="2:16" x14ac:dyDescent="0.25">
      <c r="B4224" s="24"/>
      <c r="E4224" s="24"/>
      <c r="G4224" s="24"/>
      <c r="H4224" s="24"/>
      <c r="J4224" s="24"/>
      <c r="K4224" s="24"/>
      <c r="M4224" s="24"/>
      <c r="N4224" s="24"/>
      <c r="P4224" s="24"/>
    </row>
    <row r="4225" spans="2:16" x14ac:dyDescent="0.25">
      <c r="B4225" s="24"/>
      <c r="E4225" s="24"/>
      <c r="G4225" s="24"/>
      <c r="H4225" s="24"/>
      <c r="J4225" s="24"/>
      <c r="K4225" s="24"/>
      <c r="M4225" s="24"/>
      <c r="N4225" s="24"/>
      <c r="P4225" s="24"/>
    </row>
    <row r="4226" spans="2:16" x14ac:dyDescent="0.25">
      <c r="B4226" s="24"/>
      <c r="E4226" s="24"/>
      <c r="G4226" s="24"/>
      <c r="H4226" s="24"/>
      <c r="J4226" s="24"/>
      <c r="K4226" s="24"/>
      <c r="M4226" s="24"/>
      <c r="N4226" s="24"/>
      <c r="P4226" s="24"/>
    </row>
    <row r="4227" spans="2:16" x14ac:dyDescent="0.25">
      <c r="B4227" s="24"/>
      <c r="E4227" s="24"/>
      <c r="G4227" s="24"/>
      <c r="H4227" s="24"/>
      <c r="J4227" s="24"/>
      <c r="K4227" s="24"/>
      <c r="M4227" s="24"/>
      <c r="N4227" s="24"/>
      <c r="P4227" s="24"/>
    </row>
    <row r="4228" spans="2:16" x14ac:dyDescent="0.25">
      <c r="B4228" s="24"/>
      <c r="E4228" s="24"/>
      <c r="G4228" s="24"/>
      <c r="H4228" s="24"/>
      <c r="J4228" s="24"/>
      <c r="K4228" s="24"/>
      <c r="M4228" s="24"/>
      <c r="N4228" s="24"/>
      <c r="P4228" s="24"/>
    </row>
    <row r="4229" spans="2:16" x14ac:dyDescent="0.25">
      <c r="B4229" s="24"/>
      <c r="E4229" s="24"/>
      <c r="G4229" s="24"/>
      <c r="H4229" s="24"/>
      <c r="J4229" s="24"/>
      <c r="K4229" s="24"/>
      <c r="M4229" s="24"/>
      <c r="N4229" s="24"/>
      <c r="P4229" s="24"/>
    </row>
    <row r="4230" spans="2:16" x14ac:dyDescent="0.25">
      <c r="B4230" s="24"/>
      <c r="E4230" s="24"/>
      <c r="G4230" s="24"/>
      <c r="H4230" s="24"/>
      <c r="J4230" s="24"/>
      <c r="K4230" s="24"/>
      <c r="M4230" s="24"/>
      <c r="N4230" s="24"/>
      <c r="P4230" s="24"/>
    </row>
    <row r="4231" spans="2:16" x14ac:dyDescent="0.25">
      <c r="B4231" s="24"/>
      <c r="E4231" s="24"/>
      <c r="G4231" s="24"/>
      <c r="H4231" s="24"/>
      <c r="J4231" s="24"/>
      <c r="K4231" s="24"/>
      <c r="M4231" s="24"/>
      <c r="N4231" s="24"/>
      <c r="P4231" s="24"/>
    </row>
    <row r="4232" spans="2:16" x14ac:dyDescent="0.25">
      <c r="B4232" s="24"/>
      <c r="E4232" s="24"/>
      <c r="G4232" s="24"/>
      <c r="H4232" s="24"/>
      <c r="J4232" s="24"/>
      <c r="K4232" s="24"/>
      <c r="M4232" s="24"/>
      <c r="N4232" s="24"/>
      <c r="P4232" s="24"/>
    </row>
    <row r="4233" spans="2:16" x14ac:dyDescent="0.25">
      <c r="B4233" s="24"/>
      <c r="E4233" s="24"/>
      <c r="G4233" s="24"/>
      <c r="H4233" s="24"/>
      <c r="J4233" s="24"/>
      <c r="K4233" s="24"/>
      <c r="M4233" s="24"/>
      <c r="N4233" s="24"/>
      <c r="P4233" s="24"/>
    </row>
    <row r="4234" spans="2:16" x14ac:dyDescent="0.25">
      <c r="B4234" s="24"/>
      <c r="E4234" s="24"/>
      <c r="G4234" s="24"/>
      <c r="H4234" s="24"/>
      <c r="J4234" s="24"/>
      <c r="K4234" s="24"/>
      <c r="M4234" s="24"/>
      <c r="N4234" s="24"/>
      <c r="P4234" s="24"/>
    </row>
    <row r="4235" spans="2:16" x14ac:dyDescent="0.25">
      <c r="B4235" s="24"/>
      <c r="E4235" s="24"/>
      <c r="G4235" s="24"/>
      <c r="H4235" s="24"/>
      <c r="J4235" s="24"/>
      <c r="K4235" s="24"/>
      <c r="M4235" s="24"/>
      <c r="N4235" s="24"/>
      <c r="P4235" s="24"/>
    </row>
    <row r="4236" spans="2:16" x14ac:dyDescent="0.25">
      <c r="B4236" s="24"/>
      <c r="E4236" s="24"/>
      <c r="G4236" s="24"/>
      <c r="H4236" s="24"/>
      <c r="J4236" s="24"/>
      <c r="K4236" s="24"/>
      <c r="M4236" s="24"/>
      <c r="N4236" s="24"/>
      <c r="P4236" s="24"/>
    </row>
    <row r="4237" spans="2:16" x14ac:dyDescent="0.25">
      <c r="B4237" s="24"/>
      <c r="E4237" s="24"/>
      <c r="G4237" s="24"/>
      <c r="H4237" s="24"/>
      <c r="J4237" s="24"/>
      <c r="K4237" s="24"/>
      <c r="M4237" s="24"/>
      <c r="N4237" s="24"/>
      <c r="P4237" s="24"/>
    </row>
    <row r="4238" spans="2:16" x14ac:dyDescent="0.25">
      <c r="B4238" s="24"/>
      <c r="E4238" s="24"/>
      <c r="G4238" s="24"/>
      <c r="H4238" s="24"/>
      <c r="J4238" s="24"/>
      <c r="K4238" s="24"/>
      <c r="M4238" s="24"/>
      <c r="N4238" s="24"/>
      <c r="P4238" s="24"/>
    </row>
    <row r="4239" spans="2:16" x14ac:dyDescent="0.25">
      <c r="B4239" s="24"/>
      <c r="E4239" s="24"/>
      <c r="G4239" s="24"/>
      <c r="H4239" s="24"/>
      <c r="J4239" s="24"/>
      <c r="K4239" s="24"/>
      <c r="M4239" s="24"/>
      <c r="N4239" s="24"/>
      <c r="P4239" s="24"/>
    </row>
    <row r="4240" spans="2:16" x14ac:dyDescent="0.25">
      <c r="B4240" s="24"/>
      <c r="E4240" s="24"/>
      <c r="G4240" s="24"/>
      <c r="H4240" s="24"/>
      <c r="J4240" s="24"/>
      <c r="K4240" s="24"/>
      <c r="M4240" s="24"/>
      <c r="N4240" s="24"/>
      <c r="P4240" s="24"/>
    </row>
    <row r="4241" spans="2:16" x14ac:dyDescent="0.25">
      <c r="B4241" s="24"/>
      <c r="E4241" s="24"/>
      <c r="G4241" s="24"/>
      <c r="H4241" s="24"/>
      <c r="J4241" s="24"/>
      <c r="K4241" s="24"/>
      <c r="M4241" s="24"/>
      <c r="N4241" s="24"/>
      <c r="P4241" s="24"/>
    </row>
    <row r="4242" spans="2:16" x14ac:dyDescent="0.25">
      <c r="B4242" s="24"/>
      <c r="E4242" s="24"/>
      <c r="G4242" s="24"/>
      <c r="H4242" s="24"/>
      <c r="J4242" s="24"/>
      <c r="K4242" s="24"/>
      <c r="M4242" s="24"/>
      <c r="N4242" s="24"/>
      <c r="P4242" s="24"/>
    </row>
    <row r="4243" spans="2:16" x14ac:dyDescent="0.25">
      <c r="B4243" s="24"/>
      <c r="E4243" s="24"/>
      <c r="G4243" s="24"/>
      <c r="H4243" s="24"/>
      <c r="J4243" s="24"/>
      <c r="K4243" s="24"/>
      <c r="M4243" s="24"/>
      <c r="N4243" s="24"/>
      <c r="P4243" s="24"/>
    </row>
    <row r="4244" spans="2:16" x14ac:dyDescent="0.25">
      <c r="B4244" s="24"/>
      <c r="E4244" s="24"/>
      <c r="G4244" s="24"/>
      <c r="H4244" s="24"/>
      <c r="J4244" s="24"/>
      <c r="K4244" s="24"/>
      <c r="M4244" s="24"/>
      <c r="N4244" s="24"/>
      <c r="P4244" s="24"/>
    </row>
    <row r="4245" spans="2:16" x14ac:dyDescent="0.25">
      <c r="B4245" s="24"/>
      <c r="E4245" s="24"/>
      <c r="G4245" s="24"/>
      <c r="H4245" s="24"/>
      <c r="J4245" s="24"/>
      <c r="K4245" s="24"/>
      <c r="M4245" s="24"/>
      <c r="N4245" s="24"/>
      <c r="P4245" s="24"/>
    </row>
    <row r="4246" spans="2:16" x14ac:dyDescent="0.25">
      <c r="B4246" s="24"/>
      <c r="E4246" s="24"/>
      <c r="G4246" s="24"/>
      <c r="H4246" s="24"/>
      <c r="J4246" s="24"/>
      <c r="K4246" s="24"/>
      <c r="M4246" s="24"/>
      <c r="N4246" s="24"/>
      <c r="P4246" s="24"/>
    </row>
    <row r="4247" spans="2:16" x14ac:dyDescent="0.25">
      <c r="B4247" s="24"/>
      <c r="E4247" s="24"/>
      <c r="G4247" s="24"/>
      <c r="H4247" s="24"/>
      <c r="J4247" s="24"/>
      <c r="K4247" s="24"/>
      <c r="M4247" s="24"/>
      <c r="N4247" s="24"/>
      <c r="P4247" s="24"/>
    </row>
    <row r="4248" spans="2:16" x14ac:dyDescent="0.25">
      <c r="B4248" s="24"/>
      <c r="E4248" s="24"/>
      <c r="G4248" s="24"/>
      <c r="H4248" s="24"/>
      <c r="J4248" s="24"/>
      <c r="K4248" s="24"/>
      <c r="M4248" s="24"/>
      <c r="N4248" s="24"/>
      <c r="P4248" s="24"/>
    </row>
    <row r="4249" spans="2:16" x14ac:dyDescent="0.25">
      <c r="B4249" s="24"/>
      <c r="E4249" s="24"/>
      <c r="G4249" s="24"/>
      <c r="H4249" s="24"/>
      <c r="J4249" s="24"/>
      <c r="K4249" s="24"/>
      <c r="M4249" s="24"/>
      <c r="N4249" s="24"/>
      <c r="P4249" s="24"/>
    </row>
    <row r="4250" spans="2:16" x14ac:dyDescent="0.25">
      <c r="B4250" s="24"/>
      <c r="E4250" s="24"/>
      <c r="G4250" s="24"/>
      <c r="H4250" s="24"/>
      <c r="J4250" s="24"/>
      <c r="K4250" s="24"/>
      <c r="M4250" s="24"/>
      <c r="N4250" s="24"/>
      <c r="P4250" s="24"/>
    </row>
    <row r="4251" spans="2:16" x14ac:dyDescent="0.25">
      <c r="B4251" s="24"/>
      <c r="E4251" s="24"/>
      <c r="G4251" s="24"/>
      <c r="H4251" s="24"/>
      <c r="J4251" s="24"/>
      <c r="K4251" s="24"/>
      <c r="M4251" s="24"/>
      <c r="N4251" s="24"/>
      <c r="P4251" s="24"/>
    </row>
    <row r="4252" spans="2:16" x14ac:dyDescent="0.25">
      <c r="B4252" s="24"/>
      <c r="E4252" s="24"/>
      <c r="G4252" s="24"/>
      <c r="H4252" s="24"/>
      <c r="J4252" s="24"/>
      <c r="K4252" s="24"/>
      <c r="M4252" s="24"/>
      <c r="N4252" s="24"/>
      <c r="P4252" s="24"/>
    </row>
    <row r="4253" spans="2:16" x14ac:dyDescent="0.25">
      <c r="B4253" s="24"/>
      <c r="E4253" s="24"/>
      <c r="G4253" s="24"/>
      <c r="H4253" s="24"/>
      <c r="J4253" s="24"/>
      <c r="K4253" s="24"/>
      <c r="M4253" s="24"/>
      <c r="N4253" s="24"/>
      <c r="P4253" s="24"/>
    </row>
    <row r="4254" spans="2:16" x14ac:dyDescent="0.25">
      <c r="B4254" s="24"/>
      <c r="E4254" s="24"/>
      <c r="G4254" s="24"/>
      <c r="H4254" s="24"/>
      <c r="J4254" s="24"/>
      <c r="K4254" s="24"/>
      <c r="M4254" s="24"/>
      <c r="N4254" s="24"/>
      <c r="P4254" s="24"/>
    </row>
    <row r="4255" spans="2:16" x14ac:dyDescent="0.25">
      <c r="B4255" s="24"/>
      <c r="E4255" s="24"/>
      <c r="G4255" s="24"/>
      <c r="H4255" s="24"/>
      <c r="J4255" s="24"/>
      <c r="K4255" s="24"/>
      <c r="M4255" s="24"/>
      <c r="N4255" s="24"/>
      <c r="P4255" s="24"/>
    </row>
    <row r="4256" spans="2:16" x14ac:dyDescent="0.25">
      <c r="B4256" s="24"/>
      <c r="E4256" s="24"/>
      <c r="G4256" s="24"/>
      <c r="H4256" s="24"/>
      <c r="J4256" s="24"/>
      <c r="K4256" s="24"/>
      <c r="M4256" s="24"/>
      <c r="N4256" s="24"/>
      <c r="P4256" s="24"/>
    </row>
    <row r="4257" spans="2:16" x14ac:dyDescent="0.25">
      <c r="B4257" s="24"/>
      <c r="E4257" s="24"/>
      <c r="G4257" s="24"/>
      <c r="H4257" s="24"/>
      <c r="J4257" s="24"/>
      <c r="K4257" s="24"/>
      <c r="M4257" s="24"/>
      <c r="N4257" s="24"/>
      <c r="P4257" s="24"/>
    </row>
    <row r="4258" spans="2:16" x14ac:dyDescent="0.25">
      <c r="B4258" s="24"/>
      <c r="E4258" s="24"/>
      <c r="G4258" s="24"/>
      <c r="H4258" s="24"/>
      <c r="J4258" s="24"/>
      <c r="K4258" s="24"/>
      <c r="M4258" s="24"/>
      <c r="N4258" s="24"/>
      <c r="P4258" s="24"/>
    </row>
    <row r="4259" spans="2:16" x14ac:dyDescent="0.25">
      <c r="B4259" s="24"/>
      <c r="E4259" s="24"/>
      <c r="G4259" s="24"/>
      <c r="H4259" s="24"/>
      <c r="J4259" s="24"/>
      <c r="K4259" s="24"/>
      <c r="M4259" s="24"/>
      <c r="N4259" s="24"/>
      <c r="P4259" s="24"/>
    </row>
    <row r="4260" spans="2:16" x14ac:dyDescent="0.25">
      <c r="B4260" s="24"/>
      <c r="E4260" s="24"/>
      <c r="G4260" s="24"/>
      <c r="H4260" s="24"/>
      <c r="J4260" s="24"/>
      <c r="K4260" s="24"/>
      <c r="M4260" s="24"/>
      <c r="N4260" s="24"/>
      <c r="P4260" s="24"/>
    </row>
    <row r="4261" spans="2:16" x14ac:dyDescent="0.25">
      <c r="B4261" s="24"/>
      <c r="E4261" s="24"/>
      <c r="G4261" s="24"/>
      <c r="H4261" s="24"/>
      <c r="J4261" s="24"/>
      <c r="K4261" s="24"/>
      <c r="M4261" s="24"/>
      <c r="N4261" s="24"/>
      <c r="P4261" s="24"/>
    </row>
    <row r="4262" spans="2:16" x14ac:dyDescent="0.25">
      <c r="B4262" s="24"/>
      <c r="E4262" s="24"/>
      <c r="G4262" s="24"/>
      <c r="H4262" s="24"/>
      <c r="J4262" s="24"/>
      <c r="K4262" s="24"/>
      <c r="M4262" s="24"/>
      <c r="N4262" s="24"/>
      <c r="P4262" s="24"/>
    </row>
    <row r="4263" spans="2:16" x14ac:dyDescent="0.25">
      <c r="B4263" s="24"/>
      <c r="E4263" s="24"/>
      <c r="G4263" s="24"/>
      <c r="H4263" s="24"/>
      <c r="J4263" s="24"/>
      <c r="K4263" s="24"/>
      <c r="M4263" s="24"/>
      <c r="N4263" s="24"/>
      <c r="P4263" s="24"/>
    </row>
    <row r="4264" spans="2:16" x14ac:dyDescent="0.25">
      <c r="B4264" s="24"/>
      <c r="E4264" s="24"/>
      <c r="G4264" s="24"/>
      <c r="H4264" s="24"/>
      <c r="J4264" s="24"/>
      <c r="K4264" s="24"/>
      <c r="M4264" s="24"/>
      <c r="N4264" s="24"/>
      <c r="P4264" s="24"/>
    </row>
    <row r="4265" spans="2:16" x14ac:dyDescent="0.25">
      <c r="B4265" s="24"/>
      <c r="E4265" s="24"/>
      <c r="G4265" s="24"/>
      <c r="H4265" s="24"/>
      <c r="J4265" s="24"/>
      <c r="K4265" s="24"/>
      <c r="M4265" s="24"/>
      <c r="N4265" s="24"/>
      <c r="P4265" s="24"/>
    </row>
    <row r="4266" spans="2:16" x14ac:dyDescent="0.25">
      <c r="B4266" s="24"/>
      <c r="E4266" s="24"/>
      <c r="G4266" s="24"/>
      <c r="H4266" s="24"/>
      <c r="J4266" s="24"/>
      <c r="K4266" s="24"/>
      <c r="M4266" s="24"/>
      <c r="N4266" s="24"/>
      <c r="P4266" s="24"/>
    </row>
    <row r="4267" spans="2:16" x14ac:dyDescent="0.25">
      <c r="B4267" s="24"/>
      <c r="E4267" s="24"/>
      <c r="G4267" s="24"/>
      <c r="H4267" s="24"/>
      <c r="J4267" s="24"/>
      <c r="K4267" s="24"/>
      <c r="M4267" s="24"/>
      <c r="N4267" s="24"/>
      <c r="P4267" s="24"/>
    </row>
    <row r="4268" spans="2:16" x14ac:dyDescent="0.25">
      <c r="B4268" s="24"/>
      <c r="E4268" s="24"/>
      <c r="G4268" s="24"/>
      <c r="H4268" s="24"/>
      <c r="J4268" s="24"/>
      <c r="K4268" s="24"/>
      <c r="M4268" s="24"/>
      <c r="N4268" s="24"/>
      <c r="P4268" s="24"/>
    </row>
    <row r="4269" spans="2:16" x14ac:dyDescent="0.25">
      <c r="B4269" s="24"/>
      <c r="E4269" s="24"/>
      <c r="G4269" s="24"/>
      <c r="H4269" s="24"/>
      <c r="J4269" s="24"/>
      <c r="K4269" s="24"/>
      <c r="M4269" s="24"/>
      <c r="N4269" s="24"/>
      <c r="P4269" s="24"/>
    </row>
    <row r="4270" spans="2:16" x14ac:dyDescent="0.25">
      <c r="B4270" s="24"/>
      <c r="E4270" s="24"/>
      <c r="G4270" s="24"/>
      <c r="H4270" s="24"/>
      <c r="J4270" s="24"/>
      <c r="K4270" s="24"/>
      <c r="M4270" s="24"/>
      <c r="N4270" s="24"/>
      <c r="P4270" s="24"/>
    </row>
    <row r="4271" spans="2:16" x14ac:dyDescent="0.25">
      <c r="B4271" s="24"/>
      <c r="E4271" s="24"/>
      <c r="G4271" s="24"/>
      <c r="H4271" s="24"/>
      <c r="J4271" s="24"/>
      <c r="K4271" s="24"/>
      <c r="M4271" s="24"/>
      <c r="N4271" s="24"/>
      <c r="P4271" s="24"/>
    </row>
    <row r="4272" spans="2:16" x14ac:dyDescent="0.25">
      <c r="B4272" s="24"/>
      <c r="E4272" s="24"/>
      <c r="G4272" s="24"/>
      <c r="H4272" s="24"/>
      <c r="J4272" s="24"/>
      <c r="K4272" s="24"/>
      <c r="M4272" s="24"/>
      <c r="N4272" s="24"/>
      <c r="P4272" s="24"/>
    </row>
    <row r="4273" spans="2:16" x14ac:dyDescent="0.25">
      <c r="B4273" s="24"/>
      <c r="E4273" s="24"/>
      <c r="G4273" s="24"/>
      <c r="H4273" s="24"/>
      <c r="J4273" s="24"/>
      <c r="K4273" s="24"/>
      <c r="M4273" s="24"/>
      <c r="N4273" s="24"/>
      <c r="P4273" s="24"/>
    </row>
    <row r="4274" spans="2:16" x14ac:dyDescent="0.25">
      <c r="B4274" s="24"/>
      <c r="E4274" s="24"/>
      <c r="G4274" s="24"/>
      <c r="H4274" s="24"/>
      <c r="J4274" s="24"/>
      <c r="K4274" s="24"/>
      <c r="M4274" s="24"/>
      <c r="N4274" s="24"/>
      <c r="P4274" s="24"/>
    </row>
    <row r="4275" spans="2:16" x14ac:dyDescent="0.25">
      <c r="B4275" s="24"/>
      <c r="E4275" s="24"/>
      <c r="G4275" s="24"/>
      <c r="H4275" s="24"/>
      <c r="J4275" s="24"/>
      <c r="K4275" s="24"/>
      <c r="M4275" s="24"/>
      <c r="N4275" s="24"/>
      <c r="P4275" s="24"/>
    </row>
    <row r="4276" spans="2:16" x14ac:dyDescent="0.25">
      <c r="B4276" s="24"/>
      <c r="E4276" s="24"/>
      <c r="G4276" s="24"/>
      <c r="H4276" s="24"/>
      <c r="J4276" s="24"/>
      <c r="K4276" s="24"/>
      <c r="M4276" s="24"/>
      <c r="N4276" s="24"/>
      <c r="P4276" s="24"/>
    </row>
    <row r="4277" spans="2:16" x14ac:dyDescent="0.25">
      <c r="B4277" s="24"/>
      <c r="E4277" s="24"/>
      <c r="G4277" s="24"/>
      <c r="H4277" s="24"/>
      <c r="J4277" s="24"/>
      <c r="K4277" s="24"/>
      <c r="M4277" s="24"/>
      <c r="N4277" s="24"/>
      <c r="P4277" s="24"/>
    </row>
    <row r="4278" spans="2:16" x14ac:dyDescent="0.25">
      <c r="B4278" s="24"/>
      <c r="E4278" s="24"/>
      <c r="G4278" s="24"/>
      <c r="H4278" s="24"/>
      <c r="J4278" s="24"/>
      <c r="K4278" s="24"/>
      <c r="M4278" s="24"/>
      <c r="N4278" s="24"/>
      <c r="P4278" s="24"/>
    </row>
    <row r="4279" spans="2:16" x14ac:dyDescent="0.25">
      <c r="B4279" s="24"/>
      <c r="E4279" s="24"/>
      <c r="G4279" s="24"/>
      <c r="H4279" s="24"/>
      <c r="J4279" s="24"/>
      <c r="K4279" s="24"/>
      <c r="M4279" s="24"/>
      <c r="N4279" s="24"/>
      <c r="P4279" s="24"/>
    </row>
    <row r="4280" spans="2:16" x14ac:dyDescent="0.25">
      <c r="B4280" s="24"/>
      <c r="E4280" s="24"/>
      <c r="G4280" s="24"/>
      <c r="H4280" s="24"/>
      <c r="J4280" s="24"/>
      <c r="K4280" s="24"/>
      <c r="M4280" s="24"/>
      <c r="N4280" s="24"/>
      <c r="P4280" s="24"/>
    </row>
    <row r="4281" spans="2:16" x14ac:dyDescent="0.25">
      <c r="B4281" s="24"/>
      <c r="E4281" s="24"/>
      <c r="G4281" s="24"/>
      <c r="H4281" s="24"/>
      <c r="J4281" s="24"/>
      <c r="K4281" s="24"/>
      <c r="M4281" s="24"/>
      <c r="N4281" s="24"/>
      <c r="P4281" s="24"/>
    </row>
    <row r="4282" spans="2:16" x14ac:dyDescent="0.25">
      <c r="B4282" s="24"/>
      <c r="E4282" s="24"/>
      <c r="G4282" s="24"/>
      <c r="H4282" s="24"/>
      <c r="J4282" s="24"/>
      <c r="K4282" s="24"/>
      <c r="M4282" s="24"/>
      <c r="N4282" s="24"/>
      <c r="P4282" s="24"/>
    </row>
    <row r="4283" spans="2:16" x14ac:dyDescent="0.25">
      <c r="B4283" s="24"/>
      <c r="E4283" s="24"/>
      <c r="G4283" s="24"/>
      <c r="H4283" s="24"/>
      <c r="J4283" s="24"/>
      <c r="K4283" s="24"/>
      <c r="M4283" s="24"/>
      <c r="N4283" s="24"/>
      <c r="P4283" s="24"/>
    </row>
    <row r="4284" spans="2:16" x14ac:dyDescent="0.25">
      <c r="B4284" s="24"/>
      <c r="E4284" s="24"/>
      <c r="G4284" s="24"/>
      <c r="H4284" s="24"/>
      <c r="J4284" s="24"/>
      <c r="K4284" s="24"/>
      <c r="M4284" s="24"/>
      <c r="N4284" s="24"/>
      <c r="P4284" s="24"/>
    </row>
    <row r="4285" spans="2:16" x14ac:dyDescent="0.25">
      <c r="B4285" s="24"/>
      <c r="E4285" s="24"/>
      <c r="G4285" s="24"/>
      <c r="H4285" s="24"/>
      <c r="J4285" s="24"/>
      <c r="K4285" s="24"/>
      <c r="M4285" s="24"/>
      <c r="N4285" s="24"/>
      <c r="P4285" s="24"/>
    </row>
    <row r="4286" spans="2:16" x14ac:dyDescent="0.25">
      <c r="B4286" s="24"/>
      <c r="E4286" s="24"/>
      <c r="G4286" s="24"/>
      <c r="H4286" s="24"/>
      <c r="J4286" s="24"/>
      <c r="K4286" s="24"/>
      <c r="M4286" s="24"/>
      <c r="N4286" s="24"/>
      <c r="P4286" s="24"/>
    </row>
    <row r="4287" spans="2:16" x14ac:dyDescent="0.25">
      <c r="B4287" s="24"/>
      <c r="E4287" s="24"/>
      <c r="G4287" s="24"/>
      <c r="H4287" s="24"/>
      <c r="J4287" s="24"/>
      <c r="K4287" s="24"/>
      <c r="M4287" s="24"/>
      <c r="N4287" s="24"/>
      <c r="P4287" s="24"/>
    </row>
    <row r="4288" spans="2:16" x14ac:dyDescent="0.25">
      <c r="B4288" s="24"/>
      <c r="E4288" s="24"/>
      <c r="G4288" s="24"/>
      <c r="H4288" s="24"/>
      <c r="J4288" s="24"/>
      <c r="K4288" s="24"/>
      <c r="M4288" s="24"/>
      <c r="N4288" s="24"/>
      <c r="P4288" s="24"/>
    </row>
    <row r="4289" spans="2:16" x14ac:dyDescent="0.25">
      <c r="B4289" s="24"/>
      <c r="E4289" s="24"/>
      <c r="G4289" s="24"/>
      <c r="H4289" s="24"/>
      <c r="J4289" s="24"/>
      <c r="K4289" s="24"/>
      <c r="M4289" s="24"/>
      <c r="N4289" s="24"/>
      <c r="P4289" s="24"/>
    </row>
    <row r="4290" spans="2:16" x14ac:dyDescent="0.25">
      <c r="B4290" s="24"/>
      <c r="E4290" s="24"/>
      <c r="G4290" s="24"/>
      <c r="H4290" s="24"/>
      <c r="J4290" s="24"/>
      <c r="K4290" s="24"/>
      <c r="M4290" s="24"/>
      <c r="N4290" s="24"/>
      <c r="P4290" s="24"/>
    </row>
    <row r="4291" spans="2:16" x14ac:dyDescent="0.25">
      <c r="B4291" s="24"/>
      <c r="E4291" s="24"/>
      <c r="G4291" s="24"/>
      <c r="H4291" s="24"/>
      <c r="J4291" s="24"/>
      <c r="K4291" s="24"/>
      <c r="M4291" s="24"/>
      <c r="N4291" s="24"/>
      <c r="P4291" s="24"/>
    </row>
    <row r="4292" spans="2:16" x14ac:dyDescent="0.25">
      <c r="B4292" s="24"/>
      <c r="E4292" s="24"/>
      <c r="G4292" s="24"/>
      <c r="H4292" s="24"/>
      <c r="J4292" s="24"/>
      <c r="K4292" s="24"/>
      <c r="M4292" s="24"/>
      <c r="N4292" s="24"/>
      <c r="P4292" s="24"/>
    </row>
    <row r="4293" spans="2:16" x14ac:dyDescent="0.25">
      <c r="B4293" s="24"/>
      <c r="E4293" s="24"/>
      <c r="G4293" s="24"/>
      <c r="H4293" s="24"/>
      <c r="J4293" s="24"/>
      <c r="K4293" s="24"/>
      <c r="M4293" s="24"/>
      <c r="N4293" s="24"/>
      <c r="P4293" s="24"/>
    </row>
    <row r="4294" spans="2:16" x14ac:dyDescent="0.25">
      <c r="B4294" s="24"/>
      <c r="E4294" s="24"/>
      <c r="G4294" s="24"/>
      <c r="H4294" s="24"/>
      <c r="J4294" s="24"/>
      <c r="K4294" s="24"/>
      <c r="M4294" s="24"/>
      <c r="N4294" s="24"/>
      <c r="P4294" s="24"/>
    </row>
    <row r="4295" spans="2:16" x14ac:dyDescent="0.25">
      <c r="B4295" s="24"/>
      <c r="E4295" s="24"/>
      <c r="G4295" s="24"/>
      <c r="H4295" s="24"/>
      <c r="J4295" s="24"/>
      <c r="K4295" s="24"/>
      <c r="M4295" s="24"/>
      <c r="N4295" s="24"/>
      <c r="P4295" s="24"/>
    </row>
    <row r="4296" spans="2:16" x14ac:dyDescent="0.25">
      <c r="B4296" s="24"/>
      <c r="E4296" s="24"/>
      <c r="G4296" s="24"/>
      <c r="H4296" s="24"/>
      <c r="J4296" s="24"/>
      <c r="K4296" s="24"/>
      <c r="M4296" s="24"/>
      <c r="N4296" s="24"/>
      <c r="P4296" s="24"/>
    </row>
    <row r="4297" spans="2:16" x14ac:dyDescent="0.25">
      <c r="B4297" s="24"/>
      <c r="E4297" s="24"/>
      <c r="G4297" s="24"/>
      <c r="H4297" s="24"/>
      <c r="J4297" s="24"/>
      <c r="K4297" s="24"/>
      <c r="M4297" s="24"/>
      <c r="N4297" s="24"/>
      <c r="P4297" s="24"/>
    </row>
    <row r="4298" spans="2:16" x14ac:dyDescent="0.25">
      <c r="B4298" s="24"/>
      <c r="E4298" s="24"/>
      <c r="G4298" s="24"/>
      <c r="H4298" s="24"/>
      <c r="J4298" s="24"/>
      <c r="K4298" s="24"/>
      <c r="M4298" s="24"/>
      <c r="N4298" s="24"/>
      <c r="P4298" s="24"/>
    </row>
    <row r="4299" spans="2:16" x14ac:dyDescent="0.25">
      <c r="B4299" s="24"/>
      <c r="E4299" s="24"/>
      <c r="G4299" s="24"/>
      <c r="H4299" s="24"/>
      <c r="J4299" s="24"/>
      <c r="K4299" s="24"/>
      <c r="M4299" s="24"/>
      <c r="N4299" s="24"/>
      <c r="P4299" s="24"/>
    </row>
    <row r="4300" spans="2:16" x14ac:dyDescent="0.25">
      <c r="B4300" s="24"/>
      <c r="E4300" s="24"/>
      <c r="G4300" s="24"/>
      <c r="H4300" s="24"/>
      <c r="J4300" s="24"/>
      <c r="K4300" s="24"/>
      <c r="M4300" s="24"/>
      <c r="N4300" s="24"/>
      <c r="P4300" s="24"/>
    </row>
    <row r="4301" spans="2:16" x14ac:dyDescent="0.25">
      <c r="B4301" s="24"/>
      <c r="E4301" s="24"/>
      <c r="G4301" s="24"/>
      <c r="H4301" s="24"/>
      <c r="J4301" s="24"/>
      <c r="K4301" s="24"/>
      <c r="M4301" s="24"/>
      <c r="N4301" s="24"/>
      <c r="P4301" s="24"/>
    </row>
    <row r="4302" spans="2:16" x14ac:dyDescent="0.25">
      <c r="B4302" s="24"/>
      <c r="E4302" s="24"/>
      <c r="G4302" s="24"/>
      <c r="H4302" s="24"/>
      <c r="J4302" s="24"/>
      <c r="K4302" s="24"/>
      <c r="M4302" s="24"/>
      <c r="N4302" s="24"/>
      <c r="P4302" s="24"/>
    </row>
    <row r="4303" spans="2:16" x14ac:dyDescent="0.25">
      <c r="B4303" s="24"/>
      <c r="E4303" s="24"/>
      <c r="G4303" s="24"/>
      <c r="H4303" s="24"/>
      <c r="J4303" s="24"/>
      <c r="K4303" s="24"/>
      <c r="M4303" s="24"/>
      <c r="N4303" s="24"/>
      <c r="P4303" s="24"/>
    </row>
    <row r="4304" spans="2:16" x14ac:dyDescent="0.25">
      <c r="B4304" s="24"/>
      <c r="E4304" s="24"/>
      <c r="G4304" s="24"/>
      <c r="H4304" s="24"/>
      <c r="J4304" s="24"/>
      <c r="K4304" s="24"/>
      <c r="M4304" s="24"/>
      <c r="N4304" s="24"/>
      <c r="P4304" s="24"/>
    </row>
    <row r="4305" spans="2:16" x14ac:dyDescent="0.25">
      <c r="B4305" s="24"/>
      <c r="E4305" s="24"/>
      <c r="G4305" s="24"/>
      <c r="H4305" s="24"/>
      <c r="J4305" s="24"/>
      <c r="K4305" s="24"/>
      <c r="M4305" s="24"/>
      <c r="N4305" s="24"/>
      <c r="P4305" s="24"/>
    </row>
    <row r="4306" spans="2:16" x14ac:dyDescent="0.25">
      <c r="B4306" s="24"/>
      <c r="E4306" s="24"/>
      <c r="G4306" s="24"/>
      <c r="H4306" s="24"/>
      <c r="J4306" s="24"/>
      <c r="K4306" s="24"/>
      <c r="M4306" s="24"/>
      <c r="N4306" s="24"/>
      <c r="P4306" s="24"/>
    </row>
    <row r="4307" spans="2:16" x14ac:dyDescent="0.25">
      <c r="B4307" s="24"/>
      <c r="E4307" s="24"/>
      <c r="G4307" s="24"/>
      <c r="H4307" s="24"/>
      <c r="J4307" s="24"/>
      <c r="K4307" s="24"/>
      <c r="M4307" s="24"/>
      <c r="N4307" s="24"/>
      <c r="P4307" s="24"/>
    </row>
    <row r="4308" spans="2:16" x14ac:dyDescent="0.25">
      <c r="B4308" s="24"/>
      <c r="E4308" s="24"/>
      <c r="G4308" s="24"/>
      <c r="H4308" s="24"/>
      <c r="J4308" s="24"/>
      <c r="K4308" s="24"/>
      <c r="M4308" s="24"/>
      <c r="N4308" s="24"/>
      <c r="P4308" s="24"/>
    </row>
    <row r="4309" spans="2:16" x14ac:dyDescent="0.25">
      <c r="B4309" s="24"/>
      <c r="E4309" s="24"/>
      <c r="G4309" s="24"/>
      <c r="H4309" s="24"/>
      <c r="J4309" s="24"/>
      <c r="K4309" s="24"/>
      <c r="M4309" s="24"/>
      <c r="N4309" s="24"/>
      <c r="P4309" s="24"/>
    </row>
    <row r="4310" spans="2:16" x14ac:dyDescent="0.25">
      <c r="B4310" s="24"/>
      <c r="E4310" s="24"/>
      <c r="G4310" s="24"/>
      <c r="H4310" s="24"/>
      <c r="J4310" s="24"/>
      <c r="K4310" s="24"/>
      <c r="M4310" s="24"/>
      <c r="N4310" s="24"/>
      <c r="P4310" s="24"/>
    </row>
    <row r="4311" spans="2:16" x14ac:dyDescent="0.25">
      <c r="B4311" s="24"/>
      <c r="E4311" s="24"/>
      <c r="G4311" s="24"/>
      <c r="H4311" s="24"/>
      <c r="J4311" s="24"/>
      <c r="K4311" s="24"/>
      <c r="M4311" s="24"/>
      <c r="N4311" s="24"/>
      <c r="P4311" s="24"/>
    </row>
    <row r="4312" spans="2:16" x14ac:dyDescent="0.25">
      <c r="B4312" s="24"/>
      <c r="E4312" s="24"/>
      <c r="G4312" s="24"/>
      <c r="H4312" s="24"/>
      <c r="J4312" s="24"/>
      <c r="K4312" s="24"/>
      <c r="M4312" s="24"/>
      <c r="N4312" s="24"/>
      <c r="P4312" s="24"/>
    </row>
    <row r="4313" spans="2:16" x14ac:dyDescent="0.25">
      <c r="B4313" s="24"/>
      <c r="E4313" s="24"/>
      <c r="G4313" s="24"/>
      <c r="H4313" s="24"/>
      <c r="J4313" s="24"/>
      <c r="K4313" s="24"/>
      <c r="M4313" s="24"/>
      <c r="N4313" s="24"/>
      <c r="P4313" s="24"/>
    </row>
    <row r="4314" spans="2:16" x14ac:dyDescent="0.25">
      <c r="B4314" s="24"/>
      <c r="E4314" s="24"/>
      <c r="G4314" s="24"/>
      <c r="H4314" s="24"/>
      <c r="J4314" s="24"/>
      <c r="K4314" s="24"/>
      <c r="M4314" s="24"/>
      <c r="N4314" s="24"/>
      <c r="P4314" s="24"/>
    </row>
    <row r="4315" spans="2:16" x14ac:dyDescent="0.25">
      <c r="B4315" s="24"/>
      <c r="E4315" s="24"/>
      <c r="G4315" s="24"/>
      <c r="H4315" s="24"/>
      <c r="J4315" s="24"/>
      <c r="K4315" s="24"/>
      <c r="M4315" s="24"/>
      <c r="N4315" s="24"/>
      <c r="P4315" s="24"/>
    </row>
    <row r="4316" spans="2:16" x14ac:dyDescent="0.25">
      <c r="B4316" s="24"/>
      <c r="E4316" s="24"/>
      <c r="G4316" s="24"/>
      <c r="H4316" s="24"/>
      <c r="J4316" s="24"/>
      <c r="K4316" s="24"/>
      <c r="M4316" s="24"/>
      <c r="N4316" s="24"/>
      <c r="P4316" s="24"/>
    </row>
    <row r="4317" spans="2:16" x14ac:dyDescent="0.25">
      <c r="B4317" s="24"/>
      <c r="E4317" s="24"/>
      <c r="G4317" s="24"/>
      <c r="H4317" s="24"/>
      <c r="J4317" s="24"/>
      <c r="K4317" s="24"/>
      <c r="M4317" s="24"/>
      <c r="N4317" s="24"/>
      <c r="P4317" s="24"/>
    </row>
    <row r="4318" spans="2:16" x14ac:dyDescent="0.25">
      <c r="B4318" s="24"/>
      <c r="E4318" s="24"/>
      <c r="G4318" s="24"/>
      <c r="H4318" s="24"/>
      <c r="J4318" s="24"/>
      <c r="K4318" s="24"/>
      <c r="M4318" s="24"/>
      <c r="N4318" s="24"/>
      <c r="P4318" s="24"/>
    </row>
    <row r="4319" spans="2:16" x14ac:dyDescent="0.25">
      <c r="B4319" s="24"/>
      <c r="E4319" s="24"/>
      <c r="G4319" s="24"/>
      <c r="H4319" s="24"/>
      <c r="J4319" s="24"/>
      <c r="K4319" s="24"/>
      <c r="M4319" s="24"/>
      <c r="N4319" s="24"/>
      <c r="P4319" s="24"/>
    </row>
    <row r="4320" spans="2:16" x14ac:dyDescent="0.25">
      <c r="B4320" s="24"/>
      <c r="E4320" s="24"/>
      <c r="G4320" s="24"/>
      <c r="H4320" s="24"/>
      <c r="J4320" s="24"/>
      <c r="K4320" s="24"/>
      <c r="M4320" s="24"/>
      <c r="N4320" s="24"/>
      <c r="P4320" s="24"/>
    </row>
    <row r="4321" spans="2:16" x14ac:dyDescent="0.25">
      <c r="B4321" s="24"/>
      <c r="E4321" s="24"/>
      <c r="G4321" s="24"/>
      <c r="H4321" s="24"/>
      <c r="J4321" s="24"/>
      <c r="K4321" s="24"/>
      <c r="M4321" s="24"/>
      <c r="N4321" s="24"/>
      <c r="P4321" s="24"/>
    </row>
    <row r="4322" spans="2:16" x14ac:dyDescent="0.25">
      <c r="B4322" s="24"/>
      <c r="E4322" s="24"/>
      <c r="G4322" s="24"/>
      <c r="H4322" s="24"/>
      <c r="J4322" s="24"/>
      <c r="K4322" s="24"/>
      <c r="M4322" s="24"/>
      <c r="N4322" s="24"/>
      <c r="P4322" s="24"/>
    </row>
    <row r="4323" spans="2:16" x14ac:dyDescent="0.25">
      <c r="B4323" s="24"/>
      <c r="E4323" s="24"/>
      <c r="G4323" s="24"/>
      <c r="H4323" s="24"/>
      <c r="J4323" s="24"/>
      <c r="K4323" s="24"/>
      <c r="M4323" s="24"/>
      <c r="N4323" s="24"/>
      <c r="P4323" s="24"/>
    </row>
    <row r="4324" spans="2:16" x14ac:dyDescent="0.25">
      <c r="B4324" s="24"/>
      <c r="E4324" s="24"/>
      <c r="G4324" s="24"/>
      <c r="H4324" s="24"/>
      <c r="J4324" s="24"/>
      <c r="K4324" s="24"/>
      <c r="M4324" s="24"/>
      <c r="N4324" s="24"/>
      <c r="P4324" s="24"/>
    </row>
    <row r="4325" spans="2:16" x14ac:dyDescent="0.25">
      <c r="B4325" s="24"/>
      <c r="E4325" s="24"/>
      <c r="G4325" s="24"/>
      <c r="H4325" s="24"/>
      <c r="J4325" s="24"/>
      <c r="K4325" s="24"/>
      <c r="M4325" s="24"/>
      <c r="N4325" s="24"/>
      <c r="P4325" s="24"/>
    </row>
    <row r="4326" spans="2:16" x14ac:dyDescent="0.25">
      <c r="B4326" s="24"/>
      <c r="E4326" s="24"/>
      <c r="G4326" s="24"/>
      <c r="H4326" s="24"/>
      <c r="J4326" s="24"/>
      <c r="K4326" s="24"/>
      <c r="M4326" s="24"/>
      <c r="N4326" s="24"/>
      <c r="P4326" s="24"/>
    </row>
    <row r="4327" spans="2:16" x14ac:dyDescent="0.25">
      <c r="B4327" s="24"/>
      <c r="E4327" s="24"/>
      <c r="G4327" s="24"/>
      <c r="H4327" s="24"/>
      <c r="J4327" s="24"/>
      <c r="K4327" s="24"/>
      <c r="M4327" s="24"/>
      <c r="N4327" s="24"/>
      <c r="P4327" s="24"/>
    </row>
    <row r="4328" spans="2:16" x14ac:dyDescent="0.25">
      <c r="B4328" s="24"/>
      <c r="E4328" s="24"/>
      <c r="G4328" s="24"/>
      <c r="H4328" s="24"/>
      <c r="J4328" s="24"/>
      <c r="K4328" s="24"/>
      <c r="M4328" s="24"/>
      <c r="N4328" s="24"/>
      <c r="P4328" s="24"/>
    </row>
    <row r="4329" spans="2:16" x14ac:dyDescent="0.25">
      <c r="B4329" s="24"/>
      <c r="E4329" s="24"/>
      <c r="G4329" s="24"/>
      <c r="H4329" s="24"/>
      <c r="J4329" s="24"/>
      <c r="K4329" s="24"/>
      <c r="M4329" s="24"/>
      <c r="N4329" s="24"/>
      <c r="P4329" s="24"/>
    </row>
    <row r="4330" spans="2:16" x14ac:dyDescent="0.25">
      <c r="B4330" s="24"/>
      <c r="E4330" s="24"/>
      <c r="G4330" s="24"/>
      <c r="H4330" s="24"/>
      <c r="J4330" s="24"/>
      <c r="K4330" s="24"/>
      <c r="M4330" s="24"/>
      <c r="N4330" s="24"/>
      <c r="P4330" s="24"/>
    </row>
    <row r="4331" spans="2:16" x14ac:dyDescent="0.25">
      <c r="B4331" s="24"/>
      <c r="E4331" s="24"/>
      <c r="G4331" s="24"/>
      <c r="H4331" s="24"/>
      <c r="J4331" s="24"/>
      <c r="K4331" s="24"/>
      <c r="M4331" s="24"/>
      <c r="N4331" s="24"/>
      <c r="P4331" s="24"/>
    </row>
    <row r="4332" spans="2:16" x14ac:dyDescent="0.25">
      <c r="B4332" s="24"/>
      <c r="E4332" s="24"/>
      <c r="G4332" s="24"/>
      <c r="H4332" s="24"/>
      <c r="J4332" s="24"/>
      <c r="K4332" s="24"/>
      <c r="M4332" s="24"/>
      <c r="N4332" s="24"/>
      <c r="P4332" s="24"/>
    </row>
    <row r="4333" spans="2:16" x14ac:dyDescent="0.25">
      <c r="B4333" s="24"/>
      <c r="E4333" s="24"/>
      <c r="G4333" s="24"/>
      <c r="H4333" s="24"/>
      <c r="J4333" s="24"/>
      <c r="K4333" s="24"/>
      <c r="M4333" s="24"/>
      <c r="N4333" s="24"/>
      <c r="P4333" s="24"/>
    </row>
    <row r="4334" spans="2:16" x14ac:dyDescent="0.25">
      <c r="B4334" s="24"/>
      <c r="E4334" s="24"/>
      <c r="G4334" s="24"/>
      <c r="H4334" s="24"/>
      <c r="J4334" s="24"/>
      <c r="K4334" s="24"/>
      <c r="M4334" s="24"/>
      <c r="N4334" s="24"/>
      <c r="P4334" s="24"/>
    </row>
    <row r="4335" spans="2:16" x14ac:dyDescent="0.25">
      <c r="B4335" s="24"/>
      <c r="E4335" s="24"/>
      <c r="G4335" s="24"/>
      <c r="H4335" s="24"/>
      <c r="J4335" s="24"/>
      <c r="K4335" s="24"/>
      <c r="M4335" s="24"/>
      <c r="N4335" s="24"/>
      <c r="P4335" s="24"/>
    </row>
    <row r="4336" spans="2:16" x14ac:dyDescent="0.25">
      <c r="B4336" s="24"/>
      <c r="E4336" s="24"/>
      <c r="G4336" s="24"/>
      <c r="H4336" s="24"/>
      <c r="J4336" s="24"/>
      <c r="K4336" s="24"/>
      <c r="M4336" s="24"/>
      <c r="N4336" s="24"/>
      <c r="P4336" s="24"/>
    </row>
    <row r="4337" spans="2:16" x14ac:dyDescent="0.25">
      <c r="B4337" s="24"/>
      <c r="E4337" s="24"/>
      <c r="G4337" s="24"/>
      <c r="H4337" s="24"/>
      <c r="J4337" s="24"/>
      <c r="K4337" s="24"/>
      <c r="M4337" s="24"/>
      <c r="N4337" s="24"/>
      <c r="P4337" s="24"/>
    </row>
    <row r="4338" spans="2:16" x14ac:dyDescent="0.25">
      <c r="B4338" s="24"/>
      <c r="E4338" s="24"/>
      <c r="G4338" s="24"/>
      <c r="H4338" s="24"/>
      <c r="J4338" s="24"/>
      <c r="K4338" s="24"/>
      <c r="M4338" s="24"/>
      <c r="N4338" s="24"/>
      <c r="P4338" s="24"/>
    </row>
    <row r="4339" spans="2:16" x14ac:dyDescent="0.25">
      <c r="B4339" s="24"/>
      <c r="E4339" s="24"/>
      <c r="G4339" s="24"/>
      <c r="H4339" s="24"/>
      <c r="J4339" s="24"/>
      <c r="K4339" s="24"/>
      <c r="M4339" s="24"/>
      <c r="N4339" s="24"/>
      <c r="P4339" s="24"/>
    </row>
    <row r="4340" spans="2:16" x14ac:dyDescent="0.25">
      <c r="B4340" s="24"/>
      <c r="E4340" s="24"/>
      <c r="G4340" s="24"/>
      <c r="H4340" s="24"/>
      <c r="J4340" s="24"/>
      <c r="K4340" s="24"/>
      <c r="M4340" s="24"/>
      <c r="N4340" s="24"/>
      <c r="P4340" s="24"/>
    </row>
    <row r="4341" spans="2:16" x14ac:dyDescent="0.25">
      <c r="B4341" s="24"/>
      <c r="E4341" s="24"/>
      <c r="G4341" s="24"/>
      <c r="H4341" s="24"/>
      <c r="J4341" s="24"/>
      <c r="K4341" s="24"/>
      <c r="M4341" s="24"/>
      <c r="N4341" s="24"/>
      <c r="P4341" s="24"/>
    </row>
    <row r="4342" spans="2:16" x14ac:dyDescent="0.25">
      <c r="B4342" s="24"/>
      <c r="E4342" s="24"/>
      <c r="G4342" s="24"/>
      <c r="H4342" s="24"/>
      <c r="J4342" s="24"/>
      <c r="K4342" s="24"/>
      <c r="M4342" s="24"/>
      <c r="N4342" s="24"/>
      <c r="P4342" s="24"/>
    </row>
    <row r="4343" spans="2:16" x14ac:dyDescent="0.25">
      <c r="B4343" s="24"/>
      <c r="E4343" s="24"/>
      <c r="G4343" s="24"/>
      <c r="H4343" s="24"/>
      <c r="J4343" s="24"/>
      <c r="K4343" s="24"/>
      <c r="M4343" s="24"/>
      <c r="N4343" s="24"/>
      <c r="P4343" s="24"/>
    </row>
    <row r="4344" spans="2:16" x14ac:dyDescent="0.25">
      <c r="B4344" s="24"/>
      <c r="E4344" s="24"/>
      <c r="G4344" s="24"/>
      <c r="H4344" s="24"/>
      <c r="J4344" s="24"/>
      <c r="K4344" s="24"/>
      <c r="M4344" s="24"/>
      <c r="N4344" s="24"/>
      <c r="P4344" s="24"/>
    </row>
    <row r="4345" spans="2:16" x14ac:dyDescent="0.25">
      <c r="B4345" s="24"/>
      <c r="E4345" s="24"/>
      <c r="G4345" s="24"/>
      <c r="H4345" s="24"/>
      <c r="J4345" s="24"/>
      <c r="K4345" s="24"/>
      <c r="M4345" s="24"/>
      <c r="N4345" s="24"/>
      <c r="P4345" s="24"/>
    </row>
    <row r="4346" spans="2:16" x14ac:dyDescent="0.25">
      <c r="B4346" s="24"/>
      <c r="E4346" s="24"/>
      <c r="G4346" s="24"/>
      <c r="H4346" s="24"/>
      <c r="J4346" s="24"/>
      <c r="K4346" s="24"/>
      <c r="M4346" s="24"/>
      <c r="N4346" s="24"/>
      <c r="P4346" s="24"/>
    </row>
    <row r="4347" spans="2:16" x14ac:dyDescent="0.25">
      <c r="B4347" s="24"/>
      <c r="E4347" s="24"/>
      <c r="G4347" s="24"/>
      <c r="H4347" s="24"/>
      <c r="J4347" s="24"/>
      <c r="K4347" s="24"/>
      <c r="M4347" s="24"/>
      <c r="N4347" s="24"/>
      <c r="P4347" s="24"/>
    </row>
    <row r="4348" spans="2:16" x14ac:dyDescent="0.25">
      <c r="B4348" s="24"/>
      <c r="E4348" s="24"/>
      <c r="G4348" s="24"/>
      <c r="H4348" s="24"/>
      <c r="J4348" s="24"/>
      <c r="K4348" s="24"/>
      <c r="M4348" s="24"/>
      <c r="N4348" s="24"/>
      <c r="P4348" s="24"/>
    </row>
    <row r="4349" spans="2:16" x14ac:dyDescent="0.25">
      <c r="B4349" s="24"/>
      <c r="E4349" s="24"/>
      <c r="G4349" s="24"/>
      <c r="H4349" s="24"/>
      <c r="J4349" s="24"/>
      <c r="K4349" s="24"/>
      <c r="M4349" s="24"/>
      <c r="N4349" s="24"/>
      <c r="P4349" s="24"/>
    </row>
    <row r="4350" spans="2:16" x14ac:dyDescent="0.25">
      <c r="B4350" s="24"/>
      <c r="E4350" s="24"/>
      <c r="G4350" s="24"/>
      <c r="H4350" s="24"/>
      <c r="J4350" s="24"/>
      <c r="K4350" s="24"/>
      <c r="M4350" s="24"/>
      <c r="N4350" s="24"/>
      <c r="P4350" s="24"/>
    </row>
    <row r="4351" spans="2:16" x14ac:dyDescent="0.25">
      <c r="B4351" s="24"/>
      <c r="E4351" s="24"/>
      <c r="G4351" s="24"/>
      <c r="H4351" s="24"/>
      <c r="J4351" s="24"/>
      <c r="K4351" s="24"/>
      <c r="M4351" s="24"/>
      <c r="N4351" s="24"/>
      <c r="P4351" s="24"/>
    </row>
    <row r="4352" spans="2:16" x14ac:dyDescent="0.25">
      <c r="B4352" s="24"/>
      <c r="E4352" s="24"/>
      <c r="G4352" s="24"/>
      <c r="H4352" s="24"/>
      <c r="J4352" s="24"/>
      <c r="K4352" s="24"/>
      <c r="M4352" s="24"/>
      <c r="N4352" s="24"/>
      <c r="P4352" s="24"/>
    </row>
    <row r="4353" spans="2:16" x14ac:dyDescent="0.25">
      <c r="B4353" s="24"/>
      <c r="E4353" s="24"/>
      <c r="G4353" s="24"/>
      <c r="H4353" s="24"/>
      <c r="J4353" s="24"/>
      <c r="K4353" s="24"/>
      <c r="M4353" s="24"/>
      <c r="N4353" s="24"/>
      <c r="P4353" s="24"/>
    </row>
    <row r="4354" spans="2:16" x14ac:dyDescent="0.25">
      <c r="B4354" s="24"/>
      <c r="E4354" s="24"/>
      <c r="G4354" s="24"/>
      <c r="H4354" s="24"/>
      <c r="J4354" s="24"/>
      <c r="K4354" s="24"/>
      <c r="M4354" s="24"/>
      <c r="N4354" s="24"/>
      <c r="P4354" s="24"/>
    </row>
    <row r="4355" spans="2:16" x14ac:dyDescent="0.25">
      <c r="B4355" s="24"/>
      <c r="E4355" s="24"/>
      <c r="G4355" s="24"/>
      <c r="H4355" s="24"/>
      <c r="J4355" s="24"/>
      <c r="K4355" s="24"/>
      <c r="M4355" s="24"/>
      <c r="N4355" s="24"/>
      <c r="P4355" s="24"/>
    </row>
    <row r="4356" spans="2:16" x14ac:dyDescent="0.25">
      <c r="B4356" s="24"/>
      <c r="E4356" s="24"/>
      <c r="G4356" s="24"/>
      <c r="H4356" s="24"/>
      <c r="J4356" s="24"/>
      <c r="K4356" s="24"/>
      <c r="M4356" s="24"/>
      <c r="N4356" s="24"/>
      <c r="P4356" s="24"/>
    </row>
    <row r="4357" spans="2:16" x14ac:dyDescent="0.25">
      <c r="B4357" s="24"/>
      <c r="E4357" s="24"/>
      <c r="G4357" s="24"/>
      <c r="H4357" s="24"/>
      <c r="J4357" s="24"/>
      <c r="K4357" s="24"/>
      <c r="M4357" s="24"/>
      <c r="N4357" s="24"/>
      <c r="P4357" s="24"/>
    </row>
    <row r="4358" spans="2:16" x14ac:dyDescent="0.25">
      <c r="B4358" s="24"/>
      <c r="E4358" s="24"/>
      <c r="G4358" s="24"/>
      <c r="H4358" s="24"/>
      <c r="J4358" s="24"/>
      <c r="K4358" s="24"/>
      <c r="M4358" s="24"/>
      <c r="N4358" s="24"/>
      <c r="P4358" s="24"/>
    </row>
    <row r="4359" spans="2:16" x14ac:dyDescent="0.25">
      <c r="B4359" s="24"/>
      <c r="E4359" s="24"/>
      <c r="G4359" s="24"/>
      <c r="H4359" s="24"/>
      <c r="J4359" s="24"/>
      <c r="K4359" s="24"/>
      <c r="M4359" s="24"/>
      <c r="N4359" s="24"/>
      <c r="P4359" s="24"/>
    </row>
    <row r="4360" spans="2:16" x14ac:dyDescent="0.25">
      <c r="B4360" s="24"/>
      <c r="E4360" s="24"/>
      <c r="G4360" s="24"/>
      <c r="H4360" s="24"/>
      <c r="J4360" s="24"/>
      <c r="K4360" s="24"/>
      <c r="M4360" s="24"/>
      <c r="N4360" s="24"/>
      <c r="P4360" s="24"/>
    </row>
    <row r="4361" spans="2:16" x14ac:dyDescent="0.25">
      <c r="B4361" s="24"/>
      <c r="E4361" s="24"/>
      <c r="G4361" s="24"/>
      <c r="H4361" s="24"/>
      <c r="J4361" s="24"/>
      <c r="K4361" s="24"/>
      <c r="M4361" s="24"/>
      <c r="N4361" s="24"/>
      <c r="P4361" s="24"/>
    </row>
    <row r="4362" spans="2:16" x14ac:dyDescent="0.25">
      <c r="B4362" s="24"/>
      <c r="E4362" s="24"/>
      <c r="G4362" s="24"/>
      <c r="H4362" s="24"/>
      <c r="J4362" s="24"/>
      <c r="K4362" s="24"/>
      <c r="M4362" s="24"/>
      <c r="N4362" s="24"/>
      <c r="P4362" s="24"/>
    </row>
    <row r="4363" spans="2:16" x14ac:dyDescent="0.25">
      <c r="B4363" s="24"/>
      <c r="E4363" s="24"/>
      <c r="G4363" s="24"/>
      <c r="H4363" s="24"/>
      <c r="J4363" s="24"/>
      <c r="K4363" s="24"/>
      <c r="M4363" s="24"/>
      <c r="N4363" s="24"/>
      <c r="P4363" s="24"/>
    </row>
    <row r="4364" spans="2:16" x14ac:dyDescent="0.25">
      <c r="B4364" s="24"/>
      <c r="E4364" s="24"/>
      <c r="G4364" s="24"/>
      <c r="H4364" s="24"/>
      <c r="J4364" s="24"/>
      <c r="K4364" s="24"/>
      <c r="M4364" s="24"/>
      <c r="N4364" s="24"/>
      <c r="P4364" s="24"/>
    </row>
    <row r="4365" spans="2:16" x14ac:dyDescent="0.25">
      <c r="B4365" s="24"/>
      <c r="E4365" s="24"/>
      <c r="G4365" s="24"/>
      <c r="H4365" s="24"/>
      <c r="J4365" s="24"/>
      <c r="K4365" s="24"/>
      <c r="M4365" s="24"/>
      <c r="N4365" s="24"/>
      <c r="P4365" s="24"/>
    </row>
    <row r="4366" spans="2:16" x14ac:dyDescent="0.25">
      <c r="B4366" s="24"/>
      <c r="E4366" s="24"/>
      <c r="G4366" s="24"/>
      <c r="H4366" s="24"/>
      <c r="J4366" s="24"/>
      <c r="K4366" s="24"/>
      <c r="M4366" s="24"/>
      <c r="N4366" s="24"/>
      <c r="P4366" s="24"/>
    </row>
    <row r="4367" spans="2:16" x14ac:dyDescent="0.25">
      <c r="B4367" s="24"/>
      <c r="E4367" s="24"/>
      <c r="G4367" s="24"/>
      <c r="H4367" s="24"/>
      <c r="J4367" s="24"/>
      <c r="K4367" s="24"/>
      <c r="M4367" s="24"/>
      <c r="N4367" s="24"/>
      <c r="P4367" s="24"/>
    </row>
    <row r="4368" spans="2:16" x14ac:dyDescent="0.25">
      <c r="B4368" s="24"/>
      <c r="E4368" s="24"/>
      <c r="G4368" s="24"/>
      <c r="H4368" s="24"/>
      <c r="J4368" s="24"/>
      <c r="K4368" s="24"/>
      <c r="M4368" s="24"/>
      <c r="N4368" s="24"/>
      <c r="P4368" s="24"/>
    </row>
    <row r="4369" spans="2:16" x14ac:dyDescent="0.25">
      <c r="B4369" s="24"/>
      <c r="E4369" s="24"/>
      <c r="G4369" s="24"/>
      <c r="H4369" s="24"/>
      <c r="J4369" s="24"/>
      <c r="K4369" s="24"/>
      <c r="M4369" s="24"/>
      <c r="N4369" s="24"/>
      <c r="P4369" s="24"/>
    </row>
    <row r="4370" spans="2:16" x14ac:dyDescent="0.25">
      <c r="B4370" s="24"/>
      <c r="E4370" s="24"/>
      <c r="G4370" s="24"/>
      <c r="H4370" s="24"/>
      <c r="J4370" s="24"/>
      <c r="K4370" s="24"/>
      <c r="M4370" s="24"/>
      <c r="N4370" s="24"/>
      <c r="P4370" s="24"/>
    </row>
    <row r="4371" spans="2:16" x14ac:dyDescent="0.25">
      <c r="B4371" s="24"/>
      <c r="E4371" s="24"/>
      <c r="G4371" s="24"/>
      <c r="H4371" s="24"/>
      <c r="J4371" s="24"/>
      <c r="K4371" s="24"/>
      <c r="M4371" s="24"/>
      <c r="N4371" s="24"/>
      <c r="P4371" s="24"/>
    </row>
    <row r="4372" spans="2:16" x14ac:dyDescent="0.25">
      <c r="B4372" s="24"/>
      <c r="E4372" s="24"/>
      <c r="G4372" s="24"/>
      <c r="H4372" s="24"/>
      <c r="J4372" s="24"/>
      <c r="K4372" s="24"/>
      <c r="M4372" s="24"/>
      <c r="N4372" s="24"/>
      <c r="P4372" s="24"/>
    </row>
    <row r="4373" spans="2:16" x14ac:dyDescent="0.25">
      <c r="B4373" s="24"/>
      <c r="E4373" s="24"/>
      <c r="G4373" s="24"/>
      <c r="H4373" s="24"/>
      <c r="J4373" s="24"/>
      <c r="K4373" s="24"/>
      <c r="M4373" s="24"/>
      <c r="N4373" s="24"/>
      <c r="P4373" s="24"/>
    </row>
    <row r="4374" spans="2:16" x14ac:dyDescent="0.25">
      <c r="B4374" s="24"/>
      <c r="E4374" s="24"/>
      <c r="G4374" s="24"/>
      <c r="H4374" s="24"/>
      <c r="J4374" s="24"/>
      <c r="K4374" s="24"/>
      <c r="M4374" s="24"/>
      <c r="N4374" s="24"/>
      <c r="P4374" s="24"/>
    </row>
    <row r="4375" spans="2:16" x14ac:dyDescent="0.25">
      <c r="B4375" s="24"/>
      <c r="E4375" s="24"/>
      <c r="G4375" s="24"/>
      <c r="H4375" s="24"/>
      <c r="J4375" s="24"/>
      <c r="K4375" s="24"/>
      <c r="M4375" s="24"/>
      <c r="N4375" s="24"/>
      <c r="P4375" s="24"/>
    </row>
    <row r="4376" spans="2:16" x14ac:dyDescent="0.25">
      <c r="B4376" s="24"/>
      <c r="E4376" s="24"/>
      <c r="G4376" s="24"/>
      <c r="H4376" s="24"/>
      <c r="J4376" s="24"/>
      <c r="K4376" s="24"/>
      <c r="M4376" s="24"/>
      <c r="N4376" s="24"/>
      <c r="P4376" s="24"/>
    </row>
    <row r="4377" spans="2:16" x14ac:dyDescent="0.25">
      <c r="B4377" s="24"/>
      <c r="E4377" s="24"/>
      <c r="G4377" s="24"/>
      <c r="H4377" s="24"/>
      <c r="J4377" s="24"/>
      <c r="K4377" s="24"/>
      <c r="M4377" s="24"/>
      <c r="N4377" s="24"/>
      <c r="P4377" s="24"/>
    </row>
    <row r="4378" spans="2:16" x14ac:dyDescent="0.25">
      <c r="B4378" s="24"/>
      <c r="E4378" s="24"/>
      <c r="G4378" s="24"/>
      <c r="H4378" s="24"/>
      <c r="J4378" s="24"/>
      <c r="K4378" s="24"/>
      <c r="M4378" s="24"/>
      <c r="N4378" s="24"/>
      <c r="P4378" s="24"/>
    </row>
    <row r="4379" spans="2:16" x14ac:dyDescent="0.25">
      <c r="B4379" s="24"/>
      <c r="E4379" s="24"/>
      <c r="G4379" s="24"/>
      <c r="H4379" s="24"/>
      <c r="J4379" s="24"/>
      <c r="K4379" s="24"/>
      <c r="M4379" s="24"/>
      <c r="N4379" s="24"/>
      <c r="P4379" s="24"/>
    </row>
    <row r="4380" spans="2:16" x14ac:dyDescent="0.25">
      <c r="B4380" s="24"/>
      <c r="E4380" s="24"/>
      <c r="G4380" s="24"/>
      <c r="H4380" s="24"/>
      <c r="J4380" s="24"/>
      <c r="K4380" s="24"/>
      <c r="M4380" s="24"/>
      <c r="N4380" s="24"/>
      <c r="P4380" s="24"/>
    </row>
    <row r="4381" spans="2:16" x14ac:dyDescent="0.25">
      <c r="B4381" s="24"/>
      <c r="E4381" s="24"/>
      <c r="G4381" s="24"/>
      <c r="H4381" s="24"/>
      <c r="J4381" s="24"/>
      <c r="K4381" s="24"/>
      <c r="M4381" s="24"/>
      <c r="N4381" s="24"/>
      <c r="P4381" s="24"/>
    </row>
    <row r="4382" spans="2:16" x14ac:dyDescent="0.25">
      <c r="B4382" s="24"/>
      <c r="E4382" s="24"/>
      <c r="G4382" s="24"/>
      <c r="H4382" s="24"/>
      <c r="J4382" s="24"/>
      <c r="K4382" s="24"/>
      <c r="M4382" s="24"/>
      <c r="N4382" s="24"/>
      <c r="P4382" s="24"/>
    </row>
    <row r="4383" spans="2:16" x14ac:dyDescent="0.25">
      <c r="B4383" s="24"/>
      <c r="E4383" s="24"/>
      <c r="G4383" s="24"/>
      <c r="H4383" s="24"/>
      <c r="J4383" s="24"/>
      <c r="K4383" s="24"/>
      <c r="M4383" s="24"/>
      <c r="N4383" s="24"/>
      <c r="P4383" s="24"/>
    </row>
    <row r="4384" spans="2:16" x14ac:dyDescent="0.25">
      <c r="B4384" s="24"/>
      <c r="E4384" s="24"/>
      <c r="G4384" s="24"/>
      <c r="H4384" s="24"/>
      <c r="J4384" s="24"/>
      <c r="K4384" s="24"/>
      <c r="M4384" s="24"/>
      <c r="N4384" s="24"/>
      <c r="P4384" s="24"/>
    </row>
    <row r="4385" spans="2:16" x14ac:dyDescent="0.25">
      <c r="B4385" s="24"/>
      <c r="E4385" s="24"/>
      <c r="G4385" s="24"/>
      <c r="H4385" s="24"/>
      <c r="J4385" s="24"/>
      <c r="K4385" s="24"/>
      <c r="M4385" s="24"/>
      <c r="N4385" s="24"/>
      <c r="P4385" s="24"/>
    </row>
    <row r="4386" spans="2:16" x14ac:dyDescent="0.25">
      <c r="B4386" s="24"/>
      <c r="E4386" s="24"/>
      <c r="G4386" s="24"/>
      <c r="H4386" s="24"/>
      <c r="J4386" s="24"/>
      <c r="K4386" s="24"/>
      <c r="M4386" s="24"/>
      <c r="N4386" s="24"/>
      <c r="P4386" s="24"/>
    </row>
    <row r="4387" spans="2:16" x14ac:dyDescent="0.25">
      <c r="B4387" s="24"/>
      <c r="E4387" s="24"/>
      <c r="G4387" s="24"/>
      <c r="H4387" s="24"/>
      <c r="J4387" s="24"/>
      <c r="K4387" s="24"/>
      <c r="M4387" s="24"/>
      <c r="N4387" s="24"/>
      <c r="P4387" s="24"/>
    </row>
    <row r="4388" spans="2:16" x14ac:dyDescent="0.25">
      <c r="B4388" s="24"/>
      <c r="E4388" s="24"/>
      <c r="G4388" s="24"/>
      <c r="H4388" s="24"/>
      <c r="J4388" s="24"/>
      <c r="K4388" s="24"/>
      <c r="M4388" s="24"/>
      <c r="N4388" s="24"/>
      <c r="P4388" s="24"/>
    </row>
    <row r="4389" spans="2:16" x14ac:dyDescent="0.25">
      <c r="B4389" s="24"/>
      <c r="E4389" s="24"/>
      <c r="G4389" s="24"/>
      <c r="H4389" s="24"/>
      <c r="J4389" s="24"/>
      <c r="K4389" s="24"/>
      <c r="M4389" s="24"/>
      <c r="N4389" s="24"/>
      <c r="P4389" s="24"/>
    </row>
    <row r="4390" spans="2:16" x14ac:dyDescent="0.25">
      <c r="B4390" s="24"/>
      <c r="E4390" s="24"/>
      <c r="G4390" s="24"/>
      <c r="H4390" s="24"/>
      <c r="J4390" s="24"/>
      <c r="K4390" s="24"/>
      <c r="M4390" s="24"/>
      <c r="N4390" s="24"/>
      <c r="P4390" s="24"/>
    </row>
    <row r="4391" spans="2:16" x14ac:dyDescent="0.25">
      <c r="B4391" s="24"/>
      <c r="E4391" s="24"/>
      <c r="G4391" s="24"/>
      <c r="H4391" s="24"/>
      <c r="J4391" s="24"/>
      <c r="K4391" s="24"/>
      <c r="M4391" s="24"/>
      <c r="N4391" s="24"/>
      <c r="P4391" s="24"/>
    </row>
    <row r="4392" spans="2:16" x14ac:dyDescent="0.25">
      <c r="B4392" s="24"/>
      <c r="E4392" s="24"/>
      <c r="G4392" s="24"/>
      <c r="H4392" s="24"/>
      <c r="J4392" s="24"/>
      <c r="K4392" s="24"/>
      <c r="M4392" s="24"/>
      <c r="N4392" s="24"/>
      <c r="P4392" s="24"/>
    </row>
    <row r="4393" spans="2:16" x14ac:dyDescent="0.25">
      <c r="B4393" s="24"/>
      <c r="E4393" s="24"/>
      <c r="G4393" s="24"/>
      <c r="H4393" s="24"/>
      <c r="J4393" s="24"/>
      <c r="K4393" s="24"/>
      <c r="M4393" s="24"/>
      <c r="N4393" s="24"/>
      <c r="P4393" s="24"/>
    </row>
    <row r="4394" spans="2:16" x14ac:dyDescent="0.25">
      <c r="B4394" s="24"/>
      <c r="E4394" s="24"/>
      <c r="G4394" s="24"/>
      <c r="H4394" s="24"/>
      <c r="J4394" s="24"/>
      <c r="K4394" s="24"/>
      <c r="M4394" s="24"/>
      <c r="N4394" s="24"/>
      <c r="P4394" s="24"/>
    </row>
    <row r="4395" spans="2:16" x14ac:dyDescent="0.25">
      <c r="B4395" s="24"/>
      <c r="E4395" s="24"/>
      <c r="G4395" s="24"/>
      <c r="H4395" s="24"/>
      <c r="J4395" s="24"/>
      <c r="K4395" s="24"/>
      <c r="M4395" s="24"/>
      <c r="N4395" s="24"/>
      <c r="P4395" s="24"/>
    </row>
    <row r="4396" spans="2:16" x14ac:dyDescent="0.25">
      <c r="B4396" s="24"/>
      <c r="E4396" s="24"/>
      <c r="G4396" s="24"/>
      <c r="H4396" s="24"/>
      <c r="J4396" s="24"/>
      <c r="K4396" s="24"/>
      <c r="M4396" s="24"/>
      <c r="N4396" s="24"/>
      <c r="P4396" s="24"/>
    </row>
    <row r="4397" spans="2:16" x14ac:dyDescent="0.25">
      <c r="B4397" s="24"/>
      <c r="E4397" s="24"/>
      <c r="G4397" s="24"/>
      <c r="H4397" s="24"/>
      <c r="J4397" s="24"/>
      <c r="K4397" s="24"/>
      <c r="M4397" s="24"/>
      <c r="N4397" s="24"/>
      <c r="P4397" s="24"/>
    </row>
    <row r="4398" spans="2:16" x14ac:dyDescent="0.25">
      <c r="B4398" s="24"/>
      <c r="E4398" s="24"/>
      <c r="G4398" s="24"/>
      <c r="H4398" s="24"/>
      <c r="J4398" s="24"/>
      <c r="K4398" s="24"/>
      <c r="M4398" s="24"/>
      <c r="N4398" s="24"/>
      <c r="P4398" s="24"/>
    </row>
    <row r="4399" spans="2:16" x14ac:dyDescent="0.25">
      <c r="B4399" s="24"/>
      <c r="E4399" s="24"/>
      <c r="G4399" s="24"/>
      <c r="H4399" s="24"/>
      <c r="J4399" s="24"/>
      <c r="K4399" s="24"/>
      <c r="M4399" s="24"/>
      <c r="N4399" s="24"/>
      <c r="P4399" s="24"/>
    </row>
    <row r="4400" spans="2:16" x14ac:dyDescent="0.25">
      <c r="B4400" s="24"/>
      <c r="E4400" s="24"/>
      <c r="G4400" s="24"/>
      <c r="H4400" s="24"/>
      <c r="J4400" s="24"/>
      <c r="K4400" s="24"/>
      <c r="M4400" s="24"/>
      <c r="N4400" s="24"/>
      <c r="P4400" s="24"/>
    </row>
    <row r="4401" spans="2:16" x14ac:dyDescent="0.25">
      <c r="B4401" s="24"/>
      <c r="E4401" s="24"/>
      <c r="G4401" s="24"/>
      <c r="H4401" s="24"/>
      <c r="J4401" s="24"/>
      <c r="K4401" s="24"/>
      <c r="M4401" s="24"/>
      <c r="N4401" s="24"/>
      <c r="P4401" s="24"/>
    </row>
    <row r="4402" spans="2:16" x14ac:dyDescent="0.25">
      <c r="B4402" s="24"/>
      <c r="E4402" s="24"/>
      <c r="G4402" s="24"/>
      <c r="H4402" s="24"/>
      <c r="J4402" s="24"/>
      <c r="K4402" s="24"/>
      <c r="M4402" s="24"/>
      <c r="N4402" s="24"/>
      <c r="P4402" s="24"/>
    </row>
    <row r="4403" spans="2:16" x14ac:dyDescent="0.25">
      <c r="B4403" s="24"/>
      <c r="E4403" s="24"/>
      <c r="G4403" s="24"/>
      <c r="H4403" s="24"/>
      <c r="J4403" s="24"/>
      <c r="K4403" s="24"/>
      <c r="M4403" s="24"/>
      <c r="N4403" s="24"/>
      <c r="P4403" s="24"/>
    </row>
    <row r="4404" spans="2:16" x14ac:dyDescent="0.25">
      <c r="B4404" s="24"/>
      <c r="E4404" s="24"/>
      <c r="G4404" s="24"/>
      <c r="H4404" s="24"/>
      <c r="J4404" s="24"/>
      <c r="K4404" s="24"/>
      <c r="M4404" s="24"/>
      <c r="N4404" s="24"/>
      <c r="P4404" s="24"/>
    </row>
    <row r="4405" spans="2:16" x14ac:dyDescent="0.25">
      <c r="B4405" s="24"/>
      <c r="E4405" s="24"/>
      <c r="G4405" s="24"/>
      <c r="H4405" s="24"/>
      <c r="J4405" s="24"/>
      <c r="K4405" s="24"/>
      <c r="M4405" s="24"/>
      <c r="N4405" s="24"/>
      <c r="P4405" s="24"/>
    </row>
    <row r="4406" spans="2:16" x14ac:dyDescent="0.25">
      <c r="B4406" s="24"/>
      <c r="E4406" s="24"/>
      <c r="G4406" s="24"/>
      <c r="H4406" s="24"/>
      <c r="J4406" s="24"/>
      <c r="K4406" s="24"/>
      <c r="M4406" s="24"/>
      <c r="N4406" s="24"/>
      <c r="P4406" s="24"/>
    </row>
    <row r="4407" spans="2:16" x14ac:dyDescent="0.25">
      <c r="B4407" s="24"/>
      <c r="E4407" s="24"/>
      <c r="G4407" s="24"/>
      <c r="H4407" s="24"/>
      <c r="J4407" s="24"/>
      <c r="K4407" s="24"/>
      <c r="M4407" s="24"/>
      <c r="N4407" s="24"/>
      <c r="P4407" s="24"/>
    </row>
    <row r="4408" spans="2:16" x14ac:dyDescent="0.25">
      <c r="B4408" s="24"/>
      <c r="E4408" s="24"/>
      <c r="G4408" s="24"/>
      <c r="H4408" s="24"/>
      <c r="J4408" s="24"/>
      <c r="K4408" s="24"/>
      <c r="M4408" s="24"/>
      <c r="N4408" s="24"/>
      <c r="P4408" s="24"/>
    </row>
    <row r="4409" spans="2:16" x14ac:dyDescent="0.25">
      <c r="B4409" s="24"/>
      <c r="E4409" s="24"/>
      <c r="G4409" s="24"/>
      <c r="H4409" s="24"/>
      <c r="J4409" s="24"/>
      <c r="K4409" s="24"/>
      <c r="M4409" s="24"/>
      <c r="N4409" s="24"/>
      <c r="P4409" s="24"/>
    </row>
    <row r="4410" spans="2:16" x14ac:dyDescent="0.25">
      <c r="B4410" s="24"/>
      <c r="E4410" s="24"/>
      <c r="G4410" s="24"/>
      <c r="H4410" s="24"/>
      <c r="J4410" s="24"/>
      <c r="K4410" s="24"/>
      <c r="M4410" s="24"/>
      <c r="N4410" s="24"/>
      <c r="P4410" s="24"/>
    </row>
    <row r="4411" spans="2:16" x14ac:dyDescent="0.25">
      <c r="B4411" s="24"/>
      <c r="E4411" s="24"/>
      <c r="G4411" s="24"/>
      <c r="H4411" s="24"/>
      <c r="J4411" s="24"/>
      <c r="K4411" s="24"/>
      <c r="M4411" s="24"/>
      <c r="N4411" s="24"/>
      <c r="P4411" s="24"/>
    </row>
    <row r="4412" spans="2:16" x14ac:dyDescent="0.25">
      <c r="B4412" s="24"/>
      <c r="E4412" s="24"/>
      <c r="G4412" s="24"/>
      <c r="H4412" s="24"/>
      <c r="J4412" s="24"/>
      <c r="K4412" s="24"/>
      <c r="M4412" s="24"/>
      <c r="N4412" s="24"/>
      <c r="P4412" s="24"/>
    </row>
    <row r="4413" spans="2:16" x14ac:dyDescent="0.25">
      <c r="B4413" s="24"/>
      <c r="E4413" s="24"/>
      <c r="G4413" s="24"/>
      <c r="H4413" s="24"/>
      <c r="J4413" s="24"/>
      <c r="K4413" s="24"/>
      <c r="M4413" s="24"/>
      <c r="N4413" s="24"/>
      <c r="P4413" s="24"/>
    </row>
    <row r="4414" spans="2:16" x14ac:dyDescent="0.25">
      <c r="B4414" s="24"/>
      <c r="E4414" s="24"/>
      <c r="G4414" s="24"/>
      <c r="H4414" s="24"/>
      <c r="J4414" s="24"/>
      <c r="K4414" s="24"/>
      <c r="M4414" s="24"/>
      <c r="N4414" s="24"/>
      <c r="P4414" s="24"/>
    </row>
    <row r="4415" spans="2:16" x14ac:dyDescent="0.25">
      <c r="B4415" s="24"/>
      <c r="E4415" s="24"/>
      <c r="G4415" s="24"/>
      <c r="H4415" s="24"/>
      <c r="J4415" s="24"/>
      <c r="K4415" s="24"/>
      <c r="M4415" s="24"/>
      <c r="N4415" s="24"/>
      <c r="P4415" s="24"/>
    </row>
    <row r="4416" spans="2:16" x14ac:dyDescent="0.25">
      <c r="B4416" s="24"/>
      <c r="E4416" s="24"/>
      <c r="G4416" s="24"/>
      <c r="H4416" s="24"/>
      <c r="J4416" s="24"/>
      <c r="K4416" s="24"/>
      <c r="M4416" s="24"/>
      <c r="N4416" s="24"/>
      <c r="P4416" s="24"/>
    </row>
    <row r="4417" spans="2:16" x14ac:dyDescent="0.25">
      <c r="B4417" s="24"/>
      <c r="E4417" s="24"/>
      <c r="G4417" s="24"/>
      <c r="H4417" s="24"/>
      <c r="J4417" s="24"/>
      <c r="K4417" s="24"/>
      <c r="M4417" s="24"/>
      <c r="N4417" s="24"/>
      <c r="P4417" s="24"/>
    </row>
    <row r="4418" spans="2:16" x14ac:dyDescent="0.25">
      <c r="B4418" s="24"/>
      <c r="E4418" s="24"/>
      <c r="G4418" s="24"/>
      <c r="H4418" s="24"/>
      <c r="J4418" s="24"/>
      <c r="K4418" s="24"/>
      <c r="M4418" s="24"/>
      <c r="N4418" s="24"/>
      <c r="P4418" s="24"/>
    </row>
    <row r="4419" spans="2:16" x14ac:dyDescent="0.25">
      <c r="B4419" s="24"/>
      <c r="E4419" s="24"/>
      <c r="G4419" s="24"/>
      <c r="H4419" s="24"/>
      <c r="J4419" s="24"/>
      <c r="K4419" s="24"/>
      <c r="M4419" s="24"/>
      <c r="N4419" s="24"/>
      <c r="P4419" s="24"/>
    </row>
    <row r="4420" spans="2:16" x14ac:dyDescent="0.25">
      <c r="B4420" s="24"/>
      <c r="E4420" s="24"/>
      <c r="G4420" s="24"/>
      <c r="H4420" s="24"/>
      <c r="J4420" s="24"/>
      <c r="K4420" s="24"/>
      <c r="M4420" s="24"/>
      <c r="N4420" s="24"/>
      <c r="P4420" s="24"/>
    </row>
    <row r="4421" spans="2:16" x14ac:dyDescent="0.25">
      <c r="B4421" s="24"/>
      <c r="E4421" s="24"/>
      <c r="G4421" s="24"/>
      <c r="H4421" s="24"/>
      <c r="J4421" s="24"/>
      <c r="K4421" s="24"/>
      <c r="M4421" s="24"/>
      <c r="N4421" s="24"/>
      <c r="P4421" s="24"/>
    </row>
    <row r="4422" spans="2:16" x14ac:dyDescent="0.25">
      <c r="B4422" s="24"/>
      <c r="E4422" s="24"/>
      <c r="G4422" s="24"/>
      <c r="H4422" s="24"/>
      <c r="J4422" s="24"/>
      <c r="K4422" s="24"/>
      <c r="M4422" s="24"/>
      <c r="N4422" s="24"/>
      <c r="P4422" s="24"/>
    </row>
    <row r="4423" spans="2:16" x14ac:dyDescent="0.25">
      <c r="B4423" s="24"/>
      <c r="E4423" s="24"/>
      <c r="G4423" s="24"/>
      <c r="H4423" s="24"/>
      <c r="J4423" s="24"/>
      <c r="K4423" s="24"/>
      <c r="M4423" s="24"/>
      <c r="N4423" s="24"/>
      <c r="P4423" s="24"/>
    </row>
    <row r="4424" spans="2:16" x14ac:dyDescent="0.25">
      <c r="B4424" s="24"/>
      <c r="E4424" s="24"/>
      <c r="G4424" s="24"/>
      <c r="H4424" s="24"/>
      <c r="J4424" s="24"/>
      <c r="K4424" s="24"/>
      <c r="M4424" s="24"/>
      <c r="N4424" s="24"/>
      <c r="P4424" s="24"/>
    </row>
    <row r="4425" spans="2:16" x14ac:dyDescent="0.25">
      <c r="B4425" s="24"/>
      <c r="E4425" s="24"/>
      <c r="G4425" s="24"/>
      <c r="H4425" s="24"/>
      <c r="J4425" s="24"/>
      <c r="K4425" s="24"/>
      <c r="M4425" s="24"/>
      <c r="N4425" s="24"/>
      <c r="P4425" s="24"/>
    </row>
    <row r="4426" spans="2:16" x14ac:dyDescent="0.25">
      <c r="B4426" s="24"/>
      <c r="E4426" s="24"/>
      <c r="G4426" s="24"/>
      <c r="H4426" s="24"/>
      <c r="J4426" s="24"/>
      <c r="K4426" s="24"/>
      <c r="M4426" s="24"/>
      <c r="N4426" s="24"/>
      <c r="P4426" s="24"/>
    </row>
    <row r="4427" spans="2:16" x14ac:dyDescent="0.25">
      <c r="B4427" s="24"/>
      <c r="E4427" s="24"/>
      <c r="G4427" s="24"/>
      <c r="H4427" s="24"/>
      <c r="J4427" s="24"/>
      <c r="K4427" s="24"/>
      <c r="M4427" s="24"/>
      <c r="N4427" s="24"/>
      <c r="P4427" s="24"/>
    </row>
    <row r="4428" spans="2:16" x14ac:dyDescent="0.25">
      <c r="B4428" s="24"/>
      <c r="E4428" s="24"/>
      <c r="G4428" s="24"/>
      <c r="H4428" s="24"/>
      <c r="J4428" s="24"/>
      <c r="K4428" s="24"/>
      <c r="M4428" s="24"/>
      <c r="N4428" s="24"/>
      <c r="P4428" s="24"/>
    </row>
    <row r="4429" spans="2:16" x14ac:dyDescent="0.25">
      <c r="B4429" s="24"/>
      <c r="E4429" s="24"/>
      <c r="G4429" s="24"/>
      <c r="H4429" s="24"/>
      <c r="J4429" s="24"/>
      <c r="K4429" s="24"/>
      <c r="M4429" s="24"/>
      <c r="N4429" s="24"/>
      <c r="P4429" s="24"/>
    </row>
    <row r="4430" spans="2:16" x14ac:dyDescent="0.25">
      <c r="B4430" s="24"/>
      <c r="E4430" s="24"/>
      <c r="G4430" s="24"/>
      <c r="H4430" s="24"/>
      <c r="J4430" s="24"/>
      <c r="K4430" s="24"/>
      <c r="M4430" s="24"/>
      <c r="N4430" s="24"/>
      <c r="P4430" s="24"/>
    </row>
    <row r="4431" spans="2:16" x14ac:dyDescent="0.25">
      <c r="B4431" s="24"/>
      <c r="E4431" s="24"/>
      <c r="G4431" s="24"/>
      <c r="H4431" s="24"/>
      <c r="J4431" s="24"/>
      <c r="K4431" s="24"/>
      <c r="M4431" s="24"/>
      <c r="N4431" s="24"/>
      <c r="P4431" s="24"/>
    </row>
    <row r="4432" spans="2:16" x14ac:dyDescent="0.25">
      <c r="B4432" s="24"/>
      <c r="E4432" s="24"/>
      <c r="G4432" s="24"/>
      <c r="H4432" s="24"/>
      <c r="J4432" s="24"/>
      <c r="K4432" s="24"/>
      <c r="M4432" s="24"/>
      <c r="N4432" s="24"/>
      <c r="P4432" s="24"/>
    </row>
    <row r="4433" spans="2:16" x14ac:dyDescent="0.25">
      <c r="B4433" s="24"/>
      <c r="E4433" s="24"/>
      <c r="G4433" s="24"/>
      <c r="H4433" s="24"/>
      <c r="J4433" s="24"/>
      <c r="K4433" s="24"/>
      <c r="M4433" s="24"/>
      <c r="N4433" s="24"/>
      <c r="P4433" s="24"/>
    </row>
    <row r="4434" spans="2:16" x14ac:dyDescent="0.25">
      <c r="B4434" s="24"/>
      <c r="E4434" s="24"/>
      <c r="G4434" s="24"/>
      <c r="H4434" s="24"/>
      <c r="J4434" s="24"/>
      <c r="K4434" s="24"/>
      <c r="M4434" s="24"/>
      <c r="N4434" s="24"/>
      <c r="P4434" s="24"/>
    </row>
    <row r="4435" spans="2:16" x14ac:dyDescent="0.25">
      <c r="B4435" s="24"/>
      <c r="E4435" s="24"/>
      <c r="G4435" s="24"/>
      <c r="H4435" s="24"/>
      <c r="J4435" s="24"/>
      <c r="K4435" s="24"/>
      <c r="M4435" s="24"/>
      <c r="N4435" s="24"/>
      <c r="P4435" s="24"/>
    </row>
    <row r="4436" spans="2:16" x14ac:dyDescent="0.25">
      <c r="B4436" s="24"/>
      <c r="E4436" s="24"/>
      <c r="G4436" s="24"/>
      <c r="H4436" s="24"/>
      <c r="J4436" s="24"/>
      <c r="K4436" s="24"/>
      <c r="M4436" s="24"/>
      <c r="N4436" s="24"/>
      <c r="P4436" s="24"/>
    </row>
    <row r="4437" spans="2:16" x14ac:dyDescent="0.25">
      <c r="B4437" s="24"/>
      <c r="E4437" s="24"/>
      <c r="G4437" s="24"/>
      <c r="H4437" s="24"/>
      <c r="J4437" s="24"/>
      <c r="K4437" s="24"/>
      <c r="M4437" s="24"/>
      <c r="N4437" s="24"/>
      <c r="P4437" s="24"/>
    </row>
    <row r="4438" spans="2:16" x14ac:dyDescent="0.25">
      <c r="B4438" s="24"/>
      <c r="E4438" s="24"/>
      <c r="G4438" s="24"/>
      <c r="H4438" s="24"/>
      <c r="J4438" s="24"/>
      <c r="K4438" s="24"/>
      <c r="M4438" s="24"/>
      <c r="N4438" s="24"/>
      <c r="P4438" s="24"/>
    </row>
    <row r="4439" spans="2:16" x14ac:dyDescent="0.25">
      <c r="B4439" s="24"/>
      <c r="E4439" s="24"/>
      <c r="G4439" s="24"/>
      <c r="H4439" s="24"/>
      <c r="J4439" s="24"/>
      <c r="K4439" s="24"/>
      <c r="M4439" s="24"/>
      <c r="N4439" s="24"/>
      <c r="P4439" s="24"/>
    </row>
    <row r="4440" spans="2:16" x14ac:dyDescent="0.25">
      <c r="B4440" s="24"/>
      <c r="E4440" s="24"/>
      <c r="G4440" s="24"/>
      <c r="H4440" s="24"/>
      <c r="J4440" s="24"/>
      <c r="K4440" s="24"/>
      <c r="M4440" s="24"/>
      <c r="N4440" s="24"/>
      <c r="P4440" s="24"/>
    </row>
    <row r="4441" spans="2:16" x14ac:dyDescent="0.25">
      <c r="B4441" s="24"/>
      <c r="E4441" s="24"/>
      <c r="G4441" s="24"/>
      <c r="H4441" s="24"/>
      <c r="J4441" s="24"/>
      <c r="K4441" s="24"/>
      <c r="M4441" s="24"/>
      <c r="N4441" s="24"/>
      <c r="P4441" s="24"/>
    </row>
    <row r="4442" spans="2:16" x14ac:dyDescent="0.25">
      <c r="B4442" s="24"/>
      <c r="E4442" s="24"/>
      <c r="G4442" s="24"/>
      <c r="H4442" s="24"/>
      <c r="J4442" s="24"/>
      <c r="K4442" s="24"/>
      <c r="M4442" s="24"/>
      <c r="N4442" s="24"/>
      <c r="P4442" s="24"/>
    </row>
    <row r="4443" spans="2:16" x14ac:dyDescent="0.25">
      <c r="B4443" s="24"/>
      <c r="E4443" s="24"/>
      <c r="G4443" s="24"/>
      <c r="H4443" s="24"/>
      <c r="J4443" s="24"/>
      <c r="K4443" s="24"/>
      <c r="M4443" s="24"/>
      <c r="N4443" s="24"/>
      <c r="P4443" s="24"/>
    </row>
    <row r="4444" spans="2:16" x14ac:dyDescent="0.25">
      <c r="B4444" s="24"/>
      <c r="E4444" s="24"/>
      <c r="G4444" s="24"/>
      <c r="H4444" s="24"/>
      <c r="J4444" s="24"/>
      <c r="K4444" s="24"/>
      <c r="M4444" s="24"/>
      <c r="N4444" s="24"/>
      <c r="P4444" s="24"/>
    </row>
    <row r="4445" spans="2:16" x14ac:dyDescent="0.25">
      <c r="B4445" s="24"/>
      <c r="E4445" s="24"/>
      <c r="G4445" s="24"/>
      <c r="H4445" s="24"/>
      <c r="J4445" s="24"/>
      <c r="K4445" s="24"/>
      <c r="M4445" s="24"/>
      <c r="N4445" s="24"/>
      <c r="P4445" s="24"/>
    </row>
    <row r="4446" spans="2:16" x14ac:dyDescent="0.25">
      <c r="B4446" s="24"/>
      <c r="E4446" s="24"/>
      <c r="G4446" s="24"/>
      <c r="H4446" s="24"/>
      <c r="J4446" s="24"/>
      <c r="K4446" s="24"/>
      <c r="M4446" s="24"/>
      <c r="N4446" s="24"/>
      <c r="P4446" s="24"/>
    </row>
    <row r="4447" spans="2:16" x14ac:dyDescent="0.25">
      <c r="B4447" s="24"/>
      <c r="E4447" s="24"/>
      <c r="G4447" s="24"/>
      <c r="H4447" s="24"/>
      <c r="J4447" s="24"/>
      <c r="K4447" s="24"/>
      <c r="M4447" s="24"/>
      <c r="N4447" s="24"/>
      <c r="P4447" s="24"/>
    </row>
    <row r="4448" spans="2:16" x14ac:dyDescent="0.25">
      <c r="B4448" s="24"/>
      <c r="E4448" s="24"/>
      <c r="G4448" s="24"/>
      <c r="H4448" s="24"/>
      <c r="J4448" s="24"/>
      <c r="K4448" s="24"/>
      <c r="M4448" s="24"/>
      <c r="N4448" s="24"/>
      <c r="P4448" s="24"/>
    </row>
    <row r="4449" spans="2:16" x14ac:dyDescent="0.25">
      <c r="B4449" s="24"/>
      <c r="E4449" s="24"/>
      <c r="G4449" s="24"/>
      <c r="H4449" s="24"/>
      <c r="J4449" s="24"/>
      <c r="K4449" s="24"/>
      <c r="M4449" s="24"/>
      <c r="N4449" s="24"/>
      <c r="P4449" s="24"/>
    </row>
    <row r="4450" spans="2:16" x14ac:dyDescent="0.25">
      <c r="B4450" s="24"/>
      <c r="E4450" s="24"/>
      <c r="G4450" s="24"/>
      <c r="H4450" s="24"/>
      <c r="J4450" s="24"/>
      <c r="K4450" s="24"/>
      <c r="M4450" s="24"/>
      <c r="N4450" s="24"/>
      <c r="P4450" s="24"/>
    </row>
    <row r="4451" spans="2:16" x14ac:dyDescent="0.25">
      <c r="B4451" s="24"/>
      <c r="E4451" s="24"/>
      <c r="G4451" s="24"/>
      <c r="H4451" s="24"/>
      <c r="J4451" s="24"/>
      <c r="K4451" s="24"/>
      <c r="M4451" s="24"/>
      <c r="N4451" s="24"/>
      <c r="P4451" s="24"/>
    </row>
    <row r="4452" spans="2:16" x14ac:dyDescent="0.25">
      <c r="B4452" s="24"/>
      <c r="E4452" s="24"/>
      <c r="G4452" s="24"/>
      <c r="H4452" s="24"/>
      <c r="J4452" s="24"/>
      <c r="K4452" s="24"/>
      <c r="M4452" s="24"/>
      <c r="N4452" s="24"/>
      <c r="P4452" s="24"/>
    </row>
    <row r="4453" spans="2:16" x14ac:dyDescent="0.25">
      <c r="B4453" s="24"/>
      <c r="E4453" s="24"/>
      <c r="G4453" s="24"/>
      <c r="H4453" s="24"/>
      <c r="J4453" s="24"/>
      <c r="K4453" s="24"/>
      <c r="M4453" s="24"/>
      <c r="N4453" s="24"/>
      <c r="P4453" s="24"/>
    </row>
    <row r="4454" spans="2:16" x14ac:dyDescent="0.25">
      <c r="B4454" s="24"/>
      <c r="E4454" s="24"/>
      <c r="G4454" s="24"/>
      <c r="H4454" s="24"/>
      <c r="J4454" s="24"/>
      <c r="K4454" s="24"/>
      <c r="M4454" s="24"/>
      <c r="N4454" s="24"/>
      <c r="P4454" s="24"/>
    </row>
    <row r="4455" spans="2:16" x14ac:dyDescent="0.25">
      <c r="B4455" s="24"/>
      <c r="E4455" s="24"/>
      <c r="G4455" s="24"/>
      <c r="H4455" s="24"/>
      <c r="J4455" s="24"/>
      <c r="K4455" s="24"/>
      <c r="M4455" s="24"/>
      <c r="N4455" s="24"/>
      <c r="P4455" s="24"/>
    </row>
    <row r="4456" spans="2:16" x14ac:dyDescent="0.25">
      <c r="B4456" s="24"/>
      <c r="E4456" s="24"/>
      <c r="G4456" s="24"/>
      <c r="H4456" s="24"/>
      <c r="J4456" s="24"/>
      <c r="K4456" s="24"/>
      <c r="M4456" s="24"/>
      <c r="N4456" s="24"/>
      <c r="P4456" s="24"/>
    </row>
    <row r="4457" spans="2:16" x14ac:dyDescent="0.25">
      <c r="B4457" s="24"/>
      <c r="E4457" s="24"/>
      <c r="G4457" s="24"/>
      <c r="H4457" s="24"/>
      <c r="J4457" s="24"/>
      <c r="K4457" s="24"/>
      <c r="M4457" s="24"/>
      <c r="N4457" s="24"/>
      <c r="P4457" s="24"/>
    </row>
    <row r="4458" spans="2:16" x14ac:dyDescent="0.25">
      <c r="B4458" s="24"/>
      <c r="E4458" s="24"/>
      <c r="G4458" s="24"/>
      <c r="H4458" s="24"/>
      <c r="J4458" s="24"/>
      <c r="K4458" s="24"/>
      <c r="M4458" s="24"/>
      <c r="N4458" s="24"/>
      <c r="P4458" s="24"/>
    </row>
    <row r="4459" spans="2:16" x14ac:dyDescent="0.25">
      <c r="B4459" s="24"/>
      <c r="E4459" s="24"/>
      <c r="G4459" s="24"/>
      <c r="H4459" s="24"/>
      <c r="J4459" s="24"/>
      <c r="K4459" s="24"/>
      <c r="M4459" s="24"/>
      <c r="N4459" s="24"/>
      <c r="P4459" s="24"/>
    </row>
    <row r="4460" spans="2:16" x14ac:dyDescent="0.25">
      <c r="B4460" s="24"/>
      <c r="E4460" s="24"/>
      <c r="G4460" s="24"/>
      <c r="H4460" s="24"/>
      <c r="J4460" s="24"/>
      <c r="K4460" s="24"/>
      <c r="M4460" s="24"/>
      <c r="N4460" s="24"/>
      <c r="P4460" s="24"/>
    </row>
    <row r="4461" spans="2:16" x14ac:dyDescent="0.25">
      <c r="B4461" s="24"/>
      <c r="E4461" s="24"/>
      <c r="G4461" s="24"/>
      <c r="H4461" s="24"/>
      <c r="J4461" s="24"/>
      <c r="K4461" s="24"/>
      <c r="M4461" s="24"/>
      <c r="N4461" s="24"/>
      <c r="P4461" s="24"/>
    </row>
    <row r="4462" spans="2:16" x14ac:dyDescent="0.25">
      <c r="B4462" s="24"/>
      <c r="E4462" s="24"/>
      <c r="G4462" s="24"/>
      <c r="H4462" s="24"/>
      <c r="J4462" s="24"/>
      <c r="K4462" s="24"/>
      <c r="M4462" s="24"/>
      <c r="N4462" s="24"/>
      <c r="P4462" s="24"/>
    </row>
    <row r="4463" spans="2:16" x14ac:dyDescent="0.25">
      <c r="B4463" s="24"/>
      <c r="E4463" s="24"/>
      <c r="G4463" s="24"/>
      <c r="H4463" s="24"/>
      <c r="J4463" s="24"/>
      <c r="K4463" s="24"/>
      <c r="M4463" s="24"/>
      <c r="N4463" s="24"/>
      <c r="P4463" s="24"/>
    </row>
    <row r="4464" spans="2:16" x14ac:dyDescent="0.25">
      <c r="B4464" s="24"/>
      <c r="E4464" s="24"/>
      <c r="G4464" s="24"/>
      <c r="H4464" s="24"/>
      <c r="J4464" s="24"/>
      <c r="K4464" s="24"/>
      <c r="M4464" s="24"/>
      <c r="N4464" s="24"/>
      <c r="P4464" s="24"/>
    </row>
    <row r="4465" spans="2:16" x14ac:dyDescent="0.25">
      <c r="B4465" s="24"/>
      <c r="E4465" s="24"/>
      <c r="G4465" s="24"/>
      <c r="H4465" s="24"/>
      <c r="J4465" s="24"/>
      <c r="K4465" s="24"/>
      <c r="M4465" s="24"/>
      <c r="N4465" s="24"/>
      <c r="P4465" s="24"/>
    </row>
    <row r="4466" spans="2:16" x14ac:dyDescent="0.25">
      <c r="B4466" s="24"/>
      <c r="E4466" s="24"/>
      <c r="G4466" s="24"/>
      <c r="H4466" s="24"/>
      <c r="J4466" s="24"/>
      <c r="K4466" s="24"/>
      <c r="M4466" s="24"/>
      <c r="N4466" s="24"/>
      <c r="P4466" s="24"/>
    </row>
    <row r="4467" spans="2:16" x14ac:dyDescent="0.25">
      <c r="B4467" s="24"/>
      <c r="E4467" s="24"/>
      <c r="G4467" s="24"/>
      <c r="H4467" s="24"/>
      <c r="J4467" s="24"/>
      <c r="K4467" s="24"/>
      <c r="M4467" s="24"/>
      <c r="N4467" s="24"/>
      <c r="P4467" s="24"/>
    </row>
    <row r="4468" spans="2:16" x14ac:dyDescent="0.25">
      <c r="B4468" s="24"/>
      <c r="E4468" s="24"/>
      <c r="G4468" s="24"/>
      <c r="H4468" s="24"/>
      <c r="J4468" s="24"/>
      <c r="K4468" s="24"/>
      <c r="M4468" s="24"/>
      <c r="N4468" s="24"/>
      <c r="P4468" s="24"/>
    </row>
    <row r="4469" spans="2:16" x14ac:dyDescent="0.25">
      <c r="B4469" s="24"/>
      <c r="E4469" s="24"/>
      <c r="G4469" s="24"/>
      <c r="H4469" s="24"/>
      <c r="J4469" s="24"/>
      <c r="K4469" s="24"/>
      <c r="M4469" s="24"/>
      <c r="N4469" s="24"/>
      <c r="P4469" s="24"/>
    </row>
    <row r="4470" spans="2:16" x14ac:dyDescent="0.25">
      <c r="B4470" s="24"/>
      <c r="E4470" s="24"/>
      <c r="G4470" s="24"/>
      <c r="H4470" s="24"/>
      <c r="J4470" s="24"/>
      <c r="K4470" s="24"/>
      <c r="M4470" s="24"/>
      <c r="N4470" s="24"/>
      <c r="P4470" s="24"/>
    </row>
    <row r="4471" spans="2:16" x14ac:dyDescent="0.25">
      <c r="B4471" s="24"/>
      <c r="E4471" s="24"/>
      <c r="G4471" s="24"/>
      <c r="H4471" s="24"/>
      <c r="J4471" s="24"/>
      <c r="K4471" s="24"/>
      <c r="M4471" s="24"/>
      <c r="N4471" s="24"/>
      <c r="P4471" s="24"/>
    </row>
    <row r="4472" spans="2:16" x14ac:dyDescent="0.25">
      <c r="B4472" s="24"/>
      <c r="E4472" s="24"/>
      <c r="G4472" s="24"/>
      <c r="H4472" s="24"/>
      <c r="J4472" s="24"/>
      <c r="K4472" s="24"/>
      <c r="M4472" s="24"/>
      <c r="N4472" s="24"/>
      <c r="P4472" s="24"/>
    </row>
    <row r="4473" spans="2:16" x14ac:dyDescent="0.25">
      <c r="B4473" s="24"/>
      <c r="E4473" s="24"/>
      <c r="G4473" s="24"/>
      <c r="H4473" s="24"/>
      <c r="J4473" s="24"/>
      <c r="K4473" s="24"/>
      <c r="M4473" s="24"/>
      <c r="N4473" s="24"/>
      <c r="P4473" s="24"/>
    </row>
    <row r="4474" spans="2:16" x14ac:dyDescent="0.25">
      <c r="B4474" s="24"/>
      <c r="E4474" s="24"/>
      <c r="G4474" s="24"/>
      <c r="H4474" s="24"/>
      <c r="J4474" s="24"/>
      <c r="K4474" s="24"/>
      <c r="M4474" s="24"/>
      <c r="N4474" s="24"/>
      <c r="P4474" s="24"/>
    </row>
    <row r="4475" spans="2:16" x14ac:dyDescent="0.25">
      <c r="B4475" s="24"/>
      <c r="E4475" s="24"/>
      <c r="G4475" s="24"/>
      <c r="H4475" s="24"/>
      <c r="J4475" s="24"/>
      <c r="K4475" s="24"/>
      <c r="M4475" s="24"/>
      <c r="N4475" s="24"/>
      <c r="P4475" s="24"/>
    </row>
    <row r="4476" spans="2:16" x14ac:dyDescent="0.25">
      <c r="B4476" s="24"/>
      <c r="E4476" s="24"/>
      <c r="G4476" s="24"/>
      <c r="H4476" s="24"/>
      <c r="J4476" s="24"/>
      <c r="K4476" s="24"/>
      <c r="M4476" s="24"/>
      <c r="N4476" s="24"/>
      <c r="P4476" s="24"/>
    </row>
    <row r="4477" spans="2:16" x14ac:dyDescent="0.25">
      <c r="B4477" s="24"/>
      <c r="E4477" s="24"/>
      <c r="G4477" s="24"/>
      <c r="H4477" s="24"/>
      <c r="J4477" s="24"/>
      <c r="K4477" s="24"/>
      <c r="M4477" s="24"/>
      <c r="N4477" s="24"/>
      <c r="P4477" s="24"/>
    </row>
    <row r="4478" spans="2:16" x14ac:dyDescent="0.25">
      <c r="B4478" s="24"/>
      <c r="E4478" s="24"/>
      <c r="G4478" s="24"/>
      <c r="H4478" s="24"/>
      <c r="J4478" s="24"/>
      <c r="K4478" s="24"/>
      <c r="M4478" s="24"/>
      <c r="N4478" s="24"/>
      <c r="P4478" s="24"/>
    </row>
    <row r="4479" spans="2:16" x14ac:dyDescent="0.25">
      <c r="B4479" s="24"/>
      <c r="E4479" s="24"/>
      <c r="G4479" s="24"/>
      <c r="H4479" s="24"/>
      <c r="J4479" s="24"/>
      <c r="K4479" s="24"/>
      <c r="M4479" s="24"/>
      <c r="N4479" s="24"/>
      <c r="P4479" s="24"/>
    </row>
    <row r="4480" spans="2:16" x14ac:dyDescent="0.25">
      <c r="B4480" s="24"/>
      <c r="E4480" s="24"/>
      <c r="G4480" s="24"/>
      <c r="H4480" s="24"/>
      <c r="J4480" s="24"/>
      <c r="K4480" s="24"/>
      <c r="M4480" s="24"/>
      <c r="N4480" s="24"/>
      <c r="P4480" s="24"/>
    </row>
    <row r="4481" spans="2:16" x14ac:dyDescent="0.25">
      <c r="B4481" s="24"/>
      <c r="E4481" s="24"/>
      <c r="G4481" s="24"/>
      <c r="H4481" s="24"/>
      <c r="J4481" s="24"/>
      <c r="K4481" s="24"/>
      <c r="M4481" s="24"/>
      <c r="N4481" s="24"/>
      <c r="P4481" s="24"/>
    </row>
    <row r="4482" spans="2:16" x14ac:dyDescent="0.25">
      <c r="B4482" s="24"/>
      <c r="E4482" s="24"/>
      <c r="G4482" s="24"/>
      <c r="H4482" s="24"/>
      <c r="J4482" s="24"/>
      <c r="K4482" s="24"/>
      <c r="M4482" s="24"/>
      <c r="N4482" s="24"/>
      <c r="P4482" s="24"/>
    </row>
    <row r="4483" spans="2:16" x14ac:dyDescent="0.25">
      <c r="B4483" s="24"/>
      <c r="E4483" s="24"/>
      <c r="G4483" s="24"/>
      <c r="H4483" s="24"/>
      <c r="J4483" s="24"/>
      <c r="K4483" s="24"/>
      <c r="M4483" s="24"/>
      <c r="N4483" s="24"/>
      <c r="P4483" s="24"/>
    </row>
    <row r="4484" spans="2:16" x14ac:dyDescent="0.25">
      <c r="B4484" s="24"/>
      <c r="E4484" s="24"/>
      <c r="G4484" s="24"/>
      <c r="H4484" s="24"/>
      <c r="J4484" s="24"/>
      <c r="K4484" s="24"/>
      <c r="M4484" s="24"/>
      <c r="N4484" s="24"/>
      <c r="P4484" s="24"/>
    </row>
    <row r="4485" spans="2:16" x14ac:dyDescent="0.25">
      <c r="B4485" s="24"/>
      <c r="E4485" s="24"/>
      <c r="G4485" s="24"/>
      <c r="H4485" s="24"/>
      <c r="J4485" s="24"/>
      <c r="K4485" s="24"/>
      <c r="M4485" s="24"/>
      <c r="N4485" s="24"/>
      <c r="P4485" s="24"/>
    </row>
    <row r="4486" spans="2:16" x14ac:dyDescent="0.25">
      <c r="B4486" s="24"/>
      <c r="E4486" s="24"/>
      <c r="G4486" s="24"/>
      <c r="H4486" s="24"/>
      <c r="J4486" s="24"/>
      <c r="K4486" s="24"/>
      <c r="M4486" s="24"/>
      <c r="N4486" s="24"/>
      <c r="P4486" s="24"/>
    </row>
    <row r="4487" spans="2:16" x14ac:dyDescent="0.25">
      <c r="B4487" s="24"/>
      <c r="E4487" s="24"/>
      <c r="G4487" s="24"/>
      <c r="H4487" s="24"/>
      <c r="J4487" s="24"/>
      <c r="K4487" s="24"/>
      <c r="M4487" s="24"/>
      <c r="N4487" s="24"/>
      <c r="P4487" s="24"/>
    </row>
    <row r="4488" spans="2:16" x14ac:dyDescent="0.25">
      <c r="B4488" s="24"/>
      <c r="E4488" s="24"/>
      <c r="G4488" s="24"/>
      <c r="H4488" s="24"/>
      <c r="J4488" s="24"/>
      <c r="K4488" s="24"/>
      <c r="M4488" s="24"/>
      <c r="N4488" s="24"/>
      <c r="P4488" s="24"/>
    </row>
    <row r="4489" spans="2:16" x14ac:dyDescent="0.25">
      <c r="B4489" s="24"/>
      <c r="E4489" s="24"/>
      <c r="G4489" s="24"/>
      <c r="H4489" s="24"/>
      <c r="J4489" s="24"/>
      <c r="K4489" s="24"/>
      <c r="M4489" s="24"/>
      <c r="N4489" s="24"/>
      <c r="P4489" s="24"/>
    </row>
    <row r="4490" spans="2:16" x14ac:dyDescent="0.25">
      <c r="B4490" s="24"/>
      <c r="E4490" s="24"/>
      <c r="G4490" s="24"/>
      <c r="H4490" s="24"/>
      <c r="J4490" s="24"/>
      <c r="K4490" s="24"/>
      <c r="M4490" s="24"/>
      <c r="N4490" s="24"/>
      <c r="P4490" s="24"/>
    </row>
    <row r="4491" spans="2:16" x14ac:dyDescent="0.25">
      <c r="B4491" s="24"/>
      <c r="E4491" s="24"/>
      <c r="G4491" s="24"/>
      <c r="H4491" s="24"/>
      <c r="J4491" s="24"/>
      <c r="K4491" s="24"/>
      <c r="M4491" s="24"/>
      <c r="N4491" s="24"/>
      <c r="P4491" s="24"/>
    </row>
    <row r="4492" spans="2:16" x14ac:dyDescent="0.25">
      <c r="B4492" s="24"/>
      <c r="E4492" s="24"/>
      <c r="G4492" s="24"/>
      <c r="H4492" s="24"/>
      <c r="J4492" s="24"/>
      <c r="K4492" s="24"/>
      <c r="M4492" s="24"/>
      <c r="N4492" s="24"/>
      <c r="P4492" s="24"/>
    </row>
    <row r="4493" spans="2:16" x14ac:dyDescent="0.25">
      <c r="B4493" s="24"/>
      <c r="E4493" s="24"/>
      <c r="G4493" s="24"/>
      <c r="H4493" s="24"/>
      <c r="J4493" s="24"/>
      <c r="K4493" s="24"/>
      <c r="M4493" s="24"/>
      <c r="N4493" s="24"/>
      <c r="P4493" s="24"/>
    </row>
    <row r="4494" spans="2:16" x14ac:dyDescent="0.25">
      <c r="B4494" s="24"/>
      <c r="E4494" s="24"/>
      <c r="G4494" s="24"/>
      <c r="H4494" s="24"/>
      <c r="J4494" s="24"/>
      <c r="K4494" s="24"/>
      <c r="M4494" s="24"/>
      <c r="N4494" s="24"/>
      <c r="P4494" s="24"/>
    </row>
    <row r="4495" spans="2:16" x14ac:dyDescent="0.25">
      <c r="B4495" s="24"/>
      <c r="E4495" s="24"/>
      <c r="G4495" s="24"/>
      <c r="H4495" s="24"/>
      <c r="J4495" s="24"/>
      <c r="K4495" s="24"/>
      <c r="M4495" s="24"/>
      <c r="N4495" s="24"/>
      <c r="P4495" s="24"/>
    </row>
    <row r="4496" spans="2:16" x14ac:dyDescent="0.25">
      <c r="B4496" s="24"/>
      <c r="E4496" s="24"/>
      <c r="G4496" s="24"/>
      <c r="H4496" s="24"/>
      <c r="J4496" s="24"/>
      <c r="K4496" s="24"/>
      <c r="M4496" s="24"/>
      <c r="N4496" s="24"/>
      <c r="P4496" s="24"/>
    </row>
    <row r="4497" spans="2:16" x14ac:dyDescent="0.25">
      <c r="B4497" s="24"/>
      <c r="E4497" s="24"/>
      <c r="G4497" s="24"/>
      <c r="H4497" s="24"/>
      <c r="J4497" s="24"/>
      <c r="K4497" s="24"/>
      <c r="M4497" s="24"/>
      <c r="N4497" s="24"/>
      <c r="P4497" s="24"/>
    </row>
    <row r="4498" spans="2:16" x14ac:dyDescent="0.25">
      <c r="B4498" s="24"/>
      <c r="E4498" s="24"/>
      <c r="G4498" s="24"/>
      <c r="H4498" s="24"/>
      <c r="J4498" s="24"/>
      <c r="K4498" s="24"/>
      <c r="M4498" s="24"/>
      <c r="N4498" s="24"/>
      <c r="P4498" s="24"/>
    </row>
    <row r="4499" spans="2:16" x14ac:dyDescent="0.25">
      <c r="B4499" s="24"/>
      <c r="E4499" s="24"/>
      <c r="G4499" s="24"/>
      <c r="H4499" s="24"/>
      <c r="J4499" s="24"/>
      <c r="K4499" s="24"/>
      <c r="M4499" s="24"/>
      <c r="N4499" s="24"/>
      <c r="P4499" s="24"/>
    </row>
    <row r="4500" spans="2:16" x14ac:dyDescent="0.25">
      <c r="B4500" s="24"/>
      <c r="E4500" s="24"/>
      <c r="G4500" s="24"/>
      <c r="H4500" s="24"/>
      <c r="J4500" s="24"/>
      <c r="K4500" s="24"/>
      <c r="M4500" s="24"/>
      <c r="N4500" s="24"/>
      <c r="P4500" s="24"/>
    </row>
    <row r="4501" spans="2:16" x14ac:dyDescent="0.25">
      <c r="B4501" s="24"/>
      <c r="E4501" s="24"/>
      <c r="G4501" s="24"/>
      <c r="H4501" s="24"/>
      <c r="J4501" s="24"/>
      <c r="K4501" s="24"/>
      <c r="M4501" s="24"/>
      <c r="N4501" s="24"/>
      <c r="P4501" s="24"/>
    </row>
    <row r="4502" spans="2:16" x14ac:dyDescent="0.25">
      <c r="B4502" s="24"/>
      <c r="E4502" s="24"/>
      <c r="G4502" s="24"/>
      <c r="H4502" s="24"/>
      <c r="J4502" s="24"/>
      <c r="K4502" s="24"/>
      <c r="M4502" s="24"/>
      <c r="N4502" s="24"/>
      <c r="P4502" s="24"/>
    </row>
    <row r="4503" spans="2:16" x14ac:dyDescent="0.25">
      <c r="B4503" s="24"/>
      <c r="E4503" s="24"/>
      <c r="G4503" s="24"/>
      <c r="H4503" s="24"/>
      <c r="J4503" s="24"/>
      <c r="K4503" s="24"/>
      <c r="M4503" s="24"/>
      <c r="N4503" s="24"/>
      <c r="P4503" s="24"/>
    </row>
    <row r="4504" spans="2:16" x14ac:dyDescent="0.25">
      <c r="B4504" s="24"/>
      <c r="E4504" s="24"/>
      <c r="G4504" s="24"/>
      <c r="H4504" s="24"/>
      <c r="J4504" s="24"/>
      <c r="K4504" s="24"/>
      <c r="M4504" s="24"/>
      <c r="N4504" s="24"/>
      <c r="P4504" s="24"/>
    </row>
    <row r="4505" spans="2:16" x14ac:dyDescent="0.25">
      <c r="B4505" s="24"/>
      <c r="E4505" s="24"/>
      <c r="G4505" s="24"/>
      <c r="H4505" s="24"/>
      <c r="J4505" s="24"/>
      <c r="K4505" s="24"/>
      <c r="M4505" s="24"/>
      <c r="N4505" s="24"/>
      <c r="P4505" s="24"/>
    </row>
    <row r="4506" spans="2:16" x14ac:dyDescent="0.25">
      <c r="B4506" s="24"/>
      <c r="E4506" s="24"/>
      <c r="G4506" s="24"/>
      <c r="H4506" s="24"/>
      <c r="J4506" s="24"/>
      <c r="K4506" s="24"/>
      <c r="M4506" s="24"/>
      <c r="N4506" s="24"/>
      <c r="P4506" s="24"/>
    </row>
    <row r="4507" spans="2:16" x14ac:dyDescent="0.25">
      <c r="B4507" s="24"/>
      <c r="E4507" s="24"/>
      <c r="G4507" s="24"/>
      <c r="H4507" s="24"/>
      <c r="J4507" s="24"/>
      <c r="K4507" s="24"/>
      <c r="M4507" s="24"/>
      <c r="N4507" s="24"/>
      <c r="P4507" s="24"/>
    </row>
    <row r="4508" spans="2:16" x14ac:dyDescent="0.25">
      <c r="B4508" s="24"/>
      <c r="E4508" s="24"/>
      <c r="G4508" s="24"/>
      <c r="H4508" s="24"/>
      <c r="J4508" s="24"/>
      <c r="K4508" s="24"/>
      <c r="M4508" s="24"/>
      <c r="N4508" s="24"/>
      <c r="P4508" s="24"/>
    </row>
    <row r="4509" spans="2:16" x14ac:dyDescent="0.25">
      <c r="B4509" s="24"/>
      <c r="E4509" s="24"/>
      <c r="G4509" s="24"/>
      <c r="H4509" s="24"/>
      <c r="J4509" s="24"/>
      <c r="K4509" s="24"/>
      <c r="M4509" s="24"/>
      <c r="N4509" s="24"/>
      <c r="P4509" s="24"/>
    </row>
    <row r="4510" spans="2:16" x14ac:dyDescent="0.25">
      <c r="B4510" s="24"/>
      <c r="E4510" s="24"/>
      <c r="G4510" s="24"/>
      <c r="H4510" s="24"/>
      <c r="J4510" s="24"/>
      <c r="K4510" s="24"/>
      <c r="M4510" s="24"/>
      <c r="N4510" s="24"/>
      <c r="P4510" s="24"/>
    </row>
    <row r="4511" spans="2:16" x14ac:dyDescent="0.25">
      <c r="B4511" s="24"/>
      <c r="E4511" s="24"/>
      <c r="G4511" s="24"/>
      <c r="H4511" s="24"/>
      <c r="J4511" s="24"/>
      <c r="K4511" s="24"/>
      <c r="M4511" s="24"/>
      <c r="N4511" s="24"/>
      <c r="P4511" s="24"/>
    </row>
    <row r="4512" spans="2:16" x14ac:dyDescent="0.25">
      <c r="B4512" s="24"/>
      <c r="E4512" s="24"/>
      <c r="G4512" s="24"/>
      <c r="H4512" s="24"/>
      <c r="J4512" s="24"/>
      <c r="K4512" s="24"/>
      <c r="M4512" s="24"/>
      <c r="N4512" s="24"/>
      <c r="P4512" s="24"/>
    </row>
    <row r="4513" spans="2:16" x14ac:dyDescent="0.25">
      <c r="B4513" s="24"/>
      <c r="E4513" s="24"/>
      <c r="G4513" s="24"/>
      <c r="H4513" s="24"/>
      <c r="J4513" s="24"/>
      <c r="K4513" s="24"/>
      <c r="M4513" s="24"/>
      <c r="N4513" s="24"/>
      <c r="P4513" s="24"/>
    </row>
    <row r="4514" spans="2:16" x14ac:dyDescent="0.25">
      <c r="B4514" s="24"/>
      <c r="E4514" s="24"/>
      <c r="G4514" s="24"/>
      <c r="H4514" s="24"/>
      <c r="J4514" s="24"/>
      <c r="K4514" s="24"/>
      <c r="M4514" s="24"/>
      <c r="N4514" s="24"/>
      <c r="P4514" s="24"/>
    </row>
    <row r="4515" spans="2:16" x14ac:dyDescent="0.25">
      <c r="B4515" s="24"/>
      <c r="E4515" s="24"/>
      <c r="G4515" s="24"/>
      <c r="H4515" s="24"/>
      <c r="J4515" s="24"/>
      <c r="K4515" s="24"/>
      <c r="M4515" s="24"/>
      <c r="N4515" s="24"/>
      <c r="P4515" s="24"/>
    </row>
    <row r="4516" spans="2:16" x14ac:dyDescent="0.25">
      <c r="B4516" s="24"/>
      <c r="E4516" s="24"/>
      <c r="G4516" s="24"/>
      <c r="H4516" s="24"/>
      <c r="J4516" s="24"/>
      <c r="K4516" s="24"/>
      <c r="M4516" s="24"/>
      <c r="N4516" s="24"/>
      <c r="P4516" s="24"/>
    </row>
    <row r="4517" spans="2:16" x14ac:dyDescent="0.25">
      <c r="B4517" s="24"/>
      <c r="E4517" s="24"/>
      <c r="G4517" s="24"/>
      <c r="H4517" s="24"/>
      <c r="J4517" s="24"/>
      <c r="K4517" s="24"/>
      <c r="M4517" s="24"/>
      <c r="N4517" s="24"/>
      <c r="P4517" s="24"/>
    </row>
    <row r="4518" spans="2:16" x14ac:dyDescent="0.25">
      <c r="B4518" s="24"/>
      <c r="E4518" s="24"/>
      <c r="G4518" s="24"/>
      <c r="H4518" s="24"/>
      <c r="J4518" s="24"/>
      <c r="K4518" s="24"/>
      <c r="M4518" s="24"/>
      <c r="N4518" s="24"/>
      <c r="P4518" s="24"/>
    </row>
    <row r="4519" spans="2:16" x14ac:dyDescent="0.25">
      <c r="B4519" s="24"/>
      <c r="E4519" s="24"/>
      <c r="G4519" s="24"/>
      <c r="H4519" s="24"/>
      <c r="J4519" s="24"/>
      <c r="K4519" s="24"/>
      <c r="M4519" s="24"/>
      <c r="N4519" s="24"/>
      <c r="P4519" s="24"/>
    </row>
    <row r="4520" spans="2:16" x14ac:dyDescent="0.25">
      <c r="B4520" s="24"/>
      <c r="E4520" s="24"/>
      <c r="G4520" s="24"/>
      <c r="H4520" s="24"/>
      <c r="J4520" s="24"/>
      <c r="K4520" s="24"/>
      <c r="M4520" s="24"/>
      <c r="N4520" s="24"/>
      <c r="P4520" s="24"/>
    </row>
    <row r="4521" spans="2:16" x14ac:dyDescent="0.25">
      <c r="B4521" s="24"/>
      <c r="E4521" s="24"/>
      <c r="G4521" s="24"/>
      <c r="H4521" s="24"/>
      <c r="J4521" s="24"/>
      <c r="K4521" s="24"/>
      <c r="M4521" s="24"/>
      <c r="N4521" s="24"/>
      <c r="P4521" s="24"/>
    </row>
    <row r="4522" spans="2:16" x14ac:dyDescent="0.25">
      <c r="B4522" s="24"/>
      <c r="E4522" s="24"/>
      <c r="G4522" s="24"/>
      <c r="H4522" s="24"/>
      <c r="J4522" s="24"/>
      <c r="K4522" s="24"/>
      <c r="M4522" s="24"/>
      <c r="N4522" s="24"/>
      <c r="P4522" s="24"/>
    </row>
    <row r="4523" spans="2:16" x14ac:dyDescent="0.25">
      <c r="B4523" s="24"/>
      <c r="E4523" s="24"/>
      <c r="G4523" s="24"/>
      <c r="H4523" s="24"/>
      <c r="J4523" s="24"/>
      <c r="K4523" s="24"/>
      <c r="M4523" s="24"/>
      <c r="N4523" s="24"/>
      <c r="P4523" s="24"/>
    </row>
    <row r="4524" spans="2:16" x14ac:dyDescent="0.25">
      <c r="B4524" s="24"/>
      <c r="E4524" s="24"/>
      <c r="G4524" s="24"/>
      <c r="H4524" s="24"/>
      <c r="J4524" s="24"/>
      <c r="K4524" s="24"/>
      <c r="M4524" s="24"/>
      <c r="N4524" s="24"/>
      <c r="P4524" s="24"/>
    </row>
    <row r="4525" spans="2:16" x14ac:dyDescent="0.25">
      <c r="B4525" s="24"/>
      <c r="E4525" s="24"/>
      <c r="G4525" s="24"/>
      <c r="H4525" s="24"/>
      <c r="J4525" s="24"/>
      <c r="K4525" s="24"/>
      <c r="M4525" s="24"/>
      <c r="N4525" s="24"/>
      <c r="P4525" s="24"/>
    </row>
    <row r="4526" spans="2:16" x14ac:dyDescent="0.25">
      <c r="B4526" s="24"/>
      <c r="E4526" s="24"/>
      <c r="G4526" s="24"/>
      <c r="H4526" s="24"/>
      <c r="J4526" s="24"/>
      <c r="K4526" s="24"/>
      <c r="M4526" s="24"/>
      <c r="N4526" s="24"/>
      <c r="P4526" s="24"/>
    </row>
    <row r="4527" spans="2:16" x14ac:dyDescent="0.25">
      <c r="B4527" s="24"/>
      <c r="E4527" s="24"/>
      <c r="G4527" s="24"/>
      <c r="H4527" s="24"/>
      <c r="J4527" s="24"/>
      <c r="K4527" s="24"/>
      <c r="M4527" s="24"/>
      <c r="N4527" s="24"/>
      <c r="P4527" s="24"/>
    </row>
    <row r="4528" spans="2:16" x14ac:dyDescent="0.25">
      <c r="B4528" s="24"/>
      <c r="E4528" s="24"/>
      <c r="G4528" s="24"/>
      <c r="H4528" s="24"/>
      <c r="J4528" s="24"/>
      <c r="K4528" s="24"/>
      <c r="M4528" s="24"/>
      <c r="N4528" s="24"/>
      <c r="P4528" s="24"/>
    </row>
    <row r="4529" spans="2:16" x14ac:dyDescent="0.25">
      <c r="B4529" s="24"/>
      <c r="E4529" s="24"/>
      <c r="G4529" s="24"/>
      <c r="H4529" s="24"/>
      <c r="J4529" s="24"/>
      <c r="K4529" s="24"/>
      <c r="M4529" s="24"/>
      <c r="N4529" s="24"/>
      <c r="P4529" s="24"/>
    </row>
    <row r="4530" spans="2:16" x14ac:dyDescent="0.25">
      <c r="B4530" s="24"/>
      <c r="E4530" s="24"/>
      <c r="G4530" s="24"/>
      <c r="H4530" s="24"/>
      <c r="J4530" s="24"/>
      <c r="K4530" s="24"/>
      <c r="M4530" s="24"/>
      <c r="N4530" s="24"/>
      <c r="P4530" s="24"/>
    </row>
    <row r="4531" spans="2:16" x14ac:dyDescent="0.25">
      <c r="B4531" s="24"/>
      <c r="E4531" s="24"/>
      <c r="G4531" s="24"/>
      <c r="H4531" s="24"/>
      <c r="J4531" s="24"/>
      <c r="K4531" s="24"/>
      <c r="M4531" s="24"/>
      <c r="N4531" s="24"/>
      <c r="P4531" s="24"/>
    </row>
    <row r="4532" spans="2:16" x14ac:dyDescent="0.25">
      <c r="B4532" s="24"/>
      <c r="E4532" s="24"/>
      <c r="G4532" s="24"/>
      <c r="H4532" s="24"/>
      <c r="J4532" s="24"/>
      <c r="K4532" s="24"/>
      <c r="M4532" s="24"/>
      <c r="N4532" s="24"/>
      <c r="P4532" s="24"/>
    </row>
    <row r="4533" spans="2:16" x14ac:dyDescent="0.25">
      <c r="B4533" s="24"/>
      <c r="E4533" s="24"/>
      <c r="G4533" s="24"/>
      <c r="H4533" s="24"/>
      <c r="J4533" s="24"/>
      <c r="K4533" s="24"/>
      <c r="M4533" s="24"/>
      <c r="N4533" s="24"/>
      <c r="P4533" s="24"/>
    </row>
    <row r="4534" spans="2:16" x14ac:dyDescent="0.25">
      <c r="B4534" s="24"/>
      <c r="E4534" s="24"/>
      <c r="G4534" s="24"/>
      <c r="H4534" s="24"/>
      <c r="J4534" s="24"/>
      <c r="K4534" s="24"/>
      <c r="M4534" s="24"/>
      <c r="N4534" s="24"/>
      <c r="P4534" s="24"/>
    </row>
    <row r="4535" spans="2:16" x14ac:dyDescent="0.25">
      <c r="B4535" s="24"/>
      <c r="E4535" s="24"/>
      <c r="G4535" s="24"/>
      <c r="H4535" s="24"/>
      <c r="J4535" s="24"/>
      <c r="K4535" s="24"/>
      <c r="M4535" s="24"/>
      <c r="N4535" s="24"/>
      <c r="P4535" s="24"/>
    </row>
    <row r="4536" spans="2:16" x14ac:dyDescent="0.25">
      <c r="B4536" s="24"/>
      <c r="E4536" s="24"/>
      <c r="G4536" s="24"/>
      <c r="H4536" s="24"/>
      <c r="J4536" s="24"/>
      <c r="K4536" s="24"/>
      <c r="M4536" s="24"/>
      <c r="N4536" s="24"/>
      <c r="P4536" s="24"/>
    </row>
    <row r="4537" spans="2:16" x14ac:dyDescent="0.25">
      <c r="B4537" s="24"/>
      <c r="E4537" s="24"/>
      <c r="G4537" s="24"/>
      <c r="H4537" s="24"/>
      <c r="J4537" s="24"/>
      <c r="K4537" s="24"/>
      <c r="M4537" s="24"/>
      <c r="N4537" s="24"/>
      <c r="P4537" s="24"/>
    </row>
    <row r="4538" spans="2:16" x14ac:dyDescent="0.25">
      <c r="B4538" s="24"/>
      <c r="E4538" s="24"/>
      <c r="G4538" s="24"/>
      <c r="H4538" s="24"/>
      <c r="J4538" s="24"/>
      <c r="K4538" s="24"/>
      <c r="M4538" s="24"/>
      <c r="N4538" s="24"/>
      <c r="P4538" s="24"/>
    </row>
    <row r="4539" spans="2:16" x14ac:dyDescent="0.25">
      <c r="B4539" s="24"/>
      <c r="E4539" s="24"/>
      <c r="G4539" s="24"/>
      <c r="H4539" s="24"/>
      <c r="J4539" s="24"/>
      <c r="K4539" s="24"/>
      <c r="M4539" s="24"/>
      <c r="N4539" s="24"/>
      <c r="P4539" s="24"/>
    </row>
    <row r="4540" spans="2:16" x14ac:dyDescent="0.25">
      <c r="B4540" s="24"/>
      <c r="E4540" s="24"/>
      <c r="G4540" s="24"/>
      <c r="H4540" s="24"/>
      <c r="J4540" s="24"/>
      <c r="K4540" s="24"/>
      <c r="M4540" s="24"/>
      <c r="N4540" s="24"/>
      <c r="P4540" s="24"/>
    </row>
    <row r="4541" spans="2:16" x14ac:dyDescent="0.25">
      <c r="B4541" s="24"/>
      <c r="E4541" s="24"/>
      <c r="G4541" s="24"/>
      <c r="H4541" s="24"/>
      <c r="J4541" s="24"/>
      <c r="K4541" s="24"/>
      <c r="M4541" s="24"/>
      <c r="N4541" s="24"/>
      <c r="P4541" s="24"/>
    </row>
    <row r="4542" spans="2:16" x14ac:dyDescent="0.25">
      <c r="B4542" s="24"/>
      <c r="E4542" s="24"/>
      <c r="G4542" s="24"/>
      <c r="H4542" s="24"/>
      <c r="J4542" s="24"/>
      <c r="K4542" s="24"/>
      <c r="M4542" s="24"/>
      <c r="N4542" s="24"/>
      <c r="P4542" s="24"/>
    </row>
    <row r="4543" spans="2:16" x14ac:dyDescent="0.25">
      <c r="B4543" s="24"/>
      <c r="E4543" s="24"/>
      <c r="G4543" s="24"/>
      <c r="H4543" s="24"/>
      <c r="J4543" s="24"/>
      <c r="K4543" s="24"/>
      <c r="M4543" s="24"/>
      <c r="N4543" s="24"/>
      <c r="P4543" s="24"/>
    </row>
    <row r="4544" spans="2:16" x14ac:dyDescent="0.25">
      <c r="B4544" s="24"/>
      <c r="E4544" s="24"/>
      <c r="G4544" s="24"/>
      <c r="H4544" s="24"/>
      <c r="J4544" s="24"/>
      <c r="K4544" s="24"/>
      <c r="M4544" s="24"/>
      <c r="N4544" s="24"/>
      <c r="P4544" s="24"/>
    </row>
    <row r="4545" spans="2:16" x14ac:dyDescent="0.25">
      <c r="B4545" s="24"/>
      <c r="E4545" s="24"/>
      <c r="G4545" s="24"/>
      <c r="H4545" s="24"/>
      <c r="J4545" s="24"/>
      <c r="K4545" s="24"/>
      <c r="M4545" s="24"/>
      <c r="N4545" s="24"/>
      <c r="P4545" s="24"/>
    </row>
    <row r="4546" spans="2:16" x14ac:dyDescent="0.25">
      <c r="B4546" s="24"/>
      <c r="E4546" s="24"/>
      <c r="G4546" s="24"/>
      <c r="H4546" s="24"/>
      <c r="J4546" s="24"/>
      <c r="K4546" s="24"/>
      <c r="M4546" s="24"/>
      <c r="N4546" s="24"/>
      <c r="P4546" s="24"/>
    </row>
    <row r="4547" spans="2:16" x14ac:dyDescent="0.25">
      <c r="B4547" s="24"/>
      <c r="E4547" s="24"/>
      <c r="G4547" s="24"/>
      <c r="H4547" s="24"/>
      <c r="J4547" s="24"/>
      <c r="K4547" s="24"/>
      <c r="M4547" s="24"/>
      <c r="N4547" s="24"/>
      <c r="P4547" s="24"/>
    </row>
    <row r="4548" spans="2:16" x14ac:dyDescent="0.25">
      <c r="B4548" s="24"/>
      <c r="E4548" s="24"/>
      <c r="G4548" s="24"/>
      <c r="H4548" s="24"/>
      <c r="J4548" s="24"/>
      <c r="K4548" s="24"/>
      <c r="M4548" s="24"/>
      <c r="N4548" s="24"/>
      <c r="P4548" s="24"/>
    </row>
    <row r="4549" spans="2:16" x14ac:dyDescent="0.25">
      <c r="B4549" s="24"/>
      <c r="E4549" s="24"/>
      <c r="G4549" s="24"/>
      <c r="H4549" s="24"/>
      <c r="J4549" s="24"/>
      <c r="K4549" s="24"/>
      <c r="M4549" s="24"/>
      <c r="N4549" s="24"/>
      <c r="P4549" s="24"/>
    </row>
    <row r="4550" spans="2:16" x14ac:dyDescent="0.25">
      <c r="B4550" s="24"/>
      <c r="E4550" s="24"/>
      <c r="G4550" s="24"/>
      <c r="H4550" s="24"/>
      <c r="J4550" s="24"/>
      <c r="K4550" s="24"/>
      <c r="M4550" s="24"/>
      <c r="N4550" s="24"/>
      <c r="P4550" s="24"/>
    </row>
    <row r="4551" spans="2:16" x14ac:dyDescent="0.25">
      <c r="B4551" s="24"/>
      <c r="E4551" s="24"/>
      <c r="G4551" s="24"/>
      <c r="H4551" s="24"/>
      <c r="J4551" s="24"/>
      <c r="K4551" s="24"/>
      <c r="M4551" s="24"/>
      <c r="N4551" s="24"/>
      <c r="P4551" s="24"/>
    </row>
    <row r="4552" spans="2:16" x14ac:dyDescent="0.25">
      <c r="B4552" s="24"/>
      <c r="E4552" s="24"/>
      <c r="G4552" s="24"/>
      <c r="H4552" s="24"/>
      <c r="J4552" s="24"/>
      <c r="K4552" s="24"/>
      <c r="M4552" s="24"/>
      <c r="N4552" s="24"/>
      <c r="P4552" s="24"/>
    </row>
    <row r="4553" spans="2:16" x14ac:dyDescent="0.25">
      <c r="B4553" s="24"/>
      <c r="E4553" s="24"/>
      <c r="G4553" s="24"/>
      <c r="H4553" s="24"/>
      <c r="J4553" s="24"/>
      <c r="K4553" s="24"/>
      <c r="M4553" s="24"/>
      <c r="N4553" s="24"/>
      <c r="P4553" s="24"/>
    </row>
    <row r="4554" spans="2:16" x14ac:dyDescent="0.25">
      <c r="B4554" s="24"/>
      <c r="E4554" s="24"/>
      <c r="G4554" s="24"/>
      <c r="H4554" s="24"/>
      <c r="J4554" s="24"/>
      <c r="K4554" s="24"/>
      <c r="M4554" s="24"/>
      <c r="N4554" s="24"/>
      <c r="P4554" s="24"/>
    </row>
    <row r="4555" spans="2:16" x14ac:dyDescent="0.25">
      <c r="B4555" s="24"/>
      <c r="E4555" s="24"/>
      <c r="G4555" s="24"/>
      <c r="H4555" s="24"/>
      <c r="J4555" s="24"/>
      <c r="K4555" s="24"/>
      <c r="M4555" s="24"/>
      <c r="N4555" s="24"/>
      <c r="P4555" s="24"/>
    </row>
    <row r="4556" spans="2:16" x14ac:dyDescent="0.25">
      <c r="B4556" s="24"/>
      <c r="E4556" s="24"/>
      <c r="G4556" s="24"/>
      <c r="H4556" s="24"/>
      <c r="J4556" s="24"/>
      <c r="K4556" s="24"/>
      <c r="M4556" s="24"/>
      <c r="N4556" s="24"/>
      <c r="P4556" s="24"/>
    </row>
    <row r="4557" spans="2:16" x14ac:dyDescent="0.25">
      <c r="B4557" s="24"/>
      <c r="E4557" s="24"/>
      <c r="G4557" s="24"/>
      <c r="H4557" s="24"/>
      <c r="J4557" s="24"/>
      <c r="K4557" s="24"/>
      <c r="M4557" s="24"/>
      <c r="N4557" s="24"/>
      <c r="P4557" s="24"/>
    </row>
    <row r="4558" spans="2:16" x14ac:dyDescent="0.25">
      <c r="B4558" s="24"/>
      <c r="E4558" s="24"/>
      <c r="G4558" s="24"/>
      <c r="H4558" s="24"/>
      <c r="J4558" s="24"/>
      <c r="K4558" s="24"/>
      <c r="M4558" s="24"/>
      <c r="N4558" s="24"/>
      <c r="P4558" s="24"/>
    </row>
    <row r="4559" spans="2:16" x14ac:dyDescent="0.25">
      <c r="B4559" s="24"/>
      <c r="E4559" s="24"/>
      <c r="G4559" s="24"/>
      <c r="H4559" s="24"/>
      <c r="J4559" s="24"/>
      <c r="K4559" s="24"/>
      <c r="M4559" s="24"/>
      <c r="N4559" s="24"/>
      <c r="P4559" s="24"/>
    </row>
    <row r="4560" spans="2:16" x14ac:dyDescent="0.25">
      <c r="B4560" s="24"/>
      <c r="E4560" s="24"/>
      <c r="G4560" s="24"/>
      <c r="H4560" s="24"/>
      <c r="J4560" s="24"/>
      <c r="K4560" s="24"/>
      <c r="M4560" s="24"/>
      <c r="N4560" s="24"/>
      <c r="P4560" s="24"/>
    </row>
    <row r="4561" spans="2:16" x14ac:dyDescent="0.25">
      <c r="B4561" s="24"/>
      <c r="E4561" s="24"/>
      <c r="G4561" s="24"/>
      <c r="H4561" s="24"/>
      <c r="J4561" s="24"/>
      <c r="K4561" s="24"/>
      <c r="M4561" s="24"/>
      <c r="N4561" s="24"/>
      <c r="P4561" s="24"/>
    </row>
    <row r="4562" spans="2:16" x14ac:dyDescent="0.25">
      <c r="B4562" s="24"/>
      <c r="E4562" s="24"/>
      <c r="G4562" s="24"/>
      <c r="H4562" s="24"/>
      <c r="J4562" s="24"/>
      <c r="K4562" s="24"/>
      <c r="M4562" s="24"/>
      <c r="N4562" s="24"/>
      <c r="P4562" s="24"/>
    </row>
    <row r="4563" spans="2:16" x14ac:dyDescent="0.25">
      <c r="B4563" s="24"/>
      <c r="E4563" s="24"/>
      <c r="G4563" s="24"/>
      <c r="H4563" s="24"/>
      <c r="J4563" s="24"/>
      <c r="K4563" s="24"/>
      <c r="M4563" s="24"/>
      <c r="N4563" s="24"/>
      <c r="P4563" s="24"/>
    </row>
    <row r="4564" spans="2:16" x14ac:dyDescent="0.25">
      <c r="B4564" s="24"/>
      <c r="E4564" s="24"/>
      <c r="G4564" s="24"/>
      <c r="H4564" s="24"/>
      <c r="J4564" s="24"/>
      <c r="K4564" s="24"/>
      <c r="M4564" s="24"/>
      <c r="N4564" s="24"/>
      <c r="P4564" s="24"/>
    </row>
    <row r="4565" spans="2:16" x14ac:dyDescent="0.25">
      <c r="B4565" s="24"/>
      <c r="E4565" s="24"/>
      <c r="G4565" s="24"/>
      <c r="H4565" s="24"/>
      <c r="J4565" s="24"/>
      <c r="K4565" s="24"/>
      <c r="M4565" s="24"/>
      <c r="N4565" s="24"/>
      <c r="P4565" s="24"/>
    </row>
    <row r="4566" spans="2:16" x14ac:dyDescent="0.25">
      <c r="B4566" s="24"/>
      <c r="E4566" s="24"/>
      <c r="G4566" s="24"/>
      <c r="H4566" s="24"/>
      <c r="J4566" s="24"/>
      <c r="K4566" s="24"/>
      <c r="M4566" s="24"/>
      <c r="N4566" s="24"/>
      <c r="P4566" s="24"/>
    </row>
    <row r="4567" spans="2:16" x14ac:dyDescent="0.25">
      <c r="B4567" s="24"/>
      <c r="E4567" s="24"/>
      <c r="G4567" s="24"/>
      <c r="H4567" s="24"/>
      <c r="J4567" s="24"/>
      <c r="K4567" s="24"/>
      <c r="M4567" s="24"/>
      <c r="N4567" s="24"/>
      <c r="P4567" s="24"/>
    </row>
    <row r="4568" spans="2:16" x14ac:dyDescent="0.25">
      <c r="B4568" s="24"/>
      <c r="E4568" s="24"/>
      <c r="G4568" s="24"/>
      <c r="H4568" s="24"/>
      <c r="J4568" s="24"/>
      <c r="K4568" s="24"/>
      <c r="M4568" s="24"/>
      <c r="N4568" s="24"/>
      <c r="P4568" s="24"/>
    </row>
    <row r="4569" spans="2:16" x14ac:dyDescent="0.25">
      <c r="B4569" s="24"/>
      <c r="E4569" s="24"/>
      <c r="G4569" s="24"/>
      <c r="H4569" s="24"/>
      <c r="J4569" s="24"/>
      <c r="K4569" s="24"/>
      <c r="M4569" s="24"/>
      <c r="N4569" s="24"/>
      <c r="P4569" s="24"/>
    </row>
    <row r="4570" spans="2:16" x14ac:dyDescent="0.25">
      <c r="B4570" s="24"/>
      <c r="E4570" s="24"/>
      <c r="G4570" s="24"/>
      <c r="H4570" s="24"/>
      <c r="J4570" s="24"/>
      <c r="K4570" s="24"/>
      <c r="M4570" s="24"/>
      <c r="N4570" s="24"/>
      <c r="P4570" s="24"/>
    </row>
    <row r="4571" spans="2:16" x14ac:dyDescent="0.25">
      <c r="B4571" s="24"/>
      <c r="E4571" s="24"/>
      <c r="G4571" s="24"/>
      <c r="H4571" s="24"/>
      <c r="J4571" s="24"/>
      <c r="K4571" s="24"/>
      <c r="M4571" s="24"/>
      <c r="N4571" s="24"/>
      <c r="P4571" s="24"/>
    </row>
    <row r="4572" spans="2:16" x14ac:dyDescent="0.25">
      <c r="B4572" s="24"/>
      <c r="E4572" s="24"/>
      <c r="G4572" s="24"/>
      <c r="H4572" s="24"/>
      <c r="J4572" s="24"/>
      <c r="K4572" s="24"/>
      <c r="M4572" s="24"/>
      <c r="N4572" s="24"/>
      <c r="P4572" s="24"/>
    </row>
    <row r="4573" spans="2:16" x14ac:dyDescent="0.25">
      <c r="B4573" s="24"/>
      <c r="E4573" s="24"/>
      <c r="G4573" s="24"/>
      <c r="H4573" s="24"/>
      <c r="J4573" s="24"/>
      <c r="K4573" s="24"/>
      <c r="M4573" s="24"/>
      <c r="N4573" s="24"/>
      <c r="P4573" s="24"/>
    </row>
    <row r="4574" spans="2:16" x14ac:dyDescent="0.25">
      <c r="B4574" s="24"/>
      <c r="E4574" s="24"/>
      <c r="G4574" s="24"/>
      <c r="H4574" s="24"/>
      <c r="J4574" s="24"/>
      <c r="K4574" s="24"/>
      <c r="M4574" s="24"/>
      <c r="N4574" s="24"/>
      <c r="P4574" s="24"/>
    </row>
    <row r="4575" spans="2:16" x14ac:dyDescent="0.25">
      <c r="B4575" s="24"/>
      <c r="E4575" s="24"/>
      <c r="G4575" s="24"/>
      <c r="H4575" s="24"/>
      <c r="J4575" s="24"/>
      <c r="K4575" s="24"/>
      <c r="M4575" s="24"/>
      <c r="N4575" s="24"/>
      <c r="P4575" s="24"/>
    </row>
    <row r="4576" spans="2:16" x14ac:dyDescent="0.25">
      <c r="B4576" s="24"/>
      <c r="E4576" s="24"/>
      <c r="G4576" s="24"/>
      <c r="H4576" s="24"/>
      <c r="J4576" s="24"/>
      <c r="K4576" s="24"/>
      <c r="M4576" s="24"/>
      <c r="N4576" s="24"/>
      <c r="P4576" s="24"/>
    </row>
    <row r="4577" spans="2:16" x14ac:dyDescent="0.25">
      <c r="B4577" s="24"/>
      <c r="E4577" s="24"/>
      <c r="G4577" s="24"/>
      <c r="H4577" s="24"/>
      <c r="J4577" s="24"/>
      <c r="K4577" s="24"/>
      <c r="M4577" s="24"/>
      <c r="N4577" s="24"/>
      <c r="P4577" s="24"/>
    </row>
    <row r="4578" spans="2:16" x14ac:dyDescent="0.25">
      <c r="B4578" s="24"/>
      <c r="E4578" s="24"/>
      <c r="G4578" s="24"/>
      <c r="H4578" s="24"/>
      <c r="J4578" s="24"/>
      <c r="K4578" s="24"/>
      <c r="M4578" s="24"/>
      <c r="N4578" s="24"/>
      <c r="P4578" s="24"/>
    </row>
    <row r="4579" spans="2:16" x14ac:dyDescent="0.25">
      <c r="B4579" s="24"/>
      <c r="E4579" s="24"/>
      <c r="G4579" s="24"/>
      <c r="H4579" s="24"/>
      <c r="J4579" s="24"/>
      <c r="K4579" s="24"/>
      <c r="M4579" s="24"/>
      <c r="N4579" s="24"/>
      <c r="P4579" s="24"/>
    </row>
    <row r="4580" spans="2:16" x14ac:dyDescent="0.25">
      <c r="B4580" s="24"/>
      <c r="E4580" s="24"/>
      <c r="G4580" s="24"/>
      <c r="H4580" s="24"/>
      <c r="J4580" s="24"/>
      <c r="K4580" s="24"/>
      <c r="M4580" s="24"/>
      <c r="N4580" s="24"/>
      <c r="P4580" s="24"/>
    </row>
    <row r="4581" spans="2:16" x14ac:dyDescent="0.25">
      <c r="B4581" s="24"/>
      <c r="E4581" s="24"/>
      <c r="G4581" s="24"/>
      <c r="H4581" s="24"/>
      <c r="J4581" s="24"/>
      <c r="K4581" s="24"/>
      <c r="M4581" s="24"/>
      <c r="N4581" s="24"/>
      <c r="P4581" s="24"/>
    </row>
    <row r="4582" spans="2:16" x14ac:dyDescent="0.25">
      <c r="B4582" s="24"/>
      <c r="E4582" s="24"/>
      <c r="G4582" s="24"/>
      <c r="H4582" s="24"/>
      <c r="J4582" s="24"/>
      <c r="K4582" s="24"/>
      <c r="M4582" s="24"/>
      <c r="N4582" s="24"/>
      <c r="P4582" s="24"/>
    </row>
    <row r="4583" spans="2:16" x14ac:dyDescent="0.25">
      <c r="B4583" s="24"/>
      <c r="E4583" s="24"/>
      <c r="G4583" s="24"/>
      <c r="H4583" s="24"/>
      <c r="J4583" s="24"/>
      <c r="K4583" s="24"/>
      <c r="M4583" s="24"/>
      <c r="N4583" s="24"/>
      <c r="P4583" s="24"/>
    </row>
    <row r="4584" spans="2:16" x14ac:dyDescent="0.25">
      <c r="B4584" s="24"/>
      <c r="E4584" s="24"/>
      <c r="G4584" s="24"/>
      <c r="H4584" s="24"/>
      <c r="J4584" s="24"/>
      <c r="K4584" s="24"/>
      <c r="M4584" s="24"/>
      <c r="N4584" s="24"/>
      <c r="P4584" s="24"/>
    </row>
    <row r="4585" spans="2:16" x14ac:dyDescent="0.25">
      <c r="B4585" s="24"/>
      <c r="E4585" s="24"/>
      <c r="G4585" s="24"/>
      <c r="H4585" s="24"/>
      <c r="J4585" s="24"/>
      <c r="K4585" s="24"/>
      <c r="M4585" s="24"/>
      <c r="N4585" s="24"/>
      <c r="P4585" s="24"/>
    </row>
    <row r="4586" spans="2:16" x14ac:dyDescent="0.25">
      <c r="B4586" s="24"/>
      <c r="E4586" s="24"/>
      <c r="G4586" s="24"/>
      <c r="H4586" s="24"/>
      <c r="J4586" s="24"/>
      <c r="K4586" s="24"/>
      <c r="M4586" s="24"/>
      <c r="N4586" s="24"/>
      <c r="P4586" s="24"/>
    </row>
    <row r="4587" spans="2:16" x14ac:dyDescent="0.25">
      <c r="B4587" s="24"/>
      <c r="E4587" s="24"/>
      <c r="G4587" s="24"/>
      <c r="H4587" s="24"/>
      <c r="J4587" s="24"/>
      <c r="K4587" s="24"/>
      <c r="M4587" s="24"/>
      <c r="N4587" s="24"/>
      <c r="P4587" s="24"/>
    </row>
    <row r="4588" spans="2:16" x14ac:dyDescent="0.25">
      <c r="B4588" s="24"/>
      <c r="E4588" s="24"/>
      <c r="G4588" s="24"/>
      <c r="H4588" s="24"/>
      <c r="J4588" s="24"/>
      <c r="K4588" s="24"/>
      <c r="M4588" s="24"/>
      <c r="N4588" s="24"/>
      <c r="P4588" s="24"/>
    </row>
    <row r="4589" spans="2:16" x14ac:dyDescent="0.25">
      <c r="B4589" s="24"/>
      <c r="E4589" s="24"/>
      <c r="G4589" s="24"/>
      <c r="H4589" s="24"/>
      <c r="J4589" s="24"/>
      <c r="K4589" s="24"/>
      <c r="M4589" s="24"/>
      <c r="N4589" s="24"/>
      <c r="P4589" s="24"/>
    </row>
    <row r="4590" spans="2:16" x14ac:dyDescent="0.25">
      <c r="B4590" s="24"/>
      <c r="E4590" s="24"/>
      <c r="G4590" s="24"/>
      <c r="H4590" s="24"/>
      <c r="J4590" s="24"/>
      <c r="K4590" s="24"/>
      <c r="M4590" s="24"/>
      <c r="N4590" s="24"/>
      <c r="P4590" s="24"/>
    </row>
    <row r="4591" spans="2:16" x14ac:dyDescent="0.25">
      <c r="B4591" s="24"/>
      <c r="E4591" s="24"/>
      <c r="G4591" s="24"/>
      <c r="H4591" s="24"/>
      <c r="J4591" s="24"/>
      <c r="K4591" s="24"/>
      <c r="M4591" s="24"/>
      <c r="N4591" s="24"/>
      <c r="P4591" s="24"/>
    </row>
    <row r="4592" spans="2:16" x14ac:dyDescent="0.25">
      <c r="B4592" s="24"/>
      <c r="E4592" s="24"/>
      <c r="G4592" s="24"/>
      <c r="H4592" s="24"/>
      <c r="J4592" s="24"/>
      <c r="K4592" s="24"/>
      <c r="M4592" s="24"/>
      <c r="N4592" s="24"/>
      <c r="P4592" s="24"/>
    </row>
    <row r="4593" spans="2:16" x14ac:dyDescent="0.25">
      <c r="B4593" s="24"/>
      <c r="E4593" s="24"/>
      <c r="G4593" s="24"/>
      <c r="H4593" s="24"/>
      <c r="J4593" s="24"/>
      <c r="K4593" s="24"/>
      <c r="M4593" s="24"/>
      <c r="N4593" s="24"/>
      <c r="P4593" s="24"/>
    </row>
    <row r="4594" spans="2:16" x14ac:dyDescent="0.25">
      <c r="B4594" s="24"/>
      <c r="E4594" s="24"/>
      <c r="G4594" s="24"/>
      <c r="H4594" s="24"/>
      <c r="J4594" s="24"/>
      <c r="K4594" s="24"/>
      <c r="M4594" s="24"/>
      <c r="N4594" s="24"/>
      <c r="P4594" s="24"/>
    </row>
    <row r="4595" spans="2:16" x14ac:dyDescent="0.25">
      <c r="B4595" s="24"/>
      <c r="E4595" s="24"/>
      <c r="G4595" s="24"/>
      <c r="H4595" s="24"/>
      <c r="J4595" s="24"/>
      <c r="K4595" s="24"/>
      <c r="M4595" s="24"/>
      <c r="N4595" s="24"/>
      <c r="P4595" s="24"/>
    </row>
    <row r="4596" spans="2:16" x14ac:dyDescent="0.25">
      <c r="B4596" s="24"/>
      <c r="E4596" s="24"/>
      <c r="G4596" s="24"/>
      <c r="H4596" s="24"/>
      <c r="J4596" s="24"/>
      <c r="K4596" s="24"/>
      <c r="M4596" s="24"/>
      <c r="N4596" s="24"/>
      <c r="P4596" s="24"/>
    </row>
    <row r="4597" spans="2:16" x14ac:dyDescent="0.25">
      <c r="B4597" s="24"/>
      <c r="E4597" s="24"/>
      <c r="G4597" s="24"/>
      <c r="H4597" s="24"/>
      <c r="J4597" s="24"/>
      <c r="K4597" s="24"/>
      <c r="M4597" s="24"/>
      <c r="N4597" s="24"/>
      <c r="P4597" s="24"/>
    </row>
    <row r="4598" spans="2:16" x14ac:dyDescent="0.25">
      <c r="B4598" s="24"/>
      <c r="E4598" s="24"/>
      <c r="G4598" s="24"/>
      <c r="H4598" s="24"/>
      <c r="J4598" s="24"/>
      <c r="K4598" s="24"/>
      <c r="M4598" s="24"/>
      <c r="N4598" s="24"/>
      <c r="P4598" s="24"/>
    </row>
    <row r="4599" spans="2:16" x14ac:dyDescent="0.25">
      <c r="B4599" s="24"/>
      <c r="E4599" s="24"/>
      <c r="G4599" s="24"/>
      <c r="H4599" s="24"/>
      <c r="J4599" s="24"/>
      <c r="K4599" s="24"/>
      <c r="M4599" s="24"/>
      <c r="N4599" s="24"/>
      <c r="P4599" s="24"/>
    </row>
    <row r="4600" spans="2:16" x14ac:dyDescent="0.25">
      <c r="B4600" s="24"/>
      <c r="E4600" s="24"/>
      <c r="G4600" s="24"/>
      <c r="H4600" s="24"/>
      <c r="J4600" s="24"/>
      <c r="K4600" s="24"/>
      <c r="M4600" s="24"/>
      <c r="N4600" s="24"/>
      <c r="P4600" s="24"/>
    </row>
    <row r="4601" spans="2:16" x14ac:dyDescent="0.25">
      <c r="B4601" s="24"/>
      <c r="E4601" s="24"/>
      <c r="G4601" s="24"/>
      <c r="H4601" s="24"/>
      <c r="J4601" s="24"/>
      <c r="K4601" s="24"/>
      <c r="M4601" s="24"/>
      <c r="N4601" s="24"/>
      <c r="P4601" s="24"/>
    </row>
    <row r="4602" spans="2:16" x14ac:dyDescent="0.25">
      <c r="B4602" s="24"/>
      <c r="E4602" s="24"/>
      <c r="G4602" s="24"/>
      <c r="H4602" s="24"/>
      <c r="J4602" s="24"/>
      <c r="K4602" s="24"/>
      <c r="M4602" s="24"/>
      <c r="N4602" s="24"/>
      <c r="P4602" s="24"/>
    </row>
    <row r="4603" spans="2:16" x14ac:dyDescent="0.25">
      <c r="B4603" s="24"/>
      <c r="E4603" s="24"/>
      <c r="G4603" s="24"/>
      <c r="H4603" s="24"/>
      <c r="J4603" s="24"/>
      <c r="K4603" s="24"/>
      <c r="M4603" s="24"/>
      <c r="N4603" s="24"/>
      <c r="P4603" s="24"/>
    </row>
    <row r="4604" spans="2:16" x14ac:dyDescent="0.25">
      <c r="B4604" s="24"/>
      <c r="E4604" s="24"/>
      <c r="G4604" s="24"/>
      <c r="H4604" s="24"/>
      <c r="J4604" s="24"/>
      <c r="K4604" s="24"/>
      <c r="M4604" s="24"/>
      <c r="N4604" s="24"/>
      <c r="P4604" s="24"/>
    </row>
    <row r="4605" spans="2:16" x14ac:dyDescent="0.25">
      <c r="B4605" s="24"/>
      <c r="E4605" s="24"/>
      <c r="G4605" s="24"/>
      <c r="H4605" s="24"/>
      <c r="J4605" s="24"/>
      <c r="K4605" s="24"/>
      <c r="M4605" s="24"/>
      <c r="N4605" s="24"/>
      <c r="P4605" s="24"/>
    </row>
    <row r="4606" spans="2:16" x14ac:dyDescent="0.25">
      <c r="B4606" s="24"/>
      <c r="E4606" s="24"/>
      <c r="G4606" s="24"/>
      <c r="H4606" s="24"/>
      <c r="J4606" s="24"/>
      <c r="K4606" s="24"/>
      <c r="M4606" s="24"/>
      <c r="N4606" s="24"/>
      <c r="P4606" s="24"/>
    </row>
    <row r="4607" spans="2:16" x14ac:dyDescent="0.25">
      <c r="B4607" s="24"/>
      <c r="E4607" s="24"/>
      <c r="G4607" s="24"/>
      <c r="H4607" s="24"/>
      <c r="J4607" s="24"/>
      <c r="K4607" s="24"/>
      <c r="M4607" s="24"/>
      <c r="N4607" s="24"/>
      <c r="P4607" s="24"/>
    </row>
    <row r="4608" spans="2:16" x14ac:dyDescent="0.25">
      <c r="B4608" s="24"/>
      <c r="E4608" s="24"/>
      <c r="G4608" s="24"/>
      <c r="H4608" s="24"/>
      <c r="J4608" s="24"/>
      <c r="K4608" s="24"/>
      <c r="M4608" s="24"/>
      <c r="N4608" s="24"/>
      <c r="P4608" s="24"/>
    </row>
    <row r="4609" spans="2:16" x14ac:dyDescent="0.25">
      <c r="B4609" s="24"/>
      <c r="E4609" s="24"/>
      <c r="G4609" s="24"/>
      <c r="H4609" s="24"/>
      <c r="J4609" s="24"/>
      <c r="K4609" s="24"/>
      <c r="M4609" s="24"/>
      <c r="N4609" s="24"/>
      <c r="P4609" s="24"/>
    </row>
    <row r="4610" spans="2:16" x14ac:dyDescent="0.25">
      <c r="B4610" s="24"/>
      <c r="E4610" s="24"/>
      <c r="G4610" s="24"/>
      <c r="H4610" s="24"/>
      <c r="J4610" s="24"/>
      <c r="K4610" s="24"/>
      <c r="M4610" s="24"/>
      <c r="N4610" s="24"/>
      <c r="P4610" s="24"/>
    </row>
    <row r="4611" spans="2:16" x14ac:dyDescent="0.25">
      <c r="B4611" s="24"/>
      <c r="E4611" s="24"/>
      <c r="G4611" s="24"/>
      <c r="H4611" s="24"/>
      <c r="J4611" s="24"/>
      <c r="K4611" s="24"/>
      <c r="M4611" s="24"/>
      <c r="N4611" s="24"/>
      <c r="P4611" s="24"/>
    </row>
    <row r="4612" spans="2:16" x14ac:dyDescent="0.25">
      <c r="B4612" s="24"/>
      <c r="E4612" s="24"/>
      <c r="G4612" s="24"/>
      <c r="H4612" s="24"/>
      <c r="J4612" s="24"/>
      <c r="K4612" s="24"/>
      <c r="M4612" s="24"/>
      <c r="N4612" s="24"/>
      <c r="P4612" s="24"/>
    </row>
    <row r="4613" spans="2:16" x14ac:dyDescent="0.25">
      <c r="B4613" s="24"/>
      <c r="E4613" s="24"/>
      <c r="G4613" s="24"/>
      <c r="H4613" s="24"/>
      <c r="J4613" s="24"/>
      <c r="K4613" s="24"/>
      <c r="M4613" s="24"/>
      <c r="N4613" s="24"/>
      <c r="P4613" s="24"/>
    </row>
    <row r="4614" spans="2:16" x14ac:dyDescent="0.25">
      <c r="B4614" s="24"/>
      <c r="E4614" s="24"/>
      <c r="G4614" s="24"/>
      <c r="H4614" s="24"/>
      <c r="J4614" s="24"/>
      <c r="K4614" s="24"/>
      <c r="M4614" s="24"/>
      <c r="N4614" s="24"/>
      <c r="P4614" s="24"/>
    </row>
    <row r="4615" spans="2:16" x14ac:dyDescent="0.25">
      <c r="B4615" s="24"/>
      <c r="E4615" s="24"/>
      <c r="G4615" s="24"/>
      <c r="H4615" s="24"/>
      <c r="J4615" s="24"/>
      <c r="K4615" s="24"/>
      <c r="M4615" s="24"/>
      <c r="N4615" s="24"/>
      <c r="P4615" s="24"/>
    </row>
    <row r="4616" spans="2:16" x14ac:dyDescent="0.25">
      <c r="B4616" s="24"/>
      <c r="E4616" s="24"/>
      <c r="G4616" s="24"/>
      <c r="H4616" s="24"/>
      <c r="J4616" s="24"/>
      <c r="K4616" s="24"/>
      <c r="M4616" s="24"/>
      <c r="N4616" s="24"/>
      <c r="P4616" s="24"/>
    </row>
    <row r="4617" spans="2:16" x14ac:dyDescent="0.25">
      <c r="B4617" s="24"/>
      <c r="E4617" s="24"/>
      <c r="G4617" s="24"/>
      <c r="H4617" s="24"/>
      <c r="J4617" s="24"/>
      <c r="K4617" s="24"/>
      <c r="M4617" s="24"/>
      <c r="N4617" s="24"/>
      <c r="P4617" s="24"/>
    </row>
    <row r="4618" spans="2:16" x14ac:dyDescent="0.25">
      <c r="B4618" s="24"/>
      <c r="E4618" s="24"/>
      <c r="G4618" s="24"/>
      <c r="H4618" s="24"/>
      <c r="J4618" s="24"/>
      <c r="K4618" s="24"/>
      <c r="M4618" s="24"/>
      <c r="N4618" s="24"/>
      <c r="P4618" s="24"/>
    </row>
    <row r="4619" spans="2:16" x14ac:dyDescent="0.25">
      <c r="B4619" s="24"/>
      <c r="E4619" s="24"/>
      <c r="G4619" s="24"/>
      <c r="H4619" s="24"/>
      <c r="J4619" s="24"/>
      <c r="K4619" s="24"/>
      <c r="M4619" s="24"/>
      <c r="N4619" s="24"/>
      <c r="P4619" s="24"/>
    </row>
    <row r="4620" spans="2:16" x14ac:dyDescent="0.25">
      <c r="B4620" s="24"/>
      <c r="E4620" s="24"/>
      <c r="G4620" s="24"/>
      <c r="H4620" s="24"/>
      <c r="J4620" s="24"/>
      <c r="K4620" s="24"/>
      <c r="M4620" s="24"/>
      <c r="N4620" s="24"/>
      <c r="P4620" s="24"/>
    </row>
    <row r="4621" spans="2:16" x14ac:dyDescent="0.25">
      <c r="B4621" s="24"/>
      <c r="E4621" s="24"/>
      <c r="G4621" s="24"/>
      <c r="H4621" s="24"/>
      <c r="J4621" s="24"/>
      <c r="K4621" s="24"/>
      <c r="M4621" s="24"/>
      <c r="N4621" s="24"/>
      <c r="P4621" s="24"/>
    </row>
    <row r="4622" spans="2:16" x14ac:dyDescent="0.25">
      <c r="B4622" s="24"/>
      <c r="E4622" s="24"/>
      <c r="G4622" s="24"/>
      <c r="H4622" s="24"/>
      <c r="J4622" s="24"/>
      <c r="K4622" s="24"/>
      <c r="M4622" s="24"/>
      <c r="N4622" s="24"/>
      <c r="P4622" s="24"/>
    </row>
    <row r="4623" spans="2:16" x14ac:dyDescent="0.25">
      <c r="B4623" s="24"/>
      <c r="E4623" s="24"/>
      <c r="G4623" s="24"/>
      <c r="H4623" s="24"/>
      <c r="J4623" s="24"/>
      <c r="K4623" s="24"/>
      <c r="M4623" s="24"/>
      <c r="N4623" s="24"/>
      <c r="P4623" s="24"/>
    </row>
    <row r="4624" spans="2:16" x14ac:dyDescent="0.25">
      <c r="B4624" s="24"/>
      <c r="E4624" s="24"/>
      <c r="G4624" s="24"/>
      <c r="H4624" s="24"/>
      <c r="J4624" s="24"/>
      <c r="K4624" s="24"/>
      <c r="M4624" s="24"/>
      <c r="N4624" s="24"/>
      <c r="P4624" s="24"/>
    </row>
    <row r="4625" spans="2:16" x14ac:dyDescent="0.25">
      <c r="B4625" s="24"/>
      <c r="E4625" s="24"/>
      <c r="G4625" s="24"/>
      <c r="H4625" s="24"/>
      <c r="J4625" s="24"/>
      <c r="K4625" s="24"/>
      <c r="M4625" s="24"/>
      <c r="N4625" s="24"/>
      <c r="P4625" s="24"/>
    </row>
    <row r="4626" spans="2:16" x14ac:dyDescent="0.25">
      <c r="B4626" s="24"/>
      <c r="E4626" s="24"/>
      <c r="G4626" s="24"/>
      <c r="H4626" s="24"/>
      <c r="J4626" s="24"/>
      <c r="K4626" s="24"/>
      <c r="M4626" s="24"/>
      <c r="N4626" s="24"/>
      <c r="P4626" s="24"/>
    </row>
    <row r="4627" spans="2:16" x14ac:dyDescent="0.25">
      <c r="B4627" s="24"/>
      <c r="E4627" s="24"/>
      <c r="G4627" s="24"/>
      <c r="H4627" s="24"/>
      <c r="J4627" s="24"/>
      <c r="K4627" s="24"/>
      <c r="M4627" s="24"/>
      <c r="N4627" s="24"/>
      <c r="P4627" s="24"/>
    </row>
    <row r="4628" spans="2:16" x14ac:dyDescent="0.25">
      <c r="B4628" s="24"/>
      <c r="E4628" s="24"/>
      <c r="G4628" s="24"/>
      <c r="H4628" s="24"/>
      <c r="J4628" s="24"/>
      <c r="K4628" s="24"/>
      <c r="M4628" s="24"/>
      <c r="N4628" s="24"/>
      <c r="P4628" s="24"/>
    </row>
    <row r="4629" spans="2:16" x14ac:dyDescent="0.25">
      <c r="B4629" s="24"/>
      <c r="E4629" s="24"/>
      <c r="G4629" s="24"/>
      <c r="H4629" s="24"/>
      <c r="J4629" s="24"/>
      <c r="K4629" s="24"/>
      <c r="M4629" s="24"/>
      <c r="N4629" s="24"/>
      <c r="P4629" s="24"/>
    </row>
    <row r="4630" spans="2:16" x14ac:dyDescent="0.25">
      <c r="B4630" s="24"/>
      <c r="E4630" s="24"/>
      <c r="G4630" s="24"/>
      <c r="H4630" s="24"/>
      <c r="J4630" s="24"/>
      <c r="K4630" s="24"/>
      <c r="M4630" s="24"/>
      <c r="N4630" s="24"/>
      <c r="P4630" s="24"/>
    </row>
    <row r="4631" spans="2:16" x14ac:dyDescent="0.25">
      <c r="B4631" s="24"/>
      <c r="E4631" s="24"/>
      <c r="G4631" s="24"/>
      <c r="H4631" s="24"/>
      <c r="J4631" s="24"/>
      <c r="K4631" s="24"/>
      <c r="M4631" s="24"/>
      <c r="N4631" s="24"/>
      <c r="P4631" s="24"/>
    </row>
    <row r="4632" spans="2:16" x14ac:dyDescent="0.25">
      <c r="B4632" s="24"/>
      <c r="E4632" s="24"/>
      <c r="G4632" s="24"/>
      <c r="H4632" s="24"/>
      <c r="J4632" s="24"/>
      <c r="K4632" s="24"/>
      <c r="M4632" s="24"/>
      <c r="N4632" s="24"/>
      <c r="P4632" s="24"/>
    </row>
    <row r="4633" spans="2:16" x14ac:dyDescent="0.25">
      <c r="B4633" s="24"/>
      <c r="E4633" s="24"/>
      <c r="G4633" s="24"/>
      <c r="H4633" s="24"/>
      <c r="J4633" s="24"/>
      <c r="K4633" s="24"/>
      <c r="M4633" s="24"/>
      <c r="N4633" s="24"/>
      <c r="P4633" s="24"/>
    </row>
    <row r="4634" spans="2:16" x14ac:dyDescent="0.25">
      <c r="B4634" s="24"/>
      <c r="E4634" s="24"/>
      <c r="G4634" s="24"/>
      <c r="H4634" s="24"/>
      <c r="J4634" s="24"/>
      <c r="K4634" s="24"/>
      <c r="M4634" s="24"/>
      <c r="N4634" s="24"/>
      <c r="P4634" s="24"/>
    </row>
    <row r="4635" spans="2:16" x14ac:dyDescent="0.25">
      <c r="B4635" s="24"/>
      <c r="E4635" s="24"/>
      <c r="G4635" s="24"/>
      <c r="H4635" s="24"/>
      <c r="J4635" s="24"/>
      <c r="K4635" s="24"/>
      <c r="M4635" s="24"/>
      <c r="N4635" s="24"/>
      <c r="P4635" s="24"/>
    </row>
    <row r="4636" spans="2:16" x14ac:dyDescent="0.25">
      <c r="B4636" s="24"/>
      <c r="E4636" s="24"/>
      <c r="G4636" s="24"/>
      <c r="H4636" s="24"/>
      <c r="J4636" s="24"/>
      <c r="K4636" s="24"/>
      <c r="M4636" s="24"/>
      <c r="N4636" s="24"/>
      <c r="P4636" s="24"/>
    </row>
    <row r="4637" spans="2:16" x14ac:dyDescent="0.25">
      <c r="B4637" s="24"/>
      <c r="E4637" s="24"/>
      <c r="G4637" s="24"/>
      <c r="H4637" s="24"/>
      <c r="J4637" s="24"/>
      <c r="K4637" s="24"/>
      <c r="M4637" s="24"/>
      <c r="N4637" s="24"/>
      <c r="P4637" s="24"/>
    </row>
    <row r="4638" spans="2:16" x14ac:dyDescent="0.25">
      <c r="B4638" s="24"/>
      <c r="E4638" s="24"/>
      <c r="G4638" s="24"/>
      <c r="H4638" s="24"/>
      <c r="J4638" s="24"/>
      <c r="K4638" s="24"/>
      <c r="M4638" s="24"/>
      <c r="N4638" s="24"/>
      <c r="P4638" s="24"/>
    </row>
    <row r="4639" spans="2:16" x14ac:dyDescent="0.25">
      <c r="B4639" s="24"/>
      <c r="E4639" s="24"/>
      <c r="G4639" s="24"/>
      <c r="H4639" s="24"/>
      <c r="J4639" s="24"/>
      <c r="K4639" s="24"/>
      <c r="M4639" s="24"/>
      <c r="N4639" s="24"/>
      <c r="P4639" s="24"/>
    </row>
    <row r="4640" spans="2:16" x14ac:dyDescent="0.25">
      <c r="B4640" s="24"/>
      <c r="E4640" s="24"/>
      <c r="G4640" s="24"/>
      <c r="H4640" s="24"/>
      <c r="J4640" s="24"/>
      <c r="K4640" s="24"/>
      <c r="M4640" s="24"/>
      <c r="N4640" s="24"/>
      <c r="P4640" s="24"/>
    </row>
    <row r="4641" spans="2:16" x14ac:dyDescent="0.25">
      <c r="B4641" s="24"/>
      <c r="E4641" s="24"/>
      <c r="G4641" s="24"/>
      <c r="H4641" s="24"/>
      <c r="J4641" s="24"/>
      <c r="K4641" s="24"/>
      <c r="M4641" s="24"/>
      <c r="N4641" s="24"/>
      <c r="P4641" s="24"/>
    </row>
    <row r="4642" spans="2:16" x14ac:dyDescent="0.25">
      <c r="B4642" s="24"/>
      <c r="E4642" s="24"/>
      <c r="G4642" s="24"/>
      <c r="H4642" s="24"/>
      <c r="J4642" s="24"/>
      <c r="K4642" s="24"/>
      <c r="M4642" s="24"/>
      <c r="N4642" s="24"/>
      <c r="P4642" s="24"/>
    </row>
    <row r="4643" spans="2:16" x14ac:dyDescent="0.25">
      <c r="B4643" s="24"/>
      <c r="E4643" s="24"/>
      <c r="G4643" s="24"/>
      <c r="H4643" s="24"/>
      <c r="J4643" s="24"/>
      <c r="K4643" s="24"/>
      <c r="M4643" s="24"/>
      <c r="N4643" s="24"/>
      <c r="P4643" s="24"/>
    </row>
    <row r="4644" spans="2:16" x14ac:dyDescent="0.25">
      <c r="B4644" s="24"/>
      <c r="E4644" s="24"/>
      <c r="G4644" s="24"/>
      <c r="H4644" s="24"/>
      <c r="J4644" s="24"/>
      <c r="K4644" s="24"/>
      <c r="M4644" s="24"/>
      <c r="N4644" s="24"/>
      <c r="P4644" s="24"/>
    </row>
    <row r="4645" spans="2:16" x14ac:dyDescent="0.25">
      <c r="B4645" s="24"/>
      <c r="E4645" s="24"/>
      <c r="G4645" s="24"/>
      <c r="H4645" s="24"/>
      <c r="J4645" s="24"/>
      <c r="K4645" s="24"/>
      <c r="M4645" s="24"/>
      <c r="N4645" s="24"/>
      <c r="P4645" s="24"/>
    </row>
    <row r="4646" spans="2:16" x14ac:dyDescent="0.25">
      <c r="B4646" s="24"/>
      <c r="E4646" s="24"/>
      <c r="G4646" s="24"/>
      <c r="H4646" s="24"/>
      <c r="J4646" s="24"/>
      <c r="K4646" s="24"/>
      <c r="M4646" s="24"/>
      <c r="N4646" s="24"/>
      <c r="P4646" s="24"/>
    </row>
    <row r="4647" spans="2:16" x14ac:dyDescent="0.25">
      <c r="B4647" s="24"/>
      <c r="E4647" s="24"/>
      <c r="G4647" s="24"/>
      <c r="H4647" s="24"/>
      <c r="J4647" s="24"/>
      <c r="K4647" s="24"/>
      <c r="M4647" s="24"/>
      <c r="N4647" s="24"/>
      <c r="P4647" s="24"/>
    </row>
    <row r="4648" spans="2:16" x14ac:dyDescent="0.25">
      <c r="B4648" s="24"/>
      <c r="E4648" s="24"/>
      <c r="G4648" s="24"/>
      <c r="H4648" s="24"/>
      <c r="J4648" s="24"/>
      <c r="K4648" s="24"/>
      <c r="M4648" s="24"/>
      <c r="N4648" s="24"/>
      <c r="P4648" s="24"/>
    </row>
    <row r="4649" spans="2:16" x14ac:dyDescent="0.25">
      <c r="B4649" s="24"/>
      <c r="E4649" s="24"/>
      <c r="G4649" s="24"/>
      <c r="H4649" s="24"/>
      <c r="J4649" s="24"/>
      <c r="K4649" s="24"/>
      <c r="M4649" s="24"/>
      <c r="N4649" s="24"/>
      <c r="P4649" s="24"/>
    </row>
    <row r="4650" spans="2:16" x14ac:dyDescent="0.25">
      <c r="B4650" s="24"/>
      <c r="E4650" s="24"/>
      <c r="G4650" s="24"/>
      <c r="H4650" s="24"/>
      <c r="J4650" s="24"/>
      <c r="K4650" s="24"/>
      <c r="M4650" s="24"/>
      <c r="N4650" s="24"/>
      <c r="P4650" s="24"/>
    </row>
    <row r="4651" spans="2:16" x14ac:dyDescent="0.25">
      <c r="B4651" s="24"/>
      <c r="E4651" s="24"/>
      <c r="G4651" s="24"/>
      <c r="H4651" s="24"/>
      <c r="J4651" s="24"/>
      <c r="K4651" s="24"/>
      <c r="M4651" s="24"/>
      <c r="N4651" s="24"/>
      <c r="P4651" s="24"/>
    </row>
    <row r="4652" spans="2:16" x14ac:dyDescent="0.25">
      <c r="B4652" s="24"/>
      <c r="E4652" s="24"/>
      <c r="G4652" s="24"/>
      <c r="H4652" s="24"/>
      <c r="J4652" s="24"/>
      <c r="K4652" s="24"/>
      <c r="M4652" s="24"/>
      <c r="N4652" s="24"/>
      <c r="P4652" s="24"/>
    </row>
    <row r="4653" spans="2:16" x14ac:dyDescent="0.25">
      <c r="B4653" s="24"/>
      <c r="E4653" s="24"/>
      <c r="G4653" s="24"/>
      <c r="H4653" s="24"/>
      <c r="J4653" s="24"/>
      <c r="K4653" s="24"/>
      <c r="M4653" s="24"/>
      <c r="N4653" s="24"/>
      <c r="P4653" s="24"/>
    </row>
    <row r="4654" spans="2:16" x14ac:dyDescent="0.25">
      <c r="B4654" s="24"/>
      <c r="E4654" s="24"/>
      <c r="G4654" s="24"/>
      <c r="H4654" s="24"/>
      <c r="J4654" s="24"/>
      <c r="K4654" s="24"/>
      <c r="M4654" s="24"/>
      <c r="N4654" s="24"/>
      <c r="P4654" s="24"/>
    </row>
    <row r="4655" spans="2:16" x14ac:dyDescent="0.25">
      <c r="B4655" s="24"/>
      <c r="E4655" s="24"/>
      <c r="G4655" s="24"/>
      <c r="H4655" s="24"/>
      <c r="J4655" s="24"/>
      <c r="K4655" s="24"/>
      <c r="M4655" s="24"/>
      <c r="N4655" s="24"/>
      <c r="P4655" s="24"/>
    </row>
    <row r="4656" spans="2:16" x14ac:dyDescent="0.25">
      <c r="B4656" s="24"/>
      <c r="E4656" s="24"/>
      <c r="G4656" s="24"/>
      <c r="H4656" s="24"/>
      <c r="J4656" s="24"/>
      <c r="K4656" s="24"/>
      <c r="M4656" s="24"/>
      <c r="N4656" s="24"/>
      <c r="P4656" s="24"/>
    </row>
    <row r="4657" spans="2:16" x14ac:dyDescent="0.25">
      <c r="B4657" s="24"/>
      <c r="E4657" s="24"/>
      <c r="G4657" s="24"/>
      <c r="H4657" s="24"/>
      <c r="J4657" s="24"/>
      <c r="K4657" s="24"/>
      <c r="M4657" s="24"/>
      <c r="N4657" s="24"/>
      <c r="P4657" s="24"/>
    </row>
    <row r="4658" spans="2:16" x14ac:dyDescent="0.25">
      <c r="B4658" s="24"/>
      <c r="E4658" s="24"/>
      <c r="G4658" s="24"/>
      <c r="H4658" s="24"/>
      <c r="J4658" s="24"/>
      <c r="K4658" s="24"/>
      <c r="M4658" s="24"/>
      <c r="N4658" s="24"/>
      <c r="P4658" s="24"/>
    </row>
    <row r="4659" spans="2:16" x14ac:dyDescent="0.25">
      <c r="B4659" s="24"/>
      <c r="E4659" s="24"/>
      <c r="G4659" s="24"/>
      <c r="H4659" s="24"/>
      <c r="J4659" s="24"/>
      <c r="K4659" s="24"/>
      <c r="M4659" s="24"/>
      <c r="N4659" s="24"/>
      <c r="P4659" s="24"/>
    </row>
    <row r="4660" spans="2:16" x14ac:dyDescent="0.25">
      <c r="B4660" s="24"/>
      <c r="E4660" s="24"/>
      <c r="G4660" s="24"/>
      <c r="H4660" s="24"/>
      <c r="J4660" s="24"/>
      <c r="K4660" s="24"/>
      <c r="M4660" s="24"/>
      <c r="N4660" s="24"/>
      <c r="P4660" s="24"/>
    </row>
    <row r="4661" spans="2:16" x14ac:dyDescent="0.25">
      <c r="B4661" s="24"/>
      <c r="E4661" s="24"/>
      <c r="G4661" s="24"/>
      <c r="H4661" s="24"/>
      <c r="J4661" s="24"/>
      <c r="K4661" s="24"/>
      <c r="M4661" s="24"/>
      <c r="N4661" s="24"/>
      <c r="P4661" s="24"/>
    </row>
    <row r="4662" spans="2:16" x14ac:dyDescent="0.25">
      <c r="B4662" s="24"/>
      <c r="E4662" s="24"/>
      <c r="G4662" s="24"/>
      <c r="H4662" s="24"/>
      <c r="J4662" s="24"/>
      <c r="K4662" s="24"/>
      <c r="M4662" s="24"/>
      <c r="N4662" s="24"/>
      <c r="P4662" s="24"/>
    </row>
    <row r="4663" spans="2:16" x14ac:dyDescent="0.25">
      <c r="B4663" s="24"/>
      <c r="E4663" s="24"/>
      <c r="G4663" s="24"/>
      <c r="H4663" s="24"/>
      <c r="J4663" s="24"/>
      <c r="K4663" s="24"/>
      <c r="M4663" s="24"/>
      <c r="N4663" s="24"/>
      <c r="P4663" s="24"/>
    </row>
    <row r="4664" spans="2:16" x14ac:dyDescent="0.25">
      <c r="B4664" s="24"/>
      <c r="E4664" s="24"/>
      <c r="G4664" s="24"/>
      <c r="H4664" s="24"/>
      <c r="J4664" s="24"/>
      <c r="K4664" s="24"/>
      <c r="M4664" s="24"/>
      <c r="N4664" s="24"/>
      <c r="P4664" s="24"/>
    </row>
    <row r="4665" spans="2:16" x14ac:dyDescent="0.25">
      <c r="B4665" s="24"/>
      <c r="E4665" s="24"/>
      <c r="G4665" s="24"/>
      <c r="H4665" s="24"/>
      <c r="J4665" s="24"/>
      <c r="K4665" s="24"/>
      <c r="M4665" s="24"/>
      <c r="N4665" s="24"/>
      <c r="P4665" s="24"/>
    </row>
    <row r="4666" spans="2:16" x14ac:dyDescent="0.25">
      <c r="B4666" s="24"/>
      <c r="E4666" s="24"/>
      <c r="G4666" s="24"/>
      <c r="H4666" s="24"/>
      <c r="J4666" s="24"/>
      <c r="K4666" s="24"/>
      <c r="M4666" s="24"/>
      <c r="N4666" s="24"/>
      <c r="P4666" s="24"/>
    </row>
    <row r="4667" spans="2:16" x14ac:dyDescent="0.25">
      <c r="B4667" s="24"/>
      <c r="E4667" s="24"/>
      <c r="G4667" s="24"/>
      <c r="H4667" s="24"/>
      <c r="J4667" s="24"/>
      <c r="K4667" s="24"/>
      <c r="M4667" s="24"/>
      <c r="N4667" s="24"/>
      <c r="P4667" s="24"/>
    </row>
    <row r="4668" spans="2:16" x14ac:dyDescent="0.25">
      <c r="B4668" s="24"/>
      <c r="E4668" s="24"/>
      <c r="G4668" s="24"/>
      <c r="H4668" s="24"/>
      <c r="J4668" s="24"/>
      <c r="K4668" s="24"/>
      <c r="M4668" s="24"/>
      <c r="N4668" s="24"/>
      <c r="P4668" s="24"/>
    </row>
    <row r="4669" spans="2:16" x14ac:dyDescent="0.25">
      <c r="B4669" s="24"/>
      <c r="E4669" s="24"/>
      <c r="G4669" s="24"/>
      <c r="H4669" s="24"/>
      <c r="J4669" s="24"/>
      <c r="K4669" s="24"/>
      <c r="M4669" s="24"/>
      <c r="N4669" s="24"/>
      <c r="P4669" s="24"/>
    </row>
    <row r="4670" spans="2:16" x14ac:dyDescent="0.25">
      <c r="B4670" s="24"/>
      <c r="E4670" s="24"/>
      <c r="G4670" s="24"/>
      <c r="H4670" s="24"/>
      <c r="J4670" s="24"/>
      <c r="K4670" s="24"/>
      <c r="M4670" s="24"/>
      <c r="N4670" s="24"/>
      <c r="P4670" s="24"/>
    </row>
    <row r="4671" spans="2:16" x14ac:dyDescent="0.25">
      <c r="B4671" s="24"/>
      <c r="E4671" s="24"/>
      <c r="G4671" s="24"/>
      <c r="H4671" s="24"/>
      <c r="J4671" s="24"/>
      <c r="K4671" s="24"/>
      <c r="M4671" s="24"/>
      <c r="N4671" s="24"/>
      <c r="P4671" s="24"/>
    </row>
    <row r="4672" spans="2:16" x14ac:dyDescent="0.25">
      <c r="B4672" s="24"/>
      <c r="E4672" s="24"/>
      <c r="G4672" s="24"/>
      <c r="H4672" s="24"/>
      <c r="J4672" s="24"/>
      <c r="K4672" s="24"/>
      <c r="M4672" s="24"/>
      <c r="N4672" s="24"/>
      <c r="P4672" s="24"/>
    </row>
    <row r="4673" spans="2:16" x14ac:dyDescent="0.25">
      <c r="B4673" s="24"/>
      <c r="E4673" s="24"/>
      <c r="G4673" s="24"/>
      <c r="H4673" s="24"/>
      <c r="J4673" s="24"/>
      <c r="K4673" s="24"/>
      <c r="M4673" s="24"/>
      <c r="N4673" s="24"/>
      <c r="P4673" s="24"/>
    </row>
    <row r="4674" spans="2:16" x14ac:dyDescent="0.25">
      <c r="B4674" s="24"/>
      <c r="E4674" s="24"/>
      <c r="G4674" s="24"/>
      <c r="H4674" s="24"/>
      <c r="J4674" s="24"/>
      <c r="K4674" s="24"/>
      <c r="M4674" s="24"/>
      <c r="N4674" s="24"/>
      <c r="P4674" s="24"/>
    </row>
    <row r="4675" spans="2:16" x14ac:dyDescent="0.25">
      <c r="B4675" s="24"/>
      <c r="E4675" s="24"/>
      <c r="G4675" s="24"/>
      <c r="H4675" s="24"/>
      <c r="J4675" s="24"/>
      <c r="K4675" s="24"/>
      <c r="M4675" s="24"/>
      <c r="N4675" s="24"/>
      <c r="P4675" s="24"/>
    </row>
    <row r="4676" spans="2:16" x14ac:dyDescent="0.25">
      <c r="B4676" s="24"/>
      <c r="E4676" s="24"/>
      <c r="G4676" s="24"/>
      <c r="H4676" s="24"/>
      <c r="J4676" s="24"/>
      <c r="K4676" s="24"/>
      <c r="M4676" s="24"/>
      <c r="N4676" s="24"/>
      <c r="P4676" s="24"/>
    </row>
    <row r="4677" spans="2:16" x14ac:dyDescent="0.25">
      <c r="B4677" s="24"/>
      <c r="E4677" s="24"/>
      <c r="G4677" s="24"/>
      <c r="H4677" s="24"/>
      <c r="J4677" s="24"/>
      <c r="K4677" s="24"/>
      <c r="M4677" s="24"/>
      <c r="N4677" s="24"/>
      <c r="P4677" s="24"/>
    </row>
    <row r="4678" spans="2:16" x14ac:dyDescent="0.25">
      <c r="B4678" s="24"/>
      <c r="E4678" s="24"/>
      <c r="G4678" s="24"/>
      <c r="H4678" s="24"/>
      <c r="J4678" s="24"/>
      <c r="K4678" s="24"/>
      <c r="M4678" s="24"/>
      <c r="N4678" s="24"/>
      <c r="P4678" s="24"/>
    </row>
    <row r="4679" spans="2:16" x14ac:dyDescent="0.25">
      <c r="B4679" s="24"/>
      <c r="E4679" s="24"/>
      <c r="G4679" s="24"/>
      <c r="H4679" s="24"/>
      <c r="J4679" s="24"/>
      <c r="K4679" s="24"/>
      <c r="M4679" s="24"/>
      <c r="N4679" s="24"/>
      <c r="P4679" s="24"/>
    </row>
    <row r="4680" spans="2:16" x14ac:dyDescent="0.25">
      <c r="B4680" s="24"/>
      <c r="E4680" s="24"/>
      <c r="G4680" s="24"/>
      <c r="H4680" s="24"/>
      <c r="J4680" s="24"/>
      <c r="K4680" s="24"/>
      <c r="M4680" s="24"/>
      <c r="N4680" s="24"/>
      <c r="P4680" s="24"/>
    </row>
    <row r="4681" spans="2:16" x14ac:dyDescent="0.25">
      <c r="B4681" s="24"/>
      <c r="E4681" s="24"/>
      <c r="G4681" s="24"/>
      <c r="H4681" s="24"/>
      <c r="J4681" s="24"/>
      <c r="K4681" s="24"/>
      <c r="M4681" s="24"/>
      <c r="N4681" s="24"/>
      <c r="P4681" s="24"/>
    </row>
    <row r="4682" spans="2:16" x14ac:dyDescent="0.25">
      <c r="B4682" s="24"/>
      <c r="E4682" s="24"/>
      <c r="G4682" s="24"/>
      <c r="H4682" s="24"/>
      <c r="J4682" s="24"/>
      <c r="K4682" s="24"/>
      <c r="M4682" s="24"/>
      <c r="N4682" s="24"/>
      <c r="P4682" s="24"/>
    </row>
    <row r="4683" spans="2:16" x14ac:dyDescent="0.25">
      <c r="B4683" s="24"/>
      <c r="E4683" s="24"/>
      <c r="G4683" s="24"/>
      <c r="H4683" s="24"/>
      <c r="J4683" s="24"/>
      <c r="K4683" s="24"/>
      <c r="M4683" s="24"/>
      <c r="N4683" s="24"/>
      <c r="P4683" s="24"/>
    </row>
    <row r="4684" spans="2:16" x14ac:dyDescent="0.25">
      <c r="B4684" s="24"/>
      <c r="E4684" s="24"/>
      <c r="G4684" s="24"/>
      <c r="H4684" s="24"/>
      <c r="J4684" s="24"/>
      <c r="K4684" s="24"/>
      <c r="M4684" s="24"/>
      <c r="N4684" s="24"/>
      <c r="P4684" s="24"/>
    </row>
    <row r="4685" spans="2:16" x14ac:dyDescent="0.25">
      <c r="B4685" s="24"/>
      <c r="E4685" s="24"/>
      <c r="G4685" s="24"/>
      <c r="H4685" s="24"/>
      <c r="J4685" s="24"/>
      <c r="K4685" s="24"/>
      <c r="M4685" s="24"/>
      <c r="N4685" s="24"/>
      <c r="P4685" s="24"/>
    </row>
    <row r="4686" spans="2:16" x14ac:dyDescent="0.25">
      <c r="B4686" s="24"/>
      <c r="E4686" s="24"/>
      <c r="G4686" s="24"/>
      <c r="H4686" s="24"/>
      <c r="J4686" s="24"/>
      <c r="K4686" s="24"/>
      <c r="M4686" s="24"/>
      <c r="N4686" s="24"/>
      <c r="P4686" s="24"/>
    </row>
    <row r="4687" spans="2:16" x14ac:dyDescent="0.25">
      <c r="B4687" s="24"/>
      <c r="E4687" s="24"/>
      <c r="G4687" s="24"/>
      <c r="H4687" s="24"/>
      <c r="J4687" s="24"/>
      <c r="K4687" s="24"/>
      <c r="M4687" s="24"/>
      <c r="N4687" s="24"/>
      <c r="P4687" s="24"/>
    </row>
    <row r="4688" spans="2:16" x14ac:dyDescent="0.25">
      <c r="B4688" s="24"/>
      <c r="E4688" s="24"/>
      <c r="G4688" s="24"/>
      <c r="H4688" s="24"/>
      <c r="J4688" s="24"/>
      <c r="K4688" s="24"/>
      <c r="M4688" s="24"/>
      <c r="N4688" s="24"/>
      <c r="P4688" s="24"/>
    </row>
    <row r="4689" spans="2:16" x14ac:dyDescent="0.25">
      <c r="B4689" s="24"/>
      <c r="E4689" s="24"/>
      <c r="G4689" s="24"/>
      <c r="H4689" s="24"/>
      <c r="J4689" s="24"/>
      <c r="K4689" s="24"/>
      <c r="M4689" s="24"/>
      <c r="N4689" s="24"/>
      <c r="P4689" s="24"/>
    </row>
    <row r="4690" spans="2:16" x14ac:dyDescent="0.25">
      <c r="B4690" s="24"/>
      <c r="E4690" s="24"/>
      <c r="G4690" s="24"/>
      <c r="H4690" s="24"/>
      <c r="J4690" s="24"/>
      <c r="K4690" s="24"/>
      <c r="M4690" s="24"/>
      <c r="N4690" s="24"/>
      <c r="P4690" s="24"/>
    </row>
    <row r="4691" spans="2:16" x14ac:dyDescent="0.25">
      <c r="B4691" s="24"/>
      <c r="E4691" s="24"/>
      <c r="G4691" s="24"/>
      <c r="H4691" s="24"/>
      <c r="J4691" s="24"/>
      <c r="K4691" s="24"/>
      <c r="M4691" s="24"/>
      <c r="N4691" s="24"/>
      <c r="P4691" s="24"/>
    </row>
    <row r="4692" spans="2:16" x14ac:dyDescent="0.25">
      <c r="B4692" s="24"/>
      <c r="E4692" s="24"/>
      <c r="G4692" s="24"/>
      <c r="H4692" s="24"/>
      <c r="J4692" s="24"/>
      <c r="K4692" s="24"/>
      <c r="M4692" s="24"/>
      <c r="N4692" s="24"/>
      <c r="P4692" s="24"/>
    </row>
    <row r="4693" spans="2:16" x14ac:dyDescent="0.25">
      <c r="B4693" s="24"/>
      <c r="E4693" s="24"/>
      <c r="G4693" s="24"/>
      <c r="H4693" s="24"/>
      <c r="J4693" s="24"/>
      <c r="K4693" s="24"/>
      <c r="M4693" s="24"/>
      <c r="N4693" s="24"/>
      <c r="P4693" s="24"/>
    </row>
    <row r="4694" spans="2:16" x14ac:dyDescent="0.25">
      <c r="B4694" s="24"/>
      <c r="E4694" s="24"/>
      <c r="G4694" s="24"/>
      <c r="H4694" s="24"/>
      <c r="J4694" s="24"/>
      <c r="K4694" s="24"/>
      <c r="M4694" s="24"/>
      <c r="N4694" s="24"/>
      <c r="P4694" s="24"/>
    </row>
    <row r="4695" spans="2:16" x14ac:dyDescent="0.25">
      <c r="B4695" s="24"/>
      <c r="E4695" s="24"/>
      <c r="G4695" s="24"/>
      <c r="H4695" s="24"/>
      <c r="J4695" s="24"/>
      <c r="K4695" s="24"/>
      <c r="M4695" s="24"/>
      <c r="N4695" s="24"/>
      <c r="P4695" s="24"/>
    </row>
    <row r="4696" spans="2:16" x14ac:dyDescent="0.25">
      <c r="B4696" s="24"/>
      <c r="E4696" s="24"/>
      <c r="G4696" s="24"/>
      <c r="H4696" s="24"/>
      <c r="J4696" s="24"/>
      <c r="K4696" s="24"/>
      <c r="M4696" s="24"/>
      <c r="N4696" s="24"/>
      <c r="P4696" s="24"/>
    </row>
    <row r="4697" spans="2:16" x14ac:dyDescent="0.25">
      <c r="B4697" s="24"/>
      <c r="E4697" s="24"/>
      <c r="G4697" s="24"/>
      <c r="H4697" s="24"/>
      <c r="J4697" s="24"/>
      <c r="K4697" s="24"/>
      <c r="M4697" s="24"/>
      <c r="N4697" s="24"/>
      <c r="P4697" s="24"/>
    </row>
    <row r="4698" spans="2:16" x14ac:dyDescent="0.25">
      <c r="B4698" s="24"/>
      <c r="E4698" s="24"/>
      <c r="G4698" s="24"/>
      <c r="H4698" s="24"/>
      <c r="J4698" s="24"/>
      <c r="K4698" s="24"/>
      <c r="M4698" s="24"/>
      <c r="N4698" s="24"/>
      <c r="P4698" s="24"/>
    </row>
    <row r="4699" spans="2:16" x14ac:dyDescent="0.25">
      <c r="B4699" s="24"/>
      <c r="E4699" s="24"/>
      <c r="G4699" s="24"/>
      <c r="H4699" s="24"/>
      <c r="J4699" s="24"/>
      <c r="K4699" s="24"/>
      <c r="M4699" s="24"/>
      <c r="N4699" s="24"/>
      <c r="P4699" s="24"/>
    </row>
    <row r="4700" spans="2:16" x14ac:dyDescent="0.25">
      <c r="B4700" s="24"/>
      <c r="E4700" s="24"/>
      <c r="G4700" s="24"/>
      <c r="H4700" s="24"/>
      <c r="J4700" s="24"/>
      <c r="K4700" s="24"/>
      <c r="M4700" s="24"/>
      <c r="N4700" s="24"/>
      <c r="P4700" s="24"/>
    </row>
    <row r="4701" spans="2:16" x14ac:dyDescent="0.25">
      <c r="B4701" s="24"/>
      <c r="E4701" s="24"/>
      <c r="G4701" s="24"/>
      <c r="H4701" s="24"/>
      <c r="J4701" s="24"/>
      <c r="K4701" s="24"/>
      <c r="M4701" s="24"/>
      <c r="N4701" s="24"/>
      <c r="P4701" s="24"/>
    </row>
    <row r="4702" spans="2:16" x14ac:dyDescent="0.25">
      <c r="B4702" s="24"/>
      <c r="E4702" s="24"/>
      <c r="G4702" s="24"/>
      <c r="H4702" s="24"/>
      <c r="J4702" s="24"/>
      <c r="K4702" s="24"/>
      <c r="M4702" s="24"/>
      <c r="N4702" s="24"/>
      <c r="P4702" s="24"/>
    </row>
    <row r="4703" spans="2:16" x14ac:dyDescent="0.25">
      <c r="B4703" s="24"/>
      <c r="E4703" s="24"/>
      <c r="G4703" s="24"/>
      <c r="H4703" s="24"/>
      <c r="J4703" s="24"/>
      <c r="K4703" s="24"/>
      <c r="M4703" s="24"/>
      <c r="N4703" s="24"/>
      <c r="P4703" s="24"/>
    </row>
    <row r="4704" spans="2:16" x14ac:dyDescent="0.25">
      <c r="B4704" s="24"/>
      <c r="E4704" s="24"/>
      <c r="G4704" s="24"/>
      <c r="H4704" s="24"/>
      <c r="J4704" s="24"/>
      <c r="K4704" s="24"/>
      <c r="M4704" s="24"/>
      <c r="N4704" s="24"/>
      <c r="P4704" s="24"/>
    </row>
    <row r="4705" spans="2:16" x14ac:dyDescent="0.25">
      <c r="B4705" s="24"/>
      <c r="E4705" s="24"/>
      <c r="G4705" s="24"/>
      <c r="H4705" s="24"/>
      <c r="J4705" s="24"/>
      <c r="K4705" s="24"/>
      <c r="M4705" s="24"/>
      <c r="N4705" s="24"/>
      <c r="P4705" s="24"/>
    </row>
    <row r="4706" spans="2:16" x14ac:dyDescent="0.25">
      <c r="B4706" s="24"/>
      <c r="E4706" s="24"/>
      <c r="G4706" s="24"/>
      <c r="H4706" s="24"/>
      <c r="J4706" s="24"/>
      <c r="K4706" s="24"/>
      <c r="M4706" s="24"/>
      <c r="N4706" s="24"/>
      <c r="P4706" s="24"/>
    </row>
    <row r="4707" spans="2:16" x14ac:dyDescent="0.25">
      <c r="B4707" s="24"/>
      <c r="E4707" s="24"/>
      <c r="G4707" s="24"/>
      <c r="H4707" s="24"/>
      <c r="J4707" s="24"/>
      <c r="K4707" s="24"/>
      <c r="M4707" s="24"/>
      <c r="N4707" s="24"/>
      <c r="P4707" s="24"/>
    </row>
    <row r="4708" spans="2:16" x14ac:dyDescent="0.25">
      <c r="B4708" s="24"/>
      <c r="E4708" s="24"/>
      <c r="G4708" s="24"/>
      <c r="H4708" s="24"/>
      <c r="J4708" s="24"/>
      <c r="K4708" s="24"/>
      <c r="M4708" s="24"/>
      <c r="N4708" s="24"/>
      <c r="P4708" s="24"/>
    </row>
    <row r="4709" spans="2:16" x14ac:dyDescent="0.25">
      <c r="B4709" s="24"/>
      <c r="E4709" s="24"/>
      <c r="G4709" s="24"/>
      <c r="H4709" s="24"/>
      <c r="J4709" s="24"/>
      <c r="K4709" s="24"/>
      <c r="M4709" s="24"/>
      <c r="N4709" s="24"/>
      <c r="P4709" s="24"/>
    </row>
    <row r="4710" spans="2:16" x14ac:dyDescent="0.25">
      <c r="B4710" s="24"/>
      <c r="E4710" s="24"/>
      <c r="G4710" s="24"/>
      <c r="H4710" s="24"/>
      <c r="J4710" s="24"/>
      <c r="K4710" s="24"/>
      <c r="M4710" s="24"/>
      <c r="N4710" s="24"/>
      <c r="P4710" s="24"/>
    </row>
    <row r="4711" spans="2:16" x14ac:dyDescent="0.25">
      <c r="B4711" s="24"/>
      <c r="E4711" s="24"/>
      <c r="G4711" s="24"/>
      <c r="H4711" s="24"/>
      <c r="J4711" s="24"/>
      <c r="K4711" s="24"/>
      <c r="M4711" s="24"/>
      <c r="N4711" s="24"/>
      <c r="P4711" s="24"/>
    </row>
    <row r="4712" spans="2:16" x14ac:dyDescent="0.25">
      <c r="B4712" s="24"/>
      <c r="E4712" s="24"/>
      <c r="G4712" s="24"/>
      <c r="H4712" s="24"/>
      <c r="J4712" s="24"/>
      <c r="K4712" s="24"/>
      <c r="M4712" s="24"/>
      <c r="N4712" s="24"/>
      <c r="P4712" s="24"/>
    </row>
    <row r="4713" spans="2:16" x14ac:dyDescent="0.25">
      <c r="B4713" s="24"/>
      <c r="E4713" s="24"/>
      <c r="G4713" s="24"/>
      <c r="H4713" s="24"/>
      <c r="J4713" s="24"/>
      <c r="K4713" s="24"/>
      <c r="M4713" s="24"/>
      <c r="N4713" s="24"/>
      <c r="P4713" s="24"/>
    </row>
    <row r="4714" spans="2:16" x14ac:dyDescent="0.25">
      <c r="B4714" s="24"/>
      <c r="E4714" s="24"/>
      <c r="G4714" s="24"/>
      <c r="H4714" s="24"/>
      <c r="J4714" s="24"/>
      <c r="K4714" s="24"/>
      <c r="M4714" s="24"/>
      <c r="N4714" s="24"/>
      <c r="P4714" s="24"/>
    </row>
    <row r="4715" spans="2:16" x14ac:dyDescent="0.25">
      <c r="B4715" s="24"/>
      <c r="E4715" s="24"/>
      <c r="G4715" s="24"/>
      <c r="H4715" s="24"/>
      <c r="J4715" s="24"/>
      <c r="K4715" s="24"/>
      <c r="M4715" s="24"/>
      <c r="N4715" s="24"/>
      <c r="P4715" s="24"/>
    </row>
    <row r="4716" spans="2:16" x14ac:dyDescent="0.25">
      <c r="B4716" s="24"/>
      <c r="E4716" s="24"/>
      <c r="G4716" s="24"/>
      <c r="H4716" s="24"/>
      <c r="J4716" s="24"/>
      <c r="K4716" s="24"/>
      <c r="M4716" s="24"/>
      <c r="N4716" s="24"/>
      <c r="P4716" s="24"/>
    </row>
    <row r="4717" spans="2:16" x14ac:dyDescent="0.25">
      <c r="B4717" s="24"/>
      <c r="E4717" s="24"/>
      <c r="G4717" s="24"/>
      <c r="H4717" s="24"/>
      <c r="J4717" s="24"/>
      <c r="K4717" s="24"/>
      <c r="M4717" s="24"/>
      <c r="N4717" s="24"/>
      <c r="P4717" s="24"/>
    </row>
    <row r="4718" spans="2:16" x14ac:dyDescent="0.25">
      <c r="B4718" s="24"/>
      <c r="E4718" s="24"/>
      <c r="G4718" s="24"/>
      <c r="H4718" s="24"/>
      <c r="J4718" s="24"/>
      <c r="K4718" s="24"/>
      <c r="M4718" s="24"/>
      <c r="N4718" s="24"/>
      <c r="P4718" s="24"/>
    </row>
    <row r="4719" spans="2:16" x14ac:dyDescent="0.25">
      <c r="B4719" s="24"/>
      <c r="E4719" s="24"/>
      <c r="G4719" s="24"/>
      <c r="H4719" s="24"/>
      <c r="J4719" s="24"/>
      <c r="K4719" s="24"/>
      <c r="M4719" s="24"/>
      <c r="N4719" s="24"/>
      <c r="P4719" s="24"/>
    </row>
    <row r="4720" spans="2:16" x14ac:dyDescent="0.25">
      <c r="B4720" s="24"/>
      <c r="E4720" s="24"/>
      <c r="G4720" s="24"/>
      <c r="H4720" s="24"/>
      <c r="J4720" s="24"/>
      <c r="K4720" s="24"/>
      <c r="M4720" s="24"/>
      <c r="N4720" s="24"/>
      <c r="P4720" s="24"/>
    </row>
    <row r="4721" spans="2:16" x14ac:dyDescent="0.25">
      <c r="B4721" s="24"/>
      <c r="E4721" s="24"/>
      <c r="G4721" s="24"/>
      <c r="H4721" s="24"/>
      <c r="J4721" s="24"/>
      <c r="K4721" s="24"/>
      <c r="M4721" s="24"/>
      <c r="N4721" s="24"/>
      <c r="P4721" s="24"/>
    </row>
    <row r="4722" spans="2:16" x14ac:dyDescent="0.25">
      <c r="B4722" s="24"/>
      <c r="E4722" s="24"/>
      <c r="G4722" s="24"/>
      <c r="H4722" s="24"/>
      <c r="J4722" s="24"/>
      <c r="K4722" s="24"/>
      <c r="M4722" s="24"/>
      <c r="N4722" s="24"/>
      <c r="P4722" s="24"/>
    </row>
    <row r="4723" spans="2:16" x14ac:dyDescent="0.25">
      <c r="B4723" s="24"/>
      <c r="E4723" s="24"/>
      <c r="G4723" s="24"/>
      <c r="H4723" s="24"/>
      <c r="J4723" s="24"/>
      <c r="K4723" s="24"/>
      <c r="M4723" s="24"/>
      <c r="N4723" s="24"/>
      <c r="P4723" s="24"/>
    </row>
    <row r="4724" spans="2:16" x14ac:dyDescent="0.25">
      <c r="B4724" s="24"/>
      <c r="E4724" s="24"/>
      <c r="G4724" s="24"/>
      <c r="H4724" s="24"/>
      <c r="J4724" s="24"/>
      <c r="K4724" s="24"/>
      <c r="M4724" s="24"/>
      <c r="N4724" s="24"/>
      <c r="P4724" s="24"/>
    </row>
    <row r="4725" spans="2:16" x14ac:dyDescent="0.25">
      <c r="B4725" s="24"/>
      <c r="E4725" s="24"/>
      <c r="G4725" s="24"/>
      <c r="H4725" s="24"/>
      <c r="J4725" s="24"/>
      <c r="K4725" s="24"/>
      <c r="M4725" s="24"/>
      <c r="N4725" s="24"/>
      <c r="P4725" s="24"/>
    </row>
    <row r="4726" spans="2:16" x14ac:dyDescent="0.25">
      <c r="B4726" s="24"/>
      <c r="E4726" s="24"/>
      <c r="G4726" s="24"/>
      <c r="H4726" s="24"/>
      <c r="J4726" s="24"/>
      <c r="K4726" s="24"/>
      <c r="M4726" s="24"/>
      <c r="N4726" s="24"/>
      <c r="P4726" s="24"/>
    </row>
    <row r="4727" spans="2:16" x14ac:dyDescent="0.25">
      <c r="B4727" s="24"/>
      <c r="E4727" s="24"/>
      <c r="G4727" s="24"/>
      <c r="H4727" s="24"/>
      <c r="J4727" s="24"/>
      <c r="K4727" s="24"/>
      <c r="M4727" s="24"/>
      <c r="N4727" s="24"/>
      <c r="P4727" s="24"/>
    </row>
    <row r="4728" spans="2:16" x14ac:dyDescent="0.25">
      <c r="B4728" s="24"/>
      <c r="E4728" s="24"/>
      <c r="G4728" s="24"/>
      <c r="H4728" s="24"/>
      <c r="J4728" s="24"/>
      <c r="K4728" s="24"/>
      <c r="M4728" s="24"/>
      <c r="N4728" s="24"/>
      <c r="P4728" s="24"/>
    </row>
    <row r="4729" spans="2:16" x14ac:dyDescent="0.25">
      <c r="B4729" s="24"/>
      <c r="E4729" s="24"/>
      <c r="G4729" s="24"/>
      <c r="H4729" s="24"/>
      <c r="J4729" s="24"/>
      <c r="K4729" s="24"/>
      <c r="M4729" s="24"/>
      <c r="N4729" s="24"/>
      <c r="P4729" s="24"/>
    </row>
    <row r="4730" spans="2:16" x14ac:dyDescent="0.25">
      <c r="B4730" s="24"/>
      <c r="E4730" s="24"/>
      <c r="G4730" s="24"/>
      <c r="H4730" s="24"/>
      <c r="J4730" s="24"/>
      <c r="K4730" s="24"/>
      <c r="M4730" s="24"/>
      <c r="N4730" s="24"/>
      <c r="P4730" s="24"/>
    </row>
    <row r="4731" spans="2:16" x14ac:dyDescent="0.25">
      <c r="B4731" s="24"/>
      <c r="E4731" s="24"/>
      <c r="G4731" s="24"/>
      <c r="H4731" s="24"/>
      <c r="J4731" s="24"/>
      <c r="K4731" s="24"/>
      <c r="M4731" s="24"/>
      <c r="N4731" s="24"/>
      <c r="P4731" s="24"/>
    </row>
    <row r="4732" spans="2:16" x14ac:dyDescent="0.25">
      <c r="B4732" s="24"/>
      <c r="E4732" s="24"/>
      <c r="G4732" s="24"/>
      <c r="H4732" s="24"/>
      <c r="J4732" s="24"/>
      <c r="K4732" s="24"/>
      <c r="M4732" s="24"/>
      <c r="N4732" s="24"/>
      <c r="P4732" s="24"/>
    </row>
    <row r="4733" spans="2:16" x14ac:dyDescent="0.25">
      <c r="B4733" s="24"/>
      <c r="E4733" s="24"/>
      <c r="G4733" s="24"/>
      <c r="H4733" s="24"/>
      <c r="J4733" s="24"/>
      <c r="K4733" s="24"/>
      <c r="M4733" s="24"/>
      <c r="N4733" s="24"/>
      <c r="P4733" s="24"/>
    </row>
    <row r="4734" spans="2:16" x14ac:dyDescent="0.25">
      <c r="B4734" s="24"/>
      <c r="E4734" s="24"/>
      <c r="G4734" s="24"/>
      <c r="H4734" s="24"/>
      <c r="J4734" s="24"/>
      <c r="K4734" s="24"/>
      <c r="M4734" s="24"/>
      <c r="N4734" s="24"/>
      <c r="P4734" s="24"/>
    </row>
    <row r="4735" spans="2:16" x14ac:dyDescent="0.25">
      <c r="B4735" s="24"/>
      <c r="E4735" s="24"/>
      <c r="G4735" s="24"/>
      <c r="H4735" s="24"/>
      <c r="J4735" s="24"/>
      <c r="K4735" s="24"/>
      <c r="M4735" s="24"/>
      <c r="N4735" s="24"/>
      <c r="P4735" s="24"/>
    </row>
    <row r="4736" spans="2:16" x14ac:dyDescent="0.25">
      <c r="B4736" s="24"/>
      <c r="E4736" s="24"/>
      <c r="G4736" s="24"/>
      <c r="H4736" s="24"/>
      <c r="J4736" s="24"/>
      <c r="K4736" s="24"/>
      <c r="M4736" s="24"/>
      <c r="N4736" s="24"/>
      <c r="P4736" s="24"/>
    </row>
    <row r="4737" spans="2:16" x14ac:dyDescent="0.25">
      <c r="B4737" s="24"/>
      <c r="E4737" s="24"/>
      <c r="G4737" s="24"/>
      <c r="H4737" s="24"/>
      <c r="J4737" s="24"/>
      <c r="K4737" s="24"/>
      <c r="M4737" s="24"/>
      <c r="N4737" s="24"/>
      <c r="P4737" s="24"/>
    </row>
    <row r="4738" spans="2:16" x14ac:dyDescent="0.25">
      <c r="B4738" s="24"/>
      <c r="E4738" s="24"/>
      <c r="G4738" s="24"/>
      <c r="H4738" s="24"/>
      <c r="J4738" s="24"/>
      <c r="K4738" s="24"/>
      <c r="M4738" s="24"/>
      <c r="N4738" s="24"/>
      <c r="P4738" s="24"/>
    </row>
    <row r="4739" spans="2:16" x14ac:dyDescent="0.25">
      <c r="B4739" s="24"/>
      <c r="E4739" s="24"/>
      <c r="G4739" s="24"/>
      <c r="H4739" s="24"/>
      <c r="J4739" s="24"/>
      <c r="K4739" s="24"/>
      <c r="M4739" s="24"/>
      <c r="N4739" s="24"/>
      <c r="P4739" s="24"/>
    </row>
    <row r="4740" spans="2:16" x14ac:dyDescent="0.25">
      <c r="B4740" s="24"/>
      <c r="E4740" s="24"/>
      <c r="G4740" s="24"/>
      <c r="H4740" s="24"/>
      <c r="J4740" s="24"/>
      <c r="K4740" s="24"/>
      <c r="M4740" s="24"/>
      <c r="N4740" s="24"/>
      <c r="P4740" s="24"/>
    </row>
    <row r="4741" spans="2:16" x14ac:dyDescent="0.25">
      <c r="B4741" s="24"/>
      <c r="E4741" s="24"/>
      <c r="G4741" s="24"/>
      <c r="H4741" s="24"/>
      <c r="J4741" s="24"/>
      <c r="K4741" s="24"/>
      <c r="M4741" s="24"/>
      <c r="N4741" s="24"/>
      <c r="P4741" s="24"/>
    </row>
    <row r="4742" spans="2:16" x14ac:dyDescent="0.25">
      <c r="B4742" s="24"/>
      <c r="E4742" s="24"/>
      <c r="G4742" s="24"/>
      <c r="H4742" s="24"/>
      <c r="J4742" s="24"/>
      <c r="K4742" s="24"/>
      <c r="M4742" s="24"/>
      <c r="N4742" s="24"/>
      <c r="P4742" s="24"/>
    </row>
    <row r="4743" spans="2:16" x14ac:dyDescent="0.25">
      <c r="B4743" s="24"/>
      <c r="E4743" s="24"/>
      <c r="G4743" s="24"/>
      <c r="H4743" s="24"/>
      <c r="J4743" s="24"/>
      <c r="K4743" s="24"/>
      <c r="M4743" s="24"/>
      <c r="N4743" s="24"/>
      <c r="P4743" s="24"/>
    </row>
    <row r="4744" spans="2:16" x14ac:dyDescent="0.25">
      <c r="B4744" s="24"/>
      <c r="E4744" s="24"/>
      <c r="G4744" s="24"/>
      <c r="H4744" s="24"/>
      <c r="J4744" s="24"/>
      <c r="K4744" s="24"/>
      <c r="M4744" s="24"/>
      <c r="N4744" s="24"/>
      <c r="P4744" s="24"/>
    </row>
    <row r="4745" spans="2:16" x14ac:dyDescent="0.25">
      <c r="B4745" s="24"/>
      <c r="E4745" s="24"/>
      <c r="G4745" s="24"/>
      <c r="H4745" s="24"/>
      <c r="J4745" s="24"/>
      <c r="K4745" s="24"/>
      <c r="M4745" s="24"/>
      <c r="N4745" s="24"/>
      <c r="P4745" s="24"/>
    </row>
    <row r="4746" spans="2:16" x14ac:dyDescent="0.25">
      <c r="B4746" s="24"/>
      <c r="E4746" s="24"/>
      <c r="G4746" s="24"/>
      <c r="H4746" s="24"/>
      <c r="J4746" s="24"/>
      <c r="K4746" s="24"/>
      <c r="M4746" s="24"/>
      <c r="N4746" s="24"/>
      <c r="P4746" s="24"/>
    </row>
    <row r="4747" spans="2:16" x14ac:dyDescent="0.25">
      <c r="B4747" s="24"/>
      <c r="E4747" s="24"/>
      <c r="G4747" s="24"/>
      <c r="H4747" s="24"/>
      <c r="J4747" s="24"/>
      <c r="K4747" s="24"/>
      <c r="M4747" s="24"/>
      <c r="N4747" s="24"/>
      <c r="P4747" s="24"/>
    </row>
    <row r="4748" spans="2:16" x14ac:dyDescent="0.25">
      <c r="B4748" s="24"/>
      <c r="E4748" s="24"/>
      <c r="G4748" s="24"/>
      <c r="H4748" s="24"/>
      <c r="J4748" s="24"/>
      <c r="K4748" s="24"/>
      <c r="M4748" s="24"/>
      <c r="N4748" s="24"/>
      <c r="P4748" s="24"/>
    </row>
    <row r="4749" spans="2:16" x14ac:dyDescent="0.25">
      <c r="B4749" s="24"/>
      <c r="E4749" s="24"/>
      <c r="G4749" s="24"/>
      <c r="H4749" s="24"/>
      <c r="J4749" s="24"/>
      <c r="K4749" s="24"/>
      <c r="M4749" s="24"/>
      <c r="N4749" s="24"/>
      <c r="P4749" s="24"/>
    </row>
    <row r="4750" spans="2:16" x14ac:dyDescent="0.25">
      <c r="B4750" s="24"/>
      <c r="E4750" s="24"/>
      <c r="G4750" s="24"/>
      <c r="H4750" s="24"/>
      <c r="J4750" s="24"/>
      <c r="K4750" s="24"/>
      <c r="M4750" s="24"/>
      <c r="N4750" s="24"/>
      <c r="P4750" s="24"/>
    </row>
    <row r="4751" spans="2:16" x14ac:dyDescent="0.25">
      <c r="B4751" s="24"/>
      <c r="E4751" s="24"/>
      <c r="G4751" s="24"/>
      <c r="H4751" s="24"/>
      <c r="J4751" s="24"/>
      <c r="K4751" s="24"/>
      <c r="M4751" s="24"/>
      <c r="N4751" s="24"/>
      <c r="P4751" s="24"/>
    </row>
    <row r="4752" spans="2:16" x14ac:dyDescent="0.25">
      <c r="B4752" s="24"/>
      <c r="E4752" s="24"/>
      <c r="G4752" s="24"/>
      <c r="H4752" s="24"/>
      <c r="J4752" s="24"/>
      <c r="K4752" s="24"/>
      <c r="M4752" s="24"/>
      <c r="N4752" s="24"/>
      <c r="P4752" s="24"/>
    </row>
    <row r="4753" spans="2:16" x14ac:dyDescent="0.25">
      <c r="B4753" s="24"/>
      <c r="E4753" s="24"/>
      <c r="G4753" s="24"/>
      <c r="H4753" s="24"/>
      <c r="J4753" s="24"/>
      <c r="K4753" s="24"/>
      <c r="M4753" s="24"/>
      <c r="N4753" s="24"/>
      <c r="P4753" s="24"/>
    </row>
    <row r="4754" spans="2:16" x14ac:dyDescent="0.25">
      <c r="B4754" s="24"/>
      <c r="E4754" s="24"/>
      <c r="G4754" s="24"/>
      <c r="H4754" s="24"/>
      <c r="J4754" s="24"/>
      <c r="K4754" s="24"/>
      <c r="M4754" s="24"/>
      <c r="N4754" s="24"/>
      <c r="P4754" s="24"/>
    </row>
    <row r="4755" spans="2:16" x14ac:dyDescent="0.25">
      <c r="B4755" s="24"/>
      <c r="E4755" s="24"/>
      <c r="G4755" s="24"/>
      <c r="H4755" s="24"/>
      <c r="J4755" s="24"/>
      <c r="K4755" s="24"/>
      <c r="M4755" s="24"/>
      <c r="N4755" s="24"/>
      <c r="P4755" s="24"/>
    </row>
    <row r="4756" spans="2:16" x14ac:dyDescent="0.25">
      <c r="B4756" s="24"/>
      <c r="E4756" s="24"/>
      <c r="G4756" s="24"/>
      <c r="H4756" s="24"/>
      <c r="J4756" s="24"/>
      <c r="K4756" s="24"/>
      <c r="M4756" s="24"/>
      <c r="N4756" s="24"/>
      <c r="P4756" s="24"/>
    </row>
    <row r="4757" spans="2:16" x14ac:dyDescent="0.25">
      <c r="B4757" s="24"/>
      <c r="E4757" s="24"/>
      <c r="G4757" s="24"/>
      <c r="H4757" s="24"/>
      <c r="J4757" s="24"/>
      <c r="K4757" s="24"/>
      <c r="M4757" s="24"/>
      <c r="N4757" s="24"/>
      <c r="P4757" s="24"/>
    </row>
    <row r="4758" spans="2:16" x14ac:dyDescent="0.25">
      <c r="B4758" s="24"/>
      <c r="E4758" s="24"/>
      <c r="G4758" s="24"/>
      <c r="H4758" s="24"/>
      <c r="J4758" s="24"/>
      <c r="K4758" s="24"/>
      <c r="M4758" s="24"/>
      <c r="N4758" s="24"/>
      <c r="P4758" s="24"/>
    </row>
    <row r="4759" spans="2:16" x14ac:dyDescent="0.25">
      <c r="B4759" s="24"/>
      <c r="E4759" s="24"/>
      <c r="G4759" s="24"/>
      <c r="H4759" s="24"/>
      <c r="J4759" s="24"/>
      <c r="K4759" s="24"/>
      <c r="M4759" s="24"/>
      <c r="N4759" s="24"/>
      <c r="P4759" s="24"/>
    </row>
    <row r="4760" spans="2:16" x14ac:dyDescent="0.25">
      <c r="B4760" s="24"/>
      <c r="E4760" s="24"/>
      <c r="G4760" s="24"/>
      <c r="H4760" s="24"/>
      <c r="J4760" s="24"/>
      <c r="K4760" s="24"/>
      <c r="M4760" s="24"/>
      <c r="N4760" s="24"/>
      <c r="P4760" s="24"/>
    </row>
    <row r="4761" spans="2:16" x14ac:dyDescent="0.25">
      <c r="B4761" s="24"/>
      <c r="E4761" s="24"/>
      <c r="G4761" s="24"/>
      <c r="H4761" s="24"/>
      <c r="J4761" s="24"/>
      <c r="K4761" s="24"/>
      <c r="M4761" s="24"/>
      <c r="N4761" s="24"/>
      <c r="P4761" s="24"/>
    </row>
    <row r="4762" spans="2:16" x14ac:dyDescent="0.25">
      <c r="B4762" s="24"/>
      <c r="E4762" s="24"/>
      <c r="G4762" s="24"/>
      <c r="H4762" s="24"/>
      <c r="J4762" s="24"/>
      <c r="K4762" s="24"/>
      <c r="M4762" s="24"/>
      <c r="N4762" s="24"/>
      <c r="P4762" s="24"/>
    </row>
    <row r="4763" spans="2:16" x14ac:dyDescent="0.25">
      <c r="B4763" s="24"/>
      <c r="E4763" s="24"/>
      <c r="G4763" s="24"/>
      <c r="H4763" s="24"/>
      <c r="J4763" s="24"/>
      <c r="K4763" s="24"/>
      <c r="M4763" s="24"/>
      <c r="N4763" s="24"/>
      <c r="P4763" s="24"/>
    </row>
    <row r="4764" spans="2:16" x14ac:dyDescent="0.25">
      <c r="B4764" s="24"/>
      <c r="E4764" s="24"/>
      <c r="G4764" s="24"/>
      <c r="H4764" s="24"/>
      <c r="J4764" s="24"/>
      <c r="K4764" s="24"/>
      <c r="M4764" s="24"/>
      <c r="N4764" s="24"/>
      <c r="P4764" s="24"/>
    </row>
    <row r="4765" spans="2:16" x14ac:dyDescent="0.25">
      <c r="B4765" s="24"/>
      <c r="E4765" s="24"/>
      <c r="G4765" s="24"/>
      <c r="H4765" s="24"/>
      <c r="J4765" s="24"/>
      <c r="K4765" s="24"/>
      <c r="M4765" s="24"/>
      <c r="N4765" s="24"/>
      <c r="P4765" s="24"/>
    </row>
    <row r="4766" spans="2:16" x14ac:dyDescent="0.25">
      <c r="B4766" s="24"/>
      <c r="E4766" s="24"/>
      <c r="G4766" s="24"/>
      <c r="H4766" s="24"/>
      <c r="J4766" s="24"/>
      <c r="K4766" s="24"/>
      <c r="M4766" s="24"/>
      <c r="N4766" s="24"/>
      <c r="P4766" s="24"/>
    </row>
    <row r="4767" spans="2:16" x14ac:dyDescent="0.25">
      <c r="B4767" s="24"/>
      <c r="E4767" s="24"/>
      <c r="G4767" s="24"/>
      <c r="H4767" s="24"/>
      <c r="J4767" s="24"/>
      <c r="K4767" s="24"/>
      <c r="M4767" s="24"/>
      <c r="N4767" s="24"/>
      <c r="P4767" s="24"/>
    </row>
    <row r="4768" spans="2:16" x14ac:dyDescent="0.25">
      <c r="B4768" s="24"/>
      <c r="E4768" s="24"/>
      <c r="G4768" s="24"/>
      <c r="H4768" s="24"/>
      <c r="J4768" s="24"/>
      <c r="K4768" s="24"/>
      <c r="M4768" s="24"/>
      <c r="N4768" s="24"/>
      <c r="P4768" s="24"/>
    </row>
    <row r="4769" spans="2:16" x14ac:dyDescent="0.25">
      <c r="B4769" s="24"/>
      <c r="E4769" s="24"/>
      <c r="G4769" s="24"/>
      <c r="H4769" s="24"/>
      <c r="J4769" s="24"/>
      <c r="K4769" s="24"/>
      <c r="M4769" s="24"/>
      <c r="N4769" s="24"/>
      <c r="P4769" s="24"/>
    </row>
    <row r="4770" spans="2:16" x14ac:dyDescent="0.25">
      <c r="B4770" s="24"/>
      <c r="E4770" s="24"/>
      <c r="G4770" s="24"/>
      <c r="H4770" s="24"/>
      <c r="J4770" s="24"/>
      <c r="K4770" s="24"/>
      <c r="M4770" s="24"/>
      <c r="N4770" s="24"/>
      <c r="P4770" s="24"/>
    </row>
    <row r="4771" spans="2:16" x14ac:dyDescent="0.25">
      <c r="B4771" s="24"/>
      <c r="E4771" s="24"/>
      <c r="G4771" s="24"/>
      <c r="H4771" s="24"/>
      <c r="J4771" s="24"/>
      <c r="K4771" s="24"/>
      <c r="M4771" s="24"/>
      <c r="N4771" s="24"/>
      <c r="P4771" s="24"/>
    </row>
    <row r="4772" spans="2:16" x14ac:dyDescent="0.25">
      <c r="B4772" s="24"/>
      <c r="E4772" s="24"/>
      <c r="G4772" s="24"/>
      <c r="H4772" s="24"/>
      <c r="J4772" s="24"/>
      <c r="K4772" s="24"/>
      <c r="M4772" s="24"/>
      <c r="N4772" s="24"/>
      <c r="P4772" s="24"/>
    </row>
    <row r="4773" spans="2:16" x14ac:dyDescent="0.25">
      <c r="B4773" s="24"/>
      <c r="E4773" s="24"/>
      <c r="G4773" s="24"/>
      <c r="H4773" s="24"/>
      <c r="J4773" s="24"/>
      <c r="K4773" s="24"/>
      <c r="M4773" s="24"/>
      <c r="N4773" s="24"/>
      <c r="P4773" s="24"/>
    </row>
    <row r="4774" spans="2:16" x14ac:dyDescent="0.25">
      <c r="B4774" s="24"/>
      <c r="E4774" s="24"/>
      <c r="G4774" s="24"/>
      <c r="H4774" s="24"/>
      <c r="J4774" s="24"/>
      <c r="K4774" s="24"/>
      <c r="M4774" s="24"/>
      <c r="N4774" s="24"/>
      <c r="P4774" s="24"/>
    </row>
    <row r="4775" spans="2:16" x14ac:dyDescent="0.25">
      <c r="B4775" s="24"/>
      <c r="E4775" s="24"/>
      <c r="G4775" s="24"/>
      <c r="H4775" s="24"/>
      <c r="J4775" s="24"/>
      <c r="K4775" s="24"/>
      <c r="M4775" s="24"/>
      <c r="N4775" s="24"/>
      <c r="P4775" s="24"/>
    </row>
    <row r="4776" spans="2:16" x14ac:dyDescent="0.25">
      <c r="B4776" s="24"/>
      <c r="E4776" s="24"/>
      <c r="G4776" s="24"/>
      <c r="H4776" s="24"/>
      <c r="J4776" s="24"/>
      <c r="K4776" s="24"/>
      <c r="M4776" s="24"/>
      <c r="N4776" s="24"/>
      <c r="P4776" s="24"/>
    </row>
    <row r="4777" spans="2:16" x14ac:dyDescent="0.25">
      <c r="B4777" s="24"/>
      <c r="E4777" s="24"/>
      <c r="G4777" s="24"/>
      <c r="H4777" s="24"/>
      <c r="J4777" s="24"/>
      <c r="K4777" s="24"/>
      <c r="M4777" s="24"/>
      <c r="N4777" s="24"/>
      <c r="P4777" s="24"/>
    </row>
    <row r="4778" spans="2:16" x14ac:dyDescent="0.25">
      <c r="B4778" s="24"/>
      <c r="E4778" s="24"/>
      <c r="G4778" s="24"/>
      <c r="H4778" s="24"/>
      <c r="J4778" s="24"/>
      <c r="K4778" s="24"/>
      <c r="M4778" s="24"/>
      <c r="N4778" s="24"/>
      <c r="P4778" s="24"/>
    </row>
    <row r="4779" spans="2:16" x14ac:dyDescent="0.25">
      <c r="B4779" s="24"/>
      <c r="E4779" s="24"/>
      <c r="G4779" s="24"/>
      <c r="H4779" s="24"/>
      <c r="J4779" s="24"/>
      <c r="K4779" s="24"/>
      <c r="M4779" s="24"/>
      <c r="N4779" s="24"/>
      <c r="P4779" s="24"/>
    </row>
    <row r="4780" spans="2:16" x14ac:dyDescent="0.25">
      <c r="B4780" s="24"/>
      <c r="E4780" s="24"/>
      <c r="G4780" s="24"/>
      <c r="H4780" s="24"/>
      <c r="J4780" s="24"/>
      <c r="K4780" s="24"/>
      <c r="M4780" s="24"/>
      <c r="N4780" s="24"/>
      <c r="P4780" s="24"/>
    </row>
    <row r="4781" spans="2:16" x14ac:dyDescent="0.25">
      <c r="B4781" s="24"/>
      <c r="E4781" s="24"/>
      <c r="G4781" s="24"/>
      <c r="H4781" s="24"/>
      <c r="J4781" s="24"/>
      <c r="K4781" s="24"/>
      <c r="M4781" s="24"/>
      <c r="N4781" s="24"/>
      <c r="P4781" s="24"/>
    </row>
    <row r="4782" spans="2:16" x14ac:dyDescent="0.25">
      <c r="B4782" s="24"/>
      <c r="E4782" s="24"/>
      <c r="G4782" s="24"/>
      <c r="H4782" s="24"/>
      <c r="J4782" s="24"/>
      <c r="K4782" s="24"/>
      <c r="M4782" s="24"/>
      <c r="N4782" s="24"/>
      <c r="P4782" s="24"/>
    </row>
    <row r="4783" spans="2:16" x14ac:dyDescent="0.25">
      <c r="B4783" s="24"/>
      <c r="E4783" s="24"/>
      <c r="G4783" s="24"/>
      <c r="H4783" s="24"/>
      <c r="J4783" s="24"/>
      <c r="K4783" s="24"/>
      <c r="M4783" s="24"/>
      <c r="N4783" s="24"/>
      <c r="P4783" s="24"/>
    </row>
    <row r="4784" spans="2:16" x14ac:dyDescent="0.25">
      <c r="B4784" s="24"/>
      <c r="E4784" s="24"/>
      <c r="G4784" s="24"/>
      <c r="H4784" s="24"/>
      <c r="J4784" s="24"/>
      <c r="K4784" s="24"/>
      <c r="M4784" s="24"/>
      <c r="N4784" s="24"/>
      <c r="P4784" s="24"/>
    </row>
    <row r="4785" spans="2:16" x14ac:dyDescent="0.25">
      <c r="B4785" s="24"/>
      <c r="E4785" s="24"/>
      <c r="G4785" s="24"/>
      <c r="H4785" s="24"/>
      <c r="J4785" s="24"/>
      <c r="K4785" s="24"/>
      <c r="M4785" s="24"/>
      <c r="N4785" s="24"/>
      <c r="P4785" s="24"/>
    </row>
    <row r="4786" spans="2:16" x14ac:dyDescent="0.25">
      <c r="B4786" s="24"/>
      <c r="E4786" s="24"/>
      <c r="G4786" s="24"/>
      <c r="H4786" s="24"/>
      <c r="J4786" s="24"/>
      <c r="K4786" s="24"/>
      <c r="M4786" s="24"/>
      <c r="N4786" s="24"/>
      <c r="P4786" s="24"/>
    </row>
    <row r="4787" spans="2:16" x14ac:dyDescent="0.25">
      <c r="B4787" s="24"/>
      <c r="E4787" s="24"/>
      <c r="G4787" s="24"/>
      <c r="H4787" s="24"/>
      <c r="J4787" s="24"/>
      <c r="K4787" s="24"/>
      <c r="M4787" s="24"/>
      <c r="N4787" s="24"/>
      <c r="P4787" s="24"/>
    </row>
    <row r="4788" spans="2:16" x14ac:dyDescent="0.25">
      <c r="B4788" s="24"/>
      <c r="E4788" s="24"/>
      <c r="G4788" s="24"/>
      <c r="H4788" s="24"/>
      <c r="J4788" s="24"/>
      <c r="K4788" s="24"/>
      <c r="M4788" s="24"/>
      <c r="N4788" s="24"/>
      <c r="P4788" s="24"/>
    </row>
    <row r="4789" spans="2:16" x14ac:dyDescent="0.25">
      <c r="B4789" s="24"/>
      <c r="E4789" s="24"/>
      <c r="G4789" s="24"/>
      <c r="H4789" s="24"/>
      <c r="J4789" s="24"/>
      <c r="K4789" s="24"/>
      <c r="M4789" s="24"/>
      <c r="N4789" s="24"/>
      <c r="P4789" s="24"/>
    </row>
    <row r="4790" spans="2:16" x14ac:dyDescent="0.25">
      <c r="B4790" s="24"/>
      <c r="E4790" s="24"/>
      <c r="G4790" s="24"/>
      <c r="H4790" s="24"/>
      <c r="J4790" s="24"/>
      <c r="K4790" s="24"/>
      <c r="M4790" s="24"/>
      <c r="N4790" s="24"/>
      <c r="P4790" s="24"/>
    </row>
    <row r="4791" spans="2:16" x14ac:dyDescent="0.25">
      <c r="B4791" s="24"/>
      <c r="E4791" s="24"/>
      <c r="G4791" s="24"/>
      <c r="H4791" s="24"/>
      <c r="J4791" s="24"/>
      <c r="K4791" s="24"/>
      <c r="M4791" s="24"/>
      <c r="N4791" s="24"/>
      <c r="P4791" s="24"/>
    </row>
    <row r="4792" spans="2:16" x14ac:dyDescent="0.25">
      <c r="B4792" s="24"/>
      <c r="E4792" s="24"/>
      <c r="G4792" s="24"/>
      <c r="H4792" s="24"/>
      <c r="J4792" s="24"/>
      <c r="K4792" s="24"/>
      <c r="M4792" s="24"/>
      <c r="N4792" s="24"/>
      <c r="P4792" s="24"/>
    </row>
    <row r="4793" spans="2:16" x14ac:dyDescent="0.25">
      <c r="B4793" s="24"/>
      <c r="E4793" s="24"/>
      <c r="G4793" s="24"/>
      <c r="H4793" s="24"/>
      <c r="J4793" s="24"/>
      <c r="K4793" s="24"/>
      <c r="M4793" s="24"/>
      <c r="N4793" s="24"/>
      <c r="P4793" s="24"/>
    </row>
    <row r="4794" spans="2:16" x14ac:dyDescent="0.25">
      <c r="B4794" s="24"/>
      <c r="E4794" s="24"/>
      <c r="G4794" s="24"/>
      <c r="H4794" s="24"/>
      <c r="J4794" s="24"/>
      <c r="K4794" s="24"/>
      <c r="M4794" s="24"/>
      <c r="N4794" s="24"/>
      <c r="P4794" s="24"/>
    </row>
    <row r="4795" spans="2:16" x14ac:dyDescent="0.25">
      <c r="B4795" s="24"/>
      <c r="E4795" s="24"/>
      <c r="G4795" s="24"/>
      <c r="H4795" s="24"/>
      <c r="J4795" s="24"/>
      <c r="K4795" s="24"/>
      <c r="M4795" s="24"/>
      <c r="N4795" s="24"/>
      <c r="P4795" s="24"/>
    </row>
    <row r="4796" spans="2:16" x14ac:dyDescent="0.25">
      <c r="B4796" s="24"/>
      <c r="E4796" s="24"/>
      <c r="G4796" s="24"/>
      <c r="H4796" s="24"/>
      <c r="J4796" s="24"/>
      <c r="K4796" s="24"/>
      <c r="M4796" s="24"/>
      <c r="N4796" s="24"/>
      <c r="P4796" s="24"/>
    </row>
    <row r="4797" spans="2:16" x14ac:dyDescent="0.25">
      <c r="B4797" s="24"/>
      <c r="E4797" s="24"/>
      <c r="G4797" s="24"/>
      <c r="H4797" s="24"/>
      <c r="J4797" s="24"/>
      <c r="K4797" s="24"/>
      <c r="M4797" s="24"/>
      <c r="N4797" s="24"/>
      <c r="P4797" s="24"/>
    </row>
    <row r="4798" spans="2:16" x14ac:dyDescent="0.25">
      <c r="B4798" s="24"/>
      <c r="E4798" s="24"/>
      <c r="G4798" s="24"/>
      <c r="H4798" s="24"/>
      <c r="J4798" s="24"/>
      <c r="K4798" s="24"/>
      <c r="M4798" s="24"/>
      <c r="N4798" s="24"/>
      <c r="P4798" s="24"/>
    </row>
    <row r="4799" spans="2:16" x14ac:dyDescent="0.25">
      <c r="B4799" s="24"/>
      <c r="E4799" s="24"/>
      <c r="G4799" s="24"/>
      <c r="H4799" s="24"/>
      <c r="J4799" s="24"/>
      <c r="K4799" s="24"/>
      <c r="M4799" s="24"/>
      <c r="N4799" s="24"/>
      <c r="P4799" s="24"/>
    </row>
    <row r="4800" spans="2:16" x14ac:dyDescent="0.25">
      <c r="B4800" s="24"/>
      <c r="E4800" s="24"/>
      <c r="G4800" s="24"/>
      <c r="H4800" s="24"/>
      <c r="J4800" s="24"/>
      <c r="K4800" s="24"/>
      <c r="M4800" s="24"/>
      <c r="N4800" s="24"/>
      <c r="P4800" s="24"/>
    </row>
    <row r="4801" spans="2:16" x14ac:dyDescent="0.25">
      <c r="B4801" s="24"/>
      <c r="E4801" s="24"/>
      <c r="G4801" s="24"/>
      <c r="H4801" s="24"/>
      <c r="J4801" s="24"/>
      <c r="K4801" s="24"/>
      <c r="M4801" s="24"/>
      <c r="N4801" s="24"/>
      <c r="P4801" s="24"/>
    </row>
    <row r="4802" spans="2:16" x14ac:dyDescent="0.25">
      <c r="B4802" s="24"/>
      <c r="E4802" s="24"/>
      <c r="G4802" s="24"/>
      <c r="H4802" s="24"/>
      <c r="J4802" s="24"/>
      <c r="K4802" s="24"/>
      <c r="M4802" s="24"/>
      <c r="N4802" s="24"/>
      <c r="P4802" s="24"/>
    </row>
    <row r="4803" spans="2:16" x14ac:dyDescent="0.25">
      <c r="B4803" s="24"/>
      <c r="E4803" s="24"/>
      <c r="G4803" s="24"/>
      <c r="H4803" s="24"/>
      <c r="J4803" s="24"/>
      <c r="K4803" s="24"/>
      <c r="M4803" s="24"/>
      <c r="N4803" s="24"/>
      <c r="P4803" s="24"/>
    </row>
    <row r="4804" spans="2:16" x14ac:dyDescent="0.25">
      <c r="B4804" s="24"/>
      <c r="E4804" s="24"/>
      <c r="G4804" s="24"/>
      <c r="H4804" s="24"/>
      <c r="J4804" s="24"/>
      <c r="K4804" s="24"/>
      <c r="M4804" s="24"/>
      <c r="N4804" s="24"/>
      <c r="P4804" s="24"/>
    </row>
    <row r="4805" spans="2:16" x14ac:dyDescent="0.25">
      <c r="B4805" s="24"/>
      <c r="E4805" s="24"/>
      <c r="G4805" s="24"/>
      <c r="H4805" s="24"/>
      <c r="J4805" s="24"/>
      <c r="K4805" s="24"/>
      <c r="M4805" s="24"/>
      <c r="N4805" s="24"/>
      <c r="P4805" s="24"/>
    </row>
    <row r="4806" spans="2:16" x14ac:dyDescent="0.25">
      <c r="B4806" s="24"/>
      <c r="E4806" s="24"/>
      <c r="G4806" s="24"/>
      <c r="H4806" s="24"/>
      <c r="J4806" s="24"/>
      <c r="K4806" s="24"/>
      <c r="M4806" s="24"/>
      <c r="N4806" s="24"/>
      <c r="P4806" s="24"/>
    </row>
    <row r="4807" spans="2:16" x14ac:dyDescent="0.25">
      <c r="B4807" s="24"/>
      <c r="E4807" s="24"/>
      <c r="G4807" s="24"/>
      <c r="H4807" s="24"/>
      <c r="J4807" s="24"/>
      <c r="K4807" s="24"/>
      <c r="M4807" s="24"/>
      <c r="N4807" s="24"/>
      <c r="P4807" s="24"/>
    </row>
    <row r="4808" spans="2:16" x14ac:dyDescent="0.25">
      <c r="B4808" s="24"/>
      <c r="E4808" s="24"/>
      <c r="G4808" s="24"/>
      <c r="H4808" s="24"/>
      <c r="J4808" s="24"/>
      <c r="K4808" s="24"/>
      <c r="M4808" s="24"/>
      <c r="N4808" s="24"/>
      <c r="P4808" s="24"/>
    </row>
    <row r="4809" spans="2:16" x14ac:dyDescent="0.25">
      <c r="B4809" s="24"/>
      <c r="E4809" s="24"/>
      <c r="G4809" s="24"/>
      <c r="H4809" s="24"/>
      <c r="J4809" s="24"/>
      <c r="K4809" s="24"/>
      <c r="M4809" s="24"/>
      <c r="N4809" s="24"/>
      <c r="P4809" s="24"/>
    </row>
    <row r="4810" spans="2:16" x14ac:dyDescent="0.25">
      <c r="B4810" s="24"/>
      <c r="E4810" s="24"/>
      <c r="G4810" s="24"/>
      <c r="H4810" s="24"/>
      <c r="J4810" s="24"/>
      <c r="K4810" s="24"/>
      <c r="M4810" s="24"/>
      <c r="N4810" s="24"/>
      <c r="P4810" s="24"/>
    </row>
    <row r="4811" spans="2:16" x14ac:dyDescent="0.25">
      <c r="B4811" s="24"/>
      <c r="E4811" s="24"/>
      <c r="G4811" s="24"/>
      <c r="H4811" s="24"/>
      <c r="J4811" s="24"/>
      <c r="K4811" s="24"/>
      <c r="M4811" s="24"/>
      <c r="N4811" s="24"/>
      <c r="P4811" s="24"/>
    </row>
    <row r="4812" spans="2:16" x14ac:dyDescent="0.25">
      <c r="B4812" s="24"/>
      <c r="E4812" s="24"/>
      <c r="G4812" s="24"/>
      <c r="H4812" s="24"/>
      <c r="J4812" s="24"/>
      <c r="K4812" s="24"/>
      <c r="M4812" s="24"/>
      <c r="N4812" s="24"/>
      <c r="P4812" s="24"/>
    </row>
    <row r="4813" spans="2:16" x14ac:dyDescent="0.25">
      <c r="B4813" s="24"/>
      <c r="E4813" s="24"/>
      <c r="G4813" s="24"/>
      <c r="H4813" s="24"/>
      <c r="J4813" s="24"/>
      <c r="K4813" s="24"/>
      <c r="M4813" s="24"/>
      <c r="N4813" s="24"/>
      <c r="P4813" s="24"/>
    </row>
    <row r="4814" spans="2:16" x14ac:dyDescent="0.25">
      <c r="B4814" s="24"/>
      <c r="E4814" s="24"/>
      <c r="G4814" s="24"/>
      <c r="H4814" s="24"/>
      <c r="J4814" s="24"/>
      <c r="K4814" s="24"/>
      <c r="M4814" s="24"/>
      <c r="N4814" s="24"/>
      <c r="P4814" s="24"/>
    </row>
    <row r="4815" spans="2:16" x14ac:dyDescent="0.25">
      <c r="B4815" s="24"/>
      <c r="E4815" s="24"/>
      <c r="G4815" s="24"/>
      <c r="H4815" s="24"/>
      <c r="J4815" s="24"/>
      <c r="K4815" s="24"/>
      <c r="M4815" s="24"/>
      <c r="N4815" s="24"/>
      <c r="P4815" s="24"/>
    </row>
    <row r="4816" spans="2:16" x14ac:dyDescent="0.25">
      <c r="B4816" s="24"/>
      <c r="E4816" s="24"/>
      <c r="G4816" s="24"/>
      <c r="H4816" s="24"/>
      <c r="J4816" s="24"/>
      <c r="K4816" s="24"/>
      <c r="M4816" s="24"/>
      <c r="N4816" s="24"/>
      <c r="P4816" s="24"/>
    </row>
    <row r="4817" spans="2:16" x14ac:dyDescent="0.25">
      <c r="B4817" s="24"/>
      <c r="E4817" s="24"/>
      <c r="G4817" s="24"/>
      <c r="H4817" s="24"/>
      <c r="J4817" s="24"/>
      <c r="K4817" s="24"/>
      <c r="M4817" s="24"/>
      <c r="N4817" s="24"/>
      <c r="P4817" s="24"/>
    </row>
    <row r="4818" spans="2:16" x14ac:dyDescent="0.25">
      <c r="B4818" s="24"/>
      <c r="E4818" s="24"/>
      <c r="G4818" s="24"/>
      <c r="H4818" s="24"/>
      <c r="J4818" s="24"/>
      <c r="K4818" s="24"/>
      <c r="M4818" s="24"/>
      <c r="N4818" s="24"/>
      <c r="P4818" s="24"/>
    </row>
    <row r="4819" spans="2:16" x14ac:dyDescent="0.25">
      <c r="B4819" s="24"/>
      <c r="E4819" s="24"/>
      <c r="G4819" s="24"/>
      <c r="H4819" s="24"/>
      <c r="J4819" s="24"/>
      <c r="K4819" s="24"/>
      <c r="M4819" s="24"/>
      <c r="N4819" s="24"/>
      <c r="P4819" s="24"/>
    </row>
    <row r="4820" spans="2:16" x14ac:dyDescent="0.25">
      <c r="B4820" s="24"/>
      <c r="E4820" s="24"/>
      <c r="G4820" s="24"/>
      <c r="H4820" s="24"/>
      <c r="J4820" s="24"/>
      <c r="K4820" s="24"/>
      <c r="M4820" s="24"/>
      <c r="N4820" s="24"/>
      <c r="P4820" s="24"/>
    </row>
    <row r="4821" spans="2:16" x14ac:dyDescent="0.25">
      <c r="B4821" s="24"/>
      <c r="E4821" s="24"/>
      <c r="G4821" s="24"/>
      <c r="H4821" s="24"/>
      <c r="J4821" s="24"/>
      <c r="K4821" s="24"/>
      <c r="M4821" s="24"/>
      <c r="N4821" s="24"/>
      <c r="P4821" s="24"/>
    </row>
    <row r="4822" spans="2:16" x14ac:dyDescent="0.25">
      <c r="B4822" s="24"/>
      <c r="E4822" s="24"/>
      <c r="G4822" s="24"/>
      <c r="H4822" s="24"/>
      <c r="J4822" s="24"/>
      <c r="K4822" s="24"/>
      <c r="M4822" s="24"/>
      <c r="N4822" s="24"/>
      <c r="P4822" s="24"/>
    </row>
    <row r="4823" spans="2:16" x14ac:dyDescent="0.25">
      <c r="B4823" s="24"/>
      <c r="E4823" s="24"/>
      <c r="G4823" s="24"/>
      <c r="H4823" s="24"/>
      <c r="J4823" s="24"/>
      <c r="K4823" s="24"/>
      <c r="M4823" s="24"/>
      <c r="N4823" s="24"/>
      <c r="P4823" s="24"/>
    </row>
    <row r="4824" spans="2:16" x14ac:dyDescent="0.25">
      <c r="B4824" s="24"/>
      <c r="E4824" s="24"/>
      <c r="G4824" s="24"/>
      <c r="H4824" s="24"/>
      <c r="J4824" s="24"/>
      <c r="K4824" s="24"/>
      <c r="M4824" s="24"/>
      <c r="N4824" s="24"/>
      <c r="P4824" s="24"/>
    </row>
    <row r="4825" spans="2:16" x14ac:dyDescent="0.25">
      <c r="B4825" s="24"/>
      <c r="E4825" s="24"/>
      <c r="G4825" s="24"/>
      <c r="H4825" s="24"/>
      <c r="J4825" s="24"/>
      <c r="K4825" s="24"/>
      <c r="M4825" s="24"/>
      <c r="N4825" s="24"/>
      <c r="P4825" s="24"/>
    </row>
    <row r="4826" spans="2:16" x14ac:dyDescent="0.25">
      <c r="B4826" s="24"/>
      <c r="E4826" s="24"/>
      <c r="G4826" s="24"/>
      <c r="H4826" s="24"/>
      <c r="J4826" s="24"/>
      <c r="K4826" s="24"/>
      <c r="M4826" s="24"/>
      <c r="N4826" s="24"/>
      <c r="P4826" s="24"/>
    </row>
    <row r="4827" spans="2:16" x14ac:dyDescent="0.25">
      <c r="B4827" s="24"/>
      <c r="E4827" s="24"/>
      <c r="G4827" s="24"/>
      <c r="H4827" s="24"/>
      <c r="J4827" s="24"/>
      <c r="K4827" s="24"/>
      <c r="M4827" s="24"/>
      <c r="N4827" s="24"/>
      <c r="P4827" s="24"/>
    </row>
    <row r="4828" spans="2:16" x14ac:dyDescent="0.25">
      <c r="B4828" s="24"/>
      <c r="E4828" s="24"/>
      <c r="G4828" s="24"/>
      <c r="H4828" s="24"/>
      <c r="J4828" s="24"/>
      <c r="K4828" s="24"/>
      <c r="M4828" s="24"/>
      <c r="N4828" s="24"/>
      <c r="P4828" s="24"/>
    </row>
    <row r="4829" spans="2:16" x14ac:dyDescent="0.25">
      <c r="B4829" s="24"/>
      <c r="E4829" s="24"/>
      <c r="G4829" s="24"/>
      <c r="H4829" s="24"/>
      <c r="J4829" s="24"/>
      <c r="K4829" s="24"/>
      <c r="M4829" s="24"/>
      <c r="N4829" s="24"/>
      <c r="P4829" s="24"/>
    </row>
    <row r="4830" spans="2:16" x14ac:dyDescent="0.25">
      <c r="B4830" s="24"/>
      <c r="E4830" s="24"/>
      <c r="G4830" s="24"/>
      <c r="H4830" s="24"/>
      <c r="J4830" s="24"/>
      <c r="K4830" s="24"/>
      <c r="M4830" s="24"/>
      <c r="N4830" s="24"/>
      <c r="P4830" s="24"/>
    </row>
    <row r="4831" spans="2:16" x14ac:dyDescent="0.25">
      <c r="B4831" s="24"/>
      <c r="E4831" s="24"/>
      <c r="G4831" s="24"/>
      <c r="H4831" s="24"/>
      <c r="J4831" s="24"/>
      <c r="K4831" s="24"/>
      <c r="M4831" s="24"/>
      <c r="N4831" s="24"/>
      <c r="P4831" s="24"/>
    </row>
    <row r="4832" spans="2:16" x14ac:dyDescent="0.25">
      <c r="B4832" s="24"/>
      <c r="E4832" s="24"/>
      <c r="G4832" s="24"/>
      <c r="H4832" s="24"/>
      <c r="J4832" s="24"/>
      <c r="K4832" s="24"/>
      <c r="M4832" s="24"/>
      <c r="N4832" s="24"/>
      <c r="P4832" s="24"/>
    </row>
    <row r="4833" spans="2:16" x14ac:dyDescent="0.25">
      <c r="B4833" s="24"/>
      <c r="E4833" s="24"/>
      <c r="G4833" s="24"/>
      <c r="H4833" s="24"/>
      <c r="J4833" s="24"/>
      <c r="K4833" s="24"/>
      <c r="M4833" s="24"/>
      <c r="N4833" s="24"/>
      <c r="P4833" s="24"/>
    </row>
    <row r="4834" spans="2:16" x14ac:dyDescent="0.25">
      <c r="B4834" s="24"/>
      <c r="E4834" s="24"/>
      <c r="G4834" s="24"/>
      <c r="H4834" s="24"/>
      <c r="J4834" s="24"/>
      <c r="K4834" s="24"/>
      <c r="M4834" s="24"/>
      <c r="N4834" s="24"/>
      <c r="P4834" s="24"/>
    </row>
    <row r="4835" spans="2:16" x14ac:dyDescent="0.25">
      <c r="B4835" s="24"/>
      <c r="E4835" s="24"/>
      <c r="G4835" s="24"/>
      <c r="H4835" s="24"/>
      <c r="J4835" s="24"/>
      <c r="K4835" s="24"/>
      <c r="M4835" s="24"/>
      <c r="N4835" s="24"/>
      <c r="P4835" s="24"/>
    </row>
    <row r="4836" spans="2:16" x14ac:dyDescent="0.25">
      <c r="B4836" s="24"/>
      <c r="E4836" s="24"/>
      <c r="G4836" s="24"/>
      <c r="H4836" s="24"/>
      <c r="J4836" s="24"/>
      <c r="K4836" s="24"/>
      <c r="M4836" s="24"/>
      <c r="N4836" s="24"/>
      <c r="P4836" s="24"/>
    </row>
    <row r="4837" spans="2:16" x14ac:dyDescent="0.25">
      <c r="B4837" s="24"/>
      <c r="E4837" s="24"/>
      <c r="G4837" s="24"/>
      <c r="H4837" s="24"/>
      <c r="J4837" s="24"/>
      <c r="K4837" s="24"/>
      <c r="M4837" s="24"/>
      <c r="N4837" s="24"/>
      <c r="P4837" s="24"/>
    </row>
    <row r="4838" spans="2:16" x14ac:dyDescent="0.25">
      <c r="B4838" s="24"/>
      <c r="E4838" s="24"/>
      <c r="G4838" s="24"/>
      <c r="H4838" s="24"/>
      <c r="J4838" s="24"/>
      <c r="K4838" s="24"/>
      <c r="M4838" s="24"/>
      <c r="N4838" s="24"/>
      <c r="P4838" s="24"/>
    </row>
    <row r="4839" spans="2:16" x14ac:dyDescent="0.25">
      <c r="B4839" s="24"/>
      <c r="E4839" s="24"/>
      <c r="G4839" s="24"/>
      <c r="H4839" s="24"/>
      <c r="J4839" s="24"/>
      <c r="K4839" s="24"/>
      <c r="M4839" s="24"/>
      <c r="N4839" s="24"/>
      <c r="P4839" s="24"/>
    </row>
    <row r="4840" spans="2:16" x14ac:dyDescent="0.25">
      <c r="B4840" s="24"/>
      <c r="E4840" s="24"/>
      <c r="G4840" s="24"/>
      <c r="H4840" s="24"/>
      <c r="J4840" s="24"/>
      <c r="K4840" s="24"/>
      <c r="M4840" s="24"/>
      <c r="N4840" s="24"/>
      <c r="P4840" s="24"/>
    </row>
    <row r="4841" spans="2:16" x14ac:dyDescent="0.25">
      <c r="B4841" s="24"/>
      <c r="E4841" s="24"/>
      <c r="G4841" s="24"/>
      <c r="H4841" s="24"/>
      <c r="J4841" s="24"/>
      <c r="K4841" s="24"/>
      <c r="M4841" s="24"/>
      <c r="N4841" s="24"/>
      <c r="P4841" s="24"/>
    </row>
    <row r="4842" spans="2:16" x14ac:dyDescent="0.25">
      <c r="B4842" s="24"/>
      <c r="E4842" s="24"/>
      <c r="G4842" s="24"/>
      <c r="H4842" s="24"/>
      <c r="J4842" s="24"/>
      <c r="K4842" s="24"/>
      <c r="M4842" s="24"/>
      <c r="N4842" s="24"/>
      <c r="P4842" s="24"/>
    </row>
    <row r="4843" spans="2:16" x14ac:dyDescent="0.25">
      <c r="B4843" s="24"/>
      <c r="E4843" s="24"/>
      <c r="G4843" s="24"/>
      <c r="H4843" s="24"/>
      <c r="J4843" s="24"/>
      <c r="K4843" s="24"/>
      <c r="M4843" s="24"/>
      <c r="N4843" s="24"/>
      <c r="P4843" s="24"/>
    </row>
    <row r="4844" spans="2:16" x14ac:dyDescent="0.25">
      <c r="B4844" s="24"/>
      <c r="E4844" s="24"/>
      <c r="G4844" s="24"/>
      <c r="H4844" s="24"/>
      <c r="J4844" s="24"/>
      <c r="K4844" s="24"/>
      <c r="M4844" s="24"/>
      <c r="N4844" s="24"/>
      <c r="P4844" s="24"/>
    </row>
    <row r="4845" spans="2:16" x14ac:dyDescent="0.25">
      <c r="B4845" s="24"/>
      <c r="E4845" s="24"/>
      <c r="G4845" s="24"/>
      <c r="H4845" s="24"/>
      <c r="J4845" s="24"/>
      <c r="K4845" s="24"/>
      <c r="M4845" s="24"/>
      <c r="N4845" s="24"/>
      <c r="P4845" s="24"/>
    </row>
    <row r="4846" spans="2:16" x14ac:dyDescent="0.25">
      <c r="B4846" s="24"/>
      <c r="E4846" s="24"/>
      <c r="G4846" s="24"/>
      <c r="H4846" s="24"/>
      <c r="J4846" s="24"/>
      <c r="K4846" s="24"/>
      <c r="M4846" s="24"/>
      <c r="N4846" s="24"/>
      <c r="P4846" s="24"/>
    </row>
    <row r="4847" spans="2:16" x14ac:dyDescent="0.25">
      <c r="B4847" s="24"/>
      <c r="E4847" s="24"/>
      <c r="G4847" s="24"/>
      <c r="H4847" s="24"/>
      <c r="J4847" s="24"/>
      <c r="K4847" s="24"/>
      <c r="M4847" s="24"/>
      <c r="N4847" s="24"/>
      <c r="P4847" s="24"/>
    </row>
    <row r="4848" spans="2:16" x14ac:dyDescent="0.25">
      <c r="B4848" s="24"/>
      <c r="E4848" s="24"/>
      <c r="G4848" s="24"/>
      <c r="H4848" s="24"/>
      <c r="J4848" s="24"/>
      <c r="K4848" s="24"/>
      <c r="M4848" s="24"/>
      <c r="N4848" s="24"/>
      <c r="P4848" s="24"/>
    </row>
    <row r="4849" spans="2:16" x14ac:dyDescent="0.25">
      <c r="B4849" s="24"/>
      <c r="E4849" s="24"/>
      <c r="G4849" s="24"/>
      <c r="H4849" s="24"/>
      <c r="J4849" s="24"/>
      <c r="K4849" s="24"/>
      <c r="M4849" s="24"/>
      <c r="N4849" s="24"/>
      <c r="P4849" s="24"/>
    </row>
    <row r="4850" spans="2:16" x14ac:dyDescent="0.25">
      <c r="B4850" s="24"/>
      <c r="E4850" s="24"/>
      <c r="G4850" s="24"/>
      <c r="H4850" s="24"/>
      <c r="J4850" s="24"/>
      <c r="K4850" s="24"/>
      <c r="M4850" s="24"/>
      <c r="N4850" s="24"/>
      <c r="P4850" s="24"/>
    </row>
    <row r="4851" spans="2:16" x14ac:dyDescent="0.25">
      <c r="B4851" s="24"/>
      <c r="E4851" s="24"/>
      <c r="G4851" s="24"/>
      <c r="H4851" s="24"/>
      <c r="J4851" s="24"/>
      <c r="K4851" s="24"/>
      <c r="M4851" s="24"/>
      <c r="N4851" s="24"/>
      <c r="P4851" s="24"/>
    </row>
    <row r="4852" spans="2:16" x14ac:dyDescent="0.25">
      <c r="B4852" s="24"/>
      <c r="E4852" s="24"/>
      <c r="G4852" s="24"/>
      <c r="H4852" s="24"/>
      <c r="J4852" s="24"/>
      <c r="K4852" s="24"/>
      <c r="M4852" s="24"/>
      <c r="N4852" s="24"/>
      <c r="P4852" s="24"/>
    </row>
    <row r="4853" spans="2:16" x14ac:dyDescent="0.25">
      <c r="B4853" s="24"/>
      <c r="E4853" s="24"/>
      <c r="G4853" s="24"/>
      <c r="H4853" s="24"/>
      <c r="J4853" s="24"/>
      <c r="K4853" s="24"/>
      <c r="M4853" s="24"/>
      <c r="N4853" s="24"/>
      <c r="P4853" s="24"/>
    </row>
    <row r="4854" spans="2:16" x14ac:dyDescent="0.25">
      <c r="B4854" s="24"/>
      <c r="E4854" s="24"/>
      <c r="G4854" s="24"/>
      <c r="H4854" s="24"/>
      <c r="J4854" s="24"/>
      <c r="K4854" s="24"/>
      <c r="M4854" s="24"/>
      <c r="N4854" s="24"/>
      <c r="P4854" s="24"/>
    </row>
    <row r="4855" spans="2:16" x14ac:dyDescent="0.25">
      <c r="B4855" s="24"/>
      <c r="E4855" s="24"/>
      <c r="G4855" s="24"/>
      <c r="H4855" s="24"/>
      <c r="J4855" s="24"/>
      <c r="K4855" s="24"/>
      <c r="M4855" s="24"/>
      <c r="N4855" s="24"/>
      <c r="P4855" s="24"/>
    </row>
    <row r="4856" spans="2:16" x14ac:dyDescent="0.25">
      <c r="B4856" s="24"/>
      <c r="E4856" s="24"/>
      <c r="G4856" s="24"/>
      <c r="H4856" s="24"/>
      <c r="J4856" s="24"/>
      <c r="K4856" s="24"/>
      <c r="M4856" s="24"/>
      <c r="N4856" s="24"/>
      <c r="P4856" s="24"/>
    </row>
    <row r="4857" spans="2:16" x14ac:dyDescent="0.25">
      <c r="B4857" s="24"/>
      <c r="E4857" s="24"/>
      <c r="G4857" s="24"/>
      <c r="H4857" s="24"/>
      <c r="J4857" s="24"/>
      <c r="K4857" s="24"/>
      <c r="M4857" s="24"/>
      <c r="N4857" s="24"/>
      <c r="P4857" s="24"/>
    </row>
    <row r="4858" spans="2:16" x14ac:dyDescent="0.25">
      <c r="B4858" s="24"/>
      <c r="E4858" s="24"/>
      <c r="G4858" s="24"/>
      <c r="H4858" s="24"/>
      <c r="J4858" s="24"/>
      <c r="K4858" s="24"/>
      <c r="M4858" s="24"/>
      <c r="N4858" s="24"/>
      <c r="P4858" s="24"/>
    </row>
    <row r="4859" spans="2:16" x14ac:dyDescent="0.25">
      <c r="B4859" s="24"/>
      <c r="E4859" s="24"/>
      <c r="G4859" s="24"/>
      <c r="H4859" s="24"/>
      <c r="J4859" s="24"/>
      <c r="K4859" s="24"/>
      <c r="M4859" s="24"/>
      <c r="N4859" s="24"/>
      <c r="P4859" s="24"/>
    </row>
    <row r="4860" spans="2:16" x14ac:dyDescent="0.25">
      <c r="B4860" s="24"/>
      <c r="E4860" s="24"/>
      <c r="G4860" s="24"/>
      <c r="H4860" s="24"/>
      <c r="J4860" s="24"/>
      <c r="K4860" s="24"/>
      <c r="M4860" s="24"/>
      <c r="N4860" s="24"/>
      <c r="P4860" s="24"/>
    </row>
    <row r="4861" spans="2:16" x14ac:dyDescent="0.25">
      <c r="B4861" s="24"/>
      <c r="E4861" s="24"/>
      <c r="G4861" s="24"/>
      <c r="H4861" s="24"/>
      <c r="J4861" s="24"/>
      <c r="K4861" s="24"/>
      <c r="M4861" s="24"/>
      <c r="N4861" s="24"/>
      <c r="P4861" s="24"/>
    </row>
    <row r="4862" spans="2:16" x14ac:dyDescent="0.25">
      <c r="B4862" s="24"/>
      <c r="E4862" s="24"/>
      <c r="G4862" s="24"/>
      <c r="H4862" s="24"/>
      <c r="J4862" s="24"/>
      <c r="K4862" s="24"/>
      <c r="M4862" s="24"/>
      <c r="N4862" s="24"/>
      <c r="P4862" s="24"/>
    </row>
    <row r="4863" spans="2:16" x14ac:dyDescent="0.25">
      <c r="B4863" s="24"/>
      <c r="E4863" s="24"/>
      <c r="G4863" s="24"/>
      <c r="H4863" s="24"/>
      <c r="J4863" s="24"/>
      <c r="K4863" s="24"/>
      <c r="M4863" s="24"/>
      <c r="N4863" s="24"/>
      <c r="P4863" s="24"/>
    </row>
    <row r="4864" spans="2:16" x14ac:dyDescent="0.25">
      <c r="B4864" s="24"/>
      <c r="E4864" s="24"/>
      <c r="G4864" s="24"/>
      <c r="H4864" s="24"/>
      <c r="J4864" s="24"/>
      <c r="K4864" s="24"/>
      <c r="M4864" s="24"/>
      <c r="N4864" s="24"/>
      <c r="P4864" s="24"/>
    </row>
    <row r="4865" spans="2:16" x14ac:dyDescent="0.25">
      <c r="B4865" s="24"/>
      <c r="E4865" s="24"/>
      <c r="G4865" s="24"/>
      <c r="H4865" s="24"/>
      <c r="J4865" s="24"/>
      <c r="K4865" s="24"/>
      <c r="M4865" s="24"/>
      <c r="N4865" s="24"/>
      <c r="P4865" s="24"/>
    </row>
    <row r="4866" spans="2:16" x14ac:dyDescent="0.25">
      <c r="B4866" s="24"/>
      <c r="E4866" s="24"/>
      <c r="G4866" s="24"/>
      <c r="H4866" s="24"/>
      <c r="J4866" s="24"/>
      <c r="K4866" s="24"/>
      <c r="M4866" s="24"/>
      <c r="N4866" s="24"/>
      <c r="P4866" s="24"/>
    </row>
    <row r="4867" spans="2:16" x14ac:dyDescent="0.25">
      <c r="B4867" s="24"/>
      <c r="E4867" s="24"/>
      <c r="G4867" s="24"/>
      <c r="H4867" s="24"/>
      <c r="J4867" s="24"/>
      <c r="K4867" s="24"/>
      <c r="M4867" s="24"/>
      <c r="N4867" s="24"/>
      <c r="P4867" s="24"/>
    </row>
    <row r="4868" spans="2:16" x14ac:dyDescent="0.25">
      <c r="B4868" s="24"/>
      <c r="E4868" s="24"/>
      <c r="G4868" s="24"/>
      <c r="H4868" s="24"/>
      <c r="J4868" s="24"/>
      <c r="K4868" s="24"/>
      <c r="M4868" s="24"/>
      <c r="N4868" s="24"/>
      <c r="P4868" s="24"/>
    </row>
    <row r="4869" spans="2:16" x14ac:dyDescent="0.25">
      <c r="B4869" s="24"/>
      <c r="E4869" s="24"/>
      <c r="G4869" s="24"/>
      <c r="H4869" s="24"/>
      <c r="J4869" s="24"/>
      <c r="K4869" s="24"/>
      <c r="M4869" s="24"/>
      <c r="N4869" s="24"/>
      <c r="P4869" s="24"/>
    </row>
    <row r="4870" spans="2:16" x14ac:dyDescent="0.25">
      <c r="B4870" s="24"/>
      <c r="E4870" s="24"/>
      <c r="G4870" s="24"/>
      <c r="H4870" s="24"/>
      <c r="J4870" s="24"/>
      <c r="K4870" s="24"/>
      <c r="M4870" s="24"/>
      <c r="N4870" s="24"/>
      <c r="P4870" s="24"/>
    </row>
    <row r="4871" spans="2:16" x14ac:dyDescent="0.25">
      <c r="B4871" s="24"/>
      <c r="E4871" s="24"/>
      <c r="G4871" s="24"/>
      <c r="H4871" s="24"/>
      <c r="J4871" s="24"/>
      <c r="K4871" s="24"/>
      <c r="M4871" s="24"/>
      <c r="N4871" s="24"/>
      <c r="P4871" s="24"/>
    </row>
    <row r="4872" spans="2:16" x14ac:dyDescent="0.25">
      <c r="B4872" s="24"/>
      <c r="E4872" s="24"/>
      <c r="G4872" s="24"/>
      <c r="H4872" s="24"/>
      <c r="J4872" s="24"/>
      <c r="K4872" s="24"/>
      <c r="M4872" s="24"/>
      <c r="N4872" s="24"/>
      <c r="P4872" s="24"/>
    </row>
    <row r="4873" spans="2:16" x14ac:dyDescent="0.25">
      <c r="B4873" s="24"/>
      <c r="E4873" s="24"/>
      <c r="G4873" s="24"/>
      <c r="H4873" s="24"/>
      <c r="J4873" s="24"/>
      <c r="K4873" s="24"/>
      <c r="M4873" s="24"/>
      <c r="N4873" s="24"/>
      <c r="P4873" s="24"/>
    </row>
    <row r="4874" spans="2:16" x14ac:dyDescent="0.25">
      <c r="B4874" s="24"/>
      <c r="E4874" s="24"/>
      <c r="G4874" s="24"/>
      <c r="H4874" s="24"/>
      <c r="J4874" s="24"/>
      <c r="K4874" s="24"/>
      <c r="M4874" s="24"/>
      <c r="N4874" s="24"/>
      <c r="P4874" s="24"/>
    </row>
    <row r="4875" spans="2:16" x14ac:dyDescent="0.25">
      <c r="B4875" s="24"/>
      <c r="E4875" s="24"/>
      <c r="G4875" s="24"/>
      <c r="H4875" s="24"/>
      <c r="J4875" s="24"/>
      <c r="K4875" s="24"/>
      <c r="M4875" s="24"/>
      <c r="N4875" s="24"/>
      <c r="P4875" s="24"/>
    </row>
    <row r="4876" spans="2:16" x14ac:dyDescent="0.25">
      <c r="B4876" s="24"/>
      <c r="E4876" s="24"/>
      <c r="G4876" s="24"/>
      <c r="H4876" s="24"/>
      <c r="J4876" s="24"/>
      <c r="K4876" s="24"/>
      <c r="M4876" s="24"/>
      <c r="N4876" s="24"/>
      <c r="P4876" s="24"/>
    </row>
    <row r="4877" spans="2:16" x14ac:dyDescent="0.25">
      <c r="B4877" s="24"/>
      <c r="E4877" s="24"/>
      <c r="G4877" s="24"/>
      <c r="H4877" s="24"/>
      <c r="J4877" s="24"/>
      <c r="K4877" s="24"/>
      <c r="M4877" s="24"/>
      <c r="N4877" s="24"/>
      <c r="P4877" s="24"/>
    </row>
    <row r="4878" spans="2:16" x14ac:dyDescent="0.25">
      <c r="B4878" s="24"/>
      <c r="E4878" s="24"/>
      <c r="G4878" s="24"/>
      <c r="H4878" s="24"/>
      <c r="J4878" s="24"/>
      <c r="K4878" s="24"/>
      <c r="M4878" s="24"/>
      <c r="N4878" s="24"/>
      <c r="P4878" s="24"/>
    </row>
    <row r="4879" spans="2:16" x14ac:dyDescent="0.25">
      <c r="B4879" s="24"/>
      <c r="E4879" s="24"/>
      <c r="G4879" s="24"/>
      <c r="H4879" s="24"/>
      <c r="J4879" s="24"/>
      <c r="K4879" s="24"/>
      <c r="M4879" s="24"/>
      <c r="N4879" s="24"/>
      <c r="P4879" s="24"/>
    </row>
    <row r="4880" spans="2:16" x14ac:dyDescent="0.25">
      <c r="B4880" s="24"/>
      <c r="E4880" s="24"/>
      <c r="G4880" s="24"/>
      <c r="H4880" s="24"/>
      <c r="J4880" s="24"/>
      <c r="K4880" s="24"/>
      <c r="M4880" s="24"/>
      <c r="N4880" s="24"/>
      <c r="P4880" s="24"/>
    </row>
    <row r="4881" spans="2:16" x14ac:dyDescent="0.25">
      <c r="B4881" s="24"/>
      <c r="E4881" s="24"/>
      <c r="G4881" s="24"/>
      <c r="H4881" s="24"/>
      <c r="J4881" s="24"/>
      <c r="K4881" s="24"/>
      <c r="M4881" s="24"/>
      <c r="N4881" s="24"/>
      <c r="P4881" s="24"/>
    </row>
    <row r="4882" spans="2:16" x14ac:dyDescent="0.25">
      <c r="B4882" s="24"/>
      <c r="E4882" s="24"/>
      <c r="G4882" s="24"/>
      <c r="H4882" s="24"/>
      <c r="J4882" s="24"/>
      <c r="K4882" s="24"/>
      <c r="M4882" s="24"/>
      <c r="N4882" s="24"/>
      <c r="P4882" s="24"/>
    </row>
    <row r="4883" spans="2:16" x14ac:dyDescent="0.25">
      <c r="B4883" s="24"/>
      <c r="E4883" s="24"/>
      <c r="G4883" s="24"/>
      <c r="H4883" s="24"/>
      <c r="J4883" s="24"/>
      <c r="K4883" s="24"/>
      <c r="M4883" s="24"/>
      <c r="N4883" s="24"/>
      <c r="P4883" s="24"/>
    </row>
    <row r="4884" spans="2:16" x14ac:dyDescent="0.25">
      <c r="B4884" s="24"/>
      <c r="E4884" s="24"/>
      <c r="G4884" s="24"/>
      <c r="H4884" s="24"/>
      <c r="J4884" s="24"/>
      <c r="K4884" s="24"/>
      <c r="M4884" s="24"/>
      <c r="N4884" s="24"/>
      <c r="P4884" s="24"/>
    </row>
    <row r="4885" spans="2:16" x14ac:dyDescent="0.25">
      <c r="B4885" s="24"/>
      <c r="E4885" s="24"/>
      <c r="G4885" s="24"/>
      <c r="H4885" s="24"/>
      <c r="J4885" s="24"/>
      <c r="K4885" s="24"/>
      <c r="M4885" s="24"/>
      <c r="N4885" s="24"/>
      <c r="P4885" s="24"/>
    </row>
    <row r="4886" spans="2:16" x14ac:dyDescent="0.25">
      <c r="B4886" s="24"/>
      <c r="E4886" s="24"/>
      <c r="G4886" s="24"/>
      <c r="H4886" s="24"/>
      <c r="J4886" s="24"/>
      <c r="K4886" s="24"/>
      <c r="M4886" s="24"/>
      <c r="N4886" s="24"/>
      <c r="P4886" s="24"/>
    </row>
    <row r="4887" spans="2:16" x14ac:dyDescent="0.25">
      <c r="B4887" s="24"/>
      <c r="E4887" s="24"/>
      <c r="G4887" s="24"/>
      <c r="H4887" s="24"/>
      <c r="J4887" s="24"/>
      <c r="K4887" s="24"/>
      <c r="M4887" s="24"/>
      <c r="N4887" s="24"/>
      <c r="P4887" s="24"/>
    </row>
    <row r="4888" spans="2:16" x14ac:dyDescent="0.25">
      <c r="B4888" s="24"/>
      <c r="E4888" s="24"/>
      <c r="G4888" s="24"/>
      <c r="H4888" s="24"/>
      <c r="J4888" s="24"/>
      <c r="K4888" s="24"/>
      <c r="M4888" s="24"/>
      <c r="N4888" s="24"/>
      <c r="P4888" s="24"/>
    </row>
    <row r="4889" spans="2:16" x14ac:dyDescent="0.25">
      <c r="B4889" s="24"/>
      <c r="E4889" s="24"/>
      <c r="G4889" s="24"/>
      <c r="H4889" s="24"/>
      <c r="J4889" s="24"/>
      <c r="K4889" s="24"/>
      <c r="M4889" s="24"/>
      <c r="N4889" s="24"/>
      <c r="P4889" s="24"/>
    </row>
    <row r="4890" spans="2:16" x14ac:dyDescent="0.25">
      <c r="B4890" s="24"/>
      <c r="E4890" s="24"/>
      <c r="G4890" s="24"/>
      <c r="H4890" s="24"/>
      <c r="J4890" s="24"/>
      <c r="K4890" s="24"/>
      <c r="M4890" s="24"/>
      <c r="N4890" s="24"/>
      <c r="P4890" s="24"/>
    </row>
    <row r="4891" spans="2:16" x14ac:dyDescent="0.25">
      <c r="B4891" s="24"/>
      <c r="E4891" s="24"/>
      <c r="G4891" s="24"/>
      <c r="H4891" s="24"/>
      <c r="J4891" s="24"/>
      <c r="K4891" s="24"/>
      <c r="M4891" s="24"/>
      <c r="N4891" s="24"/>
      <c r="P4891" s="24"/>
    </row>
    <row r="4892" spans="2:16" x14ac:dyDescent="0.25">
      <c r="B4892" s="24"/>
      <c r="E4892" s="24"/>
      <c r="G4892" s="24"/>
      <c r="H4892" s="24"/>
      <c r="J4892" s="24"/>
      <c r="K4892" s="24"/>
      <c r="M4892" s="24"/>
      <c r="N4892" s="24"/>
      <c r="P4892" s="24"/>
    </row>
    <row r="4893" spans="2:16" x14ac:dyDescent="0.25">
      <c r="B4893" s="24"/>
      <c r="E4893" s="24"/>
      <c r="G4893" s="24"/>
      <c r="H4893" s="24"/>
      <c r="J4893" s="24"/>
      <c r="K4893" s="24"/>
      <c r="M4893" s="24"/>
      <c r="N4893" s="24"/>
      <c r="P4893" s="24"/>
    </row>
    <row r="4894" spans="2:16" x14ac:dyDescent="0.25">
      <c r="B4894" s="24"/>
      <c r="E4894" s="24"/>
      <c r="G4894" s="24"/>
      <c r="H4894" s="24"/>
      <c r="J4894" s="24"/>
      <c r="K4894" s="24"/>
      <c r="M4894" s="24"/>
      <c r="N4894" s="24"/>
      <c r="P4894" s="24"/>
    </row>
    <row r="4895" spans="2:16" x14ac:dyDescent="0.25">
      <c r="B4895" s="24"/>
      <c r="E4895" s="24"/>
      <c r="G4895" s="24"/>
      <c r="H4895" s="24"/>
      <c r="J4895" s="24"/>
      <c r="K4895" s="24"/>
      <c r="M4895" s="24"/>
      <c r="N4895" s="24"/>
      <c r="P4895" s="24"/>
    </row>
    <row r="4896" spans="2:16" x14ac:dyDescent="0.25">
      <c r="B4896" s="24"/>
      <c r="E4896" s="24"/>
      <c r="G4896" s="24"/>
      <c r="H4896" s="24"/>
      <c r="J4896" s="24"/>
      <c r="K4896" s="24"/>
      <c r="M4896" s="24"/>
      <c r="N4896" s="24"/>
      <c r="P4896" s="24"/>
    </row>
    <row r="4897" spans="2:16" x14ac:dyDescent="0.25">
      <c r="B4897" s="24"/>
      <c r="E4897" s="24"/>
      <c r="G4897" s="24"/>
      <c r="H4897" s="24"/>
      <c r="J4897" s="24"/>
      <c r="K4897" s="24"/>
      <c r="M4897" s="24"/>
      <c r="N4897" s="24"/>
      <c r="P4897" s="24"/>
    </row>
    <row r="4898" spans="2:16" x14ac:dyDescent="0.25">
      <c r="B4898" s="24"/>
      <c r="E4898" s="24"/>
      <c r="G4898" s="24"/>
      <c r="H4898" s="24"/>
      <c r="J4898" s="24"/>
      <c r="K4898" s="24"/>
      <c r="M4898" s="24"/>
      <c r="N4898" s="24"/>
      <c r="P4898" s="24"/>
    </row>
    <row r="4899" spans="2:16" x14ac:dyDescent="0.25">
      <c r="B4899" s="24"/>
      <c r="E4899" s="24"/>
      <c r="G4899" s="24"/>
      <c r="H4899" s="24"/>
      <c r="J4899" s="24"/>
      <c r="K4899" s="24"/>
      <c r="M4899" s="24"/>
      <c r="N4899" s="24"/>
      <c r="P4899" s="24"/>
    </row>
    <row r="4900" spans="2:16" x14ac:dyDescent="0.25">
      <c r="B4900" s="24"/>
      <c r="E4900" s="24"/>
      <c r="G4900" s="24"/>
      <c r="H4900" s="24"/>
      <c r="J4900" s="24"/>
      <c r="K4900" s="24"/>
      <c r="M4900" s="24"/>
      <c r="N4900" s="24"/>
      <c r="P4900" s="24"/>
    </row>
    <row r="4901" spans="2:16" x14ac:dyDescent="0.25">
      <c r="B4901" s="24"/>
      <c r="E4901" s="24"/>
      <c r="G4901" s="24"/>
      <c r="H4901" s="24"/>
      <c r="J4901" s="24"/>
      <c r="K4901" s="24"/>
      <c r="M4901" s="24"/>
      <c r="N4901" s="24"/>
      <c r="P4901" s="24"/>
    </row>
    <row r="4902" spans="2:16" x14ac:dyDescent="0.25">
      <c r="B4902" s="24"/>
      <c r="E4902" s="24"/>
      <c r="G4902" s="24"/>
      <c r="H4902" s="24"/>
      <c r="J4902" s="24"/>
      <c r="K4902" s="24"/>
      <c r="M4902" s="24"/>
      <c r="N4902" s="24"/>
      <c r="P4902" s="24"/>
    </row>
    <row r="4903" spans="2:16" x14ac:dyDescent="0.25">
      <c r="B4903" s="24"/>
      <c r="E4903" s="24"/>
      <c r="G4903" s="24"/>
      <c r="H4903" s="24"/>
      <c r="J4903" s="24"/>
      <c r="K4903" s="24"/>
      <c r="M4903" s="24"/>
      <c r="N4903" s="24"/>
      <c r="P4903" s="24"/>
    </row>
    <row r="4904" spans="2:16" x14ac:dyDescent="0.25">
      <c r="B4904" s="24"/>
      <c r="E4904" s="24"/>
      <c r="G4904" s="24"/>
      <c r="H4904" s="24"/>
      <c r="J4904" s="24"/>
      <c r="K4904" s="24"/>
      <c r="M4904" s="24"/>
      <c r="N4904" s="24"/>
      <c r="P4904" s="24"/>
    </row>
    <row r="4905" spans="2:16" x14ac:dyDescent="0.25">
      <c r="B4905" s="24"/>
      <c r="E4905" s="24"/>
      <c r="G4905" s="24"/>
      <c r="H4905" s="24"/>
      <c r="J4905" s="24"/>
      <c r="K4905" s="24"/>
      <c r="M4905" s="24"/>
      <c r="N4905" s="24"/>
      <c r="P4905" s="24"/>
    </row>
    <row r="4906" spans="2:16" x14ac:dyDescent="0.25">
      <c r="B4906" s="24"/>
      <c r="E4906" s="24"/>
      <c r="G4906" s="24"/>
      <c r="H4906" s="24"/>
      <c r="J4906" s="24"/>
      <c r="K4906" s="24"/>
      <c r="M4906" s="24"/>
      <c r="N4906" s="24"/>
      <c r="P4906" s="24"/>
    </row>
    <row r="4907" spans="2:16" x14ac:dyDescent="0.25">
      <c r="B4907" s="24"/>
      <c r="E4907" s="24"/>
      <c r="G4907" s="24"/>
      <c r="H4907" s="24"/>
      <c r="J4907" s="24"/>
      <c r="K4907" s="24"/>
      <c r="M4907" s="24"/>
      <c r="N4907" s="24"/>
      <c r="P4907" s="24"/>
    </row>
    <row r="4908" spans="2:16" x14ac:dyDescent="0.25">
      <c r="B4908" s="24"/>
      <c r="E4908" s="24"/>
      <c r="G4908" s="24"/>
      <c r="H4908" s="24"/>
      <c r="J4908" s="24"/>
      <c r="K4908" s="24"/>
      <c r="M4908" s="24"/>
      <c r="N4908" s="24"/>
      <c r="P4908" s="24"/>
    </row>
    <row r="4909" spans="2:16" x14ac:dyDescent="0.25">
      <c r="B4909" s="24"/>
      <c r="E4909" s="24"/>
      <c r="G4909" s="24"/>
      <c r="H4909" s="24"/>
      <c r="J4909" s="24"/>
      <c r="K4909" s="24"/>
      <c r="M4909" s="24"/>
      <c r="N4909" s="24"/>
      <c r="P4909" s="24"/>
    </row>
    <row r="4910" spans="2:16" x14ac:dyDescent="0.25">
      <c r="B4910" s="24"/>
      <c r="E4910" s="24"/>
      <c r="G4910" s="24"/>
      <c r="H4910" s="24"/>
      <c r="J4910" s="24"/>
      <c r="K4910" s="24"/>
      <c r="M4910" s="24"/>
      <c r="N4910" s="24"/>
      <c r="P4910" s="24"/>
    </row>
    <row r="4911" spans="2:16" x14ac:dyDescent="0.25">
      <c r="B4911" s="24"/>
      <c r="E4911" s="24"/>
      <c r="G4911" s="24"/>
      <c r="H4911" s="24"/>
      <c r="J4911" s="24"/>
      <c r="K4911" s="24"/>
      <c r="M4911" s="24"/>
      <c r="N4911" s="24"/>
      <c r="P4911" s="24"/>
    </row>
    <row r="4912" spans="2:16" x14ac:dyDescent="0.25">
      <c r="B4912" s="24"/>
      <c r="E4912" s="24"/>
      <c r="G4912" s="24"/>
      <c r="H4912" s="24"/>
      <c r="J4912" s="24"/>
      <c r="K4912" s="24"/>
      <c r="M4912" s="24"/>
      <c r="N4912" s="24"/>
      <c r="P4912" s="24"/>
    </row>
    <row r="4913" spans="2:16" x14ac:dyDescent="0.25">
      <c r="B4913" s="24"/>
      <c r="E4913" s="24"/>
      <c r="G4913" s="24"/>
      <c r="H4913" s="24"/>
      <c r="J4913" s="24"/>
      <c r="K4913" s="24"/>
      <c r="M4913" s="24"/>
      <c r="N4913" s="24"/>
      <c r="P4913" s="24"/>
    </row>
    <row r="4914" spans="2:16" x14ac:dyDescent="0.25">
      <c r="B4914" s="24"/>
      <c r="E4914" s="24"/>
      <c r="G4914" s="24"/>
      <c r="H4914" s="24"/>
      <c r="J4914" s="24"/>
      <c r="K4914" s="24"/>
      <c r="M4914" s="24"/>
      <c r="N4914" s="24"/>
      <c r="P4914" s="24"/>
    </row>
    <row r="4915" spans="2:16" x14ac:dyDescent="0.25">
      <c r="B4915" s="24"/>
      <c r="E4915" s="24"/>
      <c r="G4915" s="24"/>
      <c r="H4915" s="24"/>
      <c r="J4915" s="24"/>
      <c r="K4915" s="24"/>
      <c r="M4915" s="24"/>
      <c r="N4915" s="24"/>
      <c r="P4915" s="24"/>
    </row>
    <row r="4916" spans="2:16" x14ac:dyDescent="0.25">
      <c r="B4916" s="24"/>
      <c r="E4916" s="24"/>
      <c r="G4916" s="24"/>
      <c r="H4916" s="24"/>
      <c r="J4916" s="24"/>
      <c r="K4916" s="24"/>
      <c r="M4916" s="24"/>
      <c r="N4916" s="24"/>
      <c r="P4916" s="24"/>
    </row>
    <row r="4917" spans="2:16" x14ac:dyDescent="0.25">
      <c r="B4917" s="24"/>
      <c r="E4917" s="24"/>
      <c r="G4917" s="24"/>
      <c r="H4917" s="24"/>
      <c r="J4917" s="24"/>
      <c r="K4917" s="24"/>
      <c r="M4917" s="24"/>
      <c r="N4917" s="24"/>
      <c r="P4917" s="24"/>
    </row>
    <row r="4918" spans="2:16" x14ac:dyDescent="0.25">
      <c r="B4918" s="24"/>
      <c r="E4918" s="24"/>
      <c r="G4918" s="24"/>
      <c r="H4918" s="24"/>
      <c r="J4918" s="24"/>
      <c r="K4918" s="24"/>
      <c r="M4918" s="24"/>
      <c r="N4918" s="24"/>
      <c r="P4918" s="24"/>
    </row>
    <row r="4919" spans="2:16" x14ac:dyDescent="0.25">
      <c r="B4919" s="24"/>
      <c r="E4919" s="24"/>
      <c r="G4919" s="24"/>
      <c r="H4919" s="24"/>
      <c r="J4919" s="24"/>
      <c r="K4919" s="24"/>
      <c r="M4919" s="24"/>
      <c r="N4919" s="24"/>
      <c r="P4919" s="24"/>
    </row>
    <row r="4920" spans="2:16" x14ac:dyDescent="0.25">
      <c r="B4920" s="24"/>
      <c r="E4920" s="24"/>
      <c r="G4920" s="24"/>
      <c r="H4920" s="24"/>
      <c r="J4920" s="24"/>
      <c r="K4920" s="24"/>
      <c r="M4920" s="24"/>
      <c r="N4920" s="24"/>
      <c r="P4920" s="24"/>
    </row>
    <row r="4921" spans="2:16" x14ac:dyDescent="0.25">
      <c r="B4921" s="24"/>
      <c r="E4921" s="24"/>
      <c r="G4921" s="24"/>
      <c r="H4921" s="24"/>
      <c r="J4921" s="24"/>
      <c r="K4921" s="24"/>
      <c r="M4921" s="24"/>
      <c r="N4921" s="24"/>
      <c r="P4921" s="24"/>
    </row>
    <row r="4922" spans="2:16" x14ac:dyDescent="0.25">
      <c r="B4922" s="24"/>
      <c r="E4922" s="24"/>
      <c r="G4922" s="24"/>
      <c r="H4922" s="24"/>
      <c r="J4922" s="24"/>
      <c r="K4922" s="24"/>
      <c r="M4922" s="24"/>
      <c r="N4922" s="24"/>
      <c r="P4922" s="24"/>
    </row>
    <row r="4923" spans="2:16" x14ac:dyDescent="0.25">
      <c r="B4923" s="24"/>
      <c r="E4923" s="24"/>
      <c r="G4923" s="24"/>
      <c r="H4923" s="24"/>
      <c r="J4923" s="24"/>
      <c r="K4923" s="24"/>
      <c r="M4923" s="24"/>
      <c r="N4923" s="24"/>
      <c r="P4923" s="24"/>
    </row>
    <row r="4924" spans="2:16" x14ac:dyDescent="0.25">
      <c r="B4924" s="24"/>
      <c r="E4924" s="24"/>
      <c r="G4924" s="24"/>
      <c r="H4924" s="24"/>
      <c r="J4924" s="24"/>
      <c r="K4924" s="24"/>
      <c r="M4924" s="24"/>
      <c r="N4924" s="24"/>
      <c r="P4924" s="24"/>
    </row>
    <row r="4925" spans="2:16" x14ac:dyDescent="0.25">
      <c r="B4925" s="24"/>
      <c r="E4925" s="24"/>
      <c r="G4925" s="24"/>
      <c r="H4925" s="24"/>
      <c r="J4925" s="24"/>
      <c r="K4925" s="24"/>
      <c r="M4925" s="24"/>
      <c r="N4925" s="24"/>
      <c r="P4925" s="24"/>
    </row>
    <row r="4926" spans="2:16" x14ac:dyDescent="0.25">
      <c r="B4926" s="24"/>
      <c r="E4926" s="24"/>
      <c r="G4926" s="24"/>
      <c r="H4926" s="24"/>
      <c r="J4926" s="24"/>
      <c r="K4926" s="24"/>
      <c r="M4926" s="24"/>
      <c r="N4926" s="24"/>
      <c r="P4926" s="24"/>
    </row>
    <row r="4927" spans="2:16" x14ac:dyDescent="0.25">
      <c r="B4927" s="24"/>
      <c r="E4927" s="24"/>
      <c r="G4927" s="24"/>
      <c r="H4927" s="24"/>
      <c r="J4927" s="24"/>
      <c r="K4927" s="24"/>
      <c r="M4927" s="24"/>
      <c r="N4927" s="24"/>
      <c r="P4927" s="24"/>
    </row>
    <row r="4928" spans="2:16" x14ac:dyDescent="0.25">
      <c r="B4928" s="24"/>
      <c r="E4928" s="24"/>
      <c r="G4928" s="24"/>
      <c r="H4928" s="24"/>
      <c r="J4928" s="24"/>
      <c r="K4928" s="24"/>
      <c r="M4928" s="24"/>
      <c r="N4928" s="24"/>
      <c r="P4928" s="24"/>
    </row>
    <row r="4929" spans="2:16" x14ac:dyDescent="0.25">
      <c r="B4929" s="24"/>
      <c r="E4929" s="24"/>
      <c r="G4929" s="24"/>
      <c r="H4929" s="24"/>
      <c r="J4929" s="24"/>
      <c r="K4929" s="24"/>
      <c r="M4929" s="24"/>
      <c r="N4929" s="24"/>
      <c r="P4929" s="24"/>
    </row>
    <row r="4930" spans="2:16" x14ac:dyDescent="0.25">
      <c r="B4930" s="24"/>
      <c r="E4930" s="24"/>
      <c r="G4930" s="24"/>
      <c r="H4930" s="24"/>
      <c r="J4930" s="24"/>
      <c r="K4930" s="24"/>
      <c r="M4930" s="24"/>
      <c r="N4930" s="24"/>
      <c r="P4930" s="24"/>
    </row>
    <row r="4931" spans="2:16" x14ac:dyDescent="0.25">
      <c r="B4931" s="24"/>
      <c r="E4931" s="24"/>
      <c r="G4931" s="24"/>
      <c r="H4931" s="24"/>
      <c r="J4931" s="24"/>
      <c r="K4931" s="24"/>
      <c r="M4931" s="24"/>
      <c r="N4931" s="24"/>
      <c r="P4931" s="24"/>
    </row>
    <row r="4932" spans="2:16" x14ac:dyDescent="0.25">
      <c r="B4932" s="24"/>
      <c r="E4932" s="24"/>
      <c r="G4932" s="24"/>
      <c r="H4932" s="24"/>
      <c r="J4932" s="24"/>
      <c r="K4932" s="24"/>
      <c r="M4932" s="24"/>
      <c r="N4932" s="24"/>
      <c r="P4932" s="24"/>
    </row>
    <row r="4933" spans="2:16" x14ac:dyDescent="0.25">
      <c r="B4933" s="24"/>
      <c r="E4933" s="24"/>
      <c r="G4933" s="24"/>
      <c r="H4933" s="24"/>
      <c r="J4933" s="24"/>
      <c r="K4933" s="24"/>
      <c r="M4933" s="24"/>
      <c r="N4933" s="24"/>
      <c r="P4933" s="24"/>
    </row>
    <row r="4934" spans="2:16" x14ac:dyDescent="0.25">
      <c r="B4934" s="24"/>
      <c r="E4934" s="24"/>
      <c r="G4934" s="24"/>
      <c r="H4934" s="24"/>
      <c r="J4934" s="24"/>
      <c r="K4934" s="24"/>
      <c r="M4934" s="24"/>
      <c r="N4934" s="24"/>
      <c r="P4934" s="24"/>
    </row>
    <row r="4935" spans="2:16" x14ac:dyDescent="0.25">
      <c r="B4935" s="24"/>
      <c r="E4935" s="24"/>
      <c r="G4935" s="24"/>
      <c r="H4935" s="24"/>
      <c r="J4935" s="24"/>
      <c r="K4935" s="24"/>
      <c r="M4935" s="24"/>
      <c r="N4935" s="24"/>
      <c r="P4935" s="24"/>
    </row>
    <row r="4936" spans="2:16" x14ac:dyDescent="0.25">
      <c r="B4936" s="24"/>
      <c r="E4936" s="24"/>
      <c r="G4936" s="24"/>
      <c r="H4936" s="24"/>
      <c r="J4936" s="24"/>
      <c r="K4936" s="24"/>
      <c r="M4936" s="24"/>
      <c r="N4936" s="24"/>
      <c r="P4936" s="24"/>
    </row>
    <row r="4937" spans="2:16" x14ac:dyDescent="0.25">
      <c r="B4937" s="24"/>
      <c r="E4937" s="24"/>
      <c r="G4937" s="24"/>
      <c r="H4937" s="24"/>
      <c r="J4937" s="24"/>
      <c r="K4937" s="24"/>
      <c r="M4937" s="24"/>
      <c r="N4937" s="24"/>
      <c r="P4937" s="24"/>
    </row>
    <row r="4938" spans="2:16" x14ac:dyDescent="0.25">
      <c r="B4938" s="24"/>
      <c r="E4938" s="24"/>
      <c r="G4938" s="24"/>
      <c r="H4938" s="24"/>
      <c r="J4938" s="24"/>
      <c r="K4938" s="24"/>
      <c r="M4938" s="24"/>
      <c r="N4938" s="24"/>
      <c r="P4938" s="24"/>
    </row>
    <row r="4939" spans="2:16" x14ac:dyDescent="0.25">
      <c r="B4939" s="24"/>
      <c r="E4939" s="24"/>
      <c r="G4939" s="24"/>
      <c r="H4939" s="24"/>
      <c r="J4939" s="24"/>
      <c r="K4939" s="24"/>
      <c r="M4939" s="24"/>
      <c r="N4939" s="24"/>
      <c r="P4939" s="24"/>
    </row>
    <row r="4940" spans="2:16" x14ac:dyDescent="0.25">
      <c r="B4940" s="24"/>
      <c r="E4940" s="24"/>
      <c r="G4940" s="24"/>
      <c r="H4940" s="24"/>
      <c r="J4940" s="24"/>
      <c r="K4940" s="24"/>
      <c r="M4940" s="24"/>
      <c r="N4940" s="24"/>
      <c r="P4940" s="24"/>
    </row>
    <row r="4941" spans="2:16" x14ac:dyDescent="0.25">
      <c r="B4941" s="24"/>
      <c r="E4941" s="24"/>
      <c r="G4941" s="24"/>
      <c r="H4941" s="24"/>
      <c r="J4941" s="24"/>
      <c r="K4941" s="24"/>
      <c r="M4941" s="24"/>
      <c r="N4941" s="24"/>
      <c r="P4941" s="24"/>
    </row>
    <row r="4942" spans="2:16" x14ac:dyDescent="0.25">
      <c r="B4942" s="24"/>
      <c r="E4942" s="24"/>
      <c r="G4942" s="24"/>
      <c r="H4942" s="24"/>
      <c r="J4942" s="24"/>
      <c r="K4942" s="24"/>
      <c r="M4942" s="24"/>
      <c r="N4942" s="24"/>
      <c r="P4942" s="24"/>
    </row>
    <row r="4943" spans="2:16" x14ac:dyDescent="0.25">
      <c r="B4943" s="24"/>
      <c r="E4943" s="24"/>
      <c r="G4943" s="24"/>
      <c r="H4943" s="24"/>
      <c r="J4943" s="24"/>
      <c r="K4943" s="24"/>
      <c r="M4943" s="24"/>
      <c r="N4943" s="24"/>
      <c r="P4943" s="24"/>
    </row>
    <row r="4944" spans="2:16" x14ac:dyDescent="0.25">
      <c r="B4944" s="24"/>
      <c r="E4944" s="24"/>
      <c r="G4944" s="24"/>
      <c r="H4944" s="24"/>
      <c r="J4944" s="24"/>
      <c r="K4944" s="24"/>
      <c r="M4944" s="24"/>
      <c r="N4944" s="24"/>
      <c r="P4944" s="24"/>
    </row>
    <row r="4945" spans="2:16" x14ac:dyDescent="0.25">
      <c r="B4945" s="24"/>
      <c r="E4945" s="24"/>
      <c r="G4945" s="24"/>
      <c r="H4945" s="24"/>
      <c r="J4945" s="24"/>
      <c r="K4945" s="24"/>
      <c r="M4945" s="24"/>
      <c r="N4945" s="24"/>
      <c r="P4945" s="24"/>
    </row>
    <row r="4946" spans="2:16" x14ac:dyDescent="0.25">
      <c r="B4946" s="24"/>
      <c r="E4946" s="24"/>
      <c r="G4946" s="24"/>
      <c r="H4946" s="24"/>
      <c r="J4946" s="24"/>
      <c r="K4946" s="24"/>
      <c r="M4946" s="24"/>
      <c r="N4946" s="24"/>
      <c r="P4946" s="24"/>
    </row>
    <row r="4947" spans="2:16" x14ac:dyDescent="0.25">
      <c r="B4947" s="24"/>
      <c r="E4947" s="24"/>
      <c r="G4947" s="24"/>
      <c r="H4947" s="24"/>
      <c r="J4947" s="24"/>
      <c r="K4947" s="24"/>
      <c r="M4947" s="24"/>
      <c r="N4947" s="24"/>
      <c r="P4947" s="24"/>
    </row>
    <row r="4948" spans="2:16" x14ac:dyDescent="0.25">
      <c r="B4948" s="24"/>
      <c r="E4948" s="24"/>
      <c r="G4948" s="24"/>
      <c r="H4948" s="24"/>
      <c r="J4948" s="24"/>
      <c r="K4948" s="24"/>
      <c r="M4948" s="24"/>
      <c r="N4948" s="24"/>
      <c r="P4948" s="24"/>
    </row>
    <row r="4949" spans="2:16" x14ac:dyDescent="0.25">
      <c r="B4949" s="24"/>
      <c r="E4949" s="24"/>
      <c r="G4949" s="24"/>
      <c r="H4949" s="24"/>
      <c r="J4949" s="24"/>
      <c r="K4949" s="24"/>
      <c r="M4949" s="24"/>
      <c r="N4949" s="24"/>
      <c r="P4949" s="24"/>
    </row>
    <row r="4950" spans="2:16" x14ac:dyDescent="0.25">
      <c r="B4950" s="24"/>
      <c r="E4950" s="24"/>
      <c r="G4950" s="24"/>
      <c r="H4950" s="24"/>
      <c r="J4950" s="24"/>
      <c r="K4950" s="24"/>
      <c r="M4950" s="24"/>
      <c r="N4950" s="24"/>
      <c r="P4950" s="24"/>
    </row>
    <row r="4951" spans="2:16" x14ac:dyDescent="0.25">
      <c r="B4951" s="24"/>
      <c r="E4951" s="24"/>
      <c r="G4951" s="24"/>
      <c r="H4951" s="24"/>
      <c r="J4951" s="24"/>
      <c r="K4951" s="24"/>
      <c r="M4951" s="24"/>
      <c r="N4951" s="24"/>
      <c r="P4951" s="24"/>
    </row>
    <row r="4952" spans="2:16" x14ac:dyDescent="0.25">
      <c r="B4952" s="24"/>
      <c r="E4952" s="24"/>
      <c r="G4952" s="24"/>
      <c r="H4952" s="24"/>
      <c r="J4952" s="24"/>
      <c r="K4952" s="24"/>
      <c r="M4952" s="24"/>
      <c r="N4952" s="24"/>
      <c r="P4952" s="24"/>
    </row>
    <row r="4953" spans="2:16" x14ac:dyDescent="0.25">
      <c r="B4953" s="24"/>
      <c r="E4953" s="24"/>
      <c r="G4953" s="24"/>
      <c r="H4953" s="24"/>
      <c r="J4953" s="24"/>
      <c r="K4953" s="24"/>
      <c r="M4953" s="24"/>
      <c r="N4953" s="24"/>
      <c r="P4953" s="24"/>
    </row>
    <row r="4954" spans="2:16" x14ac:dyDescent="0.25">
      <c r="B4954" s="24"/>
      <c r="E4954" s="24"/>
      <c r="G4954" s="24"/>
      <c r="H4954" s="24"/>
      <c r="J4954" s="24"/>
      <c r="K4954" s="24"/>
      <c r="M4954" s="24"/>
      <c r="N4954" s="24"/>
      <c r="P4954" s="24"/>
    </row>
    <row r="4955" spans="2:16" x14ac:dyDescent="0.25">
      <c r="B4955" s="24"/>
      <c r="E4955" s="24"/>
      <c r="G4955" s="24"/>
      <c r="H4955" s="24"/>
      <c r="J4955" s="24"/>
      <c r="K4955" s="24"/>
      <c r="M4955" s="24"/>
      <c r="N4955" s="24"/>
      <c r="P4955" s="24"/>
    </row>
    <row r="4956" spans="2:16" x14ac:dyDescent="0.25">
      <c r="B4956" s="24"/>
      <c r="E4956" s="24"/>
      <c r="G4956" s="24"/>
      <c r="H4956" s="24"/>
      <c r="J4956" s="24"/>
      <c r="K4956" s="24"/>
      <c r="M4956" s="24"/>
      <c r="N4956" s="24"/>
      <c r="P4956" s="24"/>
    </row>
    <row r="4957" spans="2:16" x14ac:dyDescent="0.25">
      <c r="B4957" s="24"/>
      <c r="E4957" s="24"/>
      <c r="G4957" s="24"/>
      <c r="H4957" s="24"/>
      <c r="J4957" s="24"/>
      <c r="K4957" s="24"/>
      <c r="M4957" s="24"/>
      <c r="N4957" s="24"/>
      <c r="P4957" s="24"/>
    </row>
    <row r="4958" spans="2:16" x14ac:dyDescent="0.25">
      <c r="B4958" s="24"/>
      <c r="E4958" s="24"/>
      <c r="G4958" s="24"/>
      <c r="H4958" s="24"/>
      <c r="J4958" s="24"/>
      <c r="K4958" s="24"/>
      <c r="M4958" s="24"/>
      <c r="N4958" s="24"/>
      <c r="P4958" s="24"/>
    </row>
    <row r="4959" spans="2:16" x14ac:dyDescent="0.25">
      <c r="B4959" s="24"/>
      <c r="E4959" s="24"/>
      <c r="G4959" s="24"/>
      <c r="H4959" s="24"/>
      <c r="J4959" s="24"/>
      <c r="K4959" s="24"/>
      <c r="M4959" s="24"/>
      <c r="N4959" s="24"/>
      <c r="P4959" s="24"/>
    </row>
    <row r="4960" spans="2:16" x14ac:dyDescent="0.25">
      <c r="B4960" s="24"/>
      <c r="E4960" s="24"/>
      <c r="G4960" s="24"/>
      <c r="H4960" s="24"/>
      <c r="J4960" s="24"/>
      <c r="K4960" s="24"/>
      <c r="M4960" s="24"/>
      <c r="N4960" s="24"/>
      <c r="P4960" s="24"/>
    </row>
    <row r="4961" spans="2:16" x14ac:dyDescent="0.25">
      <c r="B4961" s="24"/>
      <c r="E4961" s="24"/>
      <c r="G4961" s="24"/>
      <c r="H4961" s="24"/>
      <c r="J4961" s="24"/>
      <c r="K4961" s="24"/>
      <c r="M4961" s="24"/>
      <c r="N4961" s="24"/>
      <c r="P4961" s="24"/>
    </row>
    <row r="4962" spans="2:16" x14ac:dyDescent="0.25">
      <c r="B4962" s="24"/>
      <c r="E4962" s="24"/>
      <c r="G4962" s="24"/>
      <c r="H4962" s="24"/>
      <c r="J4962" s="24"/>
      <c r="K4962" s="24"/>
      <c r="M4962" s="24"/>
      <c r="N4962" s="24"/>
      <c r="P4962" s="24"/>
    </row>
    <row r="4963" spans="2:16" x14ac:dyDescent="0.25">
      <c r="B4963" s="24"/>
      <c r="E4963" s="24"/>
      <c r="G4963" s="24"/>
      <c r="H4963" s="24"/>
      <c r="J4963" s="24"/>
      <c r="K4963" s="24"/>
      <c r="M4963" s="24"/>
      <c r="N4963" s="24"/>
      <c r="P4963" s="24"/>
    </row>
    <row r="4964" spans="2:16" x14ac:dyDescent="0.25">
      <c r="B4964" s="24"/>
      <c r="E4964" s="24"/>
      <c r="G4964" s="24"/>
      <c r="H4964" s="24"/>
      <c r="J4964" s="24"/>
      <c r="K4964" s="24"/>
      <c r="M4964" s="24"/>
      <c r="N4964" s="24"/>
      <c r="P4964" s="24"/>
    </row>
    <row r="4965" spans="2:16" x14ac:dyDescent="0.25">
      <c r="B4965" s="24"/>
      <c r="E4965" s="24"/>
      <c r="G4965" s="24"/>
      <c r="H4965" s="24"/>
      <c r="J4965" s="24"/>
      <c r="K4965" s="24"/>
      <c r="M4965" s="24"/>
      <c r="N4965" s="24"/>
      <c r="P4965" s="24"/>
    </row>
    <row r="4966" spans="2:16" x14ac:dyDescent="0.25">
      <c r="B4966" s="24"/>
      <c r="E4966" s="24"/>
      <c r="G4966" s="24"/>
      <c r="H4966" s="24"/>
      <c r="J4966" s="24"/>
      <c r="K4966" s="24"/>
      <c r="M4966" s="24"/>
      <c r="N4966" s="24"/>
      <c r="P4966" s="24"/>
    </row>
    <row r="4967" spans="2:16" x14ac:dyDescent="0.25">
      <c r="B4967" s="24"/>
      <c r="E4967" s="24"/>
      <c r="G4967" s="24"/>
      <c r="H4967" s="24"/>
      <c r="J4967" s="24"/>
      <c r="K4967" s="24"/>
      <c r="M4967" s="24"/>
      <c r="N4967" s="24"/>
      <c r="P4967" s="24"/>
    </row>
    <row r="4968" spans="2:16" x14ac:dyDescent="0.25">
      <c r="B4968" s="24"/>
      <c r="E4968" s="24"/>
      <c r="G4968" s="24"/>
      <c r="H4968" s="24"/>
      <c r="J4968" s="24"/>
      <c r="K4968" s="24"/>
      <c r="M4968" s="24"/>
      <c r="N4968" s="24"/>
      <c r="P4968" s="24"/>
    </row>
    <row r="4969" spans="2:16" x14ac:dyDescent="0.25">
      <c r="B4969" s="24"/>
      <c r="E4969" s="24"/>
      <c r="G4969" s="24"/>
      <c r="H4969" s="24"/>
      <c r="J4969" s="24"/>
      <c r="K4969" s="24"/>
      <c r="M4969" s="24"/>
      <c r="N4969" s="24"/>
      <c r="P4969" s="24"/>
    </row>
    <row r="4970" spans="2:16" x14ac:dyDescent="0.25">
      <c r="B4970" s="24"/>
      <c r="E4970" s="24"/>
      <c r="G4970" s="24"/>
      <c r="H4970" s="24"/>
      <c r="J4970" s="24"/>
      <c r="K4970" s="24"/>
      <c r="M4970" s="24"/>
      <c r="N4970" s="24"/>
      <c r="P4970" s="24"/>
    </row>
    <row r="4971" spans="2:16" x14ac:dyDescent="0.25">
      <c r="B4971" s="24"/>
      <c r="E4971" s="24"/>
      <c r="G4971" s="24"/>
      <c r="H4971" s="24"/>
      <c r="J4971" s="24"/>
      <c r="K4971" s="24"/>
      <c r="M4971" s="24"/>
      <c r="N4971" s="24"/>
      <c r="P4971" s="24"/>
    </row>
    <row r="4972" spans="2:16" x14ac:dyDescent="0.25">
      <c r="B4972" s="24"/>
      <c r="E4972" s="24"/>
      <c r="G4972" s="24"/>
      <c r="H4972" s="24"/>
      <c r="J4972" s="24"/>
      <c r="K4972" s="24"/>
      <c r="M4972" s="24"/>
      <c r="N4972" s="24"/>
      <c r="P4972" s="24"/>
    </row>
    <row r="4973" spans="2:16" x14ac:dyDescent="0.25">
      <c r="B4973" s="24"/>
      <c r="E4973" s="24"/>
      <c r="G4973" s="24"/>
      <c r="H4973" s="24"/>
      <c r="J4973" s="24"/>
      <c r="K4973" s="24"/>
      <c r="M4973" s="24"/>
      <c r="N4973" s="24"/>
      <c r="P4973" s="24"/>
    </row>
    <row r="4974" spans="2:16" x14ac:dyDescent="0.25">
      <c r="B4974" s="24"/>
      <c r="E4974" s="24"/>
      <c r="G4974" s="24"/>
      <c r="H4974" s="24"/>
      <c r="J4974" s="24"/>
      <c r="K4974" s="24"/>
      <c r="M4974" s="24"/>
      <c r="N4974" s="24"/>
      <c r="P4974" s="24"/>
    </row>
    <row r="4975" spans="2:16" x14ac:dyDescent="0.25">
      <c r="B4975" s="24"/>
      <c r="E4975" s="24"/>
      <c r="G4975" s="24"/>
      <c r="H4975" s="24"/>
      <c r="J4975" s="24"/>
      <c r="K4975" s="24"/>
      <c r="M4975" s="24"/>
      <c r="N4975" s="24"/>
      <c r="P4975" s="24"/>
    </row>
    <row r="4976" spans="2:16" x14ac:dyDescent="0.25">
      <c r="B4976" s="24"/>
      <c r="E4976" s="24"/>
      <c r="G4976" s="24"/>
      <c r="H4976" s="24"/>
      <c r="J4976" s="24"/>
      <c r="K4976" s="24"/>
      <c r="M4976" s="24"/>
      <c r="N4976" s="24"/>
      <c r="P4976" s="24"/>
    </row>
    <row r="4977" spans="2:16" x14ac:dyDescent="0.25">
      <c r="B4977" s="24"/>
      <c r="E4977" s="24"/>
      <c r="G4977" s="24"/>
      <c r="H4977" s="24"/>
      <c r="J4977" s="24"/>
      <c r="K4977" s="24"/>
      <c r="M4977" s="24"/>
      <c r="N4977" s="24"/>
      <c r="P4977" s="24"/>
    </row>
    <row r="4978" spans="2:16" x14ac:dyDescent="0.25">
      <c r="B4978" s="24"/>
      <c r="E4978" s="24"/>
      <c r="G4978" s="24"/>
      <c r="H4978" s="24"/>
      <c r="J4978" s="24"/>
      <c r="K4978" s="24"/>
      <c r="M4978" s="24"/>
      <c r="N4978" s="24"/>
      <c r="P4978" s="24"/>
    </row>
    <row r="4979" spans="2:16" x14ac:dyDescent="0.25">
      <c r="B4979" s="24"/>
      <c r="E4979" s="24"/>
      <c r="G4979" s="24"/>
      <c r="H4979" s="24"/>
      <c r="J4979" s="24"/>
      <c r="K4979" s="24"/>
      <c r="M4979" s="24"/>
      <c r="N4979" s="24"/>
      <c r="P4979" s="24"/>
    </row>
    <row r="4980" spans="2:16" x14ac:dyDescent="0.25">
      <c r="B4980" s="24"/>
      <c r="E4980" s="24"/>
      <c r="G4980" s="24"/>
      <c r="H4980" s="24"/>
      <c r="J4980" s="24"/>
      <c r="K4980" s="24"/>
      <c r="M4980" s="24"/>
      <c r="N4980" s="24"/>
      <c r="P4980" s="24"/>
    </row>
    <row r="4981" spans="2:16" x14ac:dyDescent="0.25">
      <c r="B4981" s="24"/>
      <c r="E4981" s="24"/>
      <c r="G4981" s="24"/>
      <c r="H4981" s="24"/>
      <c r="J4981" s="24"/>
      <c r="K4981" s="24"/>
      <c r="M4981" s="24"/>
      <c r="N4981" s="24"/>
      <c r="P4981" s="24"/>
    </row>
    <row r="4982" spans="2:16" x14ac:dyDescent="0.25">
      <c r="B4982" s="24"/>
      <c r="E4982" s="24"/>
      <c r="G4982" s="24"/>
      <c r="H4982" s="24"/>
      <c r="J4982" s="24"/>
      <c r="K4982" s="24"/>
      <c r="M4982" s="24"/>
      <c r="N4982" s="24"/>
      <c r="P4982" s="24"/>
    </row>
    <row r="4983" spans="2:16" x14ac:dyDescent="0.25">
      <c r="B4983" s="24"/>
      <c r="E4983" s="24"/>
      <c r="G4983" s="24"/>
      <c r="H4983" s="24"/>
      <c r="J4983" s="24"/>
      <c r="K4983" s="24"/>
      <c r="M4983" s="24"/>
      <c r="N4983" s="24"/>
      <c r="P4983" s="24"/>
    </row>
    <row r="4984" spans="2:16" x14ac:dyDescent="0.25">
      <c r="B4984" s="24"/>
      <c r="E4984" s="24"/>
      <c r="G4984" s="24"/>
      <c r="H4984" s="24"/>
      <c r="J4984" s="24"/>
      <c r="K4984" s="24"/>
      <c r="M4984" s="24"/>
      <c r="N4984" s="24"/>
      <c r="P4984" s="24"/>
    </row>
    <row r="4985" spans="2:16" x14ac:dyDescent="0.25">
      <c r="B4985" s="24"/>
      <c r="E4985" s="24"/>
      <c r="G4985" s="24"/>
      <c r="H4985" s="24"/>
      <c r="J4985" s="24"/>
      <c r="K4985" s="24"/>
      <c r="M4985" s="24"/>
      <c r="N4985" s="24"/>
      <c r="P4985" s="24"/>
    </row>
    <row r="4986" spans="2:16" x14ac:dyDescent="0.25">
      <c r="B4986" s="24"/>
      <c r="E4986" s="24"/>
      <c r="G4986" s="24"/>
      <c r="H4986" s="24"/>
      <c r="J4986" s="24"/>
      <c r="K4986" s="24"/>
      <c r="M4986" s="24"/>
      <c r="N4986" s="24"/>
      <c r="P4986" s="24"/>
    </row>
    <row r="4987" spans="2:16" x14ac:dyDescent="0.25">
      <c r="B4987" s="24"/>
      <c r="E4987" s="24"/>
      <c r="G4987" s="24"/>
      <c r="H4987" s="24"/>
      <c r="J4987" s="24"/>
      <c r="K4987" s="24"/>
      <c r="M4987" s="24"/>
      <c r="N4987" s="24"/>
      <c r="P4987" s="24"/>
    </row>
    <row r="4988" spans="2:16" x14ac:dyDescent="0.25">
      <c r="B4988" s="24"/>
      <c r="E4988" s="24"/>
      <c r="G4988" s="24"/>
      <c r="H4988" s="24"/>
      <c r="J4988" s="24"/>
      <c r="K4988" s="24"/>
      <c r="M4988" s="24"/>
      <c r="N4988" s="24"/>
      <c r="P4988" s="24"/>
    </row>
    <row r="4989" spans="2:16" x14ac:dyDescent="0.25">
      <c r="B4989" s="24"/>
      <c r="E4989" s="24"/>
      <c r="G4989" s="24"/>
      <c r="H4989" s="24"/>
      <c r="J4989" s="24"/>
      <c r="K4989" s="24"/>
      <c r="M4989" s="24"/>
      <c r="N4989" s="24"/>
      <c r="P4989" s="24"/>
    </row>
    <row r="4990" spans="2:16" x14ac:dyDescent="0.25">
      <c r="B4990" s="24"/>
      <c r="E4990" s="24"/>
      <c r="G4990" s="24"/>
      <c r="H4990" s="24"/>
      <c r="J4990" s="24"/>
      <c r="K4990" s="24"/>
      <c r="M4990" s="24"/>
      <c r="N4990" s="24"/>
      <c r="P4990" s="24"/>
    </row>
    <row r="4991" spans="2:16" x14ac:dyDescent="0.25">
      <c r="B4991" s="24"/>
      <c r="E4991" s="24"/>
      <c r="G4991" s="24"/>
      <c r="H4991" s="24"/>
      <c r="J4991" s="24"/>
      <c r="K4991" s="24"/>
      <c r="M4991" s="24"/>
      <c r="N4991" s="24"/>
      <c r="P4991" s="24"/>
    </row>
    <row r="4992" spans="2:16" x14ac:dyDescent="0.25">
      <c r="B4992" s="24"/>
      <c r="E4992" s="24"/>
      <c r="G4992" s="24"/>
      <c r="H4992" s="24"/>
      <c r="J4992" s="24"/>
      <c r="K4992" s="24"/>
      <c r="M4992" s="24"/>
      <c r="N4992" s="24"/>
      <c r="P4992" s="24"/>
    </row>
    <row r="4993" spans="2:16" x14ac:dyDescent="0.25">
      <c r="B4993" s="24"/>
      <c r="E4993" s="24"/>
      <c r="G4993" s="24"/>
      <c r="H4993" s="24"/>
      <c r="J4993" s="24"/>
      <c r="K4993" s="24"/>
      <c r="M4993" s="24"/>
      <c r="N4993" s="24"/>
      <c r="P4993" s="24"/>
    </row>
    <row r="4994" spans="2:16" x14ac:dyDescent="0.25">
      <c r="B4994" s="24"/>
      <c r="E4994" s="24"/>
      <c r="G4994" s="24"/>
      <c r="H4994" s="24"/>
      <c r="J4994" s="24"/>
      <c r="K4994" s="24"/>
      <c r="M4994" s="24"/>
      <c r="N4994" s="24"/>
      <c r="P4994" s="24"/>
    </row>
    <row r="4995" spans="2:16" x14ac:dyDescent="0.25">
      <c r="B4995" s="24"/>
      <c r="E4995" s="24"/>
      <c r="G4995" s="24"/>
      <c r="H4995" s="24"/>
      <c r="J4995" s="24"/>
      <c r="K4995" s="24"/>
      <c r="M4995" s="24"/>
      <c r="N4995" s="24"/>
      <c r="P4995" s="24"/>
    </row>
    <row r="4996" spans="2:16" x14ac:dyDescent="0.25">
      <c r="B4996" s="24"/>
      <c r="E4996" s="24"/>
      <c r="G4996" s="24"/>
      <c r="H4996" s="24"/>
      <c r="J4996" s="24"/>
      <c r="K4996" s="24"/>
      <c r="M4996" s="24"/>
      <c r="N4996" s="24"/>
      <c r="P4996" s="24"/>
    </row>
    <row r="4997" spans="2:16" x14ac:dyDescent="0.25">
      <c r="B4997" s="24"/>
      <c r="E4997" s="24"/>
      <c r="G4997" s="24"/>
      <c r="H4997" s="24"/>
      <c r="J4997" s="24"/>
      <c r="K4997" s="24"/>
      <c r="M4997" s="24"/>
      <c r="N4997" s="24"/>
      <c r="P4997" s="24"/>
    </row>
    <row r="4998" spans="2:16" x14ac:dyDescent="0.25">
      <c r="B4998" s="24"/>
      <c r="E4998" s="24"/>
      <c r="G4998" s="24"/>
      <c r="H4998" s="24"/>
      <c r="J4998" s="24"/>
      <c r="K4998" s="24"/>
      <c r="M4998" s="24"/>
      <c r="N4998" s="24"/>
      <c r="P4998" s="24"/>
    </row>
    <row r="4999" spans="2:16" x14ac:dyDescent="0.25">
      <c r="B4999" s="24"/>
      <c r="E4999" s="24"/>
      <c r="G4999" s="24"/>
      <c r="H4999" s="24"/>
      <c r="J4999" s="24"/>
      <c r="K4999" s="24"/>
      <c r="M4999" s="24"/>
      <c r="N4999" s="24"/>
      <c r="P4999" s="24"/>
    </row>
    <row r="5000" spans="2:16" x14ac:dyDescent="0.25">
      <c r="B5000" s="24"/>
      <c r="E5000" s="24"/>
      <c r="G5000" s="24"/>
      <c r="H5000" s="24"/>
      <c r="J5000" s="24"/>
      <c r="K5000" s="24"/>
      <c r="M5000" s="24"/>
      <c r="N5000" s="24"/>
      <c r="P5000" s="24"/>
    </row>
    <row r="5001" spans="2:16" x14ac:dyDescent="0.25">
      <c r="B5001" s="24"/>
      <c r="E5001" s="24"/>
      <c r="G5001" s="24"/>
      <c r="H5001" s="24"/>
      <c r="J5001" s="24"/>
      <c r="K5001" s="24"/>
      <c r="M5001" s="24"/>
      <c r="N5001" s="24"/>
      <c r="P5001" s="24"/>
    </row>
    <row r="5002" spans="2:16" x14ac:dyDescent="0.25">
      <c r="B5002" s="24"/>
      <c r="E5002" s="24"/>
      <c r="G5002" s="24"/>
      <c r="H5002" s="24"/>
      <c r="J5002" s="24"/>
      <c r="K5002" s="24"/>
      <c r="M5002" s="24"/>
      <c r="N5002" s="24"/>
      <c r="P5002" s="24"/>
    </row>
    <row r="5003" spans="2:16" x14ac:dyDescent="0.25">
      <c r="B5003" s="24"/>
      <c r="E5003" s="24"/>
      <c r="G5003" s="24"/>
      <c r="H5003" s="24"/>
      <c r="J5003" s="24"/>
      <c r="K5003" s="24"/>
      <c r="M5003" s="24"/>
      <c r="N5003" s="24"/>
      <c r="P5003" s="24"/>
    </row>
    <row r="5004" spans="2:16" x14ac:dyDescent="0.25">
      <c r="B5004" s="24"/>
      <c r="E5004" s="24"/>
      <c r="G5004" s="24"/>
      <c r="H5004" s="24"/>
      <c r="J5004" s="24"/>
      <c r="K5004" s="24"/>
      <c r="M5004" s="24"/>
      <c r="N5004" s="24"/>
      <c r="P5004" s="24"/>
    </row>
    <row r="5005" spans="2:16" x14ac:dyDescent="0.25">
      <c r="B5005" s="24"/>
      <c r="E5005" s="24"/>
      <c r="G5005" s="24"/>
      <c r="H5005" s="24"/>
      <c r="J5005" s="24"/>
      <c r="K5005" s="24"/>
      <c r="M5005" s="24"/>
      <c r="N5005" s="24"/>
      <c r="P5005" s="24"/>
    </row>
    <row r="5006" spans="2:16" x14ac:dyDescent="0.25">
      <c r="B5006" s="24"/>
      <c r="E5006" s="24"/>
      <c r="G5006" s="24"/>
      <c r="H5006" s="24"/>
      <c r="J5006" s="24"/>
      <c r="K5006" s="24"/>
      <c r="M5006" s="24"/>
      <c r="N5006" s="24"/>
      <c r="P5006" s="24"/>
    </row>
    <row r="5007" spans="2:16" x14ac:dyDescent="0.25">
      <c r="B5007" s="24"/>
      <c r="E5007" s="24"/>
      <c r="G5007" s="24"/>
      <c r="H5007" s="24"/>
      <c r="J5007" s="24"/>
      <c r="K5007" s="24"/>
      <c r="M5007" s="24"/>
      <c r="N5007" s="24"/>
      <c r="P5007" s="24"/>
    </row>
    <row r="5008" spans="2:16" x14ac:dyDescent="0.25">
      <c r="B5008" s="24"/>
      <c r="E5008" s="24"/>
      <c r="G5008" s="24"/>
      <c r="H5008" s="24"/>
      <c r="J5008" s="24"/>
      <c r="K5008" s="24"/>
      <c r="M5008" s="24"/>
      <c r="N5008" s="24"/>
      <c r="P5008" s="24"/>
    </row>
    <row r="5009" spans="2:16" x14ac:dyDescent="0.25">
      <c r="B5009" s="24"/>
      <c r="E5009" s="24"/>
      <c r="G5009" s="24"/>
      <c r="H5009" s="24"/>
      <c r="J5009" s="24"/>
      <c r="K5009" s="24"/>
      <c r="M5009" s="24"/>
      <c r="N5009" s="24"/>
      <c r="P5009" s="24"/>
    </row>
    <row r="5010" spans="2:16" x14ac:dyDescent="0.25">
      <c r="B5010" s="24"/>
      <c r="E5010" s="24"/>
      <c r="G5010" s="24"/>
      <c r="H5010" s="24"/>
      <c r="J5010" s="24"/>
      <c r="K5010" s="24"/>
      <c r="M5010" s="24"/>
      <c r="N5010" s="24"/>
      <c r="P5010" s="24"/>
    </row>
    <row r="5011" spans="2:16" x14ac:dyDescent="0.25">
      <c r="B5011" s="24"/>
      <c r="E5011" s="24"/>
      <c r="G5011" s="24"/>
      <c r="H5011" s="24"/>
      <c r="J5011" s="24"/>
      <c r="K5011" s="24"/>
      <c r="M5011" s="24"/>
      <c r="N5011" s="24"/>
      <c r="P5011" s="24"/>
    </row>
    <row r="5012" spans="2:16" x14ac:dyDescent="0.25">
      <c r="B5012" s="24"/>
      <c r="E5012" s="24"/>
      <c r="G5012" s="24"/>
      <c r="H5012" s="24"/>
      <c r="J5012" s="24"/>
      <c r="K5012" s="24"/>
      <c r="M5012" s="24"/>
      <c r="N5012" s="24"/>
      <c r="P5012" s="24"/>
    </row>
    <row r="5013" spans="2:16" x14ac:dyDescent="0.25">
      <c r="B5013" s="24"/>
      <c r="E5013" s="24"/>
      <c r="G5013" s="24"/>
      <c r="H5013" s="24"/>
      <c r="J5013" s="24"/>
      <c r="K5013" s="24"/>
      <c r="M5013" s="24"/>
      <c r="N5013" s="24"/>
      <c r="P5013" s="24"/>
    </row>
    <row r="5014" spans="2:16" x14ac:dyDescent="0.25">
      <c r="B5014" s="24"/>
      <c r="E5014" s="24"/>
      <c r="G5014" s="24"/>
      <c r="H5014" s="24"/>
      <c r="J5014" s="24"/>
      <c r="K5014" s="24"/>
      <c r="M5014" s="24"/>
      <c r="N5014" s="24"/>
      <c r="P5014" s="24"/>
    </row>
    <row r="5015" spans="2:16" x14ac:dyDescent="0.25">
      <c r="B5015" s="24"/>
      <c r="E5015" s="24"/>
      <c r="G5015" s="24"/>
      <c r="H5015" s="24"/>
      <c r="J5015" s="24"/>
      <c r="K5015" s="24"/>
      <c r="M5015" s="24"/>
      <c r="N5015" s="24"/>
      <c r="P5015" s="24"/>
    </row>
    <row r="5016" spans="2:16" x14ac:dyDescent="0.25">
      <c r="B5016" s="24"/>
      <c r="E5016" s="24"/>
      <c r="G5016" s="24"/>
      <c r="H5016" s="24"/>
      <c r="J5016" s="24"/>
      <c r="K5016" s="24"/>
      <c r="M5016" s="24"/>
      <c r="N5016" s="24"/>
      <c r="P5016" s="24"/>
    </row>
    <row r="5017" spans="2:16" x14ac:dyDescent="0.25">
      <c r="B5017" s="24"/>
      <c r="E5017" s="24"/>
      <c r="G5017" s="24"/>
      <c r="H5017" s="24"/>
      <c r="J5017" s="24"/>
      <c r="K5017" s="24"/>
      <c r="M5017" s="24"/>
      <c r="N5017" s="24"/>
      <c r="P5017" s="24"/>
    </row>
    <row r="5018" spans="2:16" x14ac:dyDescent="0.25">
      <c r="B5018" s="24"/>
      <c r="E5018" s="24"/>
      <c r="G5018" s="24"/>
      <c r="H5018" s="24"/>
      <c r="J5018" s="24"/>
      <c r="K5018" s="24"/>
      <c r="M5018" s="24"/>
      <c r="N5018" s="24"/>
      <c r="P5018" s="24"/>
    </row>
    <row r="5019" spans="2:16" x14ac:dyDescent="0.25">
      <c r="B5019" s="24"/>
      <c r="E5019" s="24"/>
      <c r="G5019" s="24"/>
      <c r="H5019" s="24"/>
      <c r="J5019" s="24"/>
      <c r="K5019" s="24"/>
      <c r="M5019" s="24"/>
      <c r="N5019" s="24"/>
      <c r="P5019" s="24"/>
    </row>
    <row r="5020" spans="2:16" x14ac:dyDescent="0.25">
      <c r="B5020" s="24"/>
      <c r="E5020" s="24"/>
      <c r="G5020" s="24"/>
      <c r="H5020" s="24"/>
      <c r="J5020" s="24"/>
      <c r="K5020" s="24"/>
      <c r="M5020" s="24"/>
      <c r="N5020" s="24"/>
      <c r="P5020" s="24"/>
    </row>
    <row r="5021" spans="2:16" x14ac:dyDescent="0.25">
      <c r="B5021" s="24"/>
      <c r="E5021" s="24"/>
      <c r="G5021" s="24"/>
      <c r="H5021" s="24"/>
      <c r="J5021" s="24"/>
      <c r="K5021" s="24"/>
      <c r="M5021" s="24"/>
      <c r="N5021" s="24"/>
      <c r="P5021" s="24"/>
    </row>
    <row r="5022" spans="2:16" x14ac:dyDescent="0.25">
      <c r="B5022" s="24"/>
      <c r="E5022" s="24"/>
      <c r="G5022" s="24"/>
      <c r="H5022" s="24"/>
      <c r="J5022" s="24"/>
      <c r="K5022" s="24"/>
      <c r="M5022" s="24"/>
      <c r="N5022" s="24"/>
      <c r="P5022" s="24"/>
    </row>
    <row r="5023" spans="2:16" x14ac:dyDescent="0.25">
      <c r="B5023" s="24"/>
      <c r="E5023" s="24"/>
      <c r="G5023" s="24"/>
      <c r="H5023" s="24"/>
      <c r="J5023" s="24"/>
      <c r="K5023" s="24"/>
      <c r="M5023" s="24"/>
      <c r="N5023" s="24"/>
      <c r="P5023" s="24"/>
    </row>
    <row r="5024" spans="2:16" x14ac:dyDescent="0.25">
      <c r="B5024" s="24"/>
      <c r="E5024" s="24"/>
      <c r="G5024" s="24"/>
      <c r="H5024" s="24"/>
      <c r="J5024" s="24"/>
      <c r="K5024" s="24"/>
      <c r="M5024" s="24"/>
      <c r="N5024" s="24"/>
      <c r="P5024" s="24"/>
    </row>
    <row r="5025" spans="2:16" x14ac:dyDescent="0.25">
      <c r="B5025" s="24"/>
      <c r="E5025" s="24"/>
      <c r="G5025" s="24"/>
      <c r="H5025" s="24"/>
      <c r="J5025" s="24"/>
      <c r="K5025" s="24"/>
      <c r="M5025" s="24"/>
      <c r="N5025" s="24"/>
      <c r="P5025" s="24"/>
    </row>
    <row r="5026" spans="2:16" x14ac:dyDescent="0.25">
      <c r="B5026" s="24"/>
      <c r="E5026" s="24"/>
      <c r="G5026" s="24"/>
      <c r="H5026" s="24"/>
      <c r="J5026" s="24"/>
      <c r="K5026" s="24"/>
      <c r="M5026" s="24"/>
      <c r="N5026" s="24"/>
      <c r="P5026" s="24"/>
    </row>
    <row r="5027" spans="2:16" x14ac:dyDescent="0.25">
      <c r="B5027" s="24"/>
      <c r="E5027" s="24"/>
      <c r="G5027" s="24"/>
      <c r="H5027" s="24"/>
      <c r="J5027" s="24"/>
      <c r="K5027" s="24"/>
      <c r="M5027" s="24"/>
      <c r="N5027" s="24"/>
      <c r="P5027" s="24"/>
    </row>
    <row r="5028" spans="2:16" x14ac:dyDescent="0.25">
      <c r="B5028" s="24"/>
      <c r="E5028" s="24"/>
      <c r="G5028" s="24"/>
      <c r="H5028" s="24"/>
      <c r="J5028" s="24"/>
      <c r="K5028" s="24"/>
      <c r="M5028" s="24"/>
      <c r="N5028" s="24"/>
      <c r="P5028" s="24"/>
    </row>
    <row r="5029" spans="2:16" x14ac:dyDescent="0.25">
      <c r="B5029" s="24"/>
      <c r="E5029" s="24"/>
      <c r="G5029" s="24"/>
      <c r="H5029" s="24"/>
      <c r="J5029" s="24"/>
      <c r="K5029" s="24"/>
      <c r="M5029" s="24"/>
      <c r="N5029" s="24"/>
      <c r="P5029" s="24"/>
    </row>
    <row r="5030" spans="2:16" x14ac:dyDescent="0.25">
      <c r="B5030" s="24"/>
      <c r="E5030" s="24"/>
      <c r="G5030" s="24"/>
      <c r="H5030" s="24"/>
      <c r="J5030" s="24"/>
      <c r="K5030" s="24"/>
      <c r="M5030" s="24"/>
      <c r="N5030" s="24"/>
      <c r="P5030" s="24"/>
    </row>
    <row r="5031" spans="2:16" x14ac:dyDescent="0.25">
      <c r="B5031" s="24"/>
      <c r="E5031" s="24"/>
      <c r="G5031" s="24"/>
      <c r="H5031" s="24"/>
      <c r="J5031" s="24"/>
      <c r="K5031" s="24"/>
      <c r="M5031" s="24"/>
      <c r="N5031" s="24"/>
      <c r="P5031" s="24"/>
    </row>
    <row r="5032" spans="2:16" x14ac:dyDescent="0.25">
      <c r="B5032" s="24"/>
      <c r="E5032" s="24"/>
      <c r="G5032" s="24"/>
      <c r="H5032" s="24"/>
      <c r="J5032" s="24"/>
      <c r="K5032" s="24"/>
      <c r="M5032" s="24"/>
      <c r="N5032" s="24"/>
      <c r="P5032" s="24"/>
    </row>
    <row r="5033" spans="2:16" x14ac:dyDescent="0.25">
      <c r="B5033" s="24"/>
      <c r="E5033" s="24"/>
      <c r="G5033" s="24"/>
      <c r="H5033" s="24"/>
      <c r="J5033" s="24"/>
      <c r="K5033" s="24"/>
      <c r="M5033" s="24"/>
      <c r="N5033" s="24"/>
      <c r="P5033" s="24"/>
    </row>
    <row r="5034" spans="2:16" x14ac:dyDescent="0.25">
      <c r="B5034" s="24"/>
      <c r="E5034" s="24"/>
      <c r="G5034" s="24"/>
      <c r="H5034" s="24"/>
      <c r="J5034" s="24"/>
      <c r="K5034" s="24"/>
      <c r="M5034" s="24"/>
      <c r="N5034" s="24"/>
      <c r="P5034" s="24"/>
    </row>
    <row r="5035" spans="2:16" x14ac:dyDescent="0.25">
      <c r="B5035" s="24"/>
      <c r="E5035" s="24"/>
      <c r="G5035" s="24"/>
      <c r="H5035" s="24"/>
      <c r="J5035" s="24"/>
      <c r="K5035" s="24"/>
      <c r="M5035" s="24"/>
      <c r="N5035" s="24"/>
      <c r="P5035" s="24"/>
    </row>
    <row r="5036" spans="2:16" x14ac:dyDescent="0.25">
      <c r="B5036" s="24"/>
      <c r="E5036" s="24"/>
      <c r="G5036" s="24"/>
      <c r="H5036" s="24"/>
      <c r="J5036" s="24"/>
      <c r="K5036" s="24"/>
      <c r="M5036" s="24"/>
      <c r="N5036" s="24"/>
      <c r="P5036" s="24"/>
    </row>
    <row r="5037" spans="2:16" x14ac:dyDescent="0.25">
      <c r="B5037" s="24"/>
      <c r="E5037" s="24"/>
      <c r="G5037" s="24"/>
      <c r="H5037" s="24"/>
      <c r="J5037" s="24"/>
      <c r="K5037" s="24"/>
      <c r="M5037" s="24"/>
      <c r="N5037" s="24"/>
      <c r="P5037" s="24"/>
    </row>
    <row r="5038" spans="2:16" x14ac:dyDescent="0.25">
      <c r="B5038" s="24"/>
      <c r="E5038" s="24"/>
      <c r="G5038" s="24"/>
      <c r="H5038" s="24"/>
      <c r="J5038" s="24"/>
      <c r="K5038" s="24"/>
      <c r="M5038" s="24"/>
      <c r="N5038" s="24"/>
      <c r="P5038" s="24"/>
    </row>
    <row r="5039" spans="2:16" x14ac:dyDescent="0.25">
      <c r="B5039" s="24"/>
      <c r="E5039" s="24"/>
      <c r="G5039" s="24"/>
      <c r="H5039" s="24"/>
      <c r="J5039" s="24"/>
      <c r="K5039" s="24"/>
      <c r="M5039" s="24"/>
      <c r="N5039" s="24"/>
      <c r="P5039" s="24"/>
    </row>
    <row r="5040" spans="2:16" x14ac:dyDescent="0.25">
      <c r="B5040" s="24"/>
      <c r="E5040" s="24"/>
      <c r="G5040" s="24"/>
      <c r="H5040" s="24"/>
      <c r="J5040" s="24"/>
      <c r="K5040" s="24"/>
      <c r="M5040" s="24"/>
      <c r="N5040" s="24"/>
      <c r="P5040" s="24"/>
    </row>
    <row r="5041" spans="2:16" x14ac:dyDescent="0.25">
      <c r="B5041" s="24"/>
      <c r="E5041" s="24"/>
      <c r="G5041" s="24"/>
      <c r="H5041" s="24"/>
      <c r="J5041" s="24"/>
      <c r="K5041" s="24"/>
      <c r="M5041" s="24"/>
      <c r="N5041" s="24"/>
      <c r="P5041" s="24"/>
    </row>
    <row r="5042" spans="2:16" x14ac:dyDescent="0.25">
      <c r="B5042" s="24"/>
      <c r="E5042" s="24"/>
      <c r="G5042" s="24"/>
      <c r="H5042" s="24"/>
      <c r="J5042" s="24"/>
      <c r="K5042" s="24"/>
      <c r="M5042" s="24"/>
      <c r="N5042" s="24"/>
      <c r="P5042" s="24"/>
    </row>
    <row r="5043" spans="2:16" x14ac:dyDescent="0.25">
      <c r="B5043" s="24"/>
      <c r="E5043" s="24"/>
      <c r="G5043" s="24"/>
      <c r="H5043" s="24"/>
      <c r="J5043" s="24"/>
      <c r="K5043" s="24"/>
      <c r="M5043" s="24"/>
      <c r="N5043" s="24"/>
      <c r="P5043" s="24"/>
    </row>
    <row r="5044" spans="2:16" x14ac:dyDescent="0.25">
      <c r="B5044" s="24"/>
      <c r="E5044" s="24"/>
      <c r="G5044" s="24"/>
      <c r="H5044" s="24"/>
      <c r="J5044" s="24"/>
      <c r="K5044" s="24"/>
      <c r="M5044" s="24"/>
      <c r="N5044" s="24"/>
      <c r="P5044" s="24"/>
    </row>
    <row r="5045" spans="2:16" x14ac:dyDescent="0.25">
      <c r="B5045" s="24"/>
      <c r="E5045" s="24"/>
      <c r="G5045" s="24"/>
      <c r="H5045" s="24"/>
      <c r="J5045" s="24"/>
      <c r="K5045" s="24"/>
      <c r="M5045" s="24"/>
      <c r="N5045" s="24"/>
      <c r="P5045" s="24"/>
    </row>
    <row r="5046" spans="2:16" x14ac:dyDescent="0.25">
      <c r="B5046" s="24"/>
      <c r="E5046" s="24"/>
      <c r="G5046" s="24"/>
      <c r="H5046" s="24"/>
      <c r="J5046" s="24"/>
      <c r="K5046" s="24"/>
      <c r="M5046" s="24"/>
      <c r="N5046" s="24"/>
      <c r="P5046" s="24"/>
    </row>
    <row r="5047" spans="2:16" x14ac:dyDescent="0.25">
      <c r="B5047" s="24"/>
      <c r="E5047" s="24"/>
      <c r="G5047" s="24"/>
      <c r="H5047" s="24"/>
      <c r="J5047" s="24"/>
      <c r="K5047" s="24"/>
      <c r="M5047" s="24"/>
      <c r="N5047" s="24"/>
      <c r="P5047" s="24"/>
    </row>
    <row r="5048" spans="2:16" x14ac:dyDescent="0.25">
      <c r="B5048" s="24"/>
      <c r="E5048" s="24"/>
      <c r="G5048" s="24"/>
      <c r="H5048" s="24"/>
      <c r="J5048" s="24"/>
      <c r="K5048" s="24"/>
      <c r="M5048" s="24"/>
      <c r="N5048" s="24"/>
      <c r="P5048" s="24"/>
    </row>
    <row r="5049" spans="2:16" x14ac:dyDescent="0.25">
      <c r="B5049" s="24"/>
      <c r="E5049" s="24"/>
      <c r="G5049" s="24"/>
      <c r="H5049" s="24"/>
      <c r="J5049" s="24"/>
      <c r="K5049" s="24"/>
      <c r="M5049" s="24"/>
      <c r="N5049" s="24"/>
      <c r="P5049" s="24"/>
    </row>
    <row r="5050" spans="2:16" x14ac:dyDescent="0.25">
      <c r="B5050" s="24"/>
      <c r="E5050" s="24"/>
      <c r="G5050" s="24"/>
      <c r="H5050" s="24"/>
      <c r="J5050" s="24"/>
      <c r="K5050" s="24"/>
      <c r="M5050" s="24"/>
      <c r="N5050" s="24"/>
      <c r="P5050" s="24"/>
    </row>
    <row r="5051" spans="2:16" x14ac:dyDescent="0.25">
      <c r="B5051" s="24"/>
      <c r="E5051" s="24"/>
      <c r="G5051" s="24"/>
      <c r="H5051" s="24"/>
      <c r="J5051" s="24"/>
      <c r="K5051" s="24"/>
      <c r="M5051" s="24"/>
      <c r="N5051" s="24"/>
      <c r="P5051" s="24"/>
    </row>
    <row r="5052" spans="2:16" x14ac:dyDescent="0.25">
      <c r="B5052" s="24"/>
      <c r="E5052" s="24"/>
      <c r="G5052" s="24"/>
      <c r="H5052" s="24"/>
      <c r="J5052" s="24"/>
      <c r="K5052" s="24"/>
      <c r="M5052" s="24"/>
      <c r="N5052" s="24"/>
      <c r="P5052" s="24"/>
    </row>
    <row r="5053" spans="2:16" x14ac:dyDescent="0.25">
      <c r="B5053" s="24"/>
      <c r="E5053" s="24"/>
      <c r="G5053" s="24"/>
      <c r="H5053" s="24"/>
      <c r="J5053" s="24"/>
      <c r="K5053" s="24"/>
      <c r="M5053" s="24"/>
      <c r="N5053" s="24"/>
      <c r="P5053" s="24"/>
    </row>
    <row r="5054" spans="2:16" x14ac:dyDescent="0.25">
      <c r="B5054" s="24"/>
      <c r="E5054" s="24"/>
      <c r="G5054" s="24"/>
      <c r="H5054" s="24"/>
      <c r="J5054" s="24"/>
      <c r="K5054" s="24"/>
      <c r="M5054" s="24"/>
      <c r="N5054" s="24"/>
      <c r="P5054" s="24"/>
    </row>
    <row r="5055" spans="2:16" x14ac:dyDescent="0.25">
      <c r="B5055" s="24"/>
      <c r="E5055" s="24"/>
      <c r="G5055" s="24"/>
      <c r="H5055" s="24"/>
      <c r="J5055" s="24"/>
      <c r="K5055" s="24"/>
      <c r="M5055" s="24"/>
      <c r="N5055" s="24"/>
      <c r="P5055" s="24"/>
    </row>
    <row r="5056" spans="2:16" x14ac:dyDescent="0.25">
      <c r="B5056" s="24"/>
      <c r="E5056" s="24"/>
      <c r="G5056" s="24"/>
      <c r="H5056" s="24"/>
      <c r="J5056" s="24"/>
      <c r="K5056" s="24"/>
      <c r="M5056" s="24"/>
      <c r="N5056" s="24"/>
      <c r="P5056" s="24"/>
    </row>
    <row r="5057" spans="2:16" x14ac:dyDescent="0.25">
      <c r="B5057" s="24"/>
      <c r="E5057" s="24"/>
      <c r="G5057" s="24"/>
      <c r="H5057" s="24"/>
      <c r="J5057" s="24"/>
      <c r="K5057" s="24"/>
      <c r="M5057" s="24"/>
      <c r="N5057" s="24"/>
      <c r="P5057" s="24"/>
    </row>
    <row r="5058" spans="2:16" x14ac:dyDescent="0.25">
      <c r="B5058" s="24"/>
      <c r="E5058" s="24"/>
      <c r="G5058" s="24"/>
      <c r="H5058" s="24"/>
      <c r="J5058" s="24"/>
      <c r="K5058" s="24"/>
      <c r="M5058" s="24"/>
      <c r="N5058" s="24"/>
      <c r="P5058" s="24"/>
    </row>
    <row r="5059" spans="2:16" x14ac:dyDescent="0.25">
      <c r="B5059" s="24"/>
      <c r="E5059" s="24"/>
      <c r="G5059" s="24"/>
      <c r="H5059" s="24"/>
      <c r="J5059" s="24"/>
      <c r="K5059" s="24"/>
      <c r="M5059" s="24"/>
      <c r="N5059" s="24"/>
      <c r="P5059" s="24"/>
    </row>
    <row r="5060" spans="2:16" x14ac:dyDescent="0.25">
      <c r="B5060" s="24"/>
      <c r="E5060" s="24"/>
      <c r="G5060" s="24"/>
      <c r="H5060" s="24"/>
      <c r="J5060" s="24"/>
      <c r="K5060" s="24"/>
      <c r="M5060" s="24"/>
      <c r="N5060" s="24"/>
      <c r="P5060" s="24"/>
    </row>
    <row r="5061" spans="2:16" x14ac:dyDescent="0.25">
      <c r="B5061" s="24"/>
      <c r="E5061" s="24"/>
      <c r="G5061" s="24"/>
      <c r="H5061" s="24"/>
      <c r="J5061" s="24"/>
      <c r="K5061" s="24"/>
      <c r="M5061" s="24"/>
      <c r="N5061" s="24"/>
      <c r="P5061" s="24"/>
    </row>
    <row r="5062" spans="2:16" x14ac:dyDescent="0.25">
      <c r="B5062" s="24"/>
      <c r="E5062" s="24"/>
      <c r="G5062" s="24"/>
      <c r="H5062" s="24"/>
      <c r="J5062" s="24"/>
      <c r="K5062" s="24"/>
      <c r="M5062" s="24"/>
      <c r="N5062" s="24"/>
      <c r="P5062" s="24"/>
    </row>
    <row r="5063" spans="2:16" x14ac:dyDescent="0.25">
      <c r="B5063" s="24"/>
      <c r="E5063" s="24"/>
      <c r="G5063" s="24"/>
      <c r="H5063" s="24"/>
      <c r="J5063" s="24"/>
      <c r="K5063" s="24"/>
      <c r="M5063" s="24"/>
      <c r="N5063" s="24"/>
      <c r="P5063" s="24"/>
    </row>
    <row r="5064" spans="2:16" x14ac:dyDescent="0.25">
      <c r="B5064" s="24"/>
      <c r="E5064" s="24"/>
      <c r="G5064" s="24"/>
      <c r="H5064" s="24"/>
      <c r="J5064" s="24"/>
      <c r="K5064" s="24"/>
      <c r="M5064" s="24"/>
      <c r="N5064" s="24"/>
      <c r="P5064" s="24"/>
    </row>
    <row r="5065" spans="2:16" x14ac:dyDescent="0.25">
      <c r="B5065" s="24"/>
      <c r="E5065" s="24"/>
      <c r="G5065" s="24"/>
      <c r="H5065" s="24"/>
      <c r="J5065" s="24"/>
      <c r="K5065" s="24"/>
      <c r="M5065" s="24"/>
      <c r="N5065" s="24"/>
      <c r="P5065" s="24"/>
    </row>
    <row r="5066" spans="2:16" x14ac:dyDescent="0.25">
      <c r="B5066" s="24"/>
      <c r="E5066" s="24"/>
      <c r="G5066" s="24"/>
      <c r="H5066" s="24"/>
      <c r="J5066" s="24"/>
      <c r="K5066" s="24"/>
      <c r="M5066" s="24"/>
      <c r="N5066" s="24"/>
      <c r="P5066" s="24"/>
    </row>
    <row r="5067" spans="2:16" x14ac:dyDescent="0.25">
      <c r="B5067" s="24"/>
      <c r="E5067" s="24"/>
      <c r="G5067" s="24"/>
      <c r="H5067" s="24"/>
      <c r="J5067" s="24"/>
      <c r="K5067" s="24"/>
      <c r="M5067" s="24"/>
      <c r="N5067" s="24"/>
      <c r="P5067" s="24"/>
    </row>
    <row r="5068" spans="2:16" x14ac:dyDescent="0.25">
      <c r="B5068" s="24"/>
      <c r="E5068" s="24"/>
      <c r="G5068" s="24"/>
      <c r="H5068" s="24"/>
      <c r="J5068" s="24"/>
      <c r="K5068" s="24"/>
      <c r="M5068" s="24"/>
      <c r="N5068" s="24"/>
      <c r="P5068" s="24"/>
    </row>
    <row r="5069" spans="2:16" x14ac:dyDescent="0.25">
      <c r="B5069" s="24"/>
      <c r="E5069" s="24"/>
      <c r="G5069" s="24"/>
      <c r="H5069" s="24"/>
      <c r="J5069" s="24"/>
      <c r="K5069" s="24"/>
      <c r="M5069" s="24"/>
      <c r="N5069" s="24"/>
      <c r="P5069" s="24"/>
    </row>
    <row r="5070" spans="2:16" x14ac:dyDescent="0.25">
      <c r="B5070" s="24"/>
      <c r="E5070" s="24"/>
      <c r="G5070" s="24"/>
      <c r="H5070" s="24"/>
      <c r="J5070" s="24"/>
      <c r="K5070" s="24"/>
      <c r="M5070" s="24"/>
      <c r="N5070" s="24"/>
      <c r="P5070" s="24"/>
    </row>
    <row r="5071" spans="2:16" x14ac:dyDescent="0.25">
      <c r="B5071" s="24"/>
      <c r="E5071" s="24"/>
      <c r="G5071" s="24"/>
      <c r="H5071" s="24"/>
      <c r="J5071" s="24"/>
      <c r="K5071" s="24"/>
      <c r="M5071" s="24"/>
      <c r="N5071" s="24"/>
      <c r="P5071" s="24"/>
    </row>
    <row r="5072" spans="2:16" x14ac:dyDescent="0.25">
      <c r="B5072" s="24"/>
      <c r="E5072" s="24"/>
      <c r="G5072" s="24"/>
      <c r="H5072" s="24"/>
      <c r="J5072" s="24"/>
      <c r="K5072" s="24"/>
      <c r="M5072" s="24"/>
      <c r="N5072" s="24"/>
      <c r="P5072" s="24"/>
    </row>
    <row r="5073" spans="2:16" x14ac:dyDescent="0.25">
      <c r="B5073" s="24"/>
      <c r="E5073" s="24"/>
      <c r="G5073" s="24"/>
      <c r="H5073" s="24"/>
      <c r="J5073" s="24"/>
      <c r="K5073" s="24"/>
      <c r="M5073" s="24"/>
      <c r="N5073" s="24"/>
      <c r="P5073" s="24"/>
    </row>
    <row r="5074" spans="2:16" x14ac:dyDescent="0.25">
      <c r="B5074" s="24"/>
      <c r="E5074" s="24"/>
      <c r="G5074" s="24"/>
      <c r="H5074" s="24"/>
      <c r="J5074" s="24"/>
      <c r="K5074" s="24"/>
      <c r="M5074" s="24"/>
      <c r="N5074" s="24"/>
      <c r="P5074" s="24"/>
    </row>
    <row r="5075" spans="2:16" x14ac:dyDescent="0.25">
      <c r="B5075" s="24"/>
      <c r="E5075" s="24"/>
      <c r="G5075" s="24"/>
      <c r="H5075" s="24"/>
      <c r="J5075" s="24"/>
      <c r="K5075" s="24"/>
      <c r="M5075" s="24"/>
      <c r="N5075" s="24"/>
      <c r="P5075" s="24"/>
    </row>
    <row r="5076" spans="2:16" x14ac:dyDescent="0.25">
      <c r="B5076" s="24"/>
      <c r="E5076" s="24"/>
      <c r="G5076" s="24"/>
      <c r="H5076" s="24"/>
      <c r="J5076" s="24"/>
      <c r="K5076" s="24"/>
      <c r="M5076" s="24"/>
      <c r="N5076" s="24"/>
      <c r="P5076" s="24"/>
    </row>
    <row r="5077" spans="2:16" x14ac:dyDescent="0.25">
      <c r="B5077" s="24"/>
      <c r="E5077" s="24"/>
      <c r="G5077" s="24"/>
      <c r="H5077" s="24"/>
      <c r="J5077" s="24"/>
      <c r="K5077" s="24"/>
      <c r="M5077" s="24"/>
      <c r="N5077" s="24"/>
      <c r="P5077" s="24"/>
    </row>
    <row r="5078" spans="2:16" x14ac:dyDescent="0.25">
      <c r="B5078" s="24"/>
      <c r="E5078" s="24"/>
      <c r="G5078" s="24"/>
      <c r="H5078" s="24"/>
      <c r="J5078" s="24"/>
      <c r="K5078" s="24"/>
      <c r="M5078" s="24"/>
      <c r="N5078" s="24"/>
      <c r="P5078" s="24"/>
    </row>
    <row r="5079" spans="2:16" x14ac:dyDescent="0.25">
      <c r="B5079" s="24"/>
      <c r="E5079" s="24"/>
      <c r="G5079" s="24"/>
      <c r="H5079" s="24"/>
      <c r="J5079" s="24"/>
      <c r="K5079" s="24"/>
      <c r="M5079" s="24"/>
      <c r="N5079" s="24"/>
      <c r="P5079" s="24"/>
    </row>
    <row r="5080" spans="2:16" x14ac:dyDescent="0.25">
      <c r="B5080" s="24"/>
      <c r="E5080" s="24"/>
      <c r="G5080" s="24"/>
      <c r="H5080" s="24"/>
      <c r="J5080" s="24"/>
      <c r="K5080" s="24"/>
      <c r="M5080" s="24"/>
      <c r="N5080" s="24"/>
      <c r="P5080" s="24"/>
    </row>
    <row r="5081" spans="2:16" x14ac:dyDescent="0.25">
      <c r="B5081" s="24"/>
      <c r="E5081" s="24"/>
      <c r="G5081" s="24"/>
      <c r="H5081" s="24"/>
      <c r="J5081" s="24"/>
      <c r="K5081" s="24"/>
      <c r="M5081" s="24"/>
      <c r="N5081" s="24"/>
      <c r="P5081" s="24"/>
    </row>
    <row r="5082" spans="2:16" x14ac:dyDescent="0.25">
      <c r="B5082" s="24"/>
      <c r="E5082" s="24"/>
      <c r="G5082" s="24"/>
      <c r="H5082" s="24"/>
      <c r="J5082" s="24"/>
      <c r="K5082" s="24"/>
      <c r="M5082" s="24"/>
      <c r="N5082" s="24"/>
      <c r="P5082" s="24"/>
    </row>
    <row r="5083" spans="2:16" x14ac:dyDescent="0.25">
      <c r="B5083" s="24"/>
      <c r="E5083" s="24"/>
      <c r="G5083" s="24"/>
      <c r="H5083" s="24"/>
      <c r="J5083" s="24"/>
      <c r="K5083" s="24"/>
      <c r="M5083" s="24"/>
      <c r="N5083" s="24"/>
      <c r="P5083" s="24"/>
    </row>
    <row r="5084" spans="2:16" x14ac:dyDescent="0.25">
      <c r="B5084" s="24"/>
      <c r="E5084" s="24"/>
      <c r="G5084" s="24"/>
      <c r="H5084" s="24"/>
      <c r="J5084" s="24"/>
      <c r="K5084" s="24"/>
      <c r="M5084" s="24"/>
      <c r="N5084" s="24"/>
      <c r="P5084" s="24"/>
    </row>
    <row r="5085" spans="2:16" x14ac:dyDescent="0.25">
      <c r="B5085" s="24"/>
      <c r="E5085" s="24"/>
      <c r="G5085" s="24"/>
      <c r="H5085" s="24"/>
      <c r="J5085" s="24"/>
      <c r="K5085" s="24"/>
      <c r="M5085" s="24"/>
      <c r="N5085" s="24"/>
      <c r="P5085" s="24"/>
    </row>
    <row r="5086" spans="2:16" x14ac:dyDescent="0.25">
      <c r="B5086" s="24"/>
      <c r="E5086" s="24"/>
      <c r="G5086" s="24"/>
      <c r="H5086" s="24"/>
      <c r="J5086" s="24"/>
      <c r="K5086" s="24"/>
      <c r="M5086" s="24"/>
      <c r="N5086" s="24"/>
      <c r="P5086" s="24"/>
    </row>
    <row r="5087" spans="2:16" x14ac:dyDescent="0.25">
      <c r="B5087" s="24"/>
      <c r="E5087" s="24"/>
      <c r="G5087" s="24"/>
      <c r="H5087" s="24"/>
      <c r="J5087" s="24"/>
      <c r="K5087" s="24"/>
      <c r="M5087" s="24"/>
      <c r="N5087" s="24"/>
      <c r="P5087" s="24"/>
    </row>
    <row r="5088" spans="2:16" x14ac:dyDescent="0.25">
      <c r="B5088" s="24"/>
      <c r="E5088" s="24"/>
      <c r="G5088" s="24"/>
      <c r="H5088" s="24"/>
      <c r="J5088" s="24"/>
      <c r="K5088" s="24"/>
      <c r="M5088" s="24"/>
      <c r="N5088" s="24"/>
      <c r="P5088" s="24"/>
    </row>
    <row r="5089" spans="2:16" x14ac:dyDescent="0.25">
      <c r="B5089" s="24"/>
      <c r="E5089" s="24"/>
      <c r="G5089" s="24"/>
      <c r="H5089" s="24"/>
      <c r="J5089" s="24"/>
      <c r="K5089" s="24"/>
      <c r="M5089" s="24"/>
      <c r="N5089" s="24"/>
      <c r="P5089" s="24"/>
    </row>
    <row r="5090" spans="2:16" x14ac:dyDescent="0.25">
      <c r="B5090" s="24"/>
      <c r="E5090" s="24"/>
      <c r="G5090" s="24"/>
      <c r="H5090" s="24"/>
      <c r="J5090" s="24"/>
      <c r="K5090" s="24"/>
      <c r="M5090" s="24"/>
      <c r="N5090" s="24"/>
      <c r="P5090" s="24"/>
    </row>
    <row r="5091" spans="2:16" x14ac:dyDescent="0.25">
      <c r="B5091" s="24"/>
      <c r="E5091" s="24"/>
      <c r="G5091" s="24"/>
      <c r="H5091" s="24"/>
      <c r="J5091" s="24"/>
      <c r="K5091" s="24"/>
      <c r="M5091" s="24"/>
      <c r="N5091" s="24"/>
      <c r="P5091" s="24"/>
    </row>
    <row r="5092" spans="2:16" x14ac:dyDescent="0.25">
      <c r="B5092" s="24"/>
      <c r="E5092" s="24"/>
      <c r="G5092" s="24"/>
      <c r="H5092" s="24"/>
      <c r="J5092" s="24"/>
      <c r="K5092" s="24"/>
      <c r="M5092" s="24"/>
      <c r="N5092" s="24"/>
      <c r="P5092" s="24"/>
    </row>
    <row r="5093" spans="2:16" x14ac:dyDescent="0.25">
      <c r="B5093" s="24"/>
      <c r="E5093" s="24"/>
      <c r="G5093" s="24"/>
      <c r="H5093" s="24"/>
      <c r="J5093" s="24"/>
      <c r="K5093" s="24"/>
      <c r="M5093" s="24"/>
      <c r="N5093" s="24"/>
      <c r="P5093" s="24"/>
    </row>
    <row r="5094" spans="2:16" x14ac:dyDescent="0.25">
      <c r="B5094" s="24"/>
      <c r="E5094" s="24"/>
      <c r="G5094" s="24"/>
      <c r="H5094" s="24"/>
      <c r="J5094" s="24"/>
      <c r="K5094" s="24"/>
      <c r="M5094" s="24"/>
      <c r="N5094" s="24"/>
      <c r="P5094" s="24"/>
    </row>
    <row r="5095" spans="2:16" x14ac:dyDescent="0.25">
      <c r="B5095" s="24"/>
      <c r="E5095" s="24"/>
      <c r="G5095" s="24"/>
      <c r="H5095" s="24"/>
      <c r="J5095" s="24"/>
      <c r="K5095" s="24"/>
      <c r="M5095" s="24"/>
      <c r="N5095" s="24"/>
      <c r="P5095" s="24"/>
    </row>
    <row r="5096" spans="2:16" x14ac:dyDescent="0.25">
      <c r="B5096" s="24"/>
      <c r="E5096" s="24"/>
      <c r="G5096" s="24"/>
      <c r="H5096" s="24"/>
      <c r="J5096" s="24"/>
      <c r="K5096" s="24"/>
      <c r="M5096" s="24"/>
      <c r="N5096" s="24"/>
      <c r="P5096" s="24"/>
    </row>
    <row r="5097" spans="2:16" x14ac:dyDescent="0.25">
      <c r="B5097" s="24"/>
      <c r="E5097" s="24"/>
      <c r="G5097" s="24"/>
      <c r="H5097" s="24"/>
      <c r="J5097" s="24"/>
      <c r="K5097" s="24"/>
      <c r="M5097" s="24"/>
      <c r="N5097" s="24"/>
      <c r="P5097" s="24"/>
    </row>
    <row r="5098" spans="2:16" x14ac:dyDescent="0.25">
      <c r="B5098" s="24"/>
      <c r="E5098" s="24"/>
      <c r="G5098" s="24"/>
      <c r="H5098" s="24"/>
      <c r="J5098" s="24"/>
      <c r="K5098" s="24"/>
      <c r="M5098" s="24"/>
      <c r="N5098" s="24"/>
      <c r="P5098" s="24"/>
    </row>
    <row r="5099" spans="2:16" x14ac:dyDescent="0.25">
      <c r="B5099" s="24"/>
      <c r="E5099" s="24"/>
      <c r="G5099" s="24"/>
      <c r="H5099" s="24"/>
      <c r="J5099" s="24"/>
      <c r="K5099" s="24"/>
      <c r="M5099" s="24"/>
      <c r="N5099" s="24"/>
      <c r="P5099" s="24"/>
    </row>
    <row r="5100" spans="2:16" x14ac:dyDescent="0.25">
      <c r="B5100" s="24"/>
      <c r="E5100" s="24"/>
      <c r="G5100" s="24"/>
      <c r="H5100" s="24"/>
      <c r="J5100" s="24"/>
      <c r="K5100" s="24"/>
      <c r="M5100" s="24"/>
      <c r="N5100" s="24"/>
      <c r="P5100" s="24"/>
    </row>
    <row r="5101" spans="2:16" x14ac:dyDescent="0.25">
      <c r="B5101" s="24"/>
      <c r="E5101" s="24"/>
      <c r="G5101" s="24"/>
      <c r="H5101" s="24"/>
      <c r="J5101" s="24"/>
      <c r="K5101" s="24"/>
      <c r="M5101" s="24"/>
      <c r="N5101" s="24"/>
      <c r="P5101" s="24"/>
    </row>
    <row r="5102" spans="2:16" x14ac:dyDescent="0.25">
      <c r="B5102" s="24"/>
      <c r="E5102" s="24"/>
      <c r="G5102" s="24"/>
      <c r="H5102" s="24"/>
      <c r="J5102" s="24"/>
      <c r="K5102" s="24"/>
      <c r="M5102" s="24"/>
      <c r="N5102" s="24"/>
      <c r="P5102" s="24"/>
    </row>
    <row r="5103" spans="2:16" x14ac:dyDescent="0.25">
      <c r="B5103" s="24"/>
      <c r="E5103" s="24"/>
      <c r="G5103" s="24"/>
      <c r="H5103" s="24"/>
      <c r="J5103" s="24"/>
      <c r="K5103" s="24"/>
      <c r="M5103" s="24"/>
      <c r="N5103" s="24"/>
      <c r="P5103" s="24"/>
    </row>
    <row r="5104" spans="2:16" x14ac:dyDescent="0.25">
      <c r="B5104" s="24"/>
      <c r="E5104" s="24"/>
      <c r="G5104" s="24"/>
      <c r="H5104" s="24"/>
      <c r="J5104" s="24"/>
      <c r="K5104" s="24"/>
      <c r="M5104" s="24"/>
      <c r="N5104" s="24"/>
      <c r="P5104" s="24"/>
    </row>
    <row r="5105" spans="2:16" x14ac:dyDescent="0.25">
      <c r="B5105" s="24"/>
      <c r="E5105" s="24"/>
      <c r="G5105" s="24"/>
      <c r="H5105" s="24"/>
      <c r="J5105" s="24"/>
      <c r="K5105" s="24"/>
      <c r="M5105" s="24"/>
      <c r="N5105" s="24"/>
      <c r="P5105" s="24"/>
    </row>
    <row r="5106" spans="2:16" x14ac:dyDescent="0.25">
      <c r="B5106" s="24"/>
      <c r="E5106" s="24"/>
      <c r="G5106" s="24"/>
      <c r="H5106" s="24"/>
      <c r="J5106" s="24"/>
      <c r="K5106" s="24"/>
      <c r="M5106" s="24"/>
      <c r="N5106" s="24"/>
      <c r="P5106" s="24"/>
    </row>
    <row r="5107" spans="2:16" x14ac:dyDescent="0.25">
      <c r="B5107" s="24"/>
      <c r="E5107" s="24"/>
      <c r="G5107" s="24"/>
      <c r="H5107" s="24"/>
      <c r="J5107" s="24"/>
      <c r="K5107" s="24"/>
      <c r="M5107" s="24"/>
      <c r="N5107" s="24"/>
      <c r="P5107" s="24"/>
    </row>
    <row r="5108" spans="2:16" x14ac:dyDescent="0.25">
      <c r="B5108" s="24"/>
      <c r="E5108" s="24"/>
      <c r="G5108" s="24"/>
      <c r="H5108" s="24"/>
      <c r="J5108" s="24"/>
      <c r="K5108" s="24"/>
      <c r="M5108" s="24"/>
      <c r="N5108" s="24"/>
      <c r="P5108" s="24"/>
    </row>
    <row r="5109" spans="2:16" x14ac:dyDescent="0.25">
      <c r="B5109" s="24"/>
      <c r="E5109" s="24"/>
      <c r="G5109" s="24"/>
      <c r="H5109" s="24"/>
      <c r="J5109" s="24"/>
      <c r="K5109" s="24"/>
      <c r="M5109" s="24"/>
      <c r="N5109" s="24"/>
      <c r="P5109" s="24"/>
    </row>
    <row r="5110" spans="2:16" x14ac:dyDescent="0.25">
      <c r="B5110" s="24"/>
      <c r="E5110" s="24"/>
      <c r="G5110" s="24"/>
      <c r="H5110" s="24"/>
      <c r="J5110" s="24"/>
      <c r="K5110" s="24"/>
      <c r="M5110" s="24"/>
      <c r="N5110" s="24"/>
      <c r="P5110" s="24"/>
    </row>
    <row r="5111" spans="2:16" x14ac:dyDescent="0.25">
      <c r="B5111" s="24"/>
      <c r="E5111" s="24"/>
      <c r="G5111" s="24"/>
      <c r="H5111" s="24"/>
      <c r="J5111" s="24"/>
      <c r="K5111" s="24"/>
      <c r="M5111" s="24"/>
      <c r="N5111" s="24"/>
      <c r="P5111" s="24"/>
    </row>
    <row r="5112" spans="2:16" x14ac:dyDescent="0.25">
      <c r="B5112" s="24"/>
      <c r="E5112" s="24"/>
      <c r="G5112" s="24"/>
      <c r="H5112" s="24"/>
      <c r="J5112" s="24"/>
      <c r="K5112" s="24"/>
      <c r="M5112" s="24"/>
      <c r="N5112" s="24"/>
      <c r="P5112" s="24"/>
    </row>
    <row r="5113" spans="2:16" x14ac:dyDescent="0.25">
      <c r="B5113" s="24"/>
      <c r="E5113" s="24"/>
      <c r="G5113" s="24"/>
      <c r="H5113" s="24"/>
      <c r="J5113" s="24"/>
      <c r="K5113" s="24"/>
      <c r="M5113" s="24"/>
      <c r="N5113" s="24"/>
      <c r="P5113" s="24"/>
    </row>
    <row r="5114" spans="2:16" x14ac:dyDescent="0.25">
      <c r="B5114" s="24"/>
      <c r="E5114" s="24"/>
      <c r="G5114" s="24"/>
      <c r="H5114" s="24"/>
      <c r="J5114" s="24"/>
      <c r="K5114" s="24"/>
      <c r="M5114" s="24"/>
      <c r="N5114" s="24"/>
      <c r="P5114" s="24"/>
    </row>
    <row r="5115" spans="2:16" x14ac:dyDescent="0.25">
      <c r="B5115" s="24"/>
      <c r="E5115" s="24"/>
      <c r="G5115" s="24"/>
      <c r="H5115" s="24"/>
      <c r="J5115" s="24"/>
      <c r="K5115" s="24"/>
      <c r="M5115" s="24"/>
      <c r="N5115" s="24"/>
      <c r="P5115" s="24"/>
    </row>
    <row r="5116" spans="2:16" x14ac:dyDescent="0.25">
      <c r="B5116" s="24"/>
      <c r="E5116" s="24"/>
      <c r="G5116" s="24"/>
      <c r="H5116" s="24"/>
      <c r="J5116" s="24"/>
      <c r="K5116" s="24"/>
      <c r="M5116" s="24"/>
      <c r="N5116" s="24"/>
      <c r="P5116" s="24"/>
    </row>
    <row r="5117" spans="2:16" x14ac:dyDescent="0.25">
      <c r="B5117" s="24"/>
      <c r="E5117" s="24"/>
      <c r="G5117" s="24"/>
      <c r="H5117" s="24"/>
      <c r="J5117" s="24"/>
      <c r="K5117" s="24"/>
      <c r="M5117" s="24"/>
      <c r="N5117" s="24"/>
      <c r="P5117" s="24"/>
    </row>
    <row r="5118" spans="2:16" x14ac:dyDescent="0.25">
      <c r="B5118" s="24"/>
      <c r="E5118" s="24"/>
      <c r="G5118" s="24"/>
      <c r="H5118" s="24"/>
      <c r="J5118" s="24"/>
      <c r="K5118" s="24"/>
      <c r="M5118" s="24"/>
      <c r="N5118" s="24"/>
      <c r="P5118" s="24"/>
    </row>
    <row r="5119" spans="2:16" x14ac:dyDescent="0.25">
      <c r="B5119" s="24"/>
      <c r="E5119" s="24"/>
      <c r="G5119" s="24"/>
      <c r="H5119" s="24"/>
      <c r="J5119" s="24"/>
      <c r="K5119" s="24"/>
      <c r="M5119" s="24"/>
      <c r="N5119" s="24"/>
      <c r="P5119" s="24"/>
    </row>
    <row r="5120" spans="2:16" x14ac:dyDescent="0.25">
      <c r="B5120" s="24"/>
      <c r="E5120" s="24"/>
      <c r="G5120" s="24"/>
      <c r="H5120" s="24"/>
      <c r="J5120" s="24"/>
      <c r="K5120" s="24"/>
      <c r="M5120" s="24"/>
      <c r="N5120" s="24"/>
      <c r="P5120" s="24"/>
    </row>
    <row r="5121" spans="2:16" x14ac:dyDescent="0.25">
      <c r="B5121" s="24"/>
      <c r="E5121" s="24"/>
      <c r="G5121" s="24"/>
      <c r="H5121" s="24"/>
      <c r="J5121" s="24"/>
      <c r="K5121" s="24"/>
      <c r="M5121" s="24"/>
      <c r="N5121" s="24"/>
      <c r="P5121" s="24"/>
    </row>
    <row r="5122" spans="2:16" x14ac:dyDescent="0.25">
      <c r="B5122" s="24"/>
      <c r="E5122" s="24"/>
      <c r="G5122" s="24"/>
      <c r="H5122" s="24"/>
      <c r="J5122" s="24"/>
      <c r="K5122" s="24"/>
      <c r="M5122" s="24"/>
      <c r="N5122" s="24"/>
      <c r="P5122" s="24"/>
    </row>
    <row r="5123" spans="2:16" x14ac:dyDescent="0.25">
      <c r="B5123" s="24"/>
      <c r="E5123" s="24"/>
      <c r="G5123" s="24"/>
      <c r="H5123" s="24"/>
      <c r="J5123" s="24"/>
      <c r="K5123" s="24"/>
      <c r="M5123" s="24"/>
      <c r="N5123" s="24"/>
      <c r="P5123" s="24"/>
    </row>
    <row r="5124" spans="2:16" x14ac:dyDescent="0.25">
      <c r="B5124" s="24"/>
      <c r="E5124" s="24"/>
      <c r="G5124" s="24"/>
      <c r="H5124" s="24"/>
      <c r="J5124" s="24"/>
      <c r="K5124" s="24"/>
      <c r="M5124" s="24"/>
      <c r="N5124" s="24"/>
      <c r="P5124" s="24"/>
    </row>
    <row r="5125" spans="2:16" x14ac:dyDescent="0.25">
      <c r="B5125" s="24"/>
      <c r="E5125" s="24"/>
      <c r="G5125" s="24"/>
      <c r="H5125" s="24"/>
      <c r="J5125" s="24"/>
      <c r="K5125" s="24"/>
      <c r="M5125" s="24"/>
      <c r="N5125" s="24"/>
      <c r="P5125" s="24"/>
    </row>
    <row r="5126" spans="2:16" x14ac:dyDescent="0.25">
      <c r="B5126" s="24"/>
      <c r="E5126" s="24"/>
      <c r="G5126" s="24"/>
      <c r="H5126" s="24"/>
      <c r="J5126" s="24"/>
      <c r="K5126" s="24"/>
      <c r="M5126" s="24"/>
      <c r="N5126" s="24"/>
      <c r="P5126" s="24"/>
    </row>
    <row r="5127" spans="2:16" x14ac:dyDescent="0.25">
      <c r="B5127" s="24"/>
      <c r="E5127" s="24"/>
      <c r="G5127" s="24"/>
      <c r="H5127" s="24"/>
      <c r="J5127" s="24"/>
      <c r="K5127" s="24"/>
      <c r="M5127" s="24"/>
      <c r="N5127" s="24"/>
      <c r="P5127" s="24"/>
    </row>
    <row r="5128" spans="2:16" x14ac:dyDescent="0.25">
      <c r="B5128" s="24"/>
      <c r="E5128" s="24"/>
      <c r="G5128" s="24"/>
      <c r="H5128" s="24"/>
      <c r="J5128" s="24"/>
      <c r="K5128" s="24"/>
      <c r="M5128" s="24"/>
      <c r="N5128" s="24"/>
      <c r="P5128" s="24"/>
    </row>
    <row r="5129" spans="2:16" x14ac:dyDescent="0.25">
      <c r="B5129" s="24"/>
      <c r="E5129" s="24"/>
      <c r="G5129" s="24"/>
      <c r="H5129" s="24"/>
      <c r="J5129" s="24"/>
      <c r="K5129" s="24"/>
      <c r="M5129" s="24"/>
      <c r="N5129" s="24"/>
      <c r="P5129" s="24"/>
    </row>
    <row r="5130" spans="2:16" x14ac:dyDescent="0.25">
      <c r="B5130" s="24"/>
      <c r="E5130" s="24"/>
      <c r="G5130" s="24"/>
      <c r="H5130" s="24"/>
      <c r="J5130" s="24"/>
      <c r="K5130" s="24"/>
      <c r="M5130" s="24"/>
      <c r="N5130" s="24"/>
      <c r="P5130" s="24"/>
    </row>
    <row r="5131" spans="2:16" x14ac:dyDescent="0.25">
      <c r="B5131" s="24"/>
      <c r="E5131" s="24"/>
      <c r="G5131" s="24"/>
      <c r="H5131" s="24"/>
      <c r="J5131" s="24"/>
      <c r="K5131" s="24"/>
      <c r="M5131" s="24"/>
      <c r="N5131" s="24"/>
      <c r="P5131" s="24"/>
    </row>
    <row r="5132" spans="2:16" x14ac:dyDescent="0.25">
      <c r="B5132" s="24"/>
      <c r="E5132" s="24"/>
      <c r="G5132" s="24"/>
      <c r="H5132" s="24"/>
      <c r="J5132" s="24"/>
      <c r="K5132" s="24"/>
      <c r="M5132" s="24"/>
      <c r="N5132" s="24"/>
      <c r="P5132" s="24"/>
    </row>
    <row r="5133" spans="2:16" x14ac:dyDescent="0.25">
      <c r="B5133" s="24"/>
      <c r="E5133" s="24"/>
      <c r="G5133" s="24"/>
      <c r="H5133" s="24"/>
      <c r="J5133" s="24"/>
      <c r="K5133" s="24"/>
      <c r="M5133" s="24"/>
      <c r="N5133" s="24"/>
      <c r="P5133" s="24"/>
    </row>
    <row r="5134" spans="2:16" x14ac:dyDescent="0.25">
      <c r="B5134" s="24"/>
      <c r="E5134" s="24"/>
      <c r="G5134" s="24"/>
      <c r="H5134" s="24"/>
      <c r="J5134" s="24"/>
      <c r="K5134" s="24"/>
      <c r="M5134" s="24"/>
      <c r="N5134" s="24"/>
      <c r="P5134" s="24"/>
    </row>
    <row r="5135" spans="2:16" x14ac:dyDescent="0.25">
      <c r="B5135" s="24"/>
      <c r="E5135" s="24"/>
      <c r="G5135" s="24"/>
      <c r="H5135" s="24"/>
      <c r="J5135" s="24"/>
      <c r="K5135" s="24"/>
      <c r="M5135" s="24"/>
      <c r="N5135" s="24"/>
      <c r="P5135" s="24"/>
    </row>
    <row r="5136" spans="2:16" x14ac:dyDescent="0.25">
      <c r="B5136" s="24"/>
      <c r="E5136" s="24"/>
      <c r="G5136" s="24"/>
      <c r="H5136" s="24"/>
      <c r="J5136" s="24"/>
      <c r="K5136" s="24"/>
      <c r="M5136" s="24"/>
      <c r="N5136" s="24"/>
      <c r="P5136" s="24"/>
    </row>
    <row r="5137" spans="2:16" x14ac:dyDescent="0.25">
      <c r="B5137" s="24"/>
      <c r="E5137" s="24"/>
      <c r="G5137" s="24"/>
      <c r="H5137" s="24"/>
      <c r="J5137" s="24"/>
      <c r="K5137" s="24"/>
      <c r="M5137" s="24"/>
      <c r="N5137" s="24"/>
      <c r="P5137" s="24"/>
    </row>
    <row r="5138" spans="2:16" x14ac:dyDescent="0.25">
      <c r="B5138" s="24"/>
      <c r="E5138" s="24"/>
      <c r="G5138" s="24"/>
      <c r="H5138" s="24"/>
      <c r="J5138" s="24"/>
      <c r="K5138" s="24"/>
      <c r="M5138" s="24"/>
      <c r="N5138" s="24"/>
      <c r="P5138" s="24"/>
    </row>
    <row r="5139" spans="2:16" x14ac:dyDescent="0.25">
      <c r="B5139" s="24"/>
      <c r="E5139" s="24"/>
      <c r="G5139" s="24"/>
      <c r="H5139" s="24"/>
      <c r="J5139" s="24"/>
      <c r="K5139" s="24"/>
      <c r="M5139" s="24"/>
      <c r="N5139" s="24"/>
      <c r="P5139" s="24"/>
    </row>
    <row r="5140" spans="2:16" x14ac:dyDescent="0.25">
      <c r="B5140" s="24"/>
      <c r="E5140" s="24"/>
      <c r="G5140" s="24"/>
      <c r="H5140" s="24"/>
      <c r="J5140" s="24"/>
      <c r="K5140" s="24"/>
      <c r="M5140" s="24"/>
      <c r="N5140" s="24"/>
      <c r="P5140" s="24"/>
    </row>
    <row r="5141" spans="2:16" x14ac:dyDescent="0.25">
      <c r="B5141" s="24"/>
      <c r="E5141" s="24"/>
      <c r="G5141" s="24"/>
      <c r="H5141" s="24"/>
      <c r="J5141" s="24"/>
      <c r="K5141" s="24"/>
      <c r="M5141" s="24"/>
      <c r="N5141" s="24"/>
      <c r="P5141" s="24"/>
    </row>
    <row r="5142" spans="2:16" x14ac:dyDescent="0.25">
      <c r="B5142" s="24"/>
      <c r="E5142" s="24"/>
      <c r="G5142" s="24"/>
      <c r="H5142" s="24"/>
      <c r="J5142" s="24"/>
      <c r="K5142" s="24"/>
      <c r="M5142" s="24"/>
      <c r="N5142" s="24"/>
      <c r="P5142" s="24"/>
    </row>
    <row r="5143" spans="2:16" x14ac:dyDescent="0.25">
      <c r="B5143" s="24"/>
      <c r="E5143" s="24"/>
      <c r="G5143" s="24"/>
      <c r="H5143" s="24"/>
      <c r="J5143" s="24"/>
      <c r="K5143" s="24"/>
      <c r="M5143" s="24"/>
      <c r="N5143" s="24"/>
      <c r="P5143" s="24"/>
    </row>
    <row r="5144" spans="2:16" x14ac:dyDescent="0.25">
      <c r="B5144" s="24"/>
      <c r="E5144" s="24"/>
      <c r="G5144" s="24"/>
      <c r="H5144" s="24"/>
      <c r="J5144" s="24"/>
      <c r="K5144" s="24"/>
      <c r="M5144" s="24"/>
      <c r="N5144" s="24"/>
      <c r="P5144" s="24"/>
    </row>
    <row r="5145" spans="2:16" x14ac:dyDescent="0.25">
      <c r="B5145" s="24"/>
      <c r="E5145" s="24"/>
      <c r="G5145" s="24"/>
      <c r="H5145" s="24"/>
      <c r="J5145" s="24"/>
      <c r="K5145" s="24"/>
      <c r="M5145" s="24"/>
      <c r="N5145" s="24"/>
      <c r="P5145" s="24"/>
    </row>
    <row r="5146" spans="2:16" x14ac:dyDescent="0.25">
      <c r="B5146" s="24"/>
      <c r="E5146" s="24"/>
      <c r="G5146" s="24"/>
      <c r="H5146" s="24"/>
      <c r="J5146" s="24"/>
      <c r="K5146" s="24"/>
      <c r="M5146" s="24"/>
      <c r="N5146" s="24"/>
      <c r="P5146" s="24"/>
    </row>
    <row r="5147" spans="2:16" x14ac:dyDescent="0.25">
      <c r="B5147" s="24"/>
      <c r="E5147" s="24"/>
      <c r="G5147" s="24"/>
      <c r="H5147" s="24"/>
      <c r="J5147" s="24"/>
      <c r="K5147" s="24"/>
      <c r="M5147" s="24"/>
      <c r="N5147" s="24"/>
      <c r="P5147" s="24"/>
    </row>
    <row r="5148" spans="2:16" x14ac:dyDescent="0.25">
      <c r="B5148" s="24"/>
      <c r="E5148" s="24"/>
      <c r="G5148" s="24"/>
      <c r="H5148" s="24"/>
      <c r="J5148" s="24"/>
      <c r="K5148" s="24"/>
      <c r="M5148" s="24"/>
      <c r="N5148" s="24"/>
      <c r="P5148" s="24"/>
    </row>
    <row r="5149" spans="2:16" x14ac:dyDescent="0.25">
      <c r="B5149" s="24"/>
      <c r="E5149" s="24"/>
      <c r="G5149" s="24"/>
      <c r="H5149" s="24"/>
      <c r="J5149" s="24"/>
      <c r="K5149" s="24"/>
      <c r="M5149" s="24"/>
      <c r="N5149" s="24"/>
      <c r="P5149" s="24"/>
    </row>
    <row r="5150" spans="2:16" x14ac:dyDescent="0.25">
      <c r="B5150" s="24"/>
      <c r="E5150" s="24"/>
      <c r="G5150" s="24"/>
      <c r="H5150" s="24"/>
      <c r="J5150" s="24"/>
      <c r="K5150" s="24"/>
      <c r="M5150" s="24"/>
      <c r="N5150" s="24"/>
      <c r="P5150" s="24"/>
    </row>
    <row r="5151" spans="2:16" x14ac:dyDescent="0.25">
      <c r="B5151" s="24"/>
      <c r="E5151" s="24"/>
      <c r="G5151" s="24"/>
      <c r="H5151" s="24"/>
      <c r="J5151" s="24"/>
      <c r="K5151" s="24"/>
      <c r="M5151" s="24"/>
      <c r="N5151" s="24"/>
      <c r="P5151" s="24"/>
    </row>
    <row r="5152" spans="2:16" x14ac:dyDescent="0.25">
      <c r="B5152" s="24"/>
      <c r="E5152" s="24"/>
      <c r="G5152" s="24"/>
      <c r="H5152" s="24"/>
      <c r="J5152" s="24"/>
      <c r="K5152" s="24"/>
      <c r="M5152" s="24"/>
      <c r="N5152" s="24"/>
      <c r="P5152" s="24"/>
    </row>
    <row r="5153" spans="2:16" x14ac:dyDescent="0.25">
      <c r="B5153" s="24"/>
      <c r="E5153" s="24"/>
      <c r="G5153" s="24"/>
      <c r="H5153" s="24"/>
      <c r="J5153" s="24"/>
      <c r="K5153" s="24"/>
      <c r="M5153" s="24"/>
      <c r="N5153" s="24"/>
      <c r="P5153" s="24"/>
    </row>
    <row r="5154" spans="2:16" x14ac:dyDescent="0.25">
      <c r="B5154" s="24"/>
      <c r="E5154" s="24"/>
      <c r="G5154" s="24"/>
      <c r="H5154" s="24"/>
      <c r="J5154" s="24"/>
      <c r="K5154" s="24"/>
      <c r="M5154" s="24"/>
      <c r="N5154" s="24"/>
      <c r="P5154" s="24"/>
    </row>
    <row r="5155" spans="2:16" x14ac:dyDescent="0.25">
      <c r="B5155" s="24"/>
      <c r="E5155" s="24"/>
      <c r="G5155" s="24"/>
      <c r="H5155" s="24"/>
      <c r="J5155" s="24"/>
      <c r="K5155" s="24"/>
      <c r="M5155" s="24"/>
      <c r="N5155" s="24"/>
      <c r="P5155" s="24"/>
    </row>
    <row r="5156" spans="2:16" x14ac:dyDescent="0.25">
      <c r="B5156" s="24"/>
      <c r="E5156" s="24"/>
      <c r="G5156" s="24"/>
      <c r="H5156" s="24"/>
      <c r="J5156" s="24"/>
      <c r="K5156" s="24"/>
      <c r="M5156" s="24"/>
      <c r="N5156" s="24"/>
      <c r="P5156" s="24"/>
    </row>
    <row r="5157" spans="2:16" x14ac:dyDescent="0.25">
      <c r="B5157" s="24"/>
      <c r="E5157" s="24"/>
      <c r="G5157" s="24"/>
      <c r="H5157" s="24"/>
      <c r="J5157" s="24"/>
      <c r="K5157" s="24"/>
      <c r="M5157" s="24"/>
      <c r="N5157" s="24"/>
      <c r="P5157" s="24"/>
    </row>
    <row r="5158" spans="2:16" x14ac:dyDescent="0.25">
      <c r="B5158" s="24"/>
      <c r="E5158" s="24"/>
      <c r="G5158" s="24"/>
      <c r="H5158" s="24"/>
      <c r="J5158" s="24"/>
      <c r="K5158" s="24"/>
      <c r="M5158" s="24"/>
      <c r="N5158" s="24"/>
      <c r="P5158" s="24"/>
    </row>
    <row r="5159" spans="2:16" x14ac:dyDescent="0.25">
      <c r="B5159" s="24"/>
      <c r="E5159" s="24"/>
      <c r="G5159" s="24"/>
      <c r="H5159" s="24"/>
      <c r="J5159" s="24"/>
      <c r="K5159" s="24"/>
      <c r="M5159" s="24"/>
      <c r="N5159" s="24"/>
      <c r="P5159" s="24"/>
    </row>
    <row r="5160" spans="2:16" x14ac:dyDescent="0.25">
      <c r="B5160" s="24"/>
      <c r="E5160" s="24"/>
      <c r="G5160" s="24"/>
      <c r="H5160" s="24"/>
      <c r="J5160" s="24"/>
      <c r="K5160" s="24"/>
      <c r="M5160" s="24"/>
      <c r="N5160" s="24"/>
      <c r="P5160" s="24"/>
    </row>
    <row r="5161" spans="2:16" x14ac:dyDescent="0.25">
      <c r="B5161" s="24"/>
      <c r="E5161" s="24"/>
      <c r="G5161" s="24"/>
      <c r="H5161" s="24"/>
      <c r="J5161" s="24"/>
      <c r="K5161" s="24"/>
      <c r="M5161" s="24"/>
      <c r="N5161" s="24"/>
      <c r="P5161" s="24"/>
    </row>
    <row r="5162" spans="2:16" x14ac:dyDescent="0.25">
      <c r="B5162" s="24"/>
      <c r="E5162" s="24"/>
      <c r="G5162" s="24"/>
      <c r="H5162" s="24"/>
      <c r="J5162" s="24"/>
      <c r="K5162" s="24"/>
      <c r="M5162" s="24"/>
      <c r="N5162" s="24"/>
      <c r="P5162" s="24"/>
    </row>
    <row r="5163" spans="2:16" x14ac:dyDescent="0.25">
      <c r="B5163" s="24"/>
      <c r="E5163" s="24"/>
      <c r="G5163" s="24"/>
      <c r="H5163" s="24"/>
      <c r="J5163" s="24"/>
      <c r="K5163" s="24"/>
      <c r="M5163" s="24"/>
      <c r="N5163" s="24"/>
      <c r="P5163" s="24"/>
    </row>
    <row r="5164" spans="2:16" x14ac:dyDescent="0.25">
      <c r="B5164" s="24"/>
      <c r="E5164" s="24"/>
      <c r="G5164" s="24"/>
      <c r="H5164" s="24"/>
      <c r="J5164" s="24"/>
      <c r="K5164" s="24"/>
      <c r="M5164" s="24"/>
      <c r="N5164" s="24"/>
      <c r="P5164" s="24"/>
    </row>
    <row r="5165" spans="2:16" x14ac:dyDescent="0.25">
      <c r="B5165" s="24"/>
      <c r="E5165" s="24"/>
      <c r="G5165" s="24"/>
      <c r="H5165" s="24"/>
      <c r="J5165" s="24"/>
      <c r="K5165" s="24"/>
      <c r="M5165" s="24"/>
      <c r="N5165" s="24"/>
      <c r="P5165" s="24"/>
    </row>
    <row r="5166" spans="2:16" x14ac:dyDescent="0.25">
      <c r="B5166" s="24"/>
      <c r="E5166" s="24"/>
      <c r="G5166" s="24"/>
      <c r="H5166" s="24"/>
      <c r="J5166" s="24"/>
      <c r="K5166" s="24"/>
      <c r="M5166" s="24"/>
      <c r="N5166" s="24"/>
      <c r="P5166" s="24"/>
    </row>
    <row r="5167" spans="2:16" x14ac:dyDescent="0.25">
      <c r="B5167" s="24"/>
      <c r="E5167" s="24"/>
      <c r="G5167" s="24"/>
      <c r="H5167" s="24"/>
      <c r="J5167" s="24"/>
      <c r="K5167" s="24"/>
      <c r="M5167" s="24"/>
      <c r="N5167" s="24"/>
      <c r="P5167" s="24"/>
    </row>
    <row r="5168" spans="2:16" x14ac:dyDescent="0.25">
      <c r="B5168" s="24"/>
      <c r="E5168" s="24"/>
      <c r="G5168" s="24"/>
      <c r="H5168" s="24"/>
      <c r="J5168" s="24"/>
      <c r="K5168" s="24"/>
      <c r="M5168" s="24"/>
      <c r="N5168" s="24"/>
      <c r="P5168" s="24"/>
    </row>
    <row r="5169" spans="2:16" x14ac:dyDescent="0.25">
      <c r="B5169" s="24"/>
      <c r="E5169" s="24"/>
      <c r="G5169" s="24"/>
      <c r="H5169" s="24"/>
      <c r="J5169" s="24"/>
      <c r="K5169" s="24"/>
      <c r="M5169" s="24"/>
      <c r="N5169" s="24"/>
      <c r="P5169" s="24"/>
    </row>
    <row r="5170" spans="2:16" x14ac:dyDescent="0.25">
      <c r="B5170" s="24"/>
      <c r="E5170" s="24"/>
      <c r="G5170" s="24"/>
      <c r="H5170" s="24"/>
      <c r="J5170" s="24"/>
      <c r="K5170" s="24"/>
      <c r="M5170" s="24"/>
      <c r="N5170" s="24"/>
      <c r="P5170" s="24"/>
    </row>
    <row r="5171" spans="2:16" x14ac:dyDescent="0.25">
      <c r="B5171" s="24"/>
      <c r="E5171" s="24"/>
      <c r="G5171" s="24"/>
      <c r="H5171" s="24"/>
      <c r="J5171" s="24"/>
      <c r="K5171" s="24"/>
      <c r="M5171" s="24"/>
      <c r="N5171" s="24"/>
      <c r="P5171" s="24"/>
    </row>
    <row r="5172" spans="2:16" x14ac:dyDescent="0.25">
      <c r="B5172" s="24"/>
      <c r="E5172" s="24"/>
      <c r="G5172" s="24"/>
      <c r="H5172" s="24"/>
      <c r="J5172" s="24"/>
      <c r="K5172" s="24"/>
      <c r="M5172" s="24"/>
      <c r="N5172" s="24"/>
      <c r="P5172" s="24"/>
    </row>
    <row r="5173" spans="2:16" x14ac:dyDescent="0.25">
      <c r="B5173" s="24"/>
      <c r="E5173" s="24"/>
      <c r="G5173" s="24"/>
      <c r="H5173" s="24"/>
      <c r="J5173" s="24"/>
      <c r="K5173" s="24"/>
      <c r="M5173" s="24"/>
      <c r="N5173" s="24"/>
      <c r="P5173" s="24"/>
    </row>
    <row r="5174" spans="2:16" x14ac:dyDescent="0.25">
      <c r="B5174" s="24"/>
      <c r="E5174" s="24"/>
      <c r="G5174" s="24"/>
      <c r="H5174" s="24"/>
      <c r="J5174" s="24"/>
      <c r="K5174" s="24"/>
      <c r="M5174" s="24"/>
      <c r="N5174" s="24"/>
      <c r="P5174" s="24"/>
    </row>
    <row r="5175" spans="2:16" x14ac:dyDescent="0.25">
      <c r="B5175" s="24"/>
      <c r="E5175" s="24"/>
      <c r="G5175" s="24"/>
      <c r="H5175" s="24"/>
      <c r="J5175" s="24"/>
      <c r="K5175" s="24"/>
      <c r="M5175" s="24"/>
      <c r="N5175" s="24"/>
      <c r="P5175" s="24"/>
    </row>
    <row r="5176" spans="2:16" x14ac:dyDescent="0.25">
      <c r="B5176" s="24"/>
      <c r="E5176" s="24"/>
      <c r="G5176" s="24"/>
      <c r="H5176" s="24"/>
      <c r="J5176" s="24"/>
      <c r="K5176" s="24"/>
      <c r="M5176" s="24"/>
      <c r="N5176" s="24"/>
      <c r="P5176" s="24"/>
    </row>
    <row r="5177" spans="2:16" x14ac:dyDescent="0.25">
      <c r="B5177" s="24"/>
      <c r="E5177" s="24"/>
      <c r="G5177" s="24"/>
      <c r="H5177" s="24"/>
      <c r="J5177" s="24"/>
      <c r="K5177" s="24"/>
      <c r="M5177" s="24"/>
      <c r="N5177" s="24"/>
      <c r="P5177" s="24"/>
    </row>
    <row r="5178" spans="2:16" x14ac:dyDescent="0.25">
      <c r="B5178" s="24"/>
      <c r="E5178" s="24"/>
      <c r="G5178" s="24"/>
      <c r="H5178" s="24"/>
      <c r="J5178" s="24"/>
      <c r="K5178" s="24"/>
      <c r="M5178" s="24"/>
      <c r="N5178" s="24"/>
      <c r="P5178" s="24"/>
    </row>
    <row r="5179" spans="2:16" x14ac:dyDescent="0.25">
      <c r="B5179" s="24"/>
      <c r="E5179" s="24"/>
      <c r="G5179" s="24"/>
      <c r="H5179" s="24"/>
      <c r="J5179" s="24"/>
      <c r="K5179" s="24"/>
      <c r="M5179" s="24"/>
      <c r="N5179" s="24"/>
      <c r="P5179" s="24"/>
    </row>
    <row r="5180" spans="2:16" x14ac:dyDescent="0.25">
      <c r="B5180" s="24"/>
      <c r="E5180" s="24"/>
      <c r="G5180" s="24"/>
      <c r="H5180" s="24"/>
      <c r="J5180" s="24"/>
      <c r="K5180" s="24"/>
      <c r="M5180" s="24"/>
      <c r="N5180" s="24"/>
      <c r="P5180" s="24"/>
    </row>
    <row r="5181" spans="2:16" x14ac:dyDescent="0.25">
      <c r="B5181" s="24"/>
      <c r="E5181" s="24"/>
      <c r="G5181" s="24"/>
      <c r="H5181" s="24"/>
      <c r="J5181" s="24"/>
      <c r="K5181" s="24"/>
      <c r="M5181" s="24"/>
      <c r="N5181" s="24"/>
      <c r="P5181" s="24"/>
    </row>
    <row r="5182" spans="2:16" x14ac:dyDescent="0.25">
      <c r="B5182" s="24"/>
      <c r="E5182" s="24"/>
      <c r="G5182" s="24"/>
      <c r="H5182" s="24"/>
      <c r="J5182" s="24"/>
      <c r="K5182" s="24"/>
      <c r="M5182" s="24"/>
      <c r="N5182" s="24"/>
      <c r="P5182" s="24"/>
    </row>
    <row r="5183" spans="2:16" x14ac:dyDescent="0.25">
      <c r="B5183" s="24"/>
      <c r="E5183" s="24"/>
      <c r="G5183" s="24"/>
      <c r="H5183" s="24"/>
      <c r="J5183" s="24"/>
      <c r="K5183" s="24"/>
      <c r="M5183" s="24"/>
      <c r="N5183" s="24"/>
      <c r="P5183" s="24"/>
    </row>
    <row r="5184" spans="2:16" x14ac:dyDescent="0.25">
      <c r="B5184" s="24"/>
      <c r="E5184" s="24"/>
      <c r="G5184" s="24"/>
      <c r="H5184" s="24"/>
      <c r="J5184" s="24"/>
      <c r="K5184" s="24"/>
      <c r="M5184" s="24"/>
      <c r="N5184" s="24"/>
      <c r="P5184" s="24"/>
    </row>
    <row r="5185" spans="2:16" x14ac:dyDescent="0.25">
      <c r="B5185" s="24"/>
      <c r="E5185" s="24"/>
      <c r="G5185" s="24"/>
      <c r="H5185" s="24"/>
      <c r="J5185" s="24"/>
      <c r="K5185" s="24"/>
      <c r="M5185" s="24"/>
      <c r="N5185" s="24"/>
      <c r="P5185" s="24"/>
    </row>
    <row r="5186" spans="2:16" x14ac:dyDescent="0.25">
      <c r="B5186" s="24"/>
      <c r="E5186" s="24"/>
      <c r="G5186" s="24"/>
      <c r="H5186" s="24"/>
      <c r="J5186" s="24"/>
      <c r="K5186" s="24"/>
      <c r="M5186" s="24"/>
      <c r="N5186" s="24"/>
      <c r="P5186" s="24"/>
    </row>
    <row r="5187" spans="2:16" x14ac:dyDescent="0.25">
      <c r="B5187" s="24"/>
      <c r="E5187" s="24"/>
      <c r="G5187" s="24"/>
      <c r="H5187" s="24"/>
      <c r="J5187" s="24"/>
      <c r="K5187" s="24"/>
      <c r="M5187" s="24"/>
      <c r="N5187" s="24"/>
      <c r="P5187" s="24"/>
    </row>
    <row r="5188" spans="2:16" x14ac:dyDescent="0.25">
      <c r="B5188" s="24"/>
      <c r="E5188" s="24"/>
      <c r="G5188" s="24"/>
      <c r="H5188" s="24"/>
      <c r="J5188" s="24"/>
      <c r="K5188" s="24"/>
      <c r="M5188" s="24"/>
      <c r="N5188" s="24"/>
      <c r="P5188" s="24"/>
    </row>
    <row r="5189" spans="2:16" x14ac:dyDescent="0.25">
      <c r="B5189" s="24"/>
      <c r="E5189" s="24"/>
      <c r="G5189" s="24"/>
      <c r="H5189" s="24"/>
      <c r="J5189" s="24"/>
      <c r="K5189" s="24"/>
      <c r="M5189" s="24"/>
      <c r="N5189" s="24"/>
      <c r="P5189" s="24"/>
    </row>
    <row r="5190" spans="2:16" x14ac:dyDescent="0.25">
      <c r="B5190" s="24"/>
      <c r="E5190" s="24"/>
      <c r="G5190" s="24"/>
      <c r="H5190" s="24"/>
      <c r="J5190" s="24"/>
      <c r="K5190" s="24"/>
      <c r="M5190" s="24"/>
      <c r="N5190" s="24"/>
      <c r="P5190" s="24"/>
    </row>
    <row r="5191" spans="2:16" x14ac:dyDescent="0.25">
      <c r="B5191" s="24"/>
      <c r="E5191" s="24"/>
      <c r="G5191" s="24"/>
      <c r="H5191" s="24"/>
      <c r="J5191" s="24"/>
      <c r="K5191" s="24"/>
      <c r="M5191" s="24"/>
      <c r="N5191" s="24"/>
      <c r="P5191" s="24"/>
    </row>
    <row r="5192" spans="2:16" x14ac:dyDescent="0.25">
      <c r="B5192" s="24"/>
      <c r="E5192" s="24"/>
      <c r="G5192" s="24"/>
      <c r="H5192" s="24"/>
      <c r="J5192" s="24"/>
      <c r="K5192" s="24"/>
      <c r="M5192" s="24"/>
      <c r="N5192" s="24"/>
      <c r="P5192" s="24"/>
    </row>
    <row r="5193" spans="2:16" x14ac:dyDescent="0.25">
      <c r="B5193" s="24"/>
      <c r="E5193" s="24"/>
      <c r="G5193" s="24"/>
      <c r="H5193" s="24"/>
      <c r="J5193" s="24"/>
      <c r="K5193" s="24"/>
      <c r="M5193" s="24"/>
      <c r="N5193" s="24"/>
      <c r="P5193" s="24"/>
    </row>
    <row r="5194" spans="2:16" x14ac:dyDescent="0.25">
      <c r="B5194" s="24"/>
      <c r="E5194" s="24"/>
      <c r="G5194" s="24"/>
      <c r="H5194" s="24"/>
      <c r="J5194" s="24"/>
      <c r="K5194" s="24"/>
      <c r="M5194" s="24"/>
      <c r="N5194" s="24"/>
      <c r="P5194" s="24"/>
    </row>
    <row r="5195" spans="2:16" x14ac:dyDescent="0.25">
      <c r="B5195" s="24"/>
      <c r="E5195" s="24"/>
      <c r="G5195" s="24"/>
      <c r="H5195" s="24"/>
      <c r="J5195" s="24"/>
      <c r="K5195" s="24"/>
      <c r="M5195" s="24"/>
      <c r="N5195" s="24"/>
      <c r="P5195" s="24"/>
    </row>
    <row r="5196" spans="2:16" x14ac:dyDescent="0.25">
      <c r="B5196" s="24"/>
      <c r="E5196" s="24"/>
      <c r="G5196" s="24"/>
      <c r="H5196" s="24"/>
      <c r="J5196" s="24"/>
      <c r="K5196" s="24"/>
      <c r="M5196" s="24"/>
      <c r="N5196" s="24"/>
      <c r="P5196" s="24"/>
    </row>
    <row r="5197" spans="2:16" x14ac:dyDescent="0.25">
      <c r="B5197" s="24"/>
      <c r="E5197" s="24"/>
      <c r="G5197" s="24"/>
      <c r="H5197" s="24"/>
      <c r="J5197" s="24"/>
      <c r="K5197" s="24"/>
      <c r="M5197" s="24"/>
      <c r="N5197" s="24"/>
      <c r="P5197" s="24"/>
    </row>
    <row r="5198" spans="2:16" x14ac:dyDescent="0.25">
      <c r="B5198" s="24"/>
      <c r="E5198" s="24"/>
      <c r="G5198" s="24"/>
      <c r="H5198" s="24"/>
      <c r="J5198" s="24"/>
      <c r="K5198" s="24"/>
      <c r="M5198" s="24"/>
      <c r="N5198" s="24"/>
      <c r="P5198" s="24"/>
    </row>
    <row r="5199" spans="2:16" x14ac:dyDescent="0.25">
      <c r="B5199" s="24"/>
      <c r="E5199" s="24"/>
      <c r="G5199" s="24"/>
      <c r="H5199" s="24"/>
      <c r="J5199" s="24"/>
      <c r="K5199" s="24"/>
      <c r="M5199" s="24"/>
      <c r="N5199" s="24"/>
      <c r="P5199" s="24"/>
    </row>
    <row r="5200" spans="2:16" x14ac:dyDescent="0.25">
      <c r="B5200" s="24"/>
      <c r="E5200" s="24"/>
      <c r="G5200" s="24"/>
      <c r="H5200" s="24"/>
      <c r="J5200" s="24"/>
      <c r="K5200" s="24"/>
      <c r="M5200" s="24"/>
      <c r="N5200" s="24"/>
      <c r="P5200" s="24"/>
    </row>
    <row r="5201" spans="2:16" x14ac:dyDescent="0.25">
      <c r="B5201" s="24"/>
      <c r="E5201" s="24"/>
      <c r="G5201" s="24"/>
      <c r="H5201" s="24"/>
      <c r="J5201" s="24"/>
      <c r="K5201" s="24"/>
      <c r="M5201" s="24"/>
      <c r="N5201" s="24"/>
      <c r="P5201" s="24"/>
    </row>
    <row r="5202" spans="2:16" x14ac:dyDescent="0.25">
      <c r="B5202" s="24"/>
      <c r="E5202" s="24"/>
      <c r="G5202" s="24"/>
      <c r="H5202" s="24"/>
      <c r="J5202" s="24"/>
      <c r="K5202" s="24"/>
      <c r="M5202" s="24"/>
      <c r="N5202" s="24"/>
      <c r="P5202" s="24"/>
    </row>
    <row r="5203" spans="2:16" x14ac:dyDescent="0.25">
      <c r="B5203" s="24"/>
      <c r="E5203" s="24"/>
      <c r="G5203" s="24"/>
      <c r="H5203" s="24"/>
      <c r="J5203" s="24"/>
      <c r="K5203" s="24"/>
      <c r="M5203" s="24"/>
      <c r="N5203" s="24"/>
      <c r="P5203" s="24"/>
    </row>
    <row r="5204" spans="2:16" x14ac:dyDescent="0.25">
      <c r="B5204" s="24"/>
      <c r="E5204" s="24"/>
      <c r="G5204" s="24"/>
      <c r="H5204" s="24"/>
      <c r="J5204" s="24"/>
      <c r="K5204" s="24"/>
      <c r="M5204" s="24"/>
      <c r="N5204" s="24"/>
      <c r="P5204" s="24"/>
    </row>
    <row r="5205" spans="2:16" x14ac:dyDescent="0.25">
      <c r="B5205" s="24"/>
      <c r="E5205" s="24"/>
      <c r="G5205" s="24"/>
      <c r="H5205" s="24"/>
      <c r="J5205" s="24"/>
      <c r="K5205" s="24"/>
      <c r="M5205" s="24"/>
      <c r="N5205" s="24"/>
      <c r="P5205" s="24"/>
    </row>
    <row r="5206" spans="2:16" x14ac:dyDescent="0.25">
      <c r="B5206" s="24"/>
      <c r="E5206" s="24"/>
      <c r="G5206" s="24"/>
      <c r="H5206" s="24"/>
      <c r="J5206" s="24"/>
      <c r="K5206" s="24"/>
      <c r="M5206" s="24"/>
      <c r="N5206" s="24"/>
      <c r="P5206" s="24"/>
    </row>
    <row r="5207" spans="2:16" x14ac:dyDescent="0.25">
      <c r="B5207" s="24"/>
      <c r="E5207" s="24"/>
      <c r="G5207" s="24"/>
      <c r="H5207" s="24"/>
      <c r="J5207" s="24"/>
      <c r="K5207" s="24"/>
      <c r="M5207" s="24"/>
      <c r="N5207" s="24"/>
      <c r="P5207" s="24"/>
    </row>
    <row r="5208" spans="2:16" x14ac:dyDescent="0.25">
      <c r="B5208" s="24"/>
      <c r="E5208" s="24"/>
      <c r="G5208" s="24"/>
      <c r="H5208" s="24"/>
      <c r="J5208" s="24"/>
      <c r="K5208" s="24"/>
      <c r="M5208" s="24"/>
      <c r="N5208" s="24"/>
      <c r="P5208" s="24"/>
    </row>
    <row r="5209" spans="2:16" x14ac:dyDescent="0.25">
      <c r="B5209" s="24"/>
      <c r="E5209" s="24"/>
      <c r="G5209" s="24"/>
      <c r="H5209" s="24"/>
      <c r="J5209" s="24"/>
      <c r="K5209" s="24"/>
      <c r="M5209" s="24"/>
      <c r="N5209" s="24"/>
      <c r="P5209" s="24"/>
    </row>
    <row r="5210" spans="2:16" x14ac:dyDescent="0.25">
      <c r="B5210" s="24"/>
      <c r="E5210" s="24"/>
      <c r="G5210" s="24"/>
      <c r="H5210" s="24"/>
      <c r="J5210" s="24"/>
      <c r="K5210" s="24"/>
      <c r="M5210" s="24"/>
      <c r="N5210" s="24"/>
      <c r="P5210" s="24"/>
    </row>
    <row r="5211" spans="2:16" x14ac:dyDescent="0.25">
      <c r="B5211" s="24"/>
      <c r="E5211" s="24"/>
      <c r="G5211" s="24"/>
      <c r="H5211" s="24"/>
      <c r="J5211" s="24"/>
      <c r="K5211" s="24"/>
      <c r="M5211" s="24"/>
      <c r="N5211" s="24"/>
      <c r="P5211" s="24"/>
    </row>
    <row r="5212" spans="2:16" x14ac:dyDescent="0.25">
      <c r="B5212" s="24"/>
      <c r="E5212" s="24"/>
      <c r="G5212" s="24"/>
      <c r="H5212" s="24"/>
      <c r="J5212" s="24"/>
      <c r="K5212" s="24"/>
      <c r="M5212" s="24"/>
      <c r="N5212" s="24"/>
      <c r="P5212" s="24"/>
    </row>
    <row r="5213" spans="2:16" x14ac:dyDescent="0.25">
      <c r="B5213" s="24"/>
      <c r="E5213" s="24"/>
      <c r="G5213" s="24"/>
      <c r="H5213" s="24"/>
      <c r="J5213" s="24"/>
      <c r="K5213" s="24"/>
      <c r="M5213" s="24"/>
      <c r="N5213" s="24"/>
      <c r="P5213" s="24"/>
    </row>
    <row r="5214" spans="2:16" x14ac:dyDescent="0.25">
      <c r="B5214" s="24"/>
      <c r="E5214" s="24"/>
      <c r="G5214" s="24"/>
      <c r="H5214" s="24"/>
      <c r="J5214" s="24"/>
      <c r="K5214" s="24"/>
      <c r="M5214" s="24"/>
      <c r="N5214" s="24"/>
      <c r="P5214" s="24"/>
    </row>
    <row r="5215" spans="2:16" x14ac:dyDescent="0.25">
      <c r="B5215" s="24"/>
      <c r="E5215" s="24"/>
      <c r="G5215" s="24"/>
      <c r="H5215" s="24"/>
      <c r="J5215" s="24"/>
      <c r="K5215" s="24"/>
      <c r="M5215" s="24"/>
      <c r="N5215" s="24"/>
      <c r="P5215" s="24"/>
    </row>
    <row r="5216" spans="2:16" x14ac:dyDescent="0.25">
      <c r="B5216" s="24"/>
      <c r="E5216" s="24"/>
      <c r="G5216" s="24"/>
      <c r="H5216" s="24"/>
      <c r="J5216" s="24"/>
      <c r="K5216" s="24"/>
      <c r="M5216" s="24"/>
      <c r="N5216" s="24"/>
      <c r="P5216" s="24"/>
    </row>
    <row r="5217" spans="2:16" x14ac:dyDescent="0.25">
      <c r="B5217" s="24"/>
      <c r="E5217" s="24"/>
      <c r="G5217" s="24"/>
      <c r="H5217" s="24"/>
      <c r="J5217" s="24"/>
      <c r="K5217" s="24"/>
      <c r="M5217" s="24"/>
      <c r="N5217" s="24"/>
      <c r="P5217" s="24"/>
    </row>
    <row r="5218" spans="2:16" x14ac:dyDescent="0.25">
      <c r="B5218" s="24"/>
      <c r="E5218" s="24"/>
      <c r="G5218" s="24"/>
      <c r="H5218" s="24"/>
      <c r="J5218" s="24"/>
      <c r="K5218" s="24"/>
      <c r="M5218" s="24"/>
      <c r="N5218" s="24"/>
      <c r="P5218" s="24"/>
    </row>
    <row r="5219" spans="2:16" x14ac:dyDescent="0.25">
      <c r="B5219" s="24"/>
      <c r="E5219" s="24"/>
      <c r="G5219" s="24"/>
      <c r="H5219" s="24"/>
      <c r="J5219" s="24"/>
      <c r="K5219" s="24"/>
      <c r="M5219" s="24"/>
      <c r="N5219" s="24"/>
      <c r="P5219" s="24"/>
    </row>
    <row r="5220" spans="2:16" x14ac:dyDescent="0.25">
      <c r="B5220" s="24"/>
      <c r="E5220" s="24"/>
      <c r="G5220" s="24"/>
      <c r="H5220" s="24"/>
      <c r="J5220" s="24"/>
      <c r="K5220" s="24"/>
      <c r="M5220" s="24"/>
      <c r="N5220" s="24"/>
      <c r="P5220" s="24"/>
    </row>
    <row r="5221" spans="2:16" x14ac:dyDescent="0.25">
      <c r="B5221" s="24"/>
      <c r="E5221" s="24"/>
      <c r="G5221" s="24"/>
      <c r="H5221" s="24"/>
      <c r="J5221" s="24"/>
      <c r="K5221" s="24"/>
      <c r="M5221" s="24"/>
      <c r="N5221" s="24"/>
      <c r="P5221" s="24"/>
    </row>
    <row r="5222" spans="2:16" x14ac:dyDescent="0.25">
      <c r="B5222" s="24"/>
      <c r="E5222" s="24"/>
      <c r="G5222" s="24"/>
      <c r="H5222" s="24"/>
      <c r="J5222" s="24"/>
      <c r="K5222" s="24"/>
      <c r="M5222" s="24"/>
      <c r="N5222" s="24"/>
      <c r="P5222" s="24"/>
    </row>
    <row r="5223" spans="2:16" x14ac:dyDescent="0.25">
      <c r="B5223" s="24"/>
      <c r="E5223" s="24"/>
      <c r="G5223" s="24"/>
      <c r="H5223" s="24"/>
      <c r="J5223" s="24"/>
      <c r="K5223" s="24"/>
      <c r="M5223" s="24"/>
      <c r="N5223" s="24"/>
      <c r="P5223" s="24"/>
    </row>
    <row r="5224" spans="2:16" x14ac:dyDescent="0.25">
      <c r="B5224" s="24"/>
      <c r="E5224" s="24"/>
      <c r="G5224" s="24"/>
      <c r="H5224" s="24"/>
      <c r="J5224" s="24"/>
      <c r="K5224" s="24"/>
      <c r="M5224" s="24"/>
      <c r="N5224" s="24"/>
      <c r="P5224" s="24"/>
    </row>
    <row r="5225" spans="2:16" x14ac:dyDescent="0.25">
      <c r="B5225" s="24"/>
      <c r="E5225" s="24"/>
      <c r="G5225" s="24"/>
      <c r="H5225" s="24"/>
      <c r="J5225" s="24"/>
      <c r="K5225" s="24"/>
      <c r="M5225" s="24"/>
      <c r="N5225" s="24"/>
      <c r="P5225" s="24"/>
    </row>
    <row r="5226" spans="2:16" x14ac:dyDescent="0.25">
      <c r="B5226" s="24"/>
      <c r="E5226" s="24"/>
      <c r="G5226" s="24"/>
      <c r="H5226" s="24"/>
      <c r="J5226" s="24"/>
      <c r="K5226" s="24"/>
      <c r="M5226" s="24"/>
      <c r="N5226" s="24"/>
      <c r="P5226" s="24"/>
    </row>
    <row r="5227" spans="2:16" x14ac:dyDescent="0.25">
      <c r="B5227" s="24"/>
      <c r="E5227" s="24"/>
      <c r="G5227" s="24"/>
      <c r="H5227" s="24"/>
      <c r="J5227" s="24"/>
      <c r="K5227" s="24"/>
      <c r="M5227" s="24"/>
      <c r="N5227" s="24"/>
      <c r="P5227" s="24"/>
    </row>
    <row r="5228" spans="2:16" x14ac:dyDescent="0.25">
      <c r="B5228" s="24"/>
      <c r="E5228" s="24"/>
      <c r="G5228" s="24"/>
      <c r="H5228" s="24"/>
      <c r="J5228" s="24"/>
      <c r="K5228" s="24"/>
      <c r="M5228" s="24"/>
      <c r="N5228" s="24"/>
      <c r="P5228" s="24"/>
    </row>
    <row r="5229" spans="2:16" x14ac:dyDescent="0.25">
      <c r="B5229" s="24"/>
      <c r="E5229" s="24"/>
      <c r="G5229" s="24"/>
      <c r="H5229" s="24"/>
      <c r="J5229" s="24"/>
      <c r="K5229" s="24"/>
      <c r="M5229" s="24"/>
      <c r="N5229" s="24"/>
      <c r="P5229" s="24"/>
    </row>
    <row r="5230" spans="2:16" x14ac:dyDescent="0.25">
      <c r="B5230" s="24"/>
      <c r="E5230" s="24"/>
      <c r="G5230" s="24"/>
      <c r="H5230" s="24"/>
      <c r="J5230" s="24"/>
      <c r="K5230" s="24"/>
      <c r="M5230" s="24"/>
      <c r="N5230" s="24"/>
      <c r="P5230" s="24"/>
    </row>
    <row r="5231" spans="2:16" x14ac:dyDescent="0.25">
      <c r="B5231" s="24"/>
      <c r="E5231" s="24"/>
      <c r="G5231" s="24"/>
      <c r="H5231" s="24"/>
      <c r="J5231" s="24"/>
      <c r="K5231" s="24"/>
      <c r="M5231" s="24"/>
      <c r="N5231" s="24"/>
      <c r="P5231" s="24"/>
    </row>
    <row r="5232" spans="2:16" x14ac:dyDescent="0.25">
      <c r="B5232" s="24"/>
      <c r="E5232" s="24"/>
      <c r="G5232" s="24"/>
      <c r="H5232" s="24"/>
      <c r="J5232" s="24"/>
      <c r="K5232" s="24"/>
      <c r="M5232" s="24"/>
      <c r="N5232" s="24"/>
      <c r="P5232" s="24"/>
    </row>
    <row r="5233" spans="2:16" x14ac:dyDescent="0.25">
      <c r="B5233" s="24"/>
      <c r="E5233" s="24"/>
      <c r="G5233" s="24"/>
      <c r="H5233" s="24"/>
      <c r="J5233" s="24"/>
      <c r="K5233" s="24"/>
      <c r="M5233" s="24"/>
      <c r="N5233" s="24"/>
      <c r="P5233" s="24"/>
    </row>
    <row r="5234" spans="2:16" x14ac:dyDescent="0.25">
      <c r="B5234" s="24"/>
      <c r="E5234" s="24"/>
      <c r="G5234" s="24"/>
      <c r="H5234" s="24"/>
      <c r="J5234" s="24"/>
      <c r="K5234" s="24"/>
      <c r="M5234" s="24"/>
      <c r="N5234" s="24"/>
      <c r="P5234" s="24"/>
    </row>
    <row r="5235" spans="2:16" x14ac:dyDescent="0.25">
      <c r="B5235" s="24"/>
      <c r="E5235" s="24"/>
      <c r="G5235" s="24"/>
      <c r="H5235" s="24"/>
      <c r="J5235" s="24"/>
      <c r="K5235" s="24"/>
      <c r="M5235" s="24"/>
      <c r="N5235" s="24"/>
      <c r="P5235" s="24"/>
    </row>
    <row r="5236" spans="2:16" x14ac:dyDescent="0.25">
      <c r="B5236" s="24"/>
      <c r="E5236" s="24"/>
      <c r="G5236" s="24"/>
      <c r="H5236" s="24"/>
      <c r="J5236" s="24"/>
      <c r="K5236" s="24"/>
      <c r="M5236" s="24"/>
      <c r="N5236" s="24"/>
      <c r="P5236" s="24"/>
    </row>
    <row r="5237" spans="2:16" x14ac:dyDescent="0.25">
      <c r="B5237" s="24"/>
      <c r="E5237" s="24"/>
      <c r="G5237" s="24"/>
      <c r="H5237" s="24"/>
      <c r="J5237" s="24"/>
      <c r="K5237" s="24"/>
      <c r="M5237" s="24"/>
      <c r="N5237" s="24"/>
      <c r="P5237" s="24"/>
    </row>
    <row r="5238" spans="2:16" x14ac:dyDescent="0.25">
      <c r="B5238" s="24"/>
      <c r="E5238" s="24"/>
      <c r="G5238" s="24"/>
      <c r="H5238" s="24"/>
      <c r="J5238" s="24"/>
      <c r="K5238" s="24"/>
      <c r="M5238" s="24"/>
      <c r="N5238" s="24"/>
      <c r="P5238" s="24"/>
    </row>
    <row r="5239" spans="2:16" x14ac:dyDescent="0.25">
      <c r="B5239" s="24"/>
      <c r="E5239" s="24"/>
      <c r="G5239" s="24"/>
      <c r="H5239" s="24"/>
      <c r="J5239" s="24"/>
      <c r="K5239" s="24"/>
      <c r="M5239" s="24"/>
      <c r="N5239" s="24"/>
      <c r="P5239" s="24"/>
    </row>
    <row r="5240" spans="2:16" x14ac:dyDescent="0.25">
      <c r="B5240" s="24"/>
      <c r="E5240" s="24"/>
      <c r="G5240" s="24"/>
      <c r="H5240" s="24"/>
      <c r="J5240" s="24"/>
      <c r="K5240" s="24"/>
      <c r="M5240" s="24"/>
      <c r="N5240" s="24"/>
      <c r="P5240" s="24"/>
    </row>
    <row r="5241" spans="2:16" x14ac:dyDescent="0.25">
      <c r="B5241" s="24"/>
      <c r="E5241" s="24"/>
      <c r="G5241" s="24"/>
      <c r="H5241" s="24"/>
      <c r="J5241" s="24"/>
      <c r="K5241" s="24"/>
      <c r="M5241" s="24"/>
      <c r="N5241" s="24"/>
      <c r="P5241" s="24"/>
    </row>
    <row r="5242" spans="2:16" x14ac:dyDescent="0.25">
      <c r="B5242" s="24"/>
      <c r="E5242" s="24"/>
      <c r="G5242" s="24"/>
      <c r="H5242" s="24"/>
      <c r="J5242" s="24"/>
      <c r="K5242" s="24"/>
      <c r="M5242" s="24"/>
      <c r="N5242" s="24"/>
      <c r="P5242" s="24"/>
    </row>
    <row r="5243" spans="2:16" x14ac:dyDescent="0.25">
      <c r="B5243" s="24"/>
      <c r="E5243" s="24"/>
      <c r="G5243" s="24"/>
      <c r="H5243" s="24"/>
      <c r="J5243" s="24"/>
      <c r="K5243" s="24"/>
      <c r="M5243" s="24"/>
      <c r="N5243" s="24"/>
      <c r="P5243" s="24"/>
    </row>
    <row r="5244" spans="2:16" x14ac:dyDescent="0.25">
      <c r="B5244" s="24"/>
      <c r="E5244" s="24"/>
      <c r="G5244" s="24"/>
      <c r="H5244" s="24"/>
      <c r="J5244" s="24"/>
      <c r="K5244" s="24"/>
      <c r="M5244" s="24"/>
      <c r="N5244" s="24"/>
      <c r="P5244" s="24"/>
    </row>
    <row r="5245" spans="2:16" x14ac:dyDescent="0.25">
      <c r="B5245" s="24"/>
      <c r="E5245" s="24"/>
      <c r="G5245" s="24"/>
      <c r="H5245" s="24"/>
      <c r="J5245" s="24"/>
      <c r="K5245" s="24"/>
      <c r="M5245" s="24"/>
      <c r="N5245" s="24"/>
      <c r="P5245" s="24"/>
    </row>
    <row r="5246" spans="2:16" x14ac:dyDescent="0.25">
      <c r="B5246" s="24"/>
      <c r="E5246" s="24"/>
      <c r="G5246" s="24"/>
      <c r="H5246" s="24"/>
      <c r="J5246" s="24"/>
      <c r="K5246" s="24"/>
      <c r="M5246" s="24"/>
      <c r="N5246" s="24"/>
      <c r="P5246" s="24"/>
    </row>
    <row r="5247" spans="2:16" x14ac:dyDescent="0.25">
      <c r="B5247" s="24"/>
      <c r="E5247" s="24"/>
      <c r="G5247" s="24"/>
      <c r="H5247" s="24"/>
      <c r="J5247" s="24"/>
      <c r="K5247" s="24"/>
      <c r="M5247" s="24"/>
      <c r="N5247" s="24"/>
      <c r="P5247" s="24"/>
    </row>
    <row r="5248" spans="2:16" x14ac:dyDescent="0.25">
      <c r="B5248" s="24"/>
      <c r="E5248" s="24"/>
      <c r="G5248" s="24"/>
      <c r="H5248" s="24"/>
      <c r="J5248" s="24"/>
      <c r="K5248" s="24"/>
      <c r="M5248" s="24"/>
      <c r="N5248" s="24"/>
      <c r="P5248" s="24"/>
    </row>
    <row r="5249" spans="2:16" x14ac:dyDescent="0.25">
      <c r="B5249" s="24"/>
      <c r="E5249" s="24"/>
      <c r="G5249" s="24"/>
      <c r="H5249" s="24"/>
      <c r="J5249" s="24"/>
      <c r="K5249" s="24"/>
      <c r="M5249" s="24"/>
      <c r="N5249" s="24"/>
      <c r="P5249" s="24"/>
    </row>
    <row r="5250" spans="2:16" x14ac:dyDescent="0.25">
      <c r="B5250" s="24"/>
      <c r="E5250" s="24"/>
      <c r="G5250" s="24"/>
      <c r="H5250" s="24"/>
      <c r="J5250" s="24"/>
      <c r="K5250" s="24"/>
      <c r="M5250" s="24"/>
      <c r="N5250" s="24"/>
      <c r="P5250" s="24"/>
    </row>
    <row r="5251" spans="2:16" x14ac:dyDescent="0.25">
      <c r="B5251" s="24"/>
      <c r="E5251" s="24"/>
      <c r="G5251" s="24"/>
      <c r="H5251" s="24"/>
      <c r="J5251" s="24"/>
      <c r="K5251" s="24"/>
      <c r="M5251" s="24"/>
      <c r="N5251" s="24"/>
      <c r="P5251" s="24"/>
    </row>
    <row r="5252" spans="2:16" x14ac:dyDescent="0.25">
      <c r="B5252" s="24"/>
      <c r="E5252" s="24"/>
      <c r="G5252" s="24"/>
      <c r="H5252" s="24"/>
      <c r="J5252" s="24"/>
      <c r="K5252" s="24"/>
      <c r="M5252" s="24"/>
      <c r="N5252" s="24"/>
      <c r="P5252" s="24"/>
    </row>
    <row r="5253" spans="2:16" x14ac:dyDescent="0.25">
      <c r="B5253" s="24"/>
      <c r="E5253" s="24"/>
      <c r="G5253" s="24"/>
      <c r="H5253" s="24"/>
      <c r="J5253" s="24"/>
      <c r="K5253" s="24"/>
      <c r="M5253" s="24"/>
      <c r="N5253" s="24"/>
      <c r="P5253" s="24"/>
    </row>
    <row r="5254" spans="2:16" x14ac:dyDescent="0.25">
      <c r="B5254" s="24"/>
      <c r="E5254" s="24"/>
      <c r="G5254" s="24"/>
      <c r="H5254" s="24"/>
      <c r="J5254" s="24"/>
      <c r="K5254" s="24"/>
      <c r="M5254" s="24"/>
      <c r="N5254" s="24"/>
      <c r="P5254" s="24"/>
    </row>
    <row r="5255" spans="2:16" x14ac:dyDescent="0.25">
      <c r="B5255" s="24"/>
      <c r="E5255" s="24"/>
      <c r="G5255" s="24"/>
      <c r="H5255" s="24"/>
      <c r="J5255" s="24"/>
      <c r="K5255" s="24"/>
      <c r="M5255" s="24"/>
      <c r="N5255" s="24"/>
      <c r="P5255" s="24"/>
    </row>
    <row r="5256" spans="2:16" x14ac:dyDescent="0.25">
      <c r="B5256" s="24"/>
      <c r="E5256" s="24"/>
      <c r="G5256" s="24"/>
      <c r="H5256" s="24"/>
      <c r="J5256" s="24"/>
      <c r="K5256" s="24"/>
      <c r="M5256" s="24"/>
      <c r="N5256" s="24"/>
      <c r="P5256" s="24"/>
    </row>
    <row r="5257" spans="2:16" x14ac:dyDescent="0.25">
      <c r="B5257" s="24"/>
      <c r="E5257" s="24"/>
      <c r="G5257" s="24"/>
      <c r="H5257" s="24"/>
      <c r="J5257" s="24"/>
      <c r="K5257" s="24"/>
      <c r="M5257" s="24"/>
      <c r="N5257" s="24"/>
      <c r="P5257" s="24"/>
    </row>
    <row r="5258" spans="2:16" x14ac:dyDescent="0.25">
      <c r="B5258" s="24"/>
      <c r="E5258" s="24"/>
      <c r="G5258" s="24"/>
      <c r="H5258" s="24"/>
      <c r="J5258" s="24"/>
      <c r="K5258" s="24"/>
      <c r="M5258" s="24"/>
      <c r="N5258" s="24"/>
      <c r="P5258" s="24"/>
    </row>
    <row r="5259" spans="2:16" x14ac:dyDescent="0.25">
      <c r="B5259" s="24"/>
      <c r="E5259" s="24"/>
      <c r="G5259" s="24"/>
      <c r="H5259" s="24"/>
      <c r="J5259" s="24"/>
      <c r="K5259" s="24"/>
      <c r="M5259" s="24"/>
      <c r="N5259" s="24"/>
      <c r="P5259" s="24"/>
    </row>
    <row r="5260" spans="2:16" x14ac:dyDescent="0.25">
      <c r="B5260" s="24"/>
      <c r="E5260" s="24"/>
      <c r="G5260" s="24"/>
      <c r="H5260" s="24"/>
      <c r="J5260" s="24"/>
      <c r="K5260" s="24"/>
      <c r="M5260" s="24"/>
      <c r="N5260" s="24"/>
      <c r="P5260" s="24"/>
    </row>
    <row r="5261" spans="2:16" x14ac:dyDescent="0.25">
      <c r="B5261" s="24"/>
      <c r="E5261" s="24"/>
      <c r="G5261" s="24"/>
      <c r="H5261" s="24"/>
      <c r="J5261" s="24"/>
      <c r="K5261" s="24"/>
      <c r="M5261" s="24"/>
      <c r="N5261" s="24"/>
      <c r="P5261" s="24"/>
    </row>
    <row r="5262" spans="2:16" x14ac:dyDescent="0.25">
      <c r="B5262" s="24"/>
      <c r="E5262" s="24"/>
      <c r="G5262" s="24"/>
      <c r="H5262" s="24"/>
      <c r="J5262" s="24"/>
      <c r="K5262" s="24"/>
      <c r="M5262" s="24"/>
      <c r="N5262" s="24"/>
      <c r="P5262" s="24"/>
    </row>
    <row r="5263" spans="2:16" x14ac:dyDescent="0.25">
      <c r="B5263" s="24"/>
      <c r="E5263" s="24"/>
      <c r="G5263" s="24"/>
      <c r="H5263" s="24"/>
      <c r="J5263" s="24"/>
      <c r="K5263" s="24"/>
      <c r="M5263" s="24"/>
      <c r="N5263" s="24"/>
      <c r="P5263" s="24"/>
    </row>
    <row r="5264" spans="2:16" x14ac:dyDescent="0.25">
      <c r="B5264" s="24"/>
      <c r="E5264" s="24"/>
      <c r="G5264" s="24"/>
      <c r="H5264" s="24"/>
      <c r="J5264" s="24"/>
      <c r="K5264" s="24"/>
      <c r="M5264" s="24"/>
      <c r="N5264" s="24"/>
      <c r="P5264" s="24"/>
    </row>
    <row r="5265" spans="2:16" x14ac:dyDescent="0.25">
      <c r="B5265" s="24"/>
      <c r="E5265" s="24"/>
      <c r="G5265" s="24"/>
      <c r="H5265" s="24"/>
      <c r="J5265" s="24"/>
      <c r="K5265" s="24"/>
      <c r="M5265" s="24"/>
      <c r="N5265" s="24"/>
      <c r="P5265" s="24"/>
    </row>
    <row r="5266" spans="2:16" x14ac:dyDescent="0.25">
      <c r="B5266" s="24"/>
      <c r="E5266" s="24"/>
      <c r="G5266" s="24"/>
      <c r="H5266" s="24"/>
      <c r="J5266" s="24"/>
      <c r="K5266" s="24"/>
      <c r="M5266" s="24"/>
      <c r="N5266" s="24"/>
      <c r="P5266" s="24"/>
    </row>
    <row r="5267" spans="2:16" x14ac:dyDescent="0.25">
      <c r="B5267" s="24"/>
      <c r="E5267" s="24"/>
      <c r="G5267" s="24"/>
      <c r="H5267" s="24"/>
      <c r="J5267" s="24"/>
      <c r="K5267" s="24"/>
      <c r="M5267" s="24"/>
      <c r="N5267" s="24"/>
      <c r="P5267" s="24"/>
    </row>
    <row r="5268" spans="2:16" x14ac:dyDescent="0.25">
      <c r="B5268" s="24"/>
      <c r="E5268" s="24"/>
      <c r="G5268" s="24"/>
      <c r="H5268" s="24"/>
      <c r="J5268" s="24"/>
      <c r="K5268" s="24"/>
      <c r="M5268" s="24"/>
      <c r="N5268" s="24"/>
      <c r="P5268" s="24"/>
    </row>
    <row r="5269" spans="2:16" x14ac:dyDescent="0.25">
      <c r="B5269" s="24"/>
      <c r="E5269" s="24"/>
      <c r="G5269" s="24"/>
      <c r="H5269" s="24"/>
      <c r="J5269" s="24"/>
      <c r="K5269" s="24"/>
      <c r="M5269" s="24"/>
      <c r="N5269" s="24"/>
      <c r="P5269" s="24"/>
    </row>
    <row r="5270" spans="2:16" x14ac:dyDescent="0.25">
      <c r="B5270" s="24"/>
      <c r="E5270" s="24"/>
      <c r="G5270" s="24"/>
      <c r="H5270" s="24"/>
      <c r="J5270" s="24"/>
      <c r="K5270" s="24"/>
      <c r="M5270" s="24"/>
      <c r="N5270" s="24"/>
      <c r="P5270" s="24"/>
    </row>
    <row r="5271" spans="2:16" x14ac:dyDescent="0.25">
      <c r="B5271" s="24"/>
      <c r="E5271" s="24"/>
      <c r="G5271" s="24"/>
      <c r="H5271" s="24"/>
      <c r="J5271" s="24"/>
      <c r="K5271" s="24"/>
      <c r="M5271" s="24"/>
      <c r="N5271" s="24"/>
      <c r="P5271" s="24"/>
    </row>
    <row r="5272" spans="2:16" x14ac:dyDescent="0.25">
      <c r="B5272" s="24"/>
      <c r="E5272" s="24"/>
      <c r="G5272" s="24"/>
      <c r="H5272" s="24"/>
      <c r="J5272" s="24"/>
      <c r="K5272" s="24"/>
      <c r="M5272" s="24"/>
      <c r="N5272" s="24"/>
      <c r="P5272" s="24"/>
    </row>
    <row r="5273" spans="2:16" x14ac:dyDescent="0.25">
      <c r="B5273" s="24"/>
      <c r="E5273" s="24"/>
      <c r="G5273" s="24"/>
      <c r="H5273" s="24"/>
      <c r="J5273" s="24"/>
      <c r="K5273" s="24"/>
      <c r="M5273" s="24"/>
      <c r="N5273" s="24"/>
      <c r="P5273" s="24"/>
    </row>
    <row r="5274" spans="2:16" x14ac:dyDescent="0.25">
      <c r="B5274" s="24"/>
      <c r="E5274" s="24"/>
      <c r="G5274" s="24"/>
      <c r="H5274" s="24"/>
      <c r="J5274" s="24"/>
      <c r="K5274" s="24"/>
      <c r="M5274" s="24"/>
      <c r="N5274" s="24"/>
      <c r="P5274" s="24"/>
    </row>
    <row r="5275" spans="2:16" x14ac:dyDescent="0.25">
      <c r="B5275" s="24"/>
      <c r="E5275" s="24"/>
      <c r="G5275" s="24"/>
      <c r="H5275" s="24"/>
      <c r="J5275" s="24"/>
      <c r="K5275" s="24"/>
      <c r="M5275" s="24"/>
      <c r="N5275" s="24"/>
      <c r="P5275" s="24"/>
    </row>
    <row r="5276" spans="2:16" x14ac:dyDescent="0.25">
      <c r="B5276" s="24"/>
      <c r="E5276" s="24"/>
      <c r="G5276" s="24"/>
      <c r="H5276" s="24"/>
      <c r="J5276" s="24"/>
      <c r="K5276" s="24"/>
      <c r="M5276" s="24"/>
      <c r="N5276" s="24"/>
      <c r="P5276" s="24"/>
    </row>
    <row r="5277" spans="2:16" x14ac:dyDescent="0.25">
      <c r="B5277" s="24"/>
      <c r="E5277" s="24"/>
      <c r="G5277" s="24"/>
      <c r="H5277" s="24"/>
      <c r="J5277" s="24"/>
      <c r="K5277" s="24"/>
      <c r="M5277" s="24"/>
      <c r="N5277" s="24"/>
      <c r="P5277" s="24"/>
    </row>
    <row r="5278" spans="2:16" x14ac:dyDescent="0.25">
      <c r="B5278" s="24"/>
      <c r="E5278" s="24"/>
      <c r="G5278" s="24"/>
      <c r="H5278" s="24"/>
      <c r="J5278" s="24"/>
      <c r="K5278" s="24"/>
      <c r="M5278" s="24"/>
      <c r="N5278" s="24"/>
      <c r="P5278" s="24"/>
    </row>
    <row r="5279" spans="2:16" x14ac:dyDescent="0.25">
      <c r="B5279" s="24"/>
      <c r="E5279" s="24"/>
      <c r="G5279" s="24"/>
      <c r="H5279" s="24"/>
      <c r="J5279" s="24"/>
      <c r="K5279" s="24"/>
      <c r="M5279" s="24"/>
      <c r="N5279" s="24"/>
      <c r="P5279" s="24"/>
    </row>
    <row r="5280" spans="2:16" x14ac:dyDescent="0.25">
      <c r="B5280" s="24"/>
      <c r="E5280" s="24"/>
      <c r="G5280" s="24"/>
      <c r="H5280" s="24"/>
      <c r="J5280" s="24"/>
      <c r="K5280" s="24"/>
      <c r="M5280" s="24"/>
      <c r="N5280" s="24"/>
      <c r="P5280" s="24"/>
    </row>
    <row r="5281" spans="2:16" x14ac:dyDescent="0.25">
      <c r="B5281" s="24"/>
      <c r="E5281" s="24"/>
      <c r="G5281" s="24"/>
      <c r="H5281" s="24"/>
      <c r="J5281" s="24"/>
      <c r="K5281" s="24"/>
      <c r="M5281" s="24"/>
      <c r="N5281" s="24"/>
      <c r="P5281" s="24"/>
    </row>
    <row r="5282" spans="2:16" x14ac:dyDescent="0.25">
      <c r="B5282" s="24"/>
      <c r="E5282" s="24"/>
      <c r="G5282" s="24"/>
      <c r="H5282" s="24"/>
      <c r="J5282" s="24"/>
      <c r="K5282" s="24"/>
      <c r="M5282" s="24"/>
      <c r="N5282" s="24"/>
      <c r="P5282" s="24"/>
    </row>
    <row r="5283" spans="2:16" x14ac:dyDescent="0.25">
      <c r="B5283" s="24"/>
      <c r="E5283" s="24"/>
      <c r="G5283" s="24"/>
      <c r="H5283" s="24"/>
      <c r="J5283" s="24"/>
      <c r="K5283" s="24"/>
      <c r="M5283" s="24"/>
      <c r="N5283" s="24"/>
      <c r="P5283" s="24"/>
    </row>
    <row r="5284" spans="2:16" x14ac:dyDescent="0.25">
      <c r="B5284" s="24"/>
      <c r="E5284" s="24"/>
      <c r="G5284" s="24"/>
      <c r="H5284" s="24"/>
      <c r="J5284" s="24"/>
      <c r="K5284" s="24"/>
      <c r="M5284" s="24"/>
      <c r="N5284" s="24"/>
      <c r="P5284" s="24"/>
    </row>
    <row r="5285" spans="2:16" x14ac:dyDescent="0.25">
      <c r="B5285" s="24"/>
      <c r="E5285" s="24"/>
      <c r="G5285" s="24"/>
      <c r="H5285" s="24"/>
      <c r="J5285" s="24"/>
      <c r="K5285" s="24"/>
      <c r="M5285" s="24"/>
      <c r="N5285" s="24"/>
      <c r="P5285" s="24"/>
    </row>
    <row r="5286" spans="2:16" x14ac:dyDescent="0.25">
      <c r="B5286" s="24"/>
      <c r="E5286" s="24"/>
      <c r="G5286" s="24"/>
      <c r="H5286" s="24"/>
      <c r="J5286" s="24"/>
      <c r="K5286" s="24"/>
      <c r="M5286" s="24"/>
      <c r="N5286" s="24"/>
      <c r="P5286" s="24"/>
    </row>
    <row r="5287" spans="2:16" x14ac:dyDescent="0.25">
      <c r="B5287" s="24"/>
      <c r="E5287" s="24"/>
      <c r="G5287" s="24"/>
      <c r="H5287" s="24"/>
      <c r="J5287" s="24"/>
      <c r="K5287" s="24"/>
      <c r="M5287" s="24"/>
      <c r="N5287" s="24"/>
      <c r="P5287" s="24"/>
    </row>
    <row r="5288" spans="2:16" x14ac:dyDescent="0.25">
      <c r="B5288" s="24"/>
      <c r="E5288" s="24"/>
      <c r="G5288" s="24"/>
      <c r="H5288" s="24"/>
      <c r="J5288" s="24"/>
      <c r="K5288" s="24"/>
      <c r="M5288" s="24"/>
      <c r="N5288" s="24"/>
      <c r="P5288" s="24"/>
    </row>
    <row r="5289" spans="2:16" x14ac:dyDescent="0.25">
      <c r="B5289" s="24"/>
      <c r="E5289" s="24"/>
      <c r="G5289" s="24"/>
      <c r="H5289" s="24"/>
      <c r="J5289" s="24"/>
      <c r="K5289" s="24"/>
      <c r="M5289" s="24"/>
      <c r="N5289" s="24"/>
      <c r="P5289" s="24"/>
    </row>
    <row r="5290" spans="2:16" x14ac:dyDescent="0.25">
      <c r="B5290" s="24"/>
      <c r="E5290" s="24"/>
      <c r="G5290" s="24"/>
      <c r="H5290" s="24"/>
      <c r="J5290" s="24"/>
      <c r="K5290" s="24"/>
      <c r="M5290" s="24"/>
      <c r="N5290" s="24"/>
      <c r="P5290" s="24"/>
    </row>
    <row r="5291" spans="2:16" x14ac:dyDescent="0.25">
      <c r="B5291" s="24"/>
      <c r="E5291" s="24"/>
      <c r="G5291" s="24"/>
      <c r="H5291" s="24"/>
      <c r="J5291" s="24"/>
      <c r="K5291" s="24"/>
      <c r="M5291" s="24"/>
      <c r="N5291" s="24"/>
      <c r="P5291" s="24"/>
    </row>
    <row r="5292" spans="2:16" x14ac:dyDescent="0.25">
      <c r="B5292" s="24"/>
      <c r="E5292" s="24"/>
      <c r="G5292" s="24"/>
      <c r="H5292" s="24"/>
      <c r="J5292" s="24"/>
      <c r="K5292" s="24"/>
      <c r="M5292" s="24"/>
      <c r="N5292" s="24"/>
      <c r="P5292" s="24"/>
    </row>
    <row r="5293" spans="2:16" x14ac:dyDescent="0.25">
      <c r="B5293" s="24"/>
      <c r="E5293" s="24"/>
      <c r="G5293" s="24"/>
      <c r="H5293" s="24"/>
      <c r="J5293" s="24"/>
      <c r="K5293" s="24"/>
      <c r="M5293" s="24"/>
      <c r="N5293" s="24"/>
      <c r="P5293" s="24"/>
    </row>
    <row r="5294" spans="2:16" x14ac:dyDescent="0.25">
      <c r="B5294" s="24"/>
      <c r="E5294" s="24"/>
      <c r="G5294" s="24"/>
      <c r="H5294" s="24"/>
      <c r="J5294" s="24"/>
      <c r="K5294" s="24"/>
      <c r="M5294" s="24"/>
      <c r="N5294" s="24"/>
      <c r="P5294" s="24"/>
    </row>
    <row r="5295" spans="2:16" x14ac:dyDescent="0.25">
      <c r="B5295" s="24"/>
      <c r="E5295" s="24"/>
      <c r="G5295" s="24"/>
      <c r="H5295" s="24"/>
      <c r="J5295" s="24"/>
      <c r="K5295" s="24"/>
      <c r="M5295" s="24"/>
      <c r="N5295" s="24"/>
      <c r="P5295" s="24"/>
    </row>
    <row r="5296" spans="2:16" x14ac:dyDescent="0.25">
      <c r="B5296" s="24"/>
      <c r="E5296" s="24"/>
      <c r="G5296" s="24"/>
      <c r="H5296" s="24"/>
      <c r="J5296" s="24"/>
      <c r="K5296" s="24"/>
      <c r="M5296" s="24"/>
      <c r="N5296" s="24"/>
      <c r="P5296" s="24"/>
    </row>
    <row r="5297" spans="2:16" x14ac:dyDescent="0.25">
      <c r="B5297" s="24"/>
      <c r="E5297" s="24"/>
      <c r="G5297" s="24"/>
      <c r="H5297" s="24"/>
      <c r="J5297" s="24"/>
      <c r="K5297" s="24"/>
      <c r="M5297" s="24"/>
      <c r="N5297" s="24"/>
      <c r="P5297" s="24"/>
    </row>
    <row r="5298" spans="2:16" x14ac:dyDescent="0.25">
      <c r="B5298" s="24"/>
      <c r="E5298" s="24"/>
      <c r="G5298" s="24"/>
      <c r="H5298" s="24"/>
      <c r="J5298" s="24"/>
      <c r="K5298" s="24"/>
      <c r="M5298" s="24"/>
      <c r="N5298" s="24"/>
      <c r="P5298" s="24"/>
    </row>
    <row r="5299" spans="2:16" x14ac:dyDescent="0.25">
      <c r="B5299" s="24"/>
      <c r="E5299" s="24"/>
      <c r="G5299" s="24"/>
      <c r="H5299" s="24"/>
      <c r="J5299" s="24"/>
      <c r="K5299" s="24"/>
      <c r="M5299" s="24"/>
      <c r="N5299" s="24"/>
      <c r="P5299" s="24"/>
    </row>
    <row r="5300" spans="2:16" x14ac:dyDescent="0.25">
      <c r="B5300" s="24"/>
      <c r="E5300" s="24"/>
      <c r="G5300" s="24"/>
      <c r="H5300" s="24"/>
      <c r="J5300" s="24"/>
      <c r="K5300" s="24"/>
      <c r="M5300" s="24"/>
      <c r="N5300" s="24"/>
      <c r="P5300" s="24"/>
    </row>
    <row r="5301" spans="2:16" x14ac:dyDescent="0.25">
      <c r="B5301" s="24"/>
      <c r="E5301" s="24"/>
      <c r="G5301" s="24"/>
      <c r="H5301" s="24"/>
      <c r="J5301" s="24"/>
      <c r="K5301" s="24"/>
      <c r="M5301" s="24"/>
      <c r="N5301" s="24"/>
      <c r="P5301" s="24"/>
    </row>
    <row r="5302" spans="2:16" x14ac:dyDescent="0.25">
      <c r="B5302" s="24"/>
      <c r="E5302" s="24"/>
      <c r="G5302" s="24"/>
      <c r="H5302" s="24"/>
      <c r="J5302" s="24"/>
      <c r="K5302" s="24"/>
      <c r="M5302" s="24"/>
      <c r="N5302" s="24"/>
      <c r="P5302" s="24"/>
    </row>
    <row r="5303" spans="2:16" x14ac:dyDescent="0.25">
      <c r="B5303" s="24"/>
      <c r="E5303" s="24"/>
      <c r="G5303" s="24"/>
      <c r="H5303" s="24"/>
      <c r="J5303" s="24"/>
      <c r="K5303" s="24"/>
      <c r="M5303" s="24"/>
      <c r="N5303" s="24"/>
      <c r="P5303" s="24"/>
    </row>
    <row r="5304" spans="2:16" x14ac:dyDescent="0.25">
      <c r="B5304" s="24"/>
      <c r="E5304" s="24"/>
      <c r="G5304" s="24"/>
      <c r="H5304" s="24"/>
      <c r="J5304" s="24"/>
      <c r="K5304" s="24"/>
      <c r="M5304" s="24"/>
      <c r="N5304" s="24"/>
      <c r="P5304" s="24"/>
    </row>
    <row r="5305" spans="2:16" x14ac:dyDescent="0.25">
      <c r="B5305" s="24"/>
      <c r="E5305" s="24"/>
      <c r="G5305" s="24"/>
      <c r="H5305" s="24"/>
      <c r="J5305" s="24"/>
      <c r="K5305" s="24"/>
      <c r="M5305" s="24"/>
      <c r="N5305" s="24"/>
      <c r="P5305" s="24"/>
    </row>
    <row r="5306" spans="2:16" x14ac:dyDescent="0.25">
      <c r="B5306" s="24"/>
      <c r="E5306" s="24"/>
      <c r="G5306" s="24"/>
      <c r="H5306" s="24"/>
      <c r="J5306" s="24"/>
      <c r="K5306" s="24"/>
      <c r="M5306" s="24"/>
      <c r="N5306" s="24"/>
      <c r="P5306" s="24"/>
    </row>
    <row r="5307" spans="2:16" x14ac:dyDescent="0.25">
      <c r="B5307" s="24"/>
      <c r="E5307" s="24"/>
      <c r="G5307" s="24"/>
      <c r="H5307" s="24"/>
      <c r="J5307" s="24"/>
      <c r="K5307" s="24"/>
      <c r="M5307" s="24"/>
      <c r="N5307" s="24"/>
      <c r="P5307" s="24"/>
    </row>
    <row r="5308" spans="2:16" x14ac:dyDescent="0.25">
      <c r="B5308" s="24"/>
      <c r="E5308" s="24"/>
      <c r="G5308" s="24"/>
      <c r="H5308" s="24"/>
      <c r="J5308" s="24"/>
      <c r="K5308" s="24"/>
      <c r="M5308" s="24"/>
      <c r="N5308" s="24"/>
      <c r="P5308" s="24"/>
    </row>
    <row r="5309" spans="2:16" x14ac:dyDescent="0.25">
      <c r="B5309" s="24"/>
      <c r="E5309" s="24"/>
      <c r="G5309" s="24"/>
      <c r="H5309" s="24"/>
      <c r="J5309" s="24"/>
      <c r="K5309" s="24"/>
      <c r="M5309" s="24"/>
      <c r="N5309" s="24"/>
      <c r="P5309" s="24"/>
    </row>
    <row r="5310" spans="2:16" x14ac:dyDescent="0.25">
      <c r="B5310" s="24"/>
      <c r="E5310" s="24"/>
      <c r="G5310" s="24"/>
      <c r="H5310" s="24"/>
      <c r="J5310" s="24"/>
      <c r="K5310" s="24"/>
      <c r="M5310" s="24"/>
      <c r="N5310" s="24"/>
      <c r="P5310" s="24"/>
    </row>
    <row r="5311" spans="2:16" x14ac:dyDescent="0.25">
      <c r="B5311" s="24"/>
      <c r="E5311" s="24"/>
      <c r="G5311" s="24"/>
      <c r="H5311" s="24"/>
      <c r="J5311" s="24"/>
      <c r="K5311" s="24"/>
      <c r="M5311" s="24"/>
      <c r="N5311" s="24"/>
      <c r="P5311" s="24"/>
    </row>
    <row r="5312" spans="2:16" x14ac:dyDescent="0.25">
      <c r="B5312" s="24"/>
      <c r="E5312" s="24"/>
      <c r="G5312" s="24"/>
      <c r="H5312" s="24"/>
      <c r="J5312" s="24"/>
      <c r="K5312" s="24"/>
      <c r="M5312" s="24"/>
      <c r="N5312" s="24"/>
      <c r="P5312" s="24"/>
    </row>
    <row r="5313" spans="2:16" x14ac:dyDescent="0.25">
      <c r="B5313" s="24"/>
      <c r="E5313" s="24"/>
      <c r="G5313" s="24"/>
      <c r="H5313" s="24"/>
      <c r="J5313" s="24"/>
      <c r="K5313" s="24"/>
      <c r="M5313" s="24"/>
      <c r="N5313" s="24"/>
      <c r="P5313" s="24"/>
    </row>
    <row r="5314" spans="2:16" x14ac:dyDescent="0.25">
      <c r="B5314" s="24"/>
      <c r="E5314" s="24"/>
      <c r="G5314" s="24"/>
      <c r="H5314" s="24"/>
      <c r="J5314" s="24"/>
      <c r="K5314" s="24"/>
      <c r="M5314" s="24"/>
      <c r="N5314" s="24"/>
      <c r="P5314" s="24"/>
    </row>
    <row r="5315" spans="2:16" x14ac:dyDescent="0.25">
      <c r="B5315" s="24"/>
      <c r="E5315" s="24"/>
      <c r="G5315" s="24"/>
      <c r="H5315" s="24"/>
      <c r="J5315" s="24"/>
      <c r="K5315" s="24"/>
      <c r="M5315" s="24"/>
      <c r="N5315" s="24"/>
      <c r="P5315" s="24"/>
    </row>
    <row r="5316" spans="2:16" x14ac:dyDescent="0.25">
      <c r="B5316" s="24"/>
      <c r="E5316" s="24"/>
      <c r="G5316" s="24"/>
      <c r="H5316" s="24"/>
      <c r="J5316" s="24"/>
      <c r="K5316" s="24"/>
      <c r="M5316" s="24"/>
      <c r="N5316" s="24"/>
      <c r="P5316" s="24"/>
    </row>
    <row r="5317" spans="2:16" x14ac:dyDescent="0.25">
      <c r="B5317" s="24"/>
      <c r="E5317" s="24"/>
      <c r="G5317" s="24"/>
      <c r="H5317" s="24"/>
      <c r="J5317" s="24"/>
      <c r="K5317" s="24"/>
      <c r="M5317" s="24"/>
      <c r="N5317" s="24"/>
      <c r="P5317" s="24"/>
    </row>
    <row r="5318" spans="2:16" x14ac:dyDescent="0.25">
      <c r="B5318" s="24"/>
      <c r="E5318" s="24"/>
      <c r="G5318" s="24"/>
      <c r="H5318" s="24"/>
      <c r="J5318" s="24"/>
      <c r="K5318" s="24"/>
      <c r="M5318" s="24"/>
      <c r="N5318" s="24"/>
      <c r="P5318" s="24"/>
    </row>
    <row r="5319" spans="2:16" x14ac:dyDescent="0.25">
      <c r="B5319" s="24"/>
      <c r="E5319" s="24"/>
      <c r="G5319" s="24"/>
      <c r="H5319" s="24"/>
      <c r="J5319" s="24"/>
      <c r="K5319" s="24"/>
      <c r="M5319" s="24"/>
      <c r="N5319" s="24"/>
      <c r="P5319" s="24"/>
    </row>
    <row r="5320" spans="2:16" x14ac:dyDescent="0.25">
      <c r="B5320" s="24"/>
      <c r="E5320" s="24"/>
      <c r="G5320" s="24"/>
      <c r="H5320" s="24"/>
      <c r="J5320" s="24"/>
      <c r="K5320" s="24"/>
      <c r="M5320" s="24"/>
      <c r="N5320" s="24"/>
      <c r="P5320" s="24"/>
    </row>
    <row r="5321" spans="2:16" x14ac:dyDescent="0.25">
      <c r="B5321" s="24"/>
      <c r="E5321" s="24"/>
      <c r="G5321" s="24"/>
      <c r="H5321" s="24"/>
      <c r="J5321" s="24"/>
      <c r="K5321" s="24"/>
      <c r="M5321" s="24"/>
      <c r="N5321" s="24"/>
      <c r="P5321" s="24"/>
    </row>
    <row r="5322" spans="2:16" x14ac:dyDescent="0.25">
      <c r="B5322" s="24"/>
      <c r="E5322" s="24"/>
      <c r="G5322" s="24"/>
      <c r="H5322" s="24"/>
      <c r="J5322" s="24"/>
      <c r="K5322" s="24"/>
      <c r="M5322" s="24"/>
      <c r="N5322" s="24"/>
      <c r="P5322" s="24"/>
    </row>
    <row r="5323" spans="2:16" x14ac:dyDescent="0.25">
      <c r="B5323" s="24"/>
      <c r="E5323" s="24"/>
      <c r="G5323" s="24"/>
      <c r="H5323" s="24"/>
      <c r="J5323" s="24"/>
      <c r="K5323" s="24"/>
      <c r="M5323" s="24"/>
      <c r="N5323" s="24"/>
      <c r="P5323" s="24"/>
    </row>
    <row r="5324" spans="2:16" x14ac:dyDescent="0.25">
      <c r="B5324" s="24"/>
      <c r="E5324" s="24"/>
      <c r="G5324" s="24"/>
      <c r="H5324" s="24"/>
      <c r="J5324" s="24"/>
      <c r="K5324" s="24"/>
      <c r="M5324" s="24"/>
      <c r="N5324" s="24"/>
      <c r="P5324" s="24"/>
    </row>
    <row r="5325" spans="2:16" x14ac:dyDescent="0.25">
      <c r="B5325" s="24"/>
      <c r="E5325" s="24"/>
      <c r="G5325" s="24"/>
      <c r="H5325" s="24"/>
      <c r="J5325" s="24"/>
      <c r="K5325" s="24"/>
      <c r="M5325" s="24"/>
      <c r="N5325" s="24"/>
      <c r="P5325" s="24"/>
    </row>
    <row r="5326" spans="2:16" x14ac:dyDescent="0.25">
      <c r="B5326" s="24"/>
      <c r="E5326" s="24"/>
      <c r="G5326" s="24"/>
      <c r="H5326" s="24"/>
      <c r="J5326" s="24"/>
      <c r="K5326" s="24"/>
      <c r="M5326" s="24"/>
      <c r="N5326" s="24"/>
      <c r="P5326" s="24"/>
    </row>
    <row r="5327" spans="2:16" x14ac:dyDescent="0.25">
      <c r="B5327" s="24"/>
      <c r="E5327" s="24"/>
      <c r="G5327" s="24"/>
      <c r="H5327" s="24"/>
      <c r="J5327" s="24"/>
      <c r="K5327" s="24"/>
      <c r="M5327" s="24"/>
      <c r="N5327" s="24"/>
      <c r="P5327" s="24"/>
    </row>
    <row r="5328" spans="2:16" x14ac:dyDescent="0.25">
      <c r="B5328" s="24"/>
      <c r="E5328" s="24"/>
      <c r="G5328" s="24"/>
      <c r="H5328" s="24"/>
      <c r="J5328" s="24"/>
      <c r="K5328" s="24"/>
      <c r="M5328" s="24"/>
      <c r="N5328" s="24"/>
      <c r="P5328" s="24"/>
    </row>
    <row r="5329" spans="2:16" x14ac:dyDescent="0.25">
      <c r="B5329" s="24"/>
      <c r="E5329" s="24"/>
      <c r="G5329" s="24"/>
      <c r="H5329" s="24"/>
      <c r="J5329" s="24"/>
      <c r="K5329" s="24"/>
      <c r="M5329" s="24"/>
      <c r="N5329" s="24"/>
      <c r="P5329" s="24"/>
    </row>
    <row r="5330" spans="2:16" x14ac:dyDescent="0.25">
      <c r="B5330" s="24"/>
      <c r="E5330" s="24"/>
      <c r="G5330" s="24"/>
      <c r="H5330" s="24"/>
      <c r="J5330" s="24"/>
      <c r="K5330" s="24"/>
      <c r="M5330" s="24"/>
      <c r="N5330" s="24"/>
      <c r="P5330" s="24"/>
    </row>
    <row r="5331" spans="2:16" x14ac:dyDescent="0.25">
      <c r="B5331" s="24"/>
      <c r="E5331" s="24"/>
      <c r="G5331" s="24"/>
      <c r="H5331" s="24"/>
      <c r="J5331" s="24"/>
      <c r="K5331" s="24"/>
      <c r="M5331" s="24"/>
      <c r="N5331" s="24"/>
      <c r="P5331" s="24"/>
    </row>
    <row r="5332" spans="2:16" x14ac:dyDescent="0.25">
      <c r="B5332" s="24"/>
      <c r="E5332" s="24"/>
      <c r="G5332" s="24"/>
      <c r="H5332" s="24"/>
      <c r="J5332" s="24"/>
      <c r="K5332" s="24"/>
      <c r="M5332" s="24"/>
      <c r="N5332" s="24"/>
      <c r="P5332" s="24"/>
    </row>
    <row r="5333" spans="2:16" x14ac:dyDescent="0.25">
      <c r="B5333" s="24"/>
      <c r="E5333" s="24"/>
      <c r="G5333" s="24"/>
      <c r="H5333" s="24"/>
      <c r="J5333" s="24"/>
      <c r="K5333" s="24"/>
      <c r="M5333" s="24"/>
      <c r="N5333" s="24"/>
      <c r="P5333" s="24"/>
    </row>
    <row r="5334" spans="2:16" x14ac:dyDescent="0.25">
      <c r="B5334" s="24"/>
      <c r="E5334" s="24"/>
      <c r="G5334" s="24"/>
      <c r="H5334" s="24"/>
      <c r="J5334" s="24"/>
      <c r="K5334" s="24"/>
      <c r="M5334" s="24"/>
      <c r="N5334" s="24"/>
      <c r="P5334" s="24"/>
    </row>
    <row r="5335" spans="2:16" x14ac:dyDescent="0.25">
      <c r="B5335" s="24"/>
      <c r="E5335" s="24"/>
      <c r="G5335" s="24"/>
      <c r="H5335" s="24"/>
      <c r="J5335" s="24"/>
      <c r="K5335" s="24"/>
      <c r="M5335" s="24"/>
      <c r="N5335" s="24"/>
      <c r="P5335" s="24"/>
    </row>
    <row r="5336" spans="2:16" x14ac:dyDescent="0.25">
      <c r="B5336" s="24"/>
      <c r="E5336" s="24"/>
      <c r="G5336" s="24"/>
      <c r="H5336" s="24"/>
      <c r="J5336" s="24"/>
      <c r="K5336" s="24"/>
      <c r="M5336" s="24"/>
      <c r="N5336" s="24"/>
      <c r="P5336" s="24"/>
    </row>
    <row r="5337" spans="2:16" x14ac:dyDescent="0.25">
      <c r="B5337" s="24"/>
      <c r="E5337" s="24"/>
      <c r="G5337" s="24"/>
      <c r="H5337" s="24"/>
      <c r="J5337" s="24"/>
      <c r="K5337" s="24"/>
      <c r="M5337" s="24"/>
      <c r="N5337" s="24"/>
      <c r="P5337" s="24"/>
    </row>
    <row r="5338" spans="2:16" x14ac:dyDescent="0.25">
      <c r="B5338" s="24"/>
      <c r="E5338" s="24"/>
      <c r="G5338" s="24"/>
      <c r="H5338" s="24"/>
      <c r="J5338" s="24"/>
      <c r="K5338" s="24"/>
      <c r="M5338" s="24"/>
      <c r="N5338" s="24"/>
      <c r="P5338" s="24"/>
    </row>
    <row r="5339" spans="2:16" x14ac:dyDescent="0.25">
      <c r="B5339" s="24"/>
      <c r="E5339" s="24"/>
      <c r="G5339" s="24"/>
      <c r="H5339" s="24"/>
      <c r="J5339" s="24"/>
      <c r="K5339" s="24"/>
      <c r="M5339" s="24"/>
      <c r="N5339" s="24"/>
      <c r="P5339" s="24"/>
    </row>
    <row r="5340" spans="2:16" x14ac:dyDescent="0.25">
      <c r="B5340" s="24"/>
      <c r="E5340" s="24"/>
      <c r="G5340" s="24"/>
      <c r="H5340" s="24"/>
      <c r="J5340" s="24"/>
      <c r="K5340" s="24"/>
      <c r="M5340" s="24"/>
      <c r="N5340" s="24"/>
      <c r="P5340" s="24"/>
    </row>
    <row r="5341" spans="2:16" x14ac:dyDescent="0.25">
      <c r="B5341" s="24"/>
      <c r="E5341" s="24"/>
      <c r="G5341" s="24"/>
      <c r="H5341" s="24"/>
      <c r="J5341" s="24"/>
      <c r="K5341" s="24"/>
      <c r="M5341" s="24"/>
      <c r="N5341" s="24"/>
      <c r="P5341" s="24"/>
    </row>
    <row r="5342" spans="2:16" x14ac:dyDescent="0.25">
      <c r="B5342" s="24"/>
      <c r="E5342" s="24"/>
      <c r="G5342" s="24"/>
      <c r="H5342" s="24"/>
      <c r="J5342" s="24"/>
      <c r="K5342" s="24"/>
      <c r="M5342" s="24"/>
      <c r="N5342" s="24"/>
      <c r="P5342" s="24"/>
    </row>
    <row r="5343" spans="2:16" x14ac:dyDescent="0.25">
      <c r="B5343" s="24"/>
      <c r="E5343" s="24"/>
      <c r="G5343" s="24"/>
      <c r="H5343" s="24"/>
      <c r="J5343" s="24"/>
      <c r="K5343" s="24"/>
      <c r="M5343" s="24"/>
      <c r="N5343" s="24"/>
      <c r="P5343" s="24"/>
    </row>
    <row r="5344" spans="2:16" x14ac:dyDescent="0.25">
      <c r="B5344" s="24"/>
      <c r="E5344" s="24"/>
      <c r="G5344" s="24"/>
      <c r="H5344" s="24"/>
      <c r="J5344" s="24"/>
      <c r="K5344" s="24"/>
      <c r="M5344" s="24"/>
      <c r="N5344" s="24"/>
      <c r="P5344" s="24"/>
    </row>
    <row r="5345" spans="2:16" x14ac:dyDescent="0.25">
      <c r="B5345" s="24"/>
      <c r="E5345" s="24"/>
      <c r="G5345" s="24"/>
      <c r="H5345" s="24"/>
      <c r="J5345" s="24"/>
      <c r="K5345" s="24"/>
      <c r="M5345" s="24"/>
      <c r="N5345" s="24"/>
      <c r="P5345" s="24"/>
    </row>
    <row r="5346" spans="2:16" x14ac:dyDescent="0.25">
      <c r="B5346" s="24"/>
      <c r="E5346" s="24"/>
      <c r="G5346" s="24"/>
      <c r="H5346" s="24"/>
      <c r="J5346" s="24"/>
      <c r="K5346" s="24"/>
      <c r="M5346" s="24"/>
      <c r="N5346" s="24"/>
      <c r="P5346" s="24"/>
    </row>
    <row r="5347" spans="2:16" x14ac:dyDescent="0.25">
      <c r="B5347" s="24"/>
      <c r="E5347" s="24"/>
      <c r="G5347" s="24"/>
      <c r="H5347" s="24"/>
      <c r="J5347" s="24"/>
      <c r="K5347" s="24"/>
      <c r="M5347" s="24"/>
      <c r="N5347" s="24"/>
      <c r="P5347" s="24"/>
    </row>
    <row r="5348" spans="2:16" x14ac:dyDescent="0.25">
      <c r="B5348" s="24"/>
      <c r="E5348" s="24"/>
      <c r="G5348" s="24"/>
      <c r="H5348" s="24"/>
      <c r="J5348" s="24"/>
      <c r="K5348" s="24"/>
      <c r="M5348" s="24"/>
      <c r="N5348" s="24"/>
      <c r="P5348" s="24"/>
    </row>
    <row r="5349" spans="2:16" x14ac:dyDescent="0.25">
      <c r="B5349" s="24"/>
      <c r="E5349" s="24"/>
      <c r="G5349" s="24"/>
      <c r="H5349" s="24"/>
      <c r="J5349" s="24"/>
      <c r="K5349" s="24"/>
      <c r="M5349" s="24"/>
      <c r="N5349" s="24"/>
      <c r="P5349" s="24"/>
    </row>
    <row r="5350" spans="2:16" x14ac:dyDescent="0.25">
      <c r="B5350" s="24"/>
      <c r="E5350" s="24"/>
      <c r="G5350" s="24"/>
      <c r="H5350" s="24"/>
      <c r="J5350" s="24"/>
      <c r="K5350" s="24"/>
      <c r="M5350" s="24"/>
      <c r="N5350" s="24"/>
      <c r="P5350" s="24"/>
    </row>
    <row r="5351" spans="2:16" x14ac:dyDescent="0.25">
      <c r="B5351" s="24"/>
      <c r="E5351" s="24"/>
      <c r="G5351" s="24"/>
      <c r="H5351" s="24"/>
      <c r="J5351" s="24"/>
      <c r="K5351" s="24"/>
      <c r="M5351" s="24"/>
      <c r="N5351" s="24"/>
      <c r="P5351" s="24"/>
    </row>
    <row r="5352" spans="2:16" x14ac:dyDescent="0.25">
      <c r="B5352" s="24"/>
      <c r="E5352" s="24"/>
      <c r="G5352" s="24"/>
      <c r="H5352" s="24"/>
      <c r="J5352" s="24"/>
      <c r="K5352" s="24"/>
      <c r="M5352" s="24"/>
      <c r="N5352" s="24"/>
      <c r="P5352" s="24"/>
    </row>
    <row r="5353" spans="2:16" x14ac:dyDescent="0.25">
      <c r="B5353" s="24"/>
      <c r="E5353" s="24"/>
      <c r="G5353" s="24"/>
      <c r="H5353" s="24"/>
      <c r="J5353" s="24"/>
      <c r="K5353" s="24"/>
      <c r="M5353" s="24"/>
      <c r="N5353" s="24"/>
      <c r="P5353" s="24"/>
    </row>
    <row r="5354" spans="2:16" x14ac:dyDescent="0.25">
      <c r="B5354" s="24"/>
      <c r="E5354" s="24"/>
      <c r="G5354" s="24"/>
      <c r="H5354" s="24"/>
      <c r="J5354" s="24"/>
      <c r="K5354" s="24"/>
      <c r="M5354" s="24"/>
      <c r="N5354" s="24"/>
      <c r="P5354" s="24"/>
    </row>
    <row r="5355" spans="2:16" x14ac:dyDescent="0.25">
      <c r="B5355" s="24"/>
      <c r="E5355" s="24"/>
      <c r="G5355" s="24"/>
      <c r="H5355" s="24"/>
      <c r="J5355" s="24"/>
      <c r="K5355" s="24"/>
      <c r="M5355" s="24"/>
      <c r="N5355" s="24"/>
      <c r="P5355" s="24"/>
    </row>
    <row r="5356" spans="2:16" x14ac:dyDescent="0.25">
      <c r="B5356" s="24"/>
      <c r="E5356" s="24"/>
      <c r="G5356" s="24"/>
      <c r="H5356" s="24"/>
      <c r="J5356" s="24"/>
      <c r="K5356" s="24"/>
      <c r="M5356" s="24"/>
      <c r="N5356" s="24"/>
      <c r="P5356" s="24"/>
    </row>
    <row r="5357" spans="2:16" x14ac:dyDescent="0.25">
      <c r="B5357" s="24"/>
      <c r="E5357" s="24"/>
      <c r="G5357" s="24"/>
      <c r="H5357" s="24"/>
      <c r="J5357" s="24"/>
      <c r="K5357" s="24"/>
      <c r="M5357" s="24"/>
      <c r="N5357" s="24"/>
      <c r="P5357" s="24"/>
    </row>
    <row r="5358" spans="2:16" x14ac:dyDescent="0.25">
      <c r="B5358" s="24"/>
      <c r="E5358" s="24"/>
      <c r="G5358" s="24"/>
      <c r="H5358" s="24"/>
      <c r="J5358" s="24"/>
      <c r="K5358" s="24"/>
      <c r="M5358" s="24"/>
      <c r="N5358" s="24"/>
      <c r="P5358" s="24"/>
    </row>
    <row r="5359" spans="2:16" x14ac:dyDescent="0.25">
      <c r="B5359" s="24"/>
      <c r="E5359" s="24"/>
      <c r="G5359" s="24"/>
      <c r="H5359" s="24"/>
      <c r="J5359" s="24"/>
      <c r="K5359" s="24"/>
      <c r="M5359" s="24"/>
      <c r="N5359" s="24"/>
      <c r="P5359" s="24"/>
    </row>
    <row r="5360" spans="2:16" x14ac:dyDescent="0.25">
      <c r="B5360" s="24"/>
      <c r="E5360" s="24"/>
      <c r="G5360" s="24"/>
      <c r="H5360" s="24"/>
      <c r="J5360" s="24"/>
      <c r="K5360" s="24"/>
      <c r="M5360" s="24"/>
      <c r="N5360" s="24"/>
      <c r="P5360" s="24"/>
    </row>
    <row r="5361" spans="2:16" x14ac:dyDescent="0.25">
      <c r="B5361" s="24"/>
      <c r="E5361" s="24"/>
      <c r="G5361" s="24"/>
      <c r="H5361" s="24"/>
      <c r="J5361" s="24"/>
      <c r="K5361" s="24"/>
      <c r="M5361" s="24"/>
      <c r="N5361" s="24"/>
      <c r="P5361" s="24"/>
    </row>
    <row r="5362" spans="2:16" x14ac:dyDescent="0.25">
      <c r="B5362" s="24"/>
      <c r="E5362" s="24"/>
      <c r="G5362" s="24"/>
      <c r="H5362" s="24"/>
      <c r="J5362" s="24"/>
      <c r="K5362" s="24"/>
      <c r="M5362" s="24"/>
      <c r="N5362" s="24"/>
      <c r="P5362" s="24"/>
    </row>
    <row r="5363" spans="2:16" x14ac:dyDescent="0.25">
      <c r="B5363" s="24"/>
      <c r="E5363" s="24"/>
      <c r="G5363" s="24"/>
      <c r="H5363" s="24"/>
      <c r="J5363" s="24"/>
      <c r="K5363" s="24"/>
      <c r="M5363" s="24"/>
      <c r="N5363" s="24"/>
      <c r="P5363" s="24"/>
    </row>
    <row r="5364" spans="2:16" x14ac:dyDescent="0.25">
      <c r="B5364" s="24"/>
      <c r="E5364" s="24"/>
      <c r="G5364" s="24"/>
      <c r="H5364" s="24"/>
      <c r="J5364" s="24"/>
      <c r="K5364" s="24"/>
      <c r="M5364" s="24"/>
      <c r="N5364" s="24"/>
      <c r="P5364" s="24"/>
    </row>
    <row r="5365" spans="2:16" x14ac:dyDescent="0.25">
      <c r="B5365" s="24"/>
      <c r="E5365" s="24"/>
      <c r="G5365" s="24"/>
      <c r="H5365" s="24"/>
      <c r="J5365" s="24"/>
      <c r="K5365" s="24"/>
      <c r="M5365" s="24"/>
      <c r="N5365" s="24"/>
      <c r="P5365" s="24"/>
    </row>
    <row r="5366" spans="2:16" x14ac:dyDescent="0.25">
      <c r="B5366" s="24"/>
      <c r="E5366" s="24"/>
      <c r="G5366" s="24"/>
      <c r="H5366" s="24"/>
      <c r="J5366" s="24"/>
      <c r="K5366" s="24"/>
      <c r="M5366" s="24"/>
      <c r="N5366" s="24"/>
      <c r="P5366" s="24"/>
    </row>
    <row r="5367" spans="2:16" x14ac:dyDescent="0.25">
      <c r="B5367" s="24"/>
      <c r="E5367" s="24"/>
      <c r="G5367" s="24"/>
      <c r="H5367" s="24"/>
      <c r="J5367" s="24"/>
      <c r="K5367" s="24"/>
      <c r="M5367" s="24"/>
      <c r="N5367" s="24"/>
      <c r="P5367" s="24"/>
    </row>
    <row r="5368" spans="2:16" x14ac:dyDescent="0.25">
      <c r="B5368" s="24"/>
      <c r="E5368" s="24"/>
      <c r="G5368" s="24"/>
      <c r="H5368" s="24"/>
      <c r="J5368" s="24"/>
      <c r="K5368" s="24"/>
      <c r="M5368" s="24"/>
      <c r="N5368" s="24"/>
      <c r="P5368" s="24"/>
    </row>
    <row r="5369" spans="2:16" x14ac:dyDescent="0.25">
      <c r="B5369" s="24"/>
      <c r="E5369" s="24"/>
      <c r="G5369" s="24"/>
      <c r="H5369" s="24"/>
      <c r="J5369" s="24"/>
      <c r="K5369" s="24"/>
      <c r="M5369" s="24"/>
      <c r="N5369" s="24"/>
      <c r="P5369" s="24"/>
    </row>
    <row r="5370" spans="2:16" x14ac:dyDescent="0.25">
      <c r="B5370" s="24"/>
      <c r="E5370" s="24"/>
      <c r="G5370" s="24"/>
      <c r="H5370" s="24"/>
      <c r="J5370" s="24"/>
      <c r="K5370" s="24"/>
      <c r="M5370" s="24"/>
      <c r="N5370" s="24"/>
      <c r="P5370" s="24"/>
    </row>
    <row r="5371" spans="2:16" x14ac:dyDescent="0.25">
      <c r="B5371" s="24"/>
      <c r="E5371" s="24"/>
      <c r="G5371" s="24"/>
      <c r="H5371" s="24"/>
      <c r="J5371" s="24"/>
      <c r="K5371" s="24"/>
      <c r="M5371" s="24"/>
      <c r="N5371" s="24"/>
      <c r="P5371" s="24"/>
    </row>
    <row r="5372" spans="2:16" x14ac:dyDescent="0.25">
      <c r="B5372" s="24"/>
      <c r="E5372" s="24"/>
      <c r="G5372" s="24"/>
      <c r="H5372" s="24"/>
      <c r="J5372" s="24"/>
      <c r="K5372" s="24"/>
      <c r="M5372" s="24"/>
      <c r="N5372" s="24"/>
      <c r="P5372" s="24"/>
    </row>
    <row r="5373" spans="2:16" x14ac:dyDescent="0.25">
      <c r="B5373" s="24"/>
      <c r="E5373" s="24"/>
      <c r="G5373" s="24"/>
      <c r="H5373" s="24"/>
      <c r="J5373" s="24"/>
      <c r="K5373" s="24"/>
      <c r="M5373" s="24"/>
      <c r="N5373" s="24"/>
      <c r="P5373" s="24"/>
    </row>
    <row r="5374" spans="2:16" x14ac:dyDescent="0.25">
      <c r="B5374" s="24"/>
      <c r="E5374" s="24"/>
      <c r="G5374" s="24"/>
      <c r="H5374" s="24"/>
      <c r="J5374" s="24"/>
      <c r="K5374" s="24"/>
      <c r="M5374" s="24"/>
      <c r="N5374" s="24"/>
      <c r="P5374" s="24"/>
    </row>
    <row r="5375" spans="2:16" x14ac:dyDescent="0.25">
      <c r="B5375" s="24"/>
      <c r="E5375" s="24"/>
      <c r="G5375" s="24"/>
      <c r="H5375" s="24"/>
      <c r="J5375" s="24"/>
      <c r="K5375" s="24"/>
      <c r="M5375" s="24"/>
      <c r="N5375" s="24"/>
      <c r="P5375" s="24"/>
    </row>
    <row r="5376" spans="2:16" x14ac:dyDescent="0.25">
      <c r="B5376" s="24"/>
      <c r="E5376" s="24"/>
      <c r="G5376" s="24"/>
      <c r="H5376" s="24"/>
      <c r="J5376" s="24"/>
      <c r="K5376" s="24"/>
      <c r="M5376" s="24"/>
      <c r="N5376" s="24"/>
      <c r="P5376" s="24"/>
    </row>
    <row r="5377" spans="2:16" x14ac:dyDescent="0.25">
      <c r="B5377" s="24"/>
      <c r="E5377" s="24"/>
      <c r="G5377" s="24"/>
      <c r="H5377" s="24"/>
      <c r="J5377" s="24"/>
      <c r="K5377" s="24"/>
      <c r="M5377" s="24"/>
      <c r="N5377" s="24"/>
      <c r="P5377" s="24"/>
    </row>
    <row r="5378" spans="2:16" x14ac:dyDescent="0.25">
      <c r="B5378" s="24"/>
      <c r="E5378" s="24"/>
      <c r="G5378" s="24"/>
      <c r="H5378" s="24"/>
      <c r="J5378" s="24"/>
      <c r="K5378" s="24"/>
      <c r="M5378" s="24"/>
      <c r="N5378" s="24"/>
      <c r="P5378" s="24"/>
    </row>
    <row r="5379" spans="2:16" x14ac:dyDescent="0.25">
      <c r="B5379" s="24"/>
      <c r="E5379" s="24"/>
      <c r="G5379" s="24"/>
      <c r="H5379" s="24"/>
      <c r="J5379" s="24"/>
      <c r="K5379" s="24"/>
      <c r="M5379" s="24"/>
      <c r="N5379" s="24"/>
      <c r="P5379" s="24"/>
    </row>
    <row r="5380" spans="2:16" x14ac:dyDescent="0.25">
      <c r="B5380" s="24"/>
      <c r="E5380" s="24"/>
      <c r="G5380" s="24"/>
      <c r="H5380" s="24"/>
      <c r="J5380" s="24"/>
      <c r="K5380" s="24"/>
      <c r="M5380" s="24"/>
      <c r="N5380" s="24"/>
      <c r="P5380" s="24"/>
    </row>
    <row r="5381" spans="2:16" x14ac:dyDescent="0.25">
      <c r="B5381" s="24"/>
      <c r="E5381" s="24"/>
      <c r="G5381" s="24"/>
      <c r="H5381" s="24"/>
      <c r="J5381" s="24"/>
      <c r="K5381" s="24"/>
      <c r="M5381" s="24"/>
      <c r="N5381" s="24"/>
      <c r="P5381" s="24"/>
    </row>
    <row r="5382" spans="2:16" x14ac:dyDescent="0.25">
      <c r="B5382" s="24"/>
      <c r="E5382" s="24"/>
      <c r="G5382" s="24"/>
      <c r="H5382" s="24"/>
      <c r="J5382" s="24"/>
      <c r="K5382" s="24"/>
      <c r="M5382" s="24"/>
      <c r="N5382" s="24"/>
      <c r="P5382" s="24"/>
    </row>
    <row r="5383" spans="2:16" x14ac:dyDescent="0.25">
      <c r="B5383" s="24"/>
      <c r="E5383" s="24"/>
      <c r="G5383" s="24"/>
      <c r="H5383" s="24"/>
      <c r="J5383" s="24"/>
      <c r="K5383" s="24"/>
      <c r="M5383" s="24"/>
      <c r="N5383" s="24"/>
      <c r="P5383" s="24"/>
    </row>
    <row r="5384" spans="2:16" x14ac:dyDescent="0.25">
      <c r="B5384" s="24"/>
      <c r="E5384" s="24"/>
      <c r="G5384" s="24"/>
      <c r="H5384" s="24"/>
      <c r="J5384" s="24"/>
      <c r="K5384" s="24"/>
      <c r="M5384" s="24"/>
      <c r="N5384" s="24"/>
      <c r="P5384" s="24"/>
    </row>
    <row r="5385" spans="2:16" x14ac:dyDescent="0.25">
      <c r="B5385" s="24"/>
      <c r="E5385" s="24"/>
      <c r="G5385" s="24"/>
      <c r="H5385" s="24"/>
      <c r="J5385" s="24"/>
      <c r="K5385" s="24"/>
      <c r="M5385" s="24"/>
      <c r="N5385" s="24"/>
      <c r="P5385" s="24"/>
    </row>
    <row r="5386" spans="2:16" x14ac:dyDescent="0.25">
      <c r="B5386" s="24"/>
      <c r="E5386" s="24"/>
      <c r="G5386" s="24"/>
      <c r="H5386" s="24"/>
      <c r="J5386" s="24"/>
      <c r="K5386" s="24"/>
      <c r="M5386" s="24"/>
      <c r="N5386" s="24"/>
      <c r="P5386" s="24"/>
    </row>
    <row r="5387" spans="2:16" x14ac:dyDescent="0.25">
      <c r="B5387" s="24"/>
      <c r="E5387" s="24"/>
      <c r="G5387" s="24"/>
      <c r="H5387" s="24"/>
      <c r="J5387" s="24"/>
      <c r="K5387" s="24"/>
      <c r="M5387" s="24"/>
      <c r="N5387" s="24"/>
      <c r="P5387" s="24"/>
    </row>
    <row r="5388" spans="2:16" x14ac:dyDescent="0.25">
      <c r="B5388" s="24"/>
      <c r="E5388" s="24"/>
      <c r="G5388" s="24"/>
      <c r="H5388" s="24"/>
      <c r="J5388" s="24"/>
      <c r="K5388" s="24"/>
      <c r="M5388" s="24"/>
      <c r="N5388" s="24"/>
      <c r="P5388" s="24"/>
    </row>
    <row r="5389" spans="2:16" x14ac:dyDescent="0.25">
      <c r="B5389" s="24"/>
      <c r="E5389" s="24"/>
      <c r="G5389" s="24"/>
      <c r="H5389" s="24"/>
      <c r="J5389" s="24"/>
      <c r="K5389" s="24"/>
      <c r="M5389" s="24"/>
      <c r="N5389" s="24"/>
      <c r="P5389" s="24"/>
    </row>
    <row r="5390" spans="2:16" x14ac:dyDescent="0.25">
      <c r="B5390" s="24"/>
      <c r="E5390" s="24"/>
      <c r="G5390" s="24"/>
      <c r="H5390" s="24"/>
      <c r="J5390" s="24"/>
      <c r="K5390" s="24"/>
      <c r="M5390" s="24"/>
      <c r="N5390" s="24"/>
      <c r="P5390" s="24"/>
    </row>
    <row r="5391" spans="2:16" x14ac:dyDescent="0.25">
      <c r="B5391" s="24"/>
      <c r="E5391" s="24"/>
      <c r="G5391" s="24"/>
      <c r="H5391" s="24"/>
      <c r="J5391" s="24"/>
      <c r="K5391" s="24"/>
      <c r="M5391" s="24"/>
      <c r="N5391" s="24"/>
      <c r="P5391" s="24"/>
    </row>
    <row r="5392" spans="2:16" x14ac:dyDescent="0.25">
      <c r="B5392" s="24"/>
      <c r="E5392" s="24"/>
      <c r="G5392" s="24"/>
      <c r="H5392" s="24"/>
      <c r="J5392" s="24"/>
      <c r="K5392" s="24"/>
      <c r="M5392" s="24"/>
      <c r="N5392" s="24"/>
      <c r="P5392" s="24"/>
    </row>
    <row r="5393" spans="2:16" x14ac:dyDescent="0.25">
      <c r="B5393" s="24"/>
      <c r="E5393" s="24"/>
      <c r="G5393" s="24"/>
      <c r="H5393" s="24"/>
      <c r="J5393" s="24"/>
      <c r="K5393" s="24"/>
      <c r="M5393" s="24"/>
      <c r="N5393" s="24"/>
      <c r="P5393" s="24"/>
    </row>
    <row r="5394" spans="2:16" x14ac:dyDescent="0.25">
      <c r="B5394" s="24"/>
      <c r="E5394" s="24"/>
      <c r="G5394" s="24"/>
      <c r="H5394" s="24"/>
      <c r="J5394" s="24"/>
      <c r="K5394" s="24"/>
      <c r="M5394" s="24"/>
      <c r="N5394" s="24"/>
      <c r="P5394" s="24"/>
    </row>
    <row r="5395" spans="2:16" x14ac:dyDescent="0.25">
      <c r="B5395" s="24"/>
      <c r="E5395" s="24"/>
      <c r="G5395" s="24"/>
      <c r="H5395" s="24"/>
      <c r="J5395" s="24"/>
      <c r="K5395" s="24"/>
      <c r="M5395" s="24"/>
      <c r="N5395" s="24"/>
      <c r="P5395" s="24"/>
    </row>
    <row r="5396" spans="2:16" x14ac:dyDescent="0.25">
      <c r="B5396" s="24"/>
      <c r="E5396" s="24"/>
      <c r="G5396" s="24"/>
      <c r="H5396" s="24"/>
      <c r="J5396" s="24"/>
      <c r="K5396" s="24"/>
      <c r="M5396" s="24"/>
      <c r="N5396" s="24"/>
      <c r="P5396" s="24"/>
    </row>
    <row r="5397" spans="2:16" x14ac:dyDescent="0.25">
      <c r="B5397" s="24"/>
      <c r="E5397" s="24"/>
      <c r="G5397" s="24"/>
      <c r="H5397" s="24"/>
      <c r="J5397" s="24"/>
      <c r="K5397" s="24"/>
      <c r="M5397" s="24"/>
      <c r="N5397" s="24"/>
      <c r="P5397" s="24"/>
    </row>
    <row r="5398" spans="2:16" x14ac:dyDescent="0.25">
      <c r="B5398" s="24"/>
      <c r="E5398" s="24"/>
      <c r="G5398" s="24"/>
      <c r="H5398" s="24"/>
      <c r="J5398" s="24"/>
      <c r="K5398" s="24"/>
      <c r="M5398" s="24"/>
      <c r="N5398" s="24"/>
      <c r="P5398" s="24"/>
    </row>
    <row r="5399" spans="2:16" x14ac:dyDescent="0.25">
      <c r="B5399" s="24"/>
      <c r="E5399" s="24"/>
      <c r="G5399" s="24"/>
      <c r="H5399" s="24"/>
      <c r="J5399" s="24"/>
      <c r="K5399" s="24"/>
      <c r="M5399" s="24"/>
      <c r="N5399" s="24"/>
      <c r="P5399" s="24"/>
    </row>
    <row r="5400" spans="2:16" x14ac:dyDescent="0.25">
      <c r="B5400" s="24"/>
      <c r="E5400" s="24"/>
      <c r="G5400" s="24"/>
      <c r="H5400" s="24"/>
      <c r="J5400" s="24"/>
      <c r="K5400" s="24"/>
      <c r="M5400" s="24"/>
      <c r="N5400" s="24"/>
      <c r="P5400" s="24"/>
    </row>
    <row r="5401" spans="2:16" x14ac:dyDescent="0.25">
      <c r="B5401" s="24"/>
      <c r="E5401" s="24"/>
      <c r="G5401" s="24"/>
      <c r="H5401" s="24"/>
      <c r="J5401" s="24"/>
      <c r="K5401" s="24"/>
      <c r="M5401" s="24"/>
      <c r="N5401" s="24"/>
      <c r="P5401" s="24"/>
    </row>
    <row r="5402" spans="2:16" x14ac:dyDescent="0.25">
      <c r="B5402" s="24"/>
      <c r="E5402" s="24"/>
      <c r="G5402" s="24"/>
      <c r="H5402" s="24"/>
      <c r="J5402" s="24"/>
      <c r="K5402" s="24"/>
      <c r="M5402" s="24"/>
      <c r="N5402" s="24"/>
      <c r="P5402" s="24"/>
    </row>
    <row r="5403" spans="2:16" x14ac:dyDescent="0.25">
      <c r="B5403" s="24"/>
      <c r="E5403" s="24"/>
      <c r="G5403" s="24"/>
      <c r="H5403" s="24"/>
      <c r="J5403" s="24"/>
      <c r="K5403" s="24"/>
      <c r="M5403" s="24"/>
      <c r="N5403" s="24"/>
      <c r="P5403" s="24"/>
    </row>
    <row r="5404" spans="2:16" x14ac:dyDescent="0.25">
      <c r="B5404" s="24"/>
      <c r="E5404" s="24"/>
      <c r="G5404" s="24"/>
      <c r="H5404" s="24"/>
      <c r="J5404" s="24"/>
      <c r="K5404" s="24"/>
      <c r="M5404" s="24"/>
      <c r="N5404" s="24"/>
      <c r="P5404" s="24"/>
    </row>
    <row r="5405" spans="2:16" x14ac:dyDescent="0.25">
      <c r="B5405" s="24"/>
      <c r="E5405" s="24"/>
      <c r="G5405" s="24"/>
      <c r="H5405" s="24"/>
      <c r="J5405" s="24"/>
      <c r="K5405" s="24"/>
      <c r="M5405" s="24"/>
      <c r="N5405" s="24"/>
      <c r="P5405" s="24"/>
    </row>
    <row r="5406" spans="2:16" x14ac:dyDescent="0.25">
      <c r="B5406" s="24"/>
      <c r="E5406" s="24"/>
      <c r="G5406" s="24"/>
      <c r="H5406" s="24"/>
      <c r="J5406" s="24"/>
      <c r="K5406" s="24"/>
      <c r="M5406" s="24"/>
      <c r="N5406" s="24"/>
      <c r="P5406" s="24"/>
    </row>
    <row r="5407" spans="2:16" x14ac:dyDescent="0.25">
      <c r="B5407" s="24"/>
      <c r="E5407" s="24"/>
      <c r="G5407" s="24"/>
      <c r="H5407" s="24"/>
      <c r="J5407" s="24"/>
      <c r="K5407" s="24"/>
      <c r="M5407" s="24"/>
      <c r="N5407" s="24"/>
      <c r="P5407" s="24"/>
    </row>
    <row r="5408" spans="2:16" x14ac:dyDescent="0.25">
      <c r="B5408" s="24"/>
      <c r="E5408" s="24"/>
      <c r="G5408" s="24"/>
      <c r="H5408" s="24"/>
      <c r="J5408" s="24"/>
      <c r="K5408" s="24"/>
      <c r="M5408" s="24"/>
      <c r="N5408" s="24"/>
      <c r="P5408" s="24"/>
    </row>
    <row r="5409" spans="2:16" x14ac:dyDescent="0.25">
      <c r="B5409" s="24"/>
      <c r="E5409" s="24"/>
      <c r="G5409" s="24"/>
      <c r="H5409" s="24"/>
      <c r="J5409" s="24"/>
      <c r="K5409" s="24"/>
      <c r="M5409" s="24"/>
      <c r="N5409" s="24"/>
      <c r="P5409" s="24"/>
    </row>
    <row r="5410" spans="2:16" x14ac:dyDescent="0.25">
      <c r="B5410" s="24"/>
      <c r="E5410" s="24"/>
      <c r="G5410" s="24"/>
      <c r="H5410" s="24"/>
      <c r="J5410" s="24"/>
      <c r="K5410" s="24"/>
      <c r="M5410" s="24"/>
      <c r="N5410" s="24"/>
      <c r="P5410" s="24"/>
    </row>
    <row r="5411" spans="2:16" x14ac:dyDescent="0.25">
      <c r="B5411" s="24"/>
      <c r="E5411" s="24"/>
      <c r="G5411" s="24"/>
      <c r="H5411" s="24"/>
      <c r="J5411" s="24"/>
      <c r="K5411" s="24"/>
      <c r="M5411" s="24"/>
      <c r="N5411" s="24"/>
      <c r="P5411" s="24"/>
    </row>
    <row r="5412" spans="2:16" x14ac:dyDescent="0.25">
      <c r="B5412" s="24"/>
      <c r="E5412" s="24"/>
      <c r="G5412" s="24"/>
      <c r="H5412" s="24"/>
      <c r="J5412" s="24"/>
      <c r="K5412" s="24"/>
      <c r="M5412" s="24"/>
      <c r="N5412" s="24"/>
      <c r="P5412" s="24"/>
    </row>
    <row r="5413" spans="2:16" x14ac:dyDescent="0.25">
      <c r="B5413" s="24"/>
      <c r="E5413" s="24"/>
      <c r="G5413" s="24"/>
      <c r="H5413" s="24"/>
      <c r="J5413" s="24"/>
      <c r="K5413" s="24"/>
      <c r="M5413" s="24"/>
      <c r="N5413" s="24"/>
      <c r="P5413" s="24"/>
    </row>
    <row r="5414" spans="2:16" x14ac:dyDescent="0.25">
      <c r="B5414" s="24"/>
      <c r="E5414" s="24"/>
      <c r="G5414" s="24"/>
      <c r="H5414" s="24"/>
      <c r="J5414" s="24"/>
      <c r="K5414" s="24"/>
      <c r="M5414" s="24"/>
      <c r="N5414" s="24"/>
      <c r="P5414" s="24"/>
    </row>
    <row r="5415" spans="2:16" x14ac:dyDescent="0.25">
      <c r="B5415" s="24"/>
      <c r="E5415" s="24"/>
      <c r="G5415" s="24"/>
      <c r="H5415" s="24"/>
      <c r="J5415" s="24"/>
      <c r="K5415" s="24"/>
      <c r="M5415" s="24"/>
      <c r="N5415" s="24"/>
      <c r="P5415" s="24"/>
    </row>
    <row r="5416" spans="2:16" x14ac:dyDescent="0.25">
      <c r="B5416" s="24"/>
      <c r="E5416" s="24"/>
      <c r="G5416" s="24"/>
      <c r="H5416" s="24"/>
      <c r="J5416" s="24"/>
      <c r="K5416" s="24"/>
      <c r="M5416" s="24"/>
      <c r="N5416" s="24"/>
      <c r="P5416" s="24"/>
    </row>
    <row r="5417" spans="2:16" x14ac:dyDescent="0.25">
      <c r="B5417" s="24"/>
      <c r="E5417" s="24"/>
      <c r="G5417" s="24"/>
      <c r="H5417" s="24"/>
      <c r="J5417" s="24"/>
      <c r="K5417" s="24"/>
      <c r="M5417" s="24"/>
      <c r="N5417" s="24"/>
      <c r="P5417" s="24"/>
    </row>
    <row r="5418" spans="2:16" x14ac:dyDescent="0.25">
      <c r="B5418" s="24"/>
      <c r="E5418" s="24"/>
      <c r="G5418" s="24"/>
      <c r="H5418" s="24"/>
      <c r="J5418" s="24"/>
      <c r="K5418" s="24"/>
      <c r="M5418" s="24"/>
      <c r="N5418" s="24"/>
      <c r="P5418" s="24"/>
    </row>
    <row r="5419" spans="2:16" x14ac:dyDescent="0.25">
      <c r="B5419" s="24"/>
      <c r="E5419" s="24"/>
      <c r="G5419" s="24"/>
      <c r="H5419" s="24"/>
      <c r="J5419" s="24"/>
      <c r="K5419" s="24"/>
      <c r="M5419" s="24"/>
      <c r="N5419" s="24"/>
      <c r="P5419" s="24"/>
    </row>
    <row r="5420" spans="2:16" x14ac:dyDescent="0.25">
      <c r="B5420" s="24"/>
      <c r="E5420" s="24"/>
      <c r="G5420" s="24"/>
      <c r="H5420" s="24"/>
      <c r="J5420" s="24"/>
      <c r="K5420" s="24"/>
      <c r="M5420" s="24"/>
      <c r="N5420" s="24"/>
      <c r="P5420" s="24"/>
    </row>
    <row r="5421" spans="2:16" x14ac:dyDescent="0.25">
      <c r="B5421" s="24"/>
      <c r="E5421" s="24"/>
      <c r="G5421" s="24"/>
      <c r="H5421" s="24"/>
      <c r="J5421" s="24"/>
      <c r="K5421" s="24"/>
      <c r="M5421" s="24"/>
      <c r="N5421" s="24"/>
      <c r="P5421" s="24"/>
    </row>
    <row r="5422" spans="2:16" x14ac:dyDescent="0.25">
      <c r="B5422" s="24"/>
      <c r="E5422" s="24"/>
      <c r="G5422" s="24"/>
      <c r="H5422" s="24"/>
      <c r="J5422" s="24"/>
      <c r="K5422" s="24"/>
      <c r="M5422" s="24"/>
      <c r="N5422" s="24"/>
      <c r="P5422" s="24"/>
    </row>
    <row r="5423" spans="2:16" x14ac:dyDescent="0.25">
      <c r="B5423" s="24"/>
      <c r="E5423" s="24"/>
      <c r="G5423" s="24"/>
      <c r="H5423" s="24"/>
      <c r="J5423" s="24"/>
      <c r="K5423" s="24"/>
      <c r="M5423" s="24"/>
      <c r="N5423" s="24"/>
      <c r="P5423" s="24"/>
    </row>
    <row r="5424" spans="2:16" x14ac:dyDescent="0.25">
      <c r="B5424" s="24"/>
      <c r="E5424" s="24"/>
      <c r="G5424" s="24"/>
      <c r="H5424" s="24"/>
      <c r="J5424" s="24"/>
      <c r="K5424" s="24"/>
      <c r="M5424" s="24"/>
      <c r="N5424" s="24"/>
      <c r="P5424" s="24"/>
    </row>
    <row r="5425" spans="2:16" x14ac:dyDescent="0.25">
      <c r="B5425" s="24"/>
      <c r="E5425" s="24"/>
      <c r="G5425" s="24"/>
      <c r="H5425" s="24"/>
      <c r="J5425" s="24"/>
      <c r="K5425" s="24"/>
      <c r="M5425" s="24"/>
      <c r="N5425" s="24"/>
      <c r="P5425" s="24"/>
    </row>
    <row r="5426" spans="2:16" x14ac:dyDescent="0.25">
      <c r="B5426" s="24"/>
      <c r="E5426" s="24"/>
      <c r="G5426" s="24"/>
      <c r="H5426" s="24"/>
      <c r="J5426" s="24"/>
      <c r="K5426" s="24"/>
      <c r="M5426" s="24"/>
      <c r="N5426" s="24"/>
      <c r="P5426" s="24"/>
    </row>
    <row r="5427" spans="2:16" x14ac:dyDescent="0.25">
      <c r="B5427" s="24"/>
      <c r="E5427" s="24"/>
      <c r="G5427" s="24"/>
      <c r="H5427" s="24"/>
      <c r="J5427" s="24"/>
      <c r="K5427" s="24"/>
      <c r="M5427" s="24"/>
      <c r="N5427" s="24"/>
      <c r="P5427" s="24"/>
    </row>
    <row r="5428" spans="2:16" x14ac:dyDescent="0.25">
      <c r="B5428" s="24"/>
      <c r="E5428" s="24"/>
      <c r="G5428" s="24"/>
      <c r="H5428" s="24"/>
      <c r="J5428" s="24"/>
      <c r="K5428" s="24"/>
      <c r="M5428" s="24"/>
      <c r="N5428" s="24"/>
      <c r="P5428" s="24"/>
    </row>
    <row r="5429" spans="2:16" x14ac:dyDescent="0.25">
      <c r="B5429" s="24"/>
      <c r="E5429" s="24"/>
      <c r="G5429" s="24"/>
      <c r="H5429" s="24"/>
      <c r="J5429" s="24"/>
      <c r="K5429" s="24"/>
      <c r="M5429" s="24"/>
      <c r="N5429" s="24"/>
      <c r="P5429" s="24"/>
    </row>
    <row r="5430" spans="2:16" x14ac:dyDescent="0.25">
      <c r="B5430" s="24"/>
      <c r="E5430" s="24"/>
      <c r="G5430" s="24"/>
      <c r="H5430" s="24"/>
      <c r="J5430" s="24"/>
      <c r="K5430" s="24"/>
      <c r="M5430" s="24"/>
      <c r="N5430" s="24"/>
      <c r="P5430" s="24"/>
    </row>
    <row r="5431" spans="2:16" x14ac:dyDescent="0.25">
      <c r="B5431" s="24"/>
      <c r="E5431" s="24"/>
      <c r="G5431" s="24"/>
      <c r="H5431" s="24"/>
      <c r="J5431" s="24"/>
      <c r="K5431" s="24"/>
      <c r="M5431" s="24"/>
      <c r="N5431" s="24"/>
      <c r="P5431" s="24"/>
    </row>
    <row r="5432" spans="2:16" x14ac:dyDescent="0.25">
      <c r="B5432" s="24"/>
      <c r="E5432" s="24"/>
      <c r="G5432" s="24"/>
      <c r="H5432" s="24"/>
      <c r="J5432" s="24"/>
      <c r="K5432" s="24"/>
      <c r="M5432" s="24"/>
      <c r="N5432" s="24"/>
      <c r="P5432" s="24"/>
    </row>
    <row r="5433" spans="2:16" x14ac:dyDescent="0.25">
      <c r="B5433" s="24"/>
      <c r="E5433" s="24"/>
      <c r="G5433" s="24"/>
      <c r="H5433" s="24"/>
      <c r="J5433" s="24"/>
      <c r="K5433" s="24"/>
      <c r="M5433" s="24"/>
      <c r="N5433" s="24"/>
      <c r="P5433" s="24"/>
    </row>
    <row r="5434" spans="2:16" x14ac:dyDescent="0.25">
      <c r="B5434" s="24"/>
      <c r="E5434" s="24"/>
      <c r="G5434" s="24"/>
      <c r="H5434" s="24"/>
      <c r="J5434" s="24"/>
      <c r="K5434" s="24"/>
      <c r="M5434" s="24"/>
      <c r="N5434" s="24"/>
      <c r="P5434" s="24"/>
    </row>
    <row r="5435" spans="2:16" x14ac:dyDescent="0.25">
      <c r="B5435" s="24"/>
      <c r="E5435" s="24"/>
      <c r="G5435" s="24"/>
      <c r="H5435" s="24"/>
      <c r="J5435" s="24"/>
      <c r="K5435" s="24"/>
      <c r="M5435" s="24"/>
      <c r="N5435" s="24"/>
      <c r="P5435" s="24"/>
    </row>
    <row r="5436" spans="2:16" x14ac:dyDescent="0.25">
      <c r="B5436" s="24"/>
      <c r="E5436" s="24"/>
      <c r="G5436" s="24"/>
      <c r="H5436" s="24"/>
      <c r="J5436" s="24"/>
      <c r="K5436" s="24"/>
      <c r="M5436" s="24"/>
      <c r="N5436" s="24"/>
      <c r="P5436" s="24"/>
    </row>
    <row r="5437" spans="2:16" x14ac:dyDescent="0.25">
      <c r="B5437" s="24"/>
      <c r="E5437" s="24"/>
      <c r="G5437" s="24"/>
      <c r="H5437" s="24"/>
      <c r="J5437" s="24"/>
      <c r="K5437" s="24"/>
      <c r="M5437" s="24"/>
      <c r="N5437" s="24"/>
      <c r="P5437" s="24"/>
    </row>
    <row r="5438" spans="2:16" x14ac:dyDescent="0.25">
      <c r="B5438" s="24"/>
      <c r="E5438" s="24"/>
      <c r="G5438" s="24"/>
      <c r="H5438" s="24"/>
      <c r="J5438" s="24"/>
      <c r="K5438" s="24"/>
      <c r="M5438" s="24"/>
      <c r="N5438" s="24"/>
      <c r="P5438" s="24"/>
    </row>
    <row r="5439" spans="2:16" x14ac:dyDescent="0.25">
      <c r="B5439" s="24"/>
      <c r="E5439" s="24"/>
      <c r="G5439" s="24"/>
      <c r="H5439" s="24"/>
      <c r="J5439" s="24"/>
      <c r="K5439" s="24"/>
      <c r="M5439" s="24"/>
      <c r="N5439" s="24"/>
      <c r="P5439" s="24"/>
    </row>
    <row r="5440" spans="2:16" x14ac:dyDescent="0.25">
      <c r="B5440" s="24"/>
      <c r="E5440" s="24"/>
      <c r="G5440" s="24"/>
      <c r="H5440" s="24"/>
      <c r="J5440" s="24"/>
      <c r="K5440" s="24"/>
      <c r="M5440" s="24"/>
      <c r="N5440" s="24"/>
      <c r="P5440" s="24"/>
    </row>
    <row r="5441" spans="2:16" x14ac:dyDescent="0.25">
      <c r="B5441" s="24"/>
      <c r="E5441" s="24"/>
      <c r="G5441" s="24"/>
      <c r="H5441" s="24"/>
      <c r="J5441" s="24"/>
      <c r="K5441" s="24"/>
      <c r="M5441" s="24"/>
      <c r="N5441" s="24"/>
      <c r="P5441" s="24"/>
    </row>
    <row r="5442" spans="2:16" x14ac:dyDescent="0.25">
      <c r="B5442" s="24"/>
      <c r="E5442" s="24"/>
      <c r="G5442" s="24"/>
      <c r="H5442" s="24"/>
      <c r="J5442" s="24"/>
      <c r="K5442" s="24"/>
      <c r="M5442" s="24"/>
      <c r="N5442" s="24"/>
      <c r="P5442" s="24"/>
    </row>
    <row r="5443" spans="2:16" x14ac:dyDescent="0.25">
      <c r="B5443" s="24"/>
      <c r="E5443" s="24"/>
      <c r="G5443" s="24"/>
      <c r="H5443" s="24"/>
      <c r="J5443" s="24"/>
      <c r="K5443" s="24"/>
      <c r="M5443" s="24"/>
      <c r="N5443" s="24"/>
      <c r="P5443" s="24"/>
    </row>
  </sheetData>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35"/>
  <sheetViews>
    <sheetView workbookViewId="0"/>
  </sheetViews>
  <sheetFormatPr defaultRowHeight="13.2" x14ac:dyDescent="0.25"/>
  <cols>
    <col min="1" max="1" width="122.44140625" customWidth="1"/>
    <col min="2" max="2" width="23.6640625" style="30" customWidth="1"/>
    <col min="3" max="3" width="18.6640625" style="24" customWidth="1"/>
    <col min="4" max="4" width="19.5546875" style="24" customWidth="1"/>
    <col min="5" max="5" width="25.88671875" style="30" customWidth="1"/>
    <col min="6" max="6" width="25.109375" style="24" customWidth="1"/>
    <col min="7" max="7" width="25.5546875" style="16" customWidth="1"/>
    <col min="8" max="8" width="82.109375" customWidth="1"/>
    <col min="9" max="9" width="25" style="24" customWidth="1"/>
    <col min="10" max="10" width="28.6640625" style="16" customWidth="1"/>
    <col min="11" max="11" width="28" customWidth="1"/>
    <col min="12" max="12" width="29.88671875" style="24" customWidth="1"/>
    <col min="13" max="13" width="30.44140625" style="16" customWidth="1"/>
    <col min="14" max="14" width="24.88671875" customWidth="1"/>
    <col min="15" max="15" width="9.109375" style="24"/>
    <col min="16" max="16" width="29.44140625" style="16" customWidth="1"/>
  </cols>
  <sheetData>
    <row r="1" spans="1:16" x14ac:dyDescent="0.25">
      <c r="A1" s="92" t="s">
        <v>1448</v>
      </c>
      <c r="B1" s="82"/>
      <c r="C1" s="369"/>
      <c r="D1" s="82"/>
      <c r="E1" s="82"/>
      <c r="F1" s="82"/>
      <c r="G1" s="82"/>
      <c r="H1" s="34"/>
      <c r="I1" s="82"/>
      <c r="J1" s="82"/>
      <c r="K1" s="82"/>
      <c r="L1" s="82"/>
      <c r="M1" s="82"/>
      <c r="N1" s="34"/>
      <c r="O1" s="82"/>
      <c r="P1" s="370"/>
    </row>
    <row r="2" spans="1:16" x14ac:dyDescent="0.25">
      <c r="A2" s="82"/>
      <c r="B2" s="82"/>
      <c r="C2" s="369"/>
      <c r="D2" s="82"/>
      <c r="E2" s="82"/>
      <c r="F2" s="82"/>
      <c r="G2" s="82"/>
      <c r="H2" s="34"/>
      <c r="I2" s="82"/>
      <c r="J2" s="82"/>
      <c r="K2" s="82"/>
      <c r="L2" s="82"/>
      <c r="M2" s="82"/>
      <c r="N2" s="34"/>
      <c r="O2" s="82"/>
      <c r="P2" s="370"/>
    </row>
    <row r="3" spans="1:16" x14ac:dyDescent="0.25">
      <c r="A3" s="35" t="str">
        <f>SummaryEtEnergy!A3</f>
        <v>Produced by Onesmus Mwabonje, Charlotte Hatto and Nigel Mortimer, North Energy Associates Ltd., on 9 November 2014 for the SUNLIBB Project</v>
      </c>
      <c r="B3" s="82"/>
      <c r="C3" s="369"/>
      <c r="D3" s="82"/>
      <c r="E3" s="82"/>
      <c r="F3" s="82"/>
      <c r="G3" s="82"/>
      <c r="H3" s="34"/>
      <c r="I3" s="82"/>
      <c r="J3" s="82"/>
      <c r="K3" s="82"/>
      <c r="L3" s="82"/>
      <c r="M3" s="82"/>
      <c r="N3" s="34"/>
      <c r="O3" s="82"/>
      <c r="P3" s="370"/>
    </row>
    <row r="4" spans="1:16" x14ac:dyDescent="0.25">
      <c r="A4" s="82"/>
      <c r="B4" s="82"/>
      <c r="C4" s="369"/>
      <c r="D4" s="82"/>
      <c r="E4" s="82"/>
      <c r="F4" s="82"/>
      <c r="G4" s="82"/>
      <c r="H4" s="34"/>
      <c r="I4" s="82"/>
      <c r="J4" s="82"/>
      <c r="K4" s="82"/>
      <c r="L4" s="82"/>
      <c r="M4" s="82"/>
      <c r="N4" s="34"/>
      <c r="O4" s="82"/>
      <c r="P4" s="370"/>
    </row>
    <row r="5" spans="1:16" x14ac:dyDescent="0.25">
      <c r="A5" s="82" t="s">
        <v>238</v>
      </c>
      <c r="B5" s="1090" t="s">
        <v>1447</v>
      </c>
      <c r="C5" s="369"/>
      <c r="D5" s="82"/>
      <c r="E5" s="82"/>
      <c r="F5" s="82"/>
      <c r="G5" s="82"/>
      <c r="H5" s="34"/>
      <c r="I5" s="82"/>
      <c r="J5" s="82"/>
      <c r="K5" s="82"/>
      <c r="L5" s="82"/>
      <c r="M5" s="82"/>
      <c r="N5" s="34"/>
      <c r="O5" s="82"/>
      <c r="P5" s="370"/>
    </row>
    <row r="6" spans="1:16" x14ac:dyDescent="0.25">
      <c r="A6" s="82" t="s">
        <v>241</v>
      </c>
      <c r="B6" s="232" t="s">
        <v>450</v>
      </c>
      <c r="C6" s="369"/>
      <c r="D6" s="82"/>
      <c r="E6" s="82"/>
      <c r="F6" s="82"/>
      <c r="G6" s="82"/>
      <c r="H6" s="34"/>
      <c r="I6" s="82"/>
      <c r="J6" s="82"/>
      <c r="K6" s="82"/>
      <c r="L6" s="82"/>
      <c r="M6" s="82"/>
      <c r="N6" s="34"/>
      <c r="O6" s="82"/>
      <c r="P6" s="370"/>
    </row>
    <row r="7" spans="1:16" x14ac:dyDescent="0.25">
      <c r="A7" s="82" t="s">
        <v>239</v>
      </c>
      <c r="B7" s="1090" t="s">
        <v>1422</v>
      </c>
      <c r="C7" s="369"/>
      <c r="D7" s="82"/>
      <c r="E7" s="82"/>
      <c r="F7" s="82"/>
      <c r="G7" s="82"/>
      <c r="H7" s="34"/>
      <c r="I7" s="82"/>
      <c r="J7" s="82"/>
      <c r="K7" s="82"/>
      <c r="L7" s="82"/>
      <c r="M7" s="82"/>
      <c r="N7" s="34"/>
      <c r="O7" s="82"/>
      <c r="P7" s="370"/>
    </row>
    <row r="8" spans="1:16" x14ac:dyDescent="0.25">
      <c r="A8" s="82" t="s">
        <v>240</v>
      </c>
      <c r="B8" s="352">
        <v>2010</v>
      </c>
      <c r="C8" s="369"/>
      <c r="D8" s="82"/>
      <c r="E8" s="82"/>
      <c r="F8" s="82"/>
      <c r="G8" s="82"/>
      <c r="H8" s="34"/>
      <c r="I8" s="82"/>
      <c r="J8" s="82"/>
      <c r="K8" s="82"/>
      <c r="L8" s="82"/>
      <c r="M8" s="82"/>
      <c r="N8" s="34"/>
      <c r="O8" s="82"/>
      <c r="P8" s="370"/>
    </row>
    <row r="9" spans="1:16" x14ac:dyDescent="0.25">
      <c r="A9" s="82"/>
      <c r="B9" s="82"/>
      <c r="C9" s="369"/>
      <c r="D9" s="82"/>
      <c r="E9" s="82"/>
      <c r="F9" s="82"/>
      <c r="G9" s="82"/>
      <c r="H9" s="34"/>
      <c r="I9" s="82"/>
      <c r="J9" s="82"/>
      <c r="K9" s="82"/>
      <c r="L9" s="82"/>
      <c r="M9" s="82"/>
      <c r="N9" s="34"/>
      <c r="O9" s="82"/>
      <c r="P9" s="370"/>
    </row>
    <row r="10" spans="1:16" ht="13.8" thickBot="1" x14ac:dyDescent="0.3">
      <c r="A10" s="33" t="s">
        <v>425</v>
      </c>
      <c r="B10" s="82"/>
      <c r="C10" s="369"/>
      <c r="D10" s="82"/>
      <c r="E10" s="82"/>
      <c r="F10" s="82"/>
      <c r="G10" s="82"/>
      <c r="H10" s="33" t="s">
        <v>159</v>
      </c>
      <c r="I10" s="82"/>
      <c r="J10" s="369"/>
      <c r="K10" s="70"/>
      <c r="L10" s="70"/>
      <c r="M10" s="70"/>
      <c r="N10" s="34"/>
      <c r="O10" s="82"/>
      <c r="P10" s="370"/>
    </row>
    <row r="11" spans="1:16" ht="30.75" customHeight="1" x14ac:dyDescent="0.25">
      <c r="A11" s="36" t="s">
        <v>39</v>
      </c>
      <c r="B11" s="37" t="s">
        <v>933</v>
      </c>
      <c r="C11" s="372" t="s">
        <v>23</v>
      </c>
      <c r="D11" s="37" t="s">
        <v>24</v>
      </c>
      <c r="E11" s="37" t="s">
        <v>25</v>
      </c>
      <c r="F11" s="371" t="s">
        <v>26</v>
      </c>
      <c r="G11" s="370"/>
      <c r="H11" s="36" t="s">
        <v>39</v>
      </c>
      <c r="I11" s="373" t="s">
        <v>933</v>
      </c>
      <c r="J11" s="37" t="s">
        <v>23</v>
      </c>
      <c r="K11" s="373" t="s">
        <v>24</v>
      </c>
      <c r="L11" s="373" t="s">
        <v>25</v>
      </c>
      <c r="M11" s="812" t="s">
        <v>26</v>
      </c>
      <c r="N11" s="82"/>
      <c r="O11" s="82"/>
      <c r="P11" s="370"/>
    </row>
    <row r="12" spans="1:16" ht="17.25" customHeight="1" x14ac:dyDescent="0.35">
      <c r="A12" s="38"/>
      <c r="B12" s="39" t="s">
        <v>451</v>
      </c>
      <c r="C12" s="39" t="s">
        <v>452</v>
      </c>
      <c r="D12" s="39" t="s">
        <v>452</v>
      </c>
      <c r="E12" s="39" t="s">
        <v>452</v>
      </c>
      <c r="F12" s="513" t="s">
        <v>452</v>
      </c>
      <c r="G12" s="370"/>
      <c r="H12" s="38"/>
      <c r="I12" s="374" t="s">
        <v>453</v>
      </c>
      <c r="J12" s="39" t="s">
        <v>454</v>
      </c>
      <c r="K12" s="39" t="s">
        <v>454</v>
      </c>
      <c r="L12" s="39" t="s">
        <v>454</v>
      </c>
      <c r="M12" s="513" t="s">
        <v>454</v>
      </c>
      <c r="N12" s="82"/>
      <c r="O12" s="82"/>
      <c r="P12" s="370"/>
    </row>
    <row r="13" spans="1:16" x14ac:dyDescent="0.25">
      <c r="A13" s="416" t="s">
        <v>41</v>
      </c>
      <c r="B13" s="375">
        <f>B113</f>
        <v>2267.6113893076836</v>
      </c>
      <c r="C13" s="375">
        <f>E113</f>
        <v>128.59027267043217</v>
      </c>
      <c r="D13" s="376">
        <f>GlobalWarmingPotentials!$B$11*H113</f>
        <v>1.2350896991376179</v>
      </c>
      <c r="E13" s="375">
        <f>GlobalWarmingPotentials!$C$11*K113</f>
        <v>19.191954324334397</v>
      </c>
      <c r="F13" s="377">
        <f t="shared" ref="F13:F28" si="0">SUM(C13:E13)</f>
        <v>149.01731669390421</v>
      </c>
      <c r="G13" s="378"/>
      <c r="H13" s="416" t="s">
        <v>41</v>
      </c>
      <c r="I13" s="375">
        <f>D113</f>
        <v>168.23950701664418</v>
      </c>
      <c r="J13" s="375">
        <f>G113</f>
        <v>9.6502802677548889</v>
      </c>
      <c r="K13" s="376">
        <f>GlobalWarmingPotentials!$B$11*J113</f>
        <v>0.10599746538778106</v>
      </c>
      <c r="L13" s="380">
        <f>GlobalWarmingPotentials!$C$11*M113</f>
        <v>2.01169648758797E-5</v>
      </c>
      <c r="M13" s="417">
        <f t="shared" ref="M13:M28" si="1">SUM(J13:L13)</f>
        <v>9.7562978501075452</v>
      </c>
      <c r="N13" s="34"/>
      <c r="O13" s="82"/>
      <c r="P13" s="370"/>
    </row>
    <row r="14" spans="1:16" x14ac:dyDescent="0.25">
      <c r="A14" s="1020" t="s">
        <v>1253</v>
      </c>
      <c r="B14" s="375">
        <f>B140</f>
        <v>369.22612973150552</v>
      </c>
      <c r="C14" s="375">
        <f>E140</f>
        <v>26.49619011120776</v>
      </c>
      <c r="D14" s="376">
        <f>GlobalWarmingPotentials!$B$11*H140</f>
        <v>0.12663114234966824</v>
      </c>
      <c r="E14" s="375">
        <f>GlobalWarmingPotentials!$C$11*K140</f>
        <v>2.1185940685283629</v>
      </c>
      <c r="F14" s="377">
        <f t="shared" ref="F14" si="2">SUM(C14:E14)</f>
        <v>28.741415322085793</v>
      </c>
      <c r="G14" s="378"/>
      <c r="H14" s="1020" t="s">
        <v>1253</v>
      </c>
      <c r="I14" s="375">
        <f>D140</f>
        <v>0</v>
      </c>
      <c r="J14" s="375">
        <f>G140</f>
        <v>0</v>
      </c>
      <c r="K14" s="376">
        <f>GlobalWarmingPotentials!$B$11*J140</f>
        <v>0</v>
      </c>
      <c r="L14" s="380">
        <f>GlobalWarmingPotentials!$C$11*M140</f>
        <v>0</v>
      </c>
      <c r="M14" s="417">
        <f t="shared" ref="M14" si="3">SUM(J14:L14)</f>
        <v>0</v>
      </c>
      <c r="N14" s="34"/>
      <c r="O14" s="82"/>
      <c r="P14" s="370"/>
    </row>
    <row r="15" spans="1:16" x14ac:dyDescent="0.25">
      <c r="A15" s="416" t="s">
        <v>876</v>
      </c>
      <c r="B15" s="375">
        <f>B174</f>
        <v>275.59665533211654</v>
      </c>
      <c r="C15" s="375">
        <f>E174</f>
        <v>19.777206393823835</v>
      </c>
      <c r="D15" s="376">
        <f>GlobalWarmingPotentials!$B$11*H174</f>
        <v>9.4519635752300935E-2</v>
      </c>
      <c r="E15" s="375">
        <f>GlobalWarmingPotentials!$C$11*K174</f>
        <v>1.5813546016298001</v>
      </c>
      <c r="F15" s="377">
        <f t="shared" si="0"/>
        <v>21.453080631205939</v>
      </c>
      <c r="G15" s="378"/>
      <c r="H15" s="416" t="s">
        <v>876</v>
      </c>
      <c r="I15" s="375">
        <f>D174</f>
        <v>12.953042800609477</v>
      </c>
      <c r="J15" s="375">
        <f>G174</f>
        <v>0.92952870050972014</v>
      </c>
      <c r="K15" s="376">
        <f>GlobalWarmingPotentials!$B$11*J174</f>
        <v>4.4424228803581437E-3</v>
      </c>
      <c r="L15" s="375">
        <f>GlobalWarmingPotentials!$C$11*M174</f>
        <v>7.43236662766006E-2</v>
      </c>
      <c r="M15" s="377">
        <f t="shared" si="1"/>
        <v>1.008294789666679</v>
      </c>
      <c r="N15" s="34"/>
      <c r="O15" s="82"/>
      <c r="P15" s="370"/>
    </row>
    <row r="16" spans="1:16" x14ac:dyDescent="0.25">
      <c r="A16" s="416" t="s">
        <v>877</v>
      </c>
      <c r="B16" s="375">
        <f>B208</f>
        <v>0</v>
      </c>
      <c r="C16" s="375">
        <f>E208</f>
        <v>0</v>
      </c>
      <c r="D16" s="376">
        <f>GlobalWarmingPotentials!$B$11*H208</f>
        <v>0</v>
      </c>
      <c r="E16" s="375">
        <f>GlobalWarmingPotentials!$C$11*K208</f>
        <v>0</v>
      </c>
      <c r="F16" s="377">
        <f>SUM(C16:E16)</f>
        <v>0</v>
      </c>
      <c r="G16" s="378"/>
      <c r="H16" s="416" t="s">
        <v>877</v>
      </c>
      <c r="I16" s="375">
        <f>D208</f>
        <v>0</v>
      </c>
      <c r="J16" s="375">
        <f>G208</f>
        <v>0</v>
      </c>
      <c r="K16" s="376">
        <f>GlobalWarmingPotentials!$B$11*J208</f>
        <v>0</v>
      </c>
      <c r="L16" s="375">
        <f>GlobalWarmingPotentials!$C$11*M208</f>
        <v>0</v>
      </c>
      <c r="M16" s="377">
        <f t="shared" si="1"/>
        <v>0</v>
      </c>
      <c r="N16" s="34"/>
      <c r="O16" s="82"/>
      <c r="P16" s="370"/>
    </row>
    <row r="17" spans="1:16" x14ac:dyDescent="0.25">
      <c r="A17" s="1061" t="s">
        <v>1739</v>
      </c>
      <c r="B17" s="375">
        <f>B214</f>
        <v>0</v>
      </c>
      <c r="C17" s="375">
        <f>E214</f>
        <v>0</v>
      </c>
      <c r="D17" s="376">
        <f>GlobalWarmingPotentials!$B$11*H214</f>
        <v>5.2575471225858469E-2</v>
      </c>
      <c r="E17" s="375">
        <f>GlobalWarmingPotentials!$C$11*K214</f>
        <v>0.20298703673287963</v>
      </c>
      <c r="F17" s="377">
        <f>SUM(C17:E17)</f>
        <v>0.25556250795873808</v>
      </c>
      <c r="G17" s="378"/>
      <c r="H17" s="1061" t="s">
        <v>1739</v>
      </c>
      <c r="I17" s="375">
        <f>D214</f>
        <v>0</v>
      </c>
      <c r="J17" s="375">
        <f>G214</f>
        <v>0</v>
      </c>
      <c r="K17" s="376">
        <f>GlobalWarmingPotentials!$B$11*J214</f>
        <v>0</v>
      </c>
      <c r="L17" s="375">
        <f>GlobalWarmingPotentials!$C$11*M214</f>
        <v>0</v>
      </c>
      <c r="M17" s="377">
        <f t="shared" ref="M17" si="4">SUM(J17:L17)</f>
        <v>0</v>
      </c>
      <c r="N17" s="34"/>
      <c r="O17" s="82"/>
      <c r="P17" s="370"/>
    </row>
    <row r="18" spans="1:16" x14ac:dyDescent="0.25">
      <c r="A18" s="1061" t="s">
        <v>1805</v>
      </c>
      <c r="B18" s="379">
        <f>B231</f>
        <v>8239.0610076539524</v>
      </c>
      <c r="C18" s="379">
        <f>E231</f>
        <v>520.95369617105189</v>
      </c>
      <c r="D18" s="376">
        <f>GlobalWarmingPotentials!$B$11*H231</f>
        <v>17.303893648306993</v>
      </c>
      <c r="E18" s="375">
        <f>GlobalWarmingPotentials!$C$11*K231</f>
        <v>40.815433731402173</v>
      </c>
      <c r="F18" s="377">
        <f>SUM(C18:E18)</f>
        <v>579.07302355076104</v>
      </c>
      <c r="G18" s="378"/>
      <c r="H18" s="1061" t="s">
        <v>1805</v>
      </c>
      <c r="I18" s="379">
        <f>D231</f>
        <v>786.7316995671614</v>
      </c>
      <c r="J18" s="379">
        <f>G231</f>
        <v>49.43723316863327</v>
      </c>
      <c r="K18" s="376">
        <f>GlobalWarmingPotentials!$B$11*J231</f>
        <v>1.7521889488268372</v>
      </c>
      <c r="L18" s="375">
        <f>GlobalWarmingPotentials!$C$11*M231</f>
        <v>0.20278976584307196</v>
      </c>
      <c r="M18" s="377">
        <f>SUM(J18:L18)</f>
        <v>51.392211883303176</v>
      </c>
      <c r="N18" s="34"/>
      <c r="O18" s="82"/>
      <c r="P18" s="370"/>
    </row>
    <row r="19" spans="1:16" x14ac:dyDescent="0.25">
      <c r="A19" s="381" t="s">
        <v>411</v>
      </c>
      <c r="B19" s="379">
        <f>B238</f>
        <v>0</v>
      </c>
      <c r="C19" s="379">
        <f>E238</f>
        <v>0</v>
      </c>
      <c r="D19" s="376">
        <f>GlobalWarmingPotentials!$B$11*H238</f>
        <v>7.792941176470591E-3</v>
      </c>
      <c r="E19" s="375">
        <f>GlobalWarmingPotentials!$C$11*K238</f>
        <v>3.0087529411764707E-2</v>
      </c>
      <c r="F19" s="377">
        <f t="shared" si="0"/>
        <v>3.78804705882353E-2</v>
      </c>
      <c r="G19" s="378"/>
      <c r="H19" s="381" t="s">
        <v>411</v>
      </c>
      <c r="I19" s="379">
        <f>D238</f>
        <v>0</v>
      </c>
      <c r="J19" s="379">
        <f>G238</f>
        <v>0</v>
      </c>
      <c r="K19" s="376">
        <f>GlobalWarmingPotentials!$B$11*J238</f>
        <v>0</v>
      </c>
      <c r="L19" s="375">
        <f>GlobalWarmingPotentials!$C$11*M238</f>
        <v>0</v>
      </c>
      <c r="M19" s="377">
        <f t="shared" si="1"/>
        <v>0</v>
      </c>
      <c r="N19" s="34"/>
      <c r="O19" s="82"/>
      <c r="P19" s="370"/>
    </row>
    <row r="20" spans="1:16" x14ac:dyDescent="0.25">
      <c r="A20" s="381" t="s">
        <v>1806</v>
      </c>
      <c r="B20" s="379">
        <f>B245</f>
        <v>0</v>
      </c>
      <c r="C20" s="379">
        <f>E245</f>
        <v>0</v>
      </c>
      <c r="D20" s="376">
        <f>GlobalWarmingPotentials!$B$11*H245</f>
        <v>0.73140000000000005</v>
      </c>
      <c r="E20" s="375">
        <f>GlobalWarmingPotentials!$C$11*K245</f>
        <v>2.8238400000000001</v>
      </c>
      <c r="F20" s="377">
        <f t="shared" si="0"/>
        <v>3.5552400000000004</v>
      </c>
      <c r="G20" s="378"/>
      <c r="H20" s="381" t="s">
        <v>1806</v>
      </c>
      <c r="I20" s="379">
        <f>D245</f>
        <v>0</v>
      </c>
      <c r="J20" s="379">
        <f>G245</f>
        <v>0</v>
      </c>
      <c r="K20" s="376">
        <f>GlobalWarmingPotentials!$B$11*J245</f>
        <v>0</v>
      </c>
      <c r="L20" s="375">
        <f>GlobalWarmingPotentials!$C$11*M245</f>
        <v>0</v>
      </c>
      <c r="M20" s="377">
        <f t="shared" si="1"/>
        <v>0</v>
      </c>
      <c r="N20" s="34"/>
      <c r="O20" s="82"/>
      <c r="P20" s="370"/>
    </row>
    <row r="21" spans="1:16" x14ac:dyDescent="0.25">
      <c r="A21" s="381" t="s">
        <v>1808</v>
      </c>
      <c r="B21" s="379">
        <f>B252</f>
        <v>0</v>
      </c>
      <c r="C21" s="379">
        <f>E252</f>
        <v>0</v>
      </c>
      <c r="D21" s="376">
        <f>GlobalWarmingPotentials!$B$11*H252</f>
        <v>5.7919532222513913E-2</v>
      </c>
      <c r="E21" s="375">
        <f>GlobalWarmingPotentials!$C$11*K252</f>
        <v>0.22361975918953195</v>
      </c>
      <c r="F21" s="377">
        <f t="shared" si="0"/>
        <v>0.28153929141204587</v>
      </c>
      <c r="G21" s="378"/>
      <c r="H21" s="381" t="s">
        <v>1808</v>
      </c>
      <c r="I21" s="379">
        <f>D252</f>
        <v>0</v>
      </c>
      <c r="J21" s="379">
        <f>G252</f>
        <v>0</v>
      </c>
      <c r="K21" s="376">
        <f>GlobalWarmingPotentials!$B$11*J252</f>
        <v>0</v>
      </c>
      <c r="L21" s="375">
        <f>GlobalWarmingPotentials!$C$11*M252</f>
        <v>0</v>
      </c>
      <c r="M21" s="377">
        <f t="shared" si="1"/>
        <v>0</v>
      </c>
      <c r="N21" s="34"/>
      <c r="O21" s="82"/>
      <c r="P21" s="370"/>
    </row>
    <row r="22" spans="1:16" x14ac:dyDescent="0.25">
      <c r="A22" s="381" t="s">
        <v>907</v>
      </c>
      <c r="B22" s="379">
        <f>B259</f>
        <v>1274.9999999999998</v>
      </c>
      <c r="C22" s="379">
        <f>E259</f>
        <v>71.400000000000006</v>
      </c>
      <c r="D22" s="376">
        <f>GlobalWarmingPotentials!$B$11*H259</f>
        <v>4.9106183823529408</v>
      </c>
      <c r="E22" s="375">
        <f>GlobalWarmingPotentials!$C$11*K259</f>
        <v>0.5610070588235293</v>
      </c>
      <c r="F22" s="377">
        <f t="shared" si="0"/>
        <v>76.871625441176477</v>
      </c>
      <c r="G22" s="378"/>
      <c r="H22" s="381" t="s">
        <v>907</v>
      </c>
      <c r="I22" s="379">
        <f>D259</f>
        <v>191.24999999999997</v>
      </c>
      <c r="J22" s="379">
        <f>G259</f>
        <v>10.8375</v>
      </c>
      <c r="K22" s="376">
        <f>GlobalWarmingPotentials!$B$11*J259</f>
        <v>0.71846249999999989</v>
      </c>
      <c r="L22" s="375">
        <f>GlobalWarmingPotentials!$C$11*M259</f>
        <v>0</v>
      </c>
      <c r="M22" s="377">
        <f t="shared" si="1"/>
        <v>11.5559625</v>
      </c>
      <c r="N22" s="34"/>
      <c r="O22" s="82"/>
      <c r="P22" s="370"/>
    </row>
    <row r="23" spans="1:16" x14ac:dyDescent="0.25">
      <c r="A23" s="1061" t="s">
        <v>1830</v>
      </c>
      <c r="B23" s="379">
        <f>B265</f>
        <v>0</v>
      </c>
      <c r="C23" s="379">
        <f>E265</f>
        <v>0</v>
      </c>
      <c r="D23" s="376">
        <f>GlobalWarmingPotentials!$B$11*H265</f>
        <v>0</v>
      </c>
      <c r="E23" s="375">
        <f>GlobalWarmingPotentials!$C$11*K265</f>
        <v>0</v>
      </c>
      <c r="F23" s="377">
        <f t="shared" ref="F23" si="5">SUM(C23:E23)</f>
        <v>0</v>
      </c>
      <c r="G23" s="378"/>
      <c r="H23" s="1061" t="s">
        <v>1830</v>
      </c>
      <c r="I23" s="379">
        <f>D265</f>
        <v>0</v>
      </c>
      <c r="J23" s="379">
        <f>G265</f>
        <v>0</v>
      </c>
      <c r="K23" s="376">
        <f>GlobalWarmingPotentials!$B$11*J265</f>
        <v>0</v>
      </c>
      <c r="L23" s="375">
        <f>GlobalWarmingPotentials!$C$11*M265</f>
        <v>0</v>
      </c>
      <c r="M23" s="377">
        <f t="shared" ref="M23" si="6">SUM(J23:L23)</f>
        <v>0</v>
      </c>
      <c r="N23" s="34"/>
      <c r="O23" s="82"/>
      <c r="P23" s="370"/>
    </row>
    <row r="24" spans="1:16" x14ac:dyDescent="0.25">
      <c r="A24" s="381" t="s">
        <v>903</v>
      </c>
      <c r="B24" s="379">
        <f>B271</f>
        <v>0</v>
      </c>
      <c r="C24" s="379">
        <f>E271</f>
        <v>0</v>
      </c>
      <c r="D24" s="376">
        <f>GlobalWarmingPotentials!$B$11*H271</f>
        <v>-1.7053609858389147</v>
      </c>
      <c r="E24" s="375">
        <f>GlobalWarmingPotentials!$C$11*K271</f>
        <v>-6.5841763279345917</v>
      </c>
      <c r="F24" s="377">
        <f t="shared" si="0"/>
        <v>-8.289537313773506</v>
      </c>
      <c r="G24" s="378"/>
      <c r="H24" s="381" t="s">
        <v>903</v>
      </c>
      <c r="I24" s="379">
        <f>D271</f>
        <v>0</v>
      </c>
      <c r="J24" s="379">
        <f>G271</f>
        <v>0</v>
      </c>
      <c r="K24" s="376">
        <f>GlobalWarmingPotentials!$B$11*J271</f>
        <v>0</v>
      </c>
      <c r="L24" s="375">
        <f>GlobalWarmingPotentials!$C$11*M271</f>
        <v>0</v>
      </c>
      <c r="M24" s="377">
        <f t="shared" si="1"/>
        <v>0</v>
      </c>
      <c r="N24" s="34"/>
      <c r="O24" s="82"/>
      <c r="P24" s="370"/>
    </row>
    <row r="25" spans="1:16" x14ac:dyDescent="0.25">
      <c r="A25" s="416" t="s">
        <v>879</v>
      </c>
      <c r="B25" s="379">
        <f>B381</f>
        <v>0</v>
      </c>
      <c r="C25" s="379">
        <f>E381</f>
        <v>0</v>
      </c>
      <c r="D25" s="376">
        <f>GlobalWarmingPotentials!$B$11*H381</f>
        <v>0</v>
      </c>
      <c r="E25" s="375">
        <f>GlobalWarmingPotentials!$C$11*K381</f>
        <v>0</v>
      </c>
      <c r="F25" s="377">
        <f t="shared" si="0"/>
        <v>0</v>
      </c>
      <c r="G25" s="378"/>
      <c r="H25" s="416" t="s">
        <v>879</v>
      </c>
      <c r="I25" s="379">
        <f>D381</f>
        <v>0</v>
      </c>
      <c r="J25" s="379">
        <f>G381</f>
        <v>0</v>
      </c>
      <c r="K25" s="376">
        <f>GlobalWarmingPotentials!$B$11*J381</f>
        <v>0</v>
      </c>
      <c r="L25" s="375">
        <f>GlobalWarmingPotentials!$C$11*M381</f>
        <v>0</v>
      </c>
      <c r="M25" s="377">
        <f t="shared" si="1"/>
        <v>0</v>
      </c>
      <c r="N25" s="34"/>
      <c r="O25" s="82"/>
      <c r="P25" s="370"/>
    </row>
    <row r="26" spans="1:16" x14ac:dyDescent="0.25">
      <c r="A26" s="416" t="s">
        <v>908</v>
      </c>
      <c r="B26" s="379">
        <f>B305</f>
        <v>517.88672232212184</v>
      </c>
      <c r="C26" s="379">
        <f>E305</f>
        <v>37.164284826471004</v>
      </c>
      <c r="D26" s="376">
        <f>GlobalWarmingPotentials!$B$11*H305</f>
        <v>0.1776163222875497</v>
      </c>
      <c r="E26" s="375">
        <f>GlobalWarmingPotentials!$C$11*K305</f>
        <v>2.9715982963586582</v>
      </c>
      <c r="F26" s="377">
        <f t="shared" si="0"/>
        <v>40.313499445117209</v>
      </c>
      <c r="G26" s="378"/>
      <c r="H26" s="416" t="s">
        <v>908</v>
      </c>
      <c r="I26" s="379">
        <f>D305</f>
        <v>24.34067594913973</v>
      </c>
      <c r="J26" s="379">
        <f>G305</f>
        <v>1.7467213868441371</v>
      </c>
      <c r="K26" s="376">
        <f>GlobalWarmingPotentials!$B$11*J305</f>
        <v>8.3479671475148367E-3</v>
      </c>
      <c r="L26" s="375">
        <f>GlobalWarmingPotentials!$C$11*M305</f>
        <v>0.13966511992885694</v>
      </c>
      <c r="M26" s="377">
        <f t="shared" si="1"/>
        <v>1.894734473920509</v>
      </c>
      <c r="N26" s="34"/>
      <c r="O26" s="82"/>
      <c r="P26" s="370"/>
    </row>
    <row r="27" spans="1:16" x14ac:dyDescent="0.25">
      <c r="A27" s="416" t="s">
        <v>911</v>
      </c>
      <c r="B27" s="808">
        <f>B339</f>
        <v>0</v>
      </c>
      <c r="C27" s="808">
        <f>E339</f>
        <v>0</v>
      </c>
      <c r="D27" s="379">
        <f>GlobalWarmingPotentials!$B$11*H339</f>
        <v>0</v>
      </c>
      <c r="E27" s="379">
        <f>GlobalWarmingPotentials!$C$11*K339</f>
        <v>0</v>
      </c>
      <c r="F27" s="813">
        <f t="shared" si="0"/>
        <v>0</v>
      </c>
      <c r="G27" s="809"/>
      <c r="H27" s="416" t="s">
        <v>911</v>
      </c>
      <c r="I27" s="808">
        <f>D339</f>
        <v>0</v>
      </c>
      <c r="J27" s="808">
        <f>G339</f>
        <v>0</v>
      </c>
      <c r="K27" s="379">
        <f>GlobalWarmingPotentials!$B$11*J339</f>
        <v>0</v>
      </c>
      <c r="L27" s="379">
        <f>GlobalWarmingPotentials!$C$11*M339</f>
        <v>0</v>
      </c>
      <c r="M27" s="813">
        <f t="shared" si="1"/>
        <v>0</v>
      </c>
      <c r="N27" s="34"/>
      <c r="O27" s="82"/>
      <c r="P27" s="370"/>
    </row>
    <row r="28" spans="1:16" x14ac:dyDescent="0.25">
      <c r="A28" s="416" t="s">
        <v>912</v>
      </c>
      <c r="B28" s="808">
        <f>B373</f>
        <v>0</v>
      </c>
      <c r="C28" s="808">
        <f>E373</f>
        <v>0</v>
      </c>
      <c r="D28" s="379">
        <f>GlobalWarmingPotentials!$B$11*H373</f>
        <v>0</v>
      </c>
      <c r="E28" s="379">
        <f>GlobalWarmingPotentials!$C$11*K373</f>
        <v>0</v>
      </c>
      <c r="F28" s="813">
        <f t="shared" si="0"/>
        <v>0</v>
      </c>
      <c r="G28" s="809"/>
      <c r="H28" s="416" t="s">
        <v>912</v>
      </c>
      <c r="I28" s="808">
        <f>D373</f>
        <v>0</v>
      </c>
      <c r="J28" s="808">
        <f>G373</f>
        <v>0</v>
      </c>
      <c r="K28" s="379">
        <f>GlobalWarmingPotentials!$B$11*J373</f>
        <v>0</v>
      </c>
      <c r="L28" s="379">
        <f>GlobalWarmingPotentials!$C$11*M373</f>
        <v>0</v>
      </c>
      <c r="M28" s="813">
        <f t="shared" si="1"/>
        <v>0</v>
      </c>
      <c r="N28" s="34"/>
      <c r="O28" s="82"/>
      <c r="P28" s="370"/>
    </row>
    <row r="29" spans="1:16" ht="13.8" thickBot="1" x14ac:dyDescent="0.3">
      <c r="A29" s="382" t="s">
        <v>375</v>
      </c>
      <c r="B29" s="383">
        <f>SUM(B13:B28)</f>
        <v>12944.38190434738</v>
      </c>
      <c r="C29" s="383">
        <f t="shared" ref="C29:F29" si="7">SUM(C13:C28)</f>
        <v>804.38165017298661</v>
      </c>
      <c r="D29" s="383">
        <f t="shared" si="7"/>
        <v>22.992695788972998</v>
      </c>
      <c r="E29" s="383">
        <f t="shared" si="7"/>
        <v>63.936300078476506</v>
      </c>
      <c r="F29" s="811">
        <f t="shared" si="7"/>
        <v>891.31064604043627</v>
      </c>
      <c r="G29" s="810"/>
      <c r="H29" s="382" t="s">
        <v>375</v>
      </c>
      <c r="I29" s="383">
        <f>SQRT(SUMSQ(I13:I28))</f>
        <v>827.39839929050697</v>
      </c>
      <c r="J29" s="383">
        <f t="shared" ref="J29:M29" si="8">SQRT(SUMSQ(J13:J28))</f>
        <v>51.560977474000268</v>
      </c>
      <c r="K29" s="383">
        <f t="shared" si="8"/>
        <v>1.8967549558765688</v>
      </c>
      <c r="L29" s="383">
        <f t="shared" si="8"/>
        <v>0.2572042819023776</v>
      </c>
      <c r="M29" s="811">
        <f t="shared" si="8"/>
        <v>53.614286681902982</v>
      </c>
      <c r="N29" s="82"/>
      <c r="O29" s="82"/>
      <c r="P29" s="370"/>
    </row>
    <row r="30" spans="1:16" x14ac:dyDescent="0.25">
      <c r="A30" s="34"/>
      <c r="B30" s="82"/>
      <c r="C30" s="369"/>
      <c r="D30" s="82"/>
      <c r="E30" s="82"/>
      <c r="F30" s="82"/>
      <c r="G30" s="82"/>
      <c r="H30" s="60"/>
      <c r="I30" s="82"/>
      <c r="J30" s="82"/>
      <c r="K30" s="60"/>
      <c r="L30" s="60"/>
      <c r="M30" s="60"/>
      <c r="N30" s="34"/>
      <c r="O30" s="82"/>
      <c r="P30" s="370"/>
    </row>
    <row r="31" spans="1:16" x14ac:dyDescent="0.25">
      <c r="A31" s="34"/>
      <c r="B31" s="82"/>
      <c r="C31" s="369"/>
      <c r="D31" s="82"/>
      <c r="E31" s="82"/>
      <c r="F31" s="82"/>
      <c r="G31" s="82"/>
      <c r="H31" s="82"/>
      <c r="I31" s="82"/>
      <c r="J31" s="82"/>
      <c r="K31" s="82"/>
      <c r="L31" s="82"/>
      <c r="M31" s="82"/>
      <c r="N31" s="34"/>
      <c r="O31" s="82"/>
      <c r="P31" s="370"/>
    </row>
    <row r="32" spans="1:16" x14ac:dyDescent="0.25">
      <c r="A32" s="34"/>
      <c r="B32" s="82"/>
      <c r="C32" s="369"/>
      <c r="D32" s="82"/>
      <c r="E32" s="82"/>
      <c r="F32" s="82"/>
      <c r="G32" s="82"/>
      <c r="H32" s="82"/>
      <c r="I32" s="82"/>
      <c r="J32" s="82"/>
      <c r="K32" s="82"/>
      <c r="L32" s="82"/>
      <c r="M32" s="82"/>
      <c r="N32" s="34"/>
      <c r="O32" s="82"/>
      <c r="P32" s="370"/>
    </row>
    <row r="33" spans="1:16" x14ac:dyDescent="0.25">
      <c r="A33" s="34"/>
      <c r="B33" s="82"/>
      <c r="C33" s="369"/>
      <c r="D33" s="82"/>
      <c r="E33" s="82"/>
      <c r="F33" s="82"/>
      <c r="G33" s="82"/>
      <c r="H33" s="82"/>
      <c r="I33" s="82"/>
      <c r="J33" s="82"/>
      <c r="K33" s="82"/>
      <c r="L33" s="82"/>
      <c r="M33" s="82"/>
      <c r="N33" s="34"/>
      <c r="O33" s="82"/>
      <c r="P33" s="370"/>
    </row>
    <row r="34" spans="1:16" x14ac:dyDescent="0.25">
      <c r="A34" s="34"/>
      <c r="B34" s="82"/>
      <c r="C34" s="369"/>
      <c r="D34" s="82"/>
      <c r="E34" s="82"/>
      <c r="F34" s="82"/>
      <c r="G34" s="82"/>
      <c r="H34" s="82"/>
      <c r="I34" s="82"/>
      <c r="J34" s="82"/>
      <c r="K34" s="82"/>
      <c r="L34" s="82"/>
      <c r="M34" s="82"/>
      <c r="N34" s="34"/>
      <c r="O34" s="82"/>
      <c r="P34" s="370"/>
    </row>
    <row r="35" spans="1:16" x14ac:dyDescent="0.25">
      <c r="A35" s="34"/>
      <c r="B35" s="82"/>
      <c r="C35" s="369"/>
      <c r="D35" s="82"/>
      <c r="E35" s="82"/>
      <c r="F35" s="82"/>
      <c r="G35" s="82"/>
      <c r="H35" s="82"/>
      <c r="I35" s="82"/>
      <c r="J35" s="82"/>
      <c r="K35" s="82"/>
      <c r="L35" s="82"/>
      <c r="M35" s="82"/>
      <c r="N35" s="34"/>
      <c r="O35" s="82"/>
      <c r="P35" s="370"/>
    </row>
    <row r="36" spans="1:16" x14ac:dyDescent="0.25">
      <c r="A36" s="34"/>
      <c r="B36" s="82"/>
      <c r="C36" s="369"/>
      <c r="D36" s="82"/>
      <c r="E36" s="82"/>
      <c r="F36" s="82"/>
      <c r="G36" s="82"/>
      <c r="H36" s="82"/>
      <c r="I36" s="82"/>
      <c r="J36" s="82"/>
      <c r="K36" s="82"/>
      <c r="L36" s="82"/>
      <c r="M36" s="82"/>
      <c r="N36" s="34"/>
      <c r="O36" s="82"/>
      <c r="P36" s="370"/>
    </row>
    <row r="37" spans="1:16" x14ac:dyDescent="0.25">
      <c r="A37" s="34"/>
      <c r="B37" s="82"/>
      <c r="C37" s="369"/>
      <c r="D37" s="82"/>
      <c r="E37" s="82"/>
      <c r="F37" s="82"/>
      <c r="G37" s="82"/>
      <c r="H37" s="82"/>
      <c r="I37" s="82"/>
      <c r="J37" s="82"/>
      <c r="K37" s="82"/>
      <c r="L37" s="82"/>
      <c r="M37" s="82"/>
      <c r="N37" s="34"/>
      <c r="O37" s="82"/>
      <c r="P37" s="370"/>
    </row>
    <row r="38" spans="1:16" x14ac:dyDescent="0.25">
      <c r="A38" s="34"/>
      <c r="B38" s="82"/>
      <c r="C38" s="369"/>
      <c r="D38" s="82"/>
      <c r="E38" s="82"/>
      <c r="F38" s="82"/>
      <c r="G38" s="82"/>
      <c r="H38" s="82"/>
      <c r="I38" s="82"/>
      <c r="J38" s="82"/>
      <c r="K38" s="82"/>
      <c r="L38" s="82"/>
      <c r="M38" s="82"/>
      <c r="N38" s="34"/>
      <c r="O38" s="82"/>
      <c r="P38" s="370"/>
    </row>
    <row r="39" spans="1:16" x14ac:dyDescent="0.25">
      <c r="A39" s="34"/>
      <c r="B39" s="82"/>
      <c r="C39" s="369"/>
      <c r="D39" s="82"/>
      <c r="E39" s="82"/>
      <c r="F39" s="82"/>
      <c r="G39" s="82"/>
      <c r="H39" s="82"/>
      <c r="I39" s="82"/>
      <c r="J39" s="82"/>
      <c r="K39" s="82"/>
      <c r="L39" s="82"/>
      <c r="M39" s="82"/>
      <c r="N39" s="34"/>
      <c r="O39" s="82"/>
      <c r="P39" s="370"/>
    </row>
    <row r="40" spans="1:16" x14ac:dyDescent="0.25">
      <c r="A40" s="34"/>
      <c r="B40" s="82"/>
      <c r="C40" s="369"/>
      <c r="D40" s="82"/>
      <c r="E40" s="82"/>
      <c r="F40" s="82"/>
      <c r="G40" s="82"/>
      <c r="H40" s="82"/>
      <c r="I40" s="82"/>
      <c r="J40" s="82"/>
      <c r="K40" s="82"/>
      <c r="L40" s="82"/>
      <c r="M40" s="82"/>
      <c r="N40" s="34"/>
      <c r="O40" s="82"/>
      <c r="P40" s="370"/>
    </row>
    <row r="41" spans="1:16" x14ac:dyDescent="0.25">
      <c r="A41" s="34"/>
      <c r="B41" s="82"/>
      <c r="C41" s="369"/>
      <c r="D41" s="82"/>
      <c r="E41" s="82"/>
      <c r="F41" s="82"/>
      <c r="G41" s="82"/>
      <c r="H41" s="82"/>
      <c r="I41" s="82"/>
      <c r="J41" s="82"/>
      <c r="K41" s="82"/>
      <c r="L41" s="82"/>
      <c r="M41" s="82"/>
      <c r="N41" s="34"/>
      <c r="O41" s="82"/>
      <c r="P41" s="370"/>
    </row>
    <row r="42" spans="1:16" x14ac:dyDescent="0.25">
      <c r="A42" s="34"/>
      <c r="B42" s="82"/>
      <c r="C42" s="369"/>
      <c r="D42" s="82"/>
      <c r="E42" s="82"/>
      <c r="F42" s="82"/>
      <c r="G42" s="82"/>
      <c r="H42" s="82"/>
      <c r="I42" s="82"/>
      <c r="J42" s="82"/>
      <c r="K42" s="82"/>
      <c r="L42" s="82"/>
      <c r="M42" s="82"/>
      <c r="N42" s="34"/>
      <c r="O42" s="82"/>
      <c r="P42" s="370"/>
    </row>
    <row r="43" spans="1:16" x14ac:dyDescent="0.25">
      <c r="A43" s="34"/>
      <c r="B43" s="82"/>
      <c r="C43" s="369"/>
      <c r="D43" s="82"/>
      <c r="E43" s="82"/>
      <c r="F43" s="82"/>
      <c r="G43" s="82"/>
      <c r="H43" s="82"/>
      <c r="I43" s="82"/>
      <c r="J43" s="82"/>
      <c r="K43" s="82"/>
      <c r="L43" s="82"/>
      <c r="M43" s="82"/>
      <c r="N43" s="34"/>
      <c r="O43" s="82"/>
      <c r="P43" s="370"/>
    </row>
    <row r="44" spans="1:16" x14ac:dyDescent="0.25">
      <c r="A44" s="34"/>
      <c r="B44" s="82"/>
      <c r="C44" s="369"/>
      <c r="D44" s="82"/>
      <c r="E44" s="82"/>
      <c r="F44" s="82"/>
      <c r="G44" s="82"/>
      <c r="H44" s="82"/>
      <c r="I44" s="82"/>
      <c r="J44" s="82"/>
      <c r="K44" s="82"/>
      <c r="L44" s="82"/>
      <c r="M44" s="82"/>
      <c r="N44" s="34"/>
      <c r="O44" s="82"/>
      <c r="P44" s="370"/>
    </row>
    <row r="45" spans="1:16" x14ac:dyDescent="0.25">
      <c r="A45" s="34"/>
      <c r="B45" s="82"/>
      <c r="C45" s="369"/>
      <c r="D45" s="82"/>
      <c r="E45" s="82"/>
      <c r="F45" s="82"/>
      <c r="G45" s="82"/>
      <c r="H45" s="82"/>
      <c r="I45" s="82"/>
      <c r="J45" s="82"/>
      <c r="K45" s="82"/>
      <c r="L45" s="82"/>
      <c r="M45" s="82"/>
      <c r="N45" s="34"/>
      <c r="O45" s="82"/>
      <c r="P45" s="370"/>
    </row>
    <row r="46" spans="1:16" x14ac:dyDescent="0.25">
      <c r="A46" s="34"/>
      <c r="B46" s="82"/>
      <c r="C46" s="369"/>
      <c r="D46" s="82"/>
      <c r="E46" s="82"/>
      <c r="F46" s="82"/>
      <c r="G46" s="82"/>
      <c r="H46" s="82"/>
      <c r="I46" s="82"/>
      <c r="J46" s="82"/>
      <c r="K46" s="82"/>
      <c r="L46" s="82"/>
      <c r="M46" s="82"/>
      <c r="N46" s="34"/>
      <c r="O46" s="82"/>
      <c r="P46" s="82"/>
    </row>
    <row r="47" spans="1:16" x14ac:dyDescent="0.25">
      <c r="A47" s="34"/>
      <c r="B47" s="82"/>
      <c r="C47" s="369"/>
      <c r="D47" s="82"/>
      <c r="E47" s="82"/>
      <c r="F47" s="82"/>
      <c r="G47" s="82"/>
      <c r="H47" s="82"/>
      <c r="I47" s="82"/>
      <c r="J47" s="82"/>
      <c r="K47" s="82"/>
      <c r="L47" s="82"/>
      <c r="M47" s="82"/>
      <c r="N47" s="34"/>
      <c r="O47" s="82"/>
      <c r="P47" s="82"/>
    </row>
    <row r="48" spans="1:16" x14ac:dyDescent="0.25">
      <c r="A48" s="34"/>
      <c r="B48" s="82"/>
      <c r="C48" s="369"/>
      <c r="D48" s="82"/>
      <c r="E48" s="82"/>
      <c r="F48" s="82"/>
      <c r="G48" s="82"/>
      <c r="H48" s="82"/>
      <c r="I48" s="82"/>
      <c r="J48" s="82"/>
      <c r="K48" s="82"/>
      <c r="L48" s="82"/>
      <c r="M48" s="82"/>
      <c r="N48" s="34"/>
      <c r="O48" s="82"/>
      <c r="P48" s="82"/>
    </row>
    <row r="49" spans="1:16" x14ac:dyDescent="0.25">
      <c r="A49" s="34"/>
      <c r="B49" s="82"/>
      <c r="C49" s="369"/>
      <c r="D49" s="82"/>
      <c r="E49" s="82"/>
      <c r="F49" s="82"/>
      <c r="G49" s="82"/>
      <c r="H49" s="82"/>
      <c r="I49" s="82"/>
      <c r="J49" s="82"/>
      <c r="K49" s="82"/>
      <c r="L49" s="82"/>
      <c r="M49" s="82"/>
      <c r="N49" s="34"/>
      <c r="O49" s="82"/>
      <c r="P49" s="82"/>
    </row>
    <row r="50" spans="1:16" x14ac:dyDescent="0.25">
      <c r="A50" s="34"/>
      <c r="B50" s="82"/>
      <c r="C50" s="369"/>
      <c r="D50" s="82"/>
      <c r="E50" s="82"/>
      <c r="F50" s="82"/>
      <c r="G50" s="82"/>
      <c r="H50" s="82"/>
      <c r="I50" s="82"/>
      <c r="J50" s="82"/>
      <c r="K50" s="82"/>
      <c r="L50" s="82"/>
      <c r="M50" s="82"/>
      <c r="N50" s="34"/>
      <c r="O50" s="82"/>
      <c r="P50" s="370"/>
    </row>
    <row r="51" spans="1:16" x14ac:dyDescent="0.25">
      <c r="A51" s="33" t="s">
        <v>44</v>
      </c>
      <c r="B51" s="92"/>
      <c r="C51" s="92"/>
      <c r="D51" s="92"/>
      <c r="E51" s="92"/>
      <c r="F51" s="92"/>
      <c r="G51" s="92"/>
      <c r="H51" s="92"/>
      <c r="I51" s="92"/>
      <c r="J51" s="384"/>
      <c r="K51" s="92"/>
      <c r="L51" s="92"/>
      <c r="M51" s="384"/>
      <c r="N51" s="33"/>
      <c r="O51" s="92"/>
      <c r="P51" s="385"/>
    </row>
    <row r="52" spans="1:16" x14ac:dyDescent="0.25">
      <c r="A52" s="40"/>
      <c r="B52" s="40"/>
      <c r="C52" s="40"/>
      <c r="D52" s="40"/>
      <c r="E52" s="40"/>
      <c r="F52" s="40"/>
      <c r="G52" s="40"/>
      <c r="H52" s="40"/>
      <c r="I52" s="40"/>
      <c r="J52" s="41"/>
      <c r="K52" s="40"/>
      <c r="L52" s="40"/>
      <c r="M52" s="41"/>
      <c r="N52" s="40"/>
      <c r="O52" s="40"/>
      <c r="P52" s="386"/>
    </row>
    <row r="53" spans="1:16" x14ac:dyDescent="0.25">
      <c r="A53" s="22" t="s">
        <v>243</v>
      </c>
      <c r="B53" s="29" t="s">
        <v>22</v>
      </c>
      <c r="C53" s="23"/>
      <c r="D53" s="22"/>
      <c r="E53" s="29" t="s">
        <v>23</v>
      </c>
      <c r="F53" s="23"/>
      <c r="G53" s="19"/>
      <c r="H53" s="7" t="s">
        <v>24</v>
      </c>
      <c r="I53" s="23"/>
      <c r="J53" s="19"/>
      <c r="K53" s="7" t="s">
        <v>25</v>
      </c>
      <c r="L53" s="23"/>
      <c r="M53" s="19"/>
      <c r="N53" s="7" t="s">
        <v>26</v>
      </c>
      <c r="O53" s="23"/>
      <c r="P53" s="19"/>
    </row>
    <row r="54" spans="1:16" x14ac:dyDescent="0.25">
      <c r="A54" s="23"/>
    </row>
    <row r="55" spans="1:16" ht="14.4" x14ac:dyDescent="0.3">
      <c r="A55" s="21"/>
      <c r="B55" s="28" t="s">
        <v>880</v>
      </c>
      <c r="C55" s="21" t="s">
        <v>21</v>
      </c>
      <c r="D55" s="21" t="s">
        <v>881</v>
      </c>
      <c r="E55" s="28" t="s">
        <v>882</v>
      </c>
      <c r="F55" s="21" t="s">
        <v>21</v>
      </c>
      <c r="G55" s="20" t="s">
        <v>883</v>
      </c>
      <c r="H55" s="28" t="s">
        <v>884</v>
      </c>
      <c r="I55" s="21" t="s">
        <v>21</v>
      </c>
      <c r="J55" s="20" t="s">
        <v>885</v>
      </c>
      <c r="K55" s="28" t="s">
        <v>886</v>
      </c>
      <c r="L55" s="21" t="s">
        <v>21</v>
      </c>
      <c r="M55" s="20" t="s">
        <v>887</v>
      </c>
      <c r="N55" s="28" t="s">
        <v>888</v>
      </c>
      <c r="O55" s="21" t="s">
        <v>21</v>
      </c>
      <c r="P55" s="20" t="s">
        <v>889</v>
      </c>
    </row>
    <row r="56" spans="1:16" x14ac:dyDescent="0.25">
      <c r="A56" s="387" t="s">
        <v>20</v>
      </c>
    </row>
    <row r="57" spans="1:16" x14ac:dyDescent="0.25">
      <c r="A57" s="154" t="str">
        <f>Cultivation!A21</f>
        <v>MAIN LAND USE</v>
      </c>
    </row>
    <row r="58" spans="1:16" x14ac:dyDescent="0.25">
      <c r="A58" s="154" t="str">
        <f>Cultivation!A22</f>
        <v>Diesel Fuel:</v>
      </c>
      <c r="B58" s="729"/>
      <c r="C58" s="992"/>
      <c r="D58" s="736"/>
      <c r="E58" s="729"/>
      <c r="F58" s="992"/>
      <c r="G58" s="736"/>
      <c r="H58" s="505"/>
      <c r="I58" s="992"/>
      <c r="J58" s="506"/>
      <c r="K58" s="505"/>
      <c r="L58" s="992"/>
      <c r="M58" s="506"/>
      <c r="N58" s="729"/>
      <c r="O58" s="992"/>
      <c r="P58" s="758"/>
    </row>
    <row r="59" spans="1:16" s="5" customFormat="1" x14ac:dyDescent="0.25">
      <c r="A59" s="979" t="str">
        <f>Cultivation!A23</f>
        <v>subsoiling</v>
      </c>
      <c r="B59" s="727">
        <f>(Unitflowchart!$S$17*(AllocationPrice!$H$23/100)*Cultivation!J23)/Unitflowchart!$S$383</f>
        <v>37.584063592008938</v>
      </c>
      <c r="C59" s="26">
        <f t="shared" ref="C59:C67" si="9">(B59/B$383)*100</f>
        <v>0.29035039192861195</v>
      </c>
      <c r="D59" s="148">
        <f>(Unitflowchart!$S$17*(AllocationPrice!$H$23/100)*Cultivation!K23)/Unitflowchart!$S$383</f>
        <v>0</v>
      </c>
      <c r="E59" s="727">
        <f>(Unitflowchart!$S$17*(AllocationPrice!$H$23/100)*Cultivation!P23)/Unitflowchart!$S$383</f>
        <v>2.6970856445337263</v>
      </c>
      <c r="F59" s="26">
        <f t="shared" ref="F59:F67" si="10">(E59/E$383)*100</f>
        <v>0.33529925054278692</v>
      </c>
      <c r="G59" s="148">
        <f>(Unitflowchart!$S$17*(AllocationPrice!$H$23/100)*Cultivation!Q23)/Unitflowchart!$S$383</f>
        <v>0</v>
      </c>
      <c r="H59" s="165">
        <f>(Unitflowchart!$S$17*(AllocationPrice!$H$23/100)*Cultivation!V23)/Unitflowchart!$S$383</f>
        <v>5.604333806823326E-4</v>
      </c>
      <c r="I59" s="26">
        <f t="shared" ref="I59:I67" si="11">(H59/H$383)*100</f>
        <v>5.6061141651234797E-2</v>
      </c>
      <c r="J59" s="214">
        <f>(Unitflowchart!$S$17*(AllocationPrice!$H$23/100)*Cultivation!W23)/Unitflowchart!$S$383</f>
        <v>0</v>
      </c>
      <c r="K59" s="165">
        <f>(Unitflowchart!$S$17*(AllocationPrice!$H$23/100)*Cultivation!AB23)/Unitflowchart!$S$383</f>
        <v>7.2856339488703258E-4</v>
      </c>
      <c r="L59" s="26">
        <f t="shared" ref="L59:L67" si="12">(K59/K$383)*100</f>
        <v>0.3372962849302561</v>
      </c>
      <c r="M59" s="214">
        <f>(Unitflowchart!$S$17*(AllocationPrice!$H$23/100)*Cultivation!AC23)/Unitflowchart!$S$383</f>
        <v>0</v>
      </c>
      <c r="N59" s="727">
        <f>E59+(GlobalWarmingPotentials!$B$11*H59)+(GlobalWarmingPotentials!$C$11*K59)</f>
        <v>2.925630377175982</v>
      </c>
      <c r="O59" s="26">
        <f t="shared" ref="O59:O67" si="13">(N59/N$383)*100</f>
        <v>0.32823913751875622</v>
      </c>
      <c r="P59" s="756">
        <f>SQRT((G59^2)+((GlobalWarmingPotentials!$B$11*J59)^2)+((GlobalWarmingPotentials!$C$11*M59)^2))</f>
        <v>0</v>
      </c>
    </row>
    <row r="60" spans="1:16" x14ac:dyDescent="0.25">
      <c r="A60" s="979" t="str">
        <f>Cultivation!A24</f>
        <v>ploughing</v>
      </c>
      <c r="B60" s="727">
        <f>(Unitflowchart!$S$17*(AllocationPrice!$H$23/100)*Cultivation!J24)/Unitflowchart!$S$383</f>
        <v>37.600836367946258</v>
      </c>
      <c r="C60" s="26">
        <f t="shared" si="9"/>
        <v>0.29047996764772516</v>
      </c>
      <c r="D60" s="148">
        <f>(Unitflowchart!$S$17*(AllocationPrice!$H$23/100)*Cultivation!K24)/Unitflowchart!$S$383</f>
        <v>0</v>
      </c>
      <c r="E60" s="727">
        <f>(Unitflowchart!$S$17*(AllocationPrice!$H$23/100)*Cultivation!P24)/Unitflowchart!$S$383</f>
        <v>2.6982892826951184</v>
      </c>
      <c r="F60" s="26">
        <f t="shared" si="10"/>
        <v>0.33544888575153803</v>
      </c>
      <c r="G60" s="148">
        <f>(Unitflowchart!$S$17*(AllocationPrice!$H$23/100)*Cultivation!Q24)/Unitflowchart!$S$383</f>
        <v>0</v>
      </c>
      <c r="H60" s="165">
        <f>(Unitflowchart!$S$17*(AllocationPrice!$H$23/100)*Cultivation!V24)/Unitflowchart!$S$383</f>
        <v>5.6068348731327141E-4</v>
      </c>
      <c r="I60" s="26">
        <f t="shared" si="11"/>
        <v>5.608616025959802E-2</v>
      </c>
      <c r="J60" s="214">
        <f>(Unitflowchart!$S$17*(AllocationPrice!$H$23/100)*Cultivation!W24)/Unitflowchart!$S$383</f>
        <v>0</v>
      </c>
      <c r="K60" s="165">
        <f>(Unitflowchart!$S$17*(AllocationPrice!$H$23/100)*Cultivation!AB24)/Unitflowchart!$S$383</f>
        <v>7.2888853350725272E-4</v>
      </c>
      <c r="L60" s="26">
        <f t="shared" si="12"/>
        <v>0.33744681136276317</v>
      </c>
      <c r="M60" s="214">
        <f>(Unitflowchart!$S$17*(AllocationPrice!$H$23/100)*Cultivation!AC24)/Unitflowchart!$S$383</f>
        <v>0</v>
      </c>
      <c r="N60" s="727">
        <f>E60+(GlobalWarmingPotentials!$B$11*H60)+(GlobalWarmingPotentials!$C$11*K60)</f>
        <v>2.9269360088214706</v>
      </c>
      <c r="O60" s="26">
        <f t="shared" si="13"/>
        <v>0.3283856219853436</v>
      </c>
      <c r="P60" s="756">
        <f>SQRT((G60^2)+((GlobalWarmingPotentials!$B$11*J60)^2)+((GlobalWarmingPotentials!$C$11*M60)^2))</f>
        <v>0</v>
      </c>
    </row>
    <row r="61" spans="1:16" x14ac:dyDescent="0.25">
      <c r="A61" s="979" t="str">
        <f>Cultivation!A25</f>
        <v>rotavating/power harrowing</v>
      </c>
      <c r="B61" s="727">
        <f>(Unitflowchart!$S$17*(AllocationPrice!$H$23/100)*Cultivation!J25)/Unitflowchart!$S$383</f>
        <v>19.680057099797409</v>
      </c>
      <c r="C61" s="26">
        <f t="shared" si="9"/>
        <v>0.15203551042624791</v>
      </c>
      <c r="D61" s="148">
        <f>(Unitflowchart!$S$17*(AllocationPrice!$H$23/100)*Cultivation!K25)/Unitflowchart!$S$383</f>
        <v>0</v>
      </c>
      <c r="E61" s="727">
        <f>(Unitflowchart!$S$17*(AllocationPrice!$H$23/100)*Cultivation!P25)/Unitflowchart!$S$383</f>
        <v>1.4122687760339239</v>
      </c>
      <c r="F61" s="26">
        <f t="shared" si="10"/>
        <v>0.17557197826805321</v>
      </c>
      <c r="G61" s="148">
        <f>(Unitflowchart!$S$17*(AllocationPrice!$H$23/100)*Cultivation!Q25)/Unitflowchart!$S$383</f>
        <v>0</v>
      </c>
      <c r="H61" s="165">
        <f>(Unitflowchart!$S$17*(AllocationPrice!$H$23/100)*Cultivation!V25)/Unitflowchart!$S$383</f>
        <v>2.9345844696808811E-4</v>
      </c>
      <c r="I61" s="26">
        <f t="shared" si="11"/>
        <v>2.9355167146181357E-2</v>
      </c>
      <c r="J61" s="214">
        <f>(Unitflowchart!$S$17*(AllocationPrice!$H$23/100)*Cultivation!W25)/Unitflowchart!$S$383</f>
        <v>0</v>
      </c>
      <c r="K61" s="165">
        <f>(Unitflowchart!$S$17*(AllocationPrice!$H$23/100)*Cultivation!AB25)/Unitflowchart!$S$383</f>
        <v>3.8149598105851457E-4</v>
      </c>
      <c r="L61" s="26">
        <f t="shared" si="12"/>
        <v>0.17661768080842483</v>
      </c>
      <c r="M61" s="214">
        <f>(Unitflowchart!$S$17*(AllocationPrice!$H$23/100)*Cultivation!AC25)/Unitflowchart!$S$383</f>
        <v>0</v>
      </c>
      <c r="N61" s="727">
        <f>E61+(GlobalWarmingPotentials!$B$11*H61)+(GlobalWarmingPotentials!$C$11*K61)</f>
        <v>1.5319411307075104</v>
      </c>
      <c r="O61" s="26">
        <f t="shared" si="13"/>
        <v>0.17187510746259063</v>
      </c>
      <c r="P61" s="756">
        <f>SQRT((G61^2)+((GlobalWarmingPotentials!$B$11*J61)^2)+((GlobalWarmingPotentials!$C$11*M61)^2))</f>
        <v>0</v>
      </c>
    </row>
    <row r="62" spans="1:16" x14ac:dyDescent="0.25">
      <c r="A62" s="979" t="str">
        <f>Cultivation!A26</f>
        <v xml:space="preserve">planting </v>
      </c>
      <c r="B62" s="727">
        <f>(Unitflowchart!$S$17*(AllocationPrice!$H$23/100)*Cultivation!J26)/Unitflowchart!$S$383</f>
        <v>32.800095166329015</v>
      </c>
      <c r="C62" s="26">
        <f t="shared" si="9"/>
        <v>0.25339251737707985</v>
      </c>
      <c r="D62" s="148">
        <f>(Unitflowchart!$S$17*(AllocationPrice!$H$23/100)*Cultivation!K26)/Unitflowchart!$S$383</f>
        <v>0</v>
      </c>
      <c r="E62" s="727">
        <f>(Unitflowchart!$S$17*(AllocationPrice!$H$23/100)*Cultivation!P26)/Unitflowchart!$S$383</f>
        <v>2.3537812933898734</v>
      </c>
      <c r="F62" s="26">
        <f t="shared" si="10"/>
        <v>0.2926199637800887</v>
      </c>
      <c r="G62" s="148">
        <f>(Unitflowchart!$S$17*(AllocationPrice!$H$23/100)*Cultivation!Q26)/Unitflowchart!$S$383</f>
        <v>0</v>
      </c>
      <c r="H62" s="165">
        <f>(Unitflowchart!$S$17*(AllocationPrice!$H$23/100)*Cultivation!V26)/Unitflowchart!$S$383</f>
        <v>4.8909741161348025E-4</v>
      </c>
      <c r="I62" s="26">
        <f t="shared" si="11"/>
        <v>4.8925278576968934E-2</v>
      </c>
      <c r="J62" s="214">
        <f>(Unitflowchart!$S$17*(AllocationPrice!$H$23/100)*Cultivation!W26)/Unitflowchart!$S$383</f>
        <v>0</v>
      </c>
      <c r="K62" s="165">
        <f>(Unitflowchart!$S$17*(AllocationPrice!$H$23/100)*Cultivation!AB26)/Unitflowchart!$S$383</f>
        <v>6.3582663509752419E-4</v>
      </c>
      <c r="L62" s="26">
        <f t="shared" si="12"/>
        <v>0.29436280134737469</v>
      </c>
      <c r="M62" s="214">
        <f>(Unitflowchart!$S$17*(AllocationPrice!$H$23/100)*Cultivation!AC26)/Unitflowchart!$S$383</f>
        <v>0</v>
      </c>
      <c r="N62" s="727">
        <f>E62+(GlobalWarmingPotentials!$B$11*H62)+(GlobalWarmingPotentials!$C$11*K62)</f>
        <v>2.5532352178458506</v>
      </c>
      <c r="O62" s="26">
        <f t="shared" si="13"/>
        <v>0.28645851243765103</v>
      </c>
      <c r="P62" s="756">
        <f>SQRT((G62^2)+((GlobalWarmingPotentials!$B$11*J62)^2)+((GlobalWarmingPotentials!$C$11*M62)^2))</f>
        <v>0</v>
      </c>
    </row>
    <row r="63" spans="1:16" x14ac:dyDescent="0.25">
      <c r="A63" s="979" t="str">
        <f>Cultivation!A27</f>
        <v>rolling</v>
      </c>
      <c r="B63" s="727">
        <f>(Unitflowchart!$S$17*(AllocationPrice!$H$23/100)*Cultivation!J27)/Unitflowchart!$S$383</f>
        <v>5.9040171299392217</v>
      </c>
      <c r="C63" s="26">
        <f t="shared" si="9"/>
        <v>4.5610653127874365E-2</v>
      </c>
      <c r="D63" s="148">
        <f>(Unitflowchart!$S$17*(AllocationPrice!$H$23/100)*Cultivation!K27)/Unitflowchart!$S$383</f>
        <v>0</v>
      </c>
      <c r="E63" s="727">
        <f>(Unitflowchart!$S$17*(AllocationPrice!$H$23/100)*Cultivation!P27)/Unitflowchart!$S$383</f>
        <v>0.4236806328101772</v>
      </c>
      <c r="F63" s="26">
        <f t="shared" si="10"/>
        <v>5.2671593480415974E-2</v>
      </c>
      <c r="G63" s="148">
        <f>(Unitflowchart!$S$17*(AllocationPrice!$H$23/100)*Cultivation!Q27)/Unitflowchart!$S$383</f>
        <v>0</v>
      </c>
      <c r="H63" s="165">
        <f>(Unitflowchart!$S$17*(AllocationPrice!$H$23/100)*Cultivation!V27)/Unitflowchart!$S$383</f>
        <v>8.8037534090426424E-5</v>
      </c>
      <c r="I63" s="26">
        <f t="shared" si="11"/>
        <v>8.8065501438544073E-3</v>
      </c>
      <c r="J63" s="214">
        <f>(Unitflowchart!$S$17*(AllocationPrice!$H$23/100)*Cultivation!W27)/Unitflowchart!$S$383</f>
        <v>0</v>
      </c>
      <c r="K63" s="165">
        <f>(Unitflowchart!$S$17*(AllocationPrice!$H$23/100)*Cultivation!AB27)/Unitflowchart!$S$383</f>
        <v>1.1444879431755436E-4</v>
      </c>
      <c r="L63" s="26">
        <f t="shared" si="12"/>
        <v>5.2985304242527453E-2</v>
      </c>
      <c r="M63" s="214">
        <f>(Unitflowchart!$S$17*(AllocationPrice!$H$23/100)*Cultivation!AC27)/Unitflowchart!$S$383</f>
        <v>0</v>
      </c>
      <c r="N63" s="727">
        <f>E63+(GlobalWarmingPotentials!$B$11*H63)+(GlobalWarmingPotentials!$C$11*K63)</f>
        <v>0.45958233921225311</v>
      </c>
      <c r="O63" s="26">
        <f t="shared" si="13"/>
        <v>5.1562532238777187E-2</v>
      </c>
      <c r="P63" s="756">
        <f>SQRT((G63^2)+((GlobalWarmingPotentials!$B$11*J63)^2)+((GlobalWarmingPotentials!$C$11*M63)^2))</f>
        <v>0</v>
      </c>
    </row>
    <row r="64" spans="1:16" x14ac:dyDescent="0.25">
      <c r="A64" s="979" t="str">
        <f>Cultivation!A28</f>
        <v>fertilizer application</v>
      </c>
      <c r="B64" s="727">
        <f>(Unitflowchart!$S$17*(AllocationPrice!$H$23/100)*Cultivation!J28)/Unitflowchart!$S$383</f>
        <v>147.60042824848057</v>
      </c>
      <c r="C64" s="26">
        <f t="shared" si="9"/>
        <v>1.1402663281968595</v>
      </c>
      <c r="D64" s="148">
        <f>(Unitflowchart!$S$17*(AllocationPrice!$H$23/100)*Cultivation!K28)/Unitflowchart!$S$383</f>
        <v>0</v>
      </c>
      <c r="E64" s="727">
        <f>(Unitflowchart!$S$17*(AllocationPrice!$H$23/100)*Cultivation!P28)/Unitflowchart!$S$383</f>
        <v>10.59201582025443</v>
      </c>
      <c r="F64" s="26">
        <f t="shared" si="10"/>
        <v>1.3167898370103992</v>
      </c>
      <c r="G64" s="148">
        <f>(Unitflowchart!$S$17*(AllocationPrice!$H$23/100)*Cultivation!Q28)/Unitflowchart!$S$383</f>
        <v>0</v>
      </c>
      <c r="H64" s="165">
        <f>(Unitflowchart!$S$17*(AllocationPrice!$H$23/100)*Cultivation!V28)/Unitflowchart!$S$383</f>
        <v>2.2009383522606607E-3</v>
      </c>
      <c r="I64" s="26">
        <f t="shared" si="11"/>
        <v>0.22016375359636017</v>
      </c>
      <c r="J64" s="214">
        <f>(Unitflowchart!$S$17*(AllocationPrice!$H$23/100)*Cultivation!W28)/Unitflowchart!$S$383</f>
        <v>0</v>
      </c>
      <c r="K64" s="165">
        <f>(Unitflowchart!$S$17*(AllocationPrice!$H$23/100)*Cultivation!AB28)/Unitflowchart!$S$383</f>
        <v>2.8612198579388596E-3</v>
      </c>
      <c r="L64" s="26">
        <f t="shared" si="12"/>
        <v>1.3246326060631866</v>
      </c>
      <c r="M64" s="214">
        <f>(Unitflowchart!$S$17*(AllocationPrice!$H$23/100)*Cultivation!AC28)/Unitflowchart!$S$383</f>
        <v>0</v>
      </c>
      <c r="N64" s="727">
        <f>E64+(GlobalWarmingPotentials!$B$11*H64)+(GlobalWarmingPotentials!$C$11*K64)</f>
        <v>11.489558480306327</v>
      </c>
      <c r="O64" s="26">
        <f t="shared" si="13"/>
        <v>1.2890633059694294</v>
      </c>
      <c r="P64" s="756">
        <f>SQRT((G64^2)+((GlobalWarmingPotentials!$B$11*J64)^2)+((GlobalWarmingPotentials!$C$11*M64)^2))</f>
        <v>0</v>
      </c>
    </row>
    <row r="65" spans="1:16" x14ac:dyDescent="0.25">
      <c r="A65" s="979" t="str">
        <f>Cultivation!A29</f>
        <v>herbicide application</v>
      </c>
      <c r="B65" s="727">
        <f>(Unitflowchart!$S$17*(AllocationPrice!$H$23/100)*Cultivation!J29)/Unitflowchart!$S$383</f>
        <v>11.808034259878443</v>
      </c>
      <c r="C65" s="26">
        <f t="shared" si="9"/>
        <v>9.122130625574873E-2</v>
      </c>
      <c r="D65" s="148">
        <f>(Unitflowchart!$S$17*(AllocationPrice!$H$23/100)*Cultivation!K29)/Unitflowchart!$S$383</f>
        <v>0</v>
      </c>
      <c r="E65" s="727">
        <f>(Unitflowchart!$S$17*(AllocationPrice!$H$23/100)*Cultivation!P29)/Unitflowchart!$S$383</f>
        <v>0.84736126562035441</v>
      </c>
      <c r="F65" s="26">
        <f t="shared" si="10"/>
        <v>0.10534318696083195</v>
      </c>
      <c r="G65" s="148">
        <f>(Unitflowchart!$S$17*(AllocationPrice!$H$23/100)*Cultivation!Q29)/Unitflowchart!$S$383</f>
        <v>0</v>
      </c>
      <c r="H65" s="165">
        <f>(Unitflowchart!$S$17*(AllocationPrice!$H$23/100)*Cultivation!V29)/Unitflowchart!$S$383</f>
        <v>1.7607506818085285E-4</v>
      </c>
      <c r="I65" s="26">
        <f t="shared" si="11"/>
        <v>1.7613100287708815E-2</v>
      </c>
      <c r="J65" s="214">
        <f>(Unitflowchart!$S$17*(AllocationPrice!$H$23/100)*Cultivation!W29)/Unitflowchart!$S$383</f>
        <v>0</v>
      </c>
      <c r="K65" s="165">
        <f>(Unitflowchart!$S$17*(AllocationPrice!$H$23/100)*Cultivation!AB29)/Unitflowchart!$S$383</f>
        <v>2.2889758863510871E-4</v>
      </c>
      <c r="L65" s="26">
        <f t="shared" si="12"/>
        <v>0.10597060848505491</v>
      </c>
      <c r="M65" s="214">
        <f>(Unitflowchart!$S$17*(AllocationPrice!$H$23/100)*Cultivation!AC29)/Unitflowchart!$S$383</f>
        <v>0</v>
      </c>
      <c r="N65" s="727">
        <f>E65+(GlobalWarmingPotentials!$B$11*H65)+(GlobalWarmingPotentials!$C$11*K65)</f>
        <v>0.91916467842450622</v>
      </c>
      <c r="O65" s="26">
        <f t="shared" si="13"/>
        <v>0.10312506447755437</v>
      </c>
      <c r="P65" s="756">
        <f>SQRT((G65^2)+((GlobalWarmingPotentials!$B$11*J65)^2)+((GlobalWarmingPotentials!$C$11*M65)^2))</f>
        <v>0</v>
      </c>
    </row>
    <row r="66" spans="1:16" x14ac:dyDescent="0.25">
      <c r="A66" s="979" t="str">
        <f>Cultivation!A30</f>
        <v>weed cultivating</v>
      </c>
      <c r="B66" s="727">
        <f>(Unitflowchart!$S$17*(AllocationPrice!$H$23/100)*Cultivation!J30)/Unitflowchart!$S$383</f>
        <v>5.9040171299392217</v>
      </c>
      <c r="C66" s="26">
        <f t="shared" si="9"/>
        <v>4.5610653127874365E-2</v>
      </c>
      <c r="D66" s="148">
        <f>(Unitflowchart!$S$17*(AllocationPrice!$H$23/100)*Cultivation!K30)/Unitflowchart!$S$383</f>
        <v>0</v>
      </c>
      <c r="E66" s="727">
        <f>(Unitflowchart!$S$17*(AllocationPrice!$H$23/100)*Cultivation!P30)/Unitflowchart!$S$383</f>
        <v>0.4236806328101772</v>
      </c>
      <c r="F66" s="26">
        <f t="shared" si="10"/>
        <v>5.2671593480415974E-2</v>
      </c>
      <c r="G66" s="148">
        <f>(Unitflowchart!$S$17*(AllocationPrice!$H$23/100)*Cultivation!Q30)/Unitflowchart!$S$383</f>
        <v>0</v>
      </c>
      <c r="H66" s="165">
        <f>(Unitflowchart!$S$17*(AllocationPrice!$H$23/100)*Cultivation!V30)/Unitflowchart!$S$383</f>
        <v>8.8037534090426424E-5</v>
      </c>
      <c r="I66" s="26">
        <f t="shared" si="11"/>
        <v>8.8065501438544073E-3</v>
      </c>
      <c r="J66" s="214">
        <f>(Unitflowchart!$S$17*(AllocationPrice!$H$23/100)*Cultivation!W30)/Unitflowchart!$S$383</f>
        <v>0</v>
      </c>
      <c r="K66" s="165">
        <f>(Unitflowchart!$S$17*(AllocationPrice!$H$23/100)*Cultivation!AB30)/Unitflowchart!$S$383</f>
        <v>1.1444879431755436E-4</v>
      </c>
      <c r="L66" s="26">
        <f t="shared" si="12"/>
        <v>5.2985304242527453E-2</v>
      </c>
      <c r="M66" s="214">
        <f>(Unitflowchart!$S$17*(AllocationPrice!$H$23/100)*Cultivation!AC30)/Unitflowchart!$S$383</f>
        <v>0</v>
      </c>
      <c r="N66" s="727">
        <f>E66+(GlobalWarmingPotentials!$B$11*H66)+(GlobalWarmingPotentials!$C$11*K66)</f>
        <v>0.45958233921225311</v>
      </c>
      <c r="O66" s="26">
        <f t="shared" si="13"/>
        <v>5.1562532238777187E-2</v>
      </c>
      <c r="P66" s="756">
        <f>SQRT((G66^2)+((GlobalWarmingPotentials!$B$11*J66)^2)+((GlobalWarmingPotentials!$C$11*M66)^2))</f>
        <v>0</v>
      </c>
    </row>
    <row r="67" spans="1:16" x14ac:dyDescent="0.25">
      <c r="A67" s="979" t="str">
        <f>Cultivation!A31</f>
        <v>residue removal</v>
      </c>
      <c r="B67" s="727">
        <f>(Unitflowchart!$S$17*(AllocationPrice!$H$23/100)*Cultivation!J31)/Unitflowchart!$S$383</f>
        <v>52.480152266126431</v>
      </c>
      <c r="C67" s="26">
        <f t="shared" si="9"/>
        <v>0.40542802780332782</v>
      </c>
      <c r="D67" s="148">
        <f>(Unitflowchart!$S$17*(AllocationPrice!$H$23/100)*Cultivation!K31)/Unitflowchart!$S$383</f>
        <v>0</v>
      </c>
      <c r="E67" s="727">
        <f>(Unitflowchart!$S$17*(AllocationPrice!$H$23/100)*Cultivation!P31)/Unitflowchart!$S$383</f>
        <v>3.7660500694237977</v>
      </c>
      <c r="F67" s="26">
        <f t="shared" si="10"/>
        <v>0.46819194204814202</v>
      </c>
      <c r="G67" s="148">
        <f>(Unitflowchart!$S$17*(AllocationPrice!$H$23/100)*Cultivation!Q31)/Unitflowchart!$S$383</f>
        <v>0</v>
      </c>
      <c r="H67" s="165">
        <f>(Unitflowchart!$S$17*(AllocationPrice!$H$23/100)*Cultivation!V31)/Unitflowchart!$S$383</f>
        <v>7.8255585858156835E-4</v>
      </c>
      <c r="I67" s="26">
        <f t="shared" si="11"/>
        <v>7.8280445723150294E-2</v>
      </c>
      <c r="J67" s="214">
        <f>(Unitflowchart!$S$17*(AllocationPrice!$H$23/100)*Cultivation!W31)/Unitflowchart!$S$383</f>
        <v>0</v>
      </c>
      <c r="K67" s="165">
        <f>(Unitflowchart!$S$17*(AllocationPrice!$H$23/100)*Cultivation!AB31)/Unitflowchart!$S$383</f>
        <v>1.0173226161560389E-3</v>
      </c>
      <c r="L67" s="26">
        <f t="shared" si="12"/>
        <v>0.47098048215579957</v>
      </c>
      <c r="M67" s="214">
        <f>(Unitflowchart!$S$17*(AllocationPrice!$H$23/100)*Cultivation!AC31)/Unitflowchart!$S$383</f>
        <v>0</v>
      </c>
      <c r="N67" s="727">
        <f>E67+(GlobalWarmingPotentials!$B$11*H67)+(GlobalWarmingPotentials!$C$11*K67)</f>
        <v>4.085176348553361</v>
      </c>
      <c r="O67" s="26">
        <f t="shared" si="13"/>
        <v>0.45833361990024163</v>
      </c>
      <c r="P67" s="756">
        <f>SQRT((G67^2)+((GlobalWarmingPotentials!$B$11*J67)^2)+((GlobalWarmingPotentials!$C$11*M67)^2))</f>
        <v>0</v>
      </c>
    </row>
    <row r="68" spans="1:16" s="43" customFormat="1" x14ac:dyDescent="0.25">
      <c r="A68" s="979"/>
      <c r="B68" s="729"/>
      <c r="C68" s="992"/>
      <c r="D68" s="736"/>
      <c r="E68" s="729"/>
      <c r="F68" s="992"/>
      <c r="G68" s="736"/>
      <c r="H68" s="505"/>
      <c r="I68" s="992"/>
      <c r="J68" s="506"/>
      <c r="K68" s="505"/>
      <c r="L68" s="992"/>
      <c r="M68" s="506"/>
      <c r="N68" s="729"/>
      <c r="O68" s="992"/>
      <c r="P68" s="758"/>
    </row>
    <row r="69" spans="1:16" x14ac:dyDescent="0.25">
      <c r="A69" s="979" t="str">
        <f>Cultivation!A33</f>
        <v>Sub-Totals for Diesel Fuel</v>
      </c>
      <c r="B69" s="727">
        <f>(Unitflowchart!$S$17*(AllocationPrice!$H$23/100)*Cultivation!J33)/Unitflowchart!$S$383</f>
        <v>351.36170126044561</v>
      </c>
      <c r="C69" s="26">
        <f>(B69/B$383)*100</f>
        <v>2.7143953558913503</v>
      </c>
      <c r="D69" s="148">
        <f>(Unitflowchart!$S$17*(AllocationPrice!$H$23/100)*Cultivation!K33)/Unitflowchart!$S$383</f>
        <v>0</v>
      </c>
      <c r="E69" s="727">
        <f>(Unitflowchart!$S$17*(AllocationPrice!$H$23/100)*Cultivation!P33)/Unitflowchart!$S$383</f>
        <v>25.214213417571582</v>
      </c>
      <c r="F69" s="26">
        <f>(E69/E$383)*100</f>
        <v>3.1346082313226726</v>
      </c>
      <c r="G69" s="148">
        <f>(Unitflowchart!$S$17*(AllocationPrice!$H$23/100)*Cultivation!Q33)/Unitflowchart!$S$383</f>
        <v>0</v>
      </c>
      <c r="H69" s="165">
        <f>(Unitflowchart!$S$17*(AllocationPrice!$H$23/100)*Cultivation!V33)/Unitflowchart!$S$383</f>
        <v>5.2393170737811082E-3</v>
      </c>
      <c r="I69" s="26">
        <f>(H69/H$383)*100</f>
        <v>0.52409814752891137</v>
      </c>
      <c r="J69" s="214">
        <f>(Unitflowchart!$S$17*(AllocationPrice!$H$23/100)*Cultivation!W33)/Unitflowchart!$S$383</f>
        <v>0</v>
      </c>
      <c r="K69" s="165">
        <f>(Unitflowchart!$S$17*(AllocationPrice!$H$23/100)*Cultivation!AB33)/Unitflowchart!$S$383</f>
        <v>6.8111121959154395E-3</v>
      </c>
      <c r="L69" s="26">
        <f>(K69/K$383)*100</f>
        <v>3.1532778836379145</v>
      </c>
      <c r="M69" s="214">
        <f>(Unitflowchart!$S$17*(AllocationPrice!$H$23/100)*Cultivation!AC33)/Unitflowchart!$S$383</f>
        <v>0</v>
      </c>
      <c r="N69" s="727">
        <f>E69+(GlobalWarmingPotentials!$B$11*H69)+(GlobalWarmingPotentials!$C$11*K69)</f>
        <v>27.350806920259515</v>
      </c>
      <c r="O69" s="26">
        <f>(N69/N$383)*100</f>
        <v>3.0686054342291218</v>
      </c>
      <c r="P69" s="756">
        <f>SQRT((G69^2)+((GlobalWarmingPotentials!$B$11*J69)^2)+((GlobalWarmingPotentials!$C$11*M69)^2))</f>
        <v>0</v>
      </c>
    </row>
    <row r="70" spans="1:16" s="43" customFormat="1" x14ac:dyDescent="0.25">
      <c r="A70" s="979"/>
      <c r="B70" s="729"/>
      <c r="C70" s="992"/>
      <c r="D70" s="736"/>
      <c r="E70" s="729"/>
      <c r="F70" s="992"/>
      <c r="G70" s="736"/>
      <c r="H70" s="505"/>
      <c r="I70" s="992"/>
      <c r="J70" s="506"/>
      <c r="K70" s="505"/>
      <c r="L70" s="992"/>
      <c r="M70" s="506"/>
      <c r="N70" s="729"/>
      <c r="O70" s="992"/>
      <c r="P70" s="758"/>
    </row>
    <row r="71" spans="1:16" x14ac:dyDescent="0.25">
      <c r="A71" s="154" t="str">
        <f>Cultivation!A35</f>
        <v>Machinery:</v>
      </c>
      <c r="B71" s="727">
        <f>(Unitflowchart!$S$17*(AllocationPrice!$H$23/100)*Cultivation!J35)/Unitflowchart!$S$383</f>
        <v>0</v>
      </c>
      <c r="C71" s="26">
        <f t="shared" ref="C71:C80" si="14">(B71/B$383)*100</f>
        <v>0</v>
      </c>
      <c r="D71" s="148">
        <f>(Unitflowchart!$S$17*(AllocationPrice!$H$23/100)*Cultivation!K35)/Unitflowchart!$S$383</f>
        <v>0</v>
      </c>
      <c r="E71" s="727">
        <f>(Unitflowchart!$S$17*(AllocationPrice!$H$23/100)*Cultivation!P35)/Unitflowchart!$S$383</f>
        <v>0</v>
      </c>
      <c r="F71" s="26">
        <f t="shared" ref="F71:F80" si="15">(E71/E$383)*100</f>
        <v>0</v>
      </c>
      <c r="G71" s="148">
        <f>(Unitflowchart!$S$17*(AllocationPrice!$H$23/100)*Cultivation!Q35)/Unitflowchart!$S$383</f>
        <v>0</v>
      </c>
      <c r="H71" s="165">
        <f>(Unitflowchart!$S$17*(AllocationPrice!$H$23/100)*Cultivation!V35)/Unitflowchart!$S$383</f>
        <v>0</v>
      </c>
      <c r="I71" s="26">
        <f t="shared" ref="I71:I80" si="16">(H71/H$383)*100</f>
        <v>0</v>
      </c>
      <c r="J71" s="214">
        <f>(Unitflowchart!$S$17*(AllocationPrice!$H$23/100)*Cultivation!W35)/Unitflowchart!$S$383</f>
        <v>0</v>
      </c>
      <c r="K71" s="165">
        <f>(Unitflowchart!$S$17*(AllocationPrice!$H$23/100)*Cultivation!AB35)/Unitflowchart!$S$383</f>
        <v>0</v>
      </c>
      <c r="L71" s="26">
        <f t="shared" ref="L71:L80" si="17">(K71/K$383)*100</f>
        <v>0</v>
      </c>
      <c r="M71" s="214">
        <f>(Unitflowchart!$S$17*(AllocationPrice!$H$23/100)*Cultivation!AC35)/Unitflowchart!$S$383</f>
        <v>0</v>
      </c>
      <c r="N71" s="727">
        <f>E71+(GlobalWarmingPotentials!$B$11*H71)+(GlobalWarmingPotentials!$C$11*K71)</f>
        <v>0</v>
      </c>
      <c r="O71" s="26">
        <f t="shared" ref="O71:O80" si="18">(N71/N$383)*100</f>
        <v>0</v>
      </c>
      <c r="P71" s="756">
        <f>SQRT((G71^2)+((GlobalWarmingPotentials!$B$11*J71)^2)+((GlobalWarmingPotentials!$C$11*M71)^2))</f>
        <v>0</v>
      </c>
    </row>
    <row r="72" spans="1:16" x14ac:dyDescent="0.25">
      <c r="A72" s="979" t="str">
        <f>Cultivation!A36</f>
        <v>subsoiling</v>
      </c>
      <c r="B72" s="727">
        <f>(Unitflowchart!$S$17*(AllocationPrice!$H$23/100)*Cultivation!J36)/Unitflowchart!$S$383</f>
        <v>0</v>
      </c>
      <c r="C72" s="26">
        <f t="shared" si="14"/>
        <v>0</v>
      </c>
      <c r="D72" s="148">
        <f>(Unitflowchart!$S$17*(AllocationPrice!$H$23/100)*Cultivation!K36)/Unitflowchart!$S$383</f>
        <v>0</v>
      </c>
      <c r="E72" s="727">
        <f>(Unitflowchart!$S$17*(AllocationPrice!$H$23/100)*Cultivation!P36)/Unitflowchart!$S$383</f>
        <v>0</v>
      </c>
      <c r="F72" s="26">
        <f t="shared" si="15"/>
        <v>0</v>
      </c>
      <c r="G72" s="148">
        <f>(Unitflowchart!$S$17*(AllocationPrice!$H$23/100)*Cultivation!Q36)/Unitflowchart!$S$383</f>
        <v>0</v>
      </c>
      <c r="H72" s="165">
        <f>(Unitflowchart!$S$17*(AllocationPrice!$H$23/100)*Cultivation!V36)/Unitflowchart!$S$383</f>
        <v>0</v>
      </c>
      <c r="I72" s="26">
        <f t="shared" si="16"/>
        <v>0</v>
      </c>
      <c r="J72" s="214">
        <f>(Unitflowchart!$S$17*(AllocationPrice!$H$23/100)*Cultivation!W36)/Unitflowchart!$S$383</f>
        <v>0</v>
      </c>
      <c r="K72" s="165">
        <f>(Unitflowchart!$S$17*(AllocationPrice!$H$23/100)*Cultivation!AB36)/Unitflowchart!$S$383</f>
        <v>0</v>
      </c>
      <c r="L72" s="26">
        <f t="shared" si="17"/>
        <v>0</v>
      </c>
      <c r="M72" s="214">
        <f>(Unitflowchart!$S$17*(AllocationPrice!$H$23/100)*Cultivation!AC36)/Unitflowchart!$S$383</f>
        <v>0</v>
      </c>
      <c r="N72" s="727">
        <f>E72+(GlobalWarmingPotentials!$B$11*H72)+(GlobalWarmingPotentials!$C$11*K72)</f>
        <v>0</v>
      </c>
      <c r="O72" s="26">
        <f t="shared" si="18"/>
        <v>0</v>
      </c>
      <c r="P72" s="756">
        <f>SQRT((G72^2)+((GlobalWarmingPotentials!$B$11*J72)^2)+((GlobalWarmingPotentials!$C$11*M72)^2))</f>
        <v>0</v>
      </c>
    </row>
    <row r="73" spans="1:16" x14ac:dyDescent="0.25">
      <c r="A73" s="979" t="str">
        <f>Cultivation!A37</f>
        <v>ploughing</v>
      </c>
      <c r="B73" s="727">
        <f>(Unitflowchart!$S$17*(AllocationPrice!$H$23/100)*Cultivation!J37)/Unitflowchart!$S$383</f>
        <v>0</v>
      </c>
      <c r="C73" s="26">
        <f t="shared" si="14"/>
        <v>0</v>
      </c>
      <c r="D73" s="148">
        <f>(Unitflowchart!$S$17*(AllocationPrice!$H$23/100)*Cultivation!K37)/Unitflowchart!$S$383</f>
        <v>0</v>
      </c>
      <c r="E73" s="727">
        <f>(Unitflowchart!$S$17*(AllocationPrice!$H$23/100)*Cultivation!P37)/Unitflowchart!$S$383</f>
        <v>0</v>
      </c>
      <c r="F73" s="26">
        <f t="shared" si="15"/>
        <v>0</v>
      </c>
      <c r="G73" s="148">
        <f>(Unitflowchart!$S$17*(AllocationPrice!$H$23/100)*Cultivation!Q37)/Unitflowchart!$S$383</f>
        <v>0</v>
      </c>
      <c r="H73" s="165">
        <f>(Unitflowchart!$S$17*(AllocationPrice!$H$23/100)*Cultivation!V37)/Unitflowchart!$S$383</f>
        <v>0</v>
      </c>
      <c r="I73" s="26">
        <f t="shared" si="16"/>
        <v>0</v>
      </c>
      <c r="J73" s="214">
        <f>(Unitflowchart!$S$17*(AllocationPrice!$H$23/100)*Cultivation!W37)/Unitflowchart!$S$383</f>
        <v>0</v>
      </c>
      <c r="K73" s="165">
        <f>(Unitflowchart!$S$17*(AllocationPrice!$H$23/100)*Cultivation!AB37)/Unitflowchart!$S$383</f>
        <v>0</v>
      </c>
      <c r="L73" s="26">
        <f t="shared" si="17"/>
        <v>0</v>
      </c>
      <c r="M73" s="214">
        <f>(Unitflowchart!$S$17*(AllocationPrice!$H$23/100)*Cultivation!AC37)/Unitflowchart!$S$383</f>
        <v>0</v>
      </c>
      <c r="N73" s="727">
        <f>E73+(GlobalWarmingPotentials!$B$11*H73)+(GlobalWarmingPotentials!$C$11*K73)</f>
        <v>0</v>
      </c>
      <c r="O73" s="26">
        <f t="shared" si="18"/>
        <v>0</v>
      </c>
      <c r="P73" s="756">
        <f>SQRT((G73^2)+((GlobalWarmingPotentials!$B$11*J73)^2)+((GlobalWarmingPotentials!$C$11*M73)^2))</f>
        <v>0</v>
      </c>
    </row>
    <row r="74" spans="1:16" x14ac:dyDescent="0.25">
      <c r="A74" s="979" t="str">
        <f>Cultivation!A38</f>
        <v>rotavating/power harrowing</v>
      </c>
      <c r="B74" s="727">
        <f>(Unitflowchart!$S$17*(AllocationPrice!$H$23/100)*Cultivation!J38)/Unitflowchart!$S$383</f>
        <v>0</v>
      </c>
      <c r="C74" s="26">
        <f t="shared" si="14"/>
        <v>0</v>
      </c>
      <c r="D74" s="148">
        <f>(Unitflowchart!$S$17*(AllocationPrice!$H$23/100)*Cultivation!K38)/Unitflowchart!$S$383</f>
        <v>0</v>
      </c>
      <c r="E74" s="727">
        <f>(Unitflowchart!$S$17*(AllocationPrice!$H$23/100)*Cultivation!P38)/Unitflowchart!$S$383</f>
        <v>0</v>
      </c>
      <c r="F74" s="26">
        <f t="shared" si="15"/>
        <v>0</v>
      </c>
      <c r="G74" s="148">
        <f>(Unitflowchart!$S$17*(AllocationPrice!$H$23/100)*Cultivation!Q38)/Unitflowchart!$S$383</f>
        <v>0</v>
      </c>
      <c r="H74" s="165">
        <f>(Unitflowchart!$S$17*(AllocationPrice!$H$23/100)*Cultivation!V38)/Unitflowchart!$S$383</f>
        <v>0</v>
      </c>
      <c r="I74" s="26">
        <f t="shared" si="16"/>
        <v>0</v>
      </c>
      <c r="J74" s="214">
        <f>(Unitflowchart!$S$17*(AllocationPrice!$H$23/100)*Cultivation!W38)/Unitflowchart!$S$383</f>
        <v>0</v>
      </c>
      <c r="K74" s="165">
        <f>(Unitflowchart!$S$17*(AllocationPrice!$H$23/100)*Cultivation!AB38)/Unitflowchart!$S$383</f>
        <v>0</v>
      </c>
      <c r="L74" s="26">
        <f t="shared" si="17"/>
        <v>0</v>
      </c>
      <c r="M74" s="214">
        <f>(Unitflowchart!$S$17*(AllocationPrice!$H$23/100)*Cultivation!AC38)/Unitflowchart!$S$383</f>
        <v>0</v>
      </c>
      <c r="N74" s="727">
        <f>E74+(GlobalWarmingPotentials!$B$11*H74)+(GlobalWarmingPotentials!$C$11*K74)</f>
        <v>0</v>
      </c>
      <c r="O74" s="26">
        <f t="shared" si="18"/>
        <v>0</v>
      </c>
      <c r="P74" s="756">
        <f>SQRT((G74^2)+((GlobalWarmingPotentials!$B$11*J74)^2)+((GlobalWarmingPotentials!$C$11*M74)^2))</f>
        <v>0</v>
      </c>
    </row>
    <row r="75" spans="1:16" x14ac:dyDescent="0.25">
      <c r="A75" s="979" t="str">
        <f>Cultivation!A39</f>
        <v xml:space="preserve">planting </v>
      </c>
      <c r="B75" s="727">
        <f>(Unitflowchart!$S$17*(AllocationPrice!$H$23/100)*Cultivation!J39)/Unitflowchart!$S$383</f>
        <v>0</v>
      </c>
      <c r="C75" s="26">
        <f t="shared" si="14"/>
        <v>0</v>
      </c>
      <c r="D75" s="148">
        <f>(Unitflowchart!$S$17*(AllocationPrice!$H$23/100)*Cultivation!K39)/Unitflowchart!$S$383</f>
        <v>0</v>
      </c>
      <c r="E75" s="727">
        <f>(Unitflowchart!$S$17*(AllocationPrice!$H$23/100)*Cultivation!P39)/Unitflowchart!$S$383</f>
        <v>0</v>
      </c>
      <c r="F75" s="26">
        <f t="shared" si="15"/>
        <v>0</v>
      </c>
      <c r="G75" s="148">
        <f>(Unitflowchart!$S$17*(AllocationPrice!$H$23/100)*Cultivation!Q39)/Unitflowchart!$S$383</f>
        <v>0</v>
      </c>
      <c r="H75" s="165">
        <f>(Unitflowchart!$S$17*(AllocationPrice!$H$23/100)*Cultivation!V39)/Unitflowchart!$S$383</f>
        <v>0</v>
      </c>
      <c r="I75" s="26">
        <f t="shared" si="16"/>
        <v>0</v>
      </c>
      <c r="J75" s="214">
        <f>(Unitflowchart!$S$17*(AllocationPrice!$H$23/100)*Cultivation!W39)/Unitflowchart!$S$383</f>
        <v>0</v>
      </c>
      <c r="K75" s="165">
        <f>(Unitflowchart!$S$17*(AllocationPrice!$H$23/100)*Cultivation!AB39)/Unitflowchart!$S$383</f>
        <v>0</v>
      </c>
      <c r="L75" s="26">
        <f t="shared" si="17"/>
        <v>0</v>
      </c>
      <c r="M75" s="214">
        <f>(Unitflowchart!$S$17*(AllocationPrice!$H$23/100)*Cultivation!AC39)/Unitflowchart!$S$383</f>
        <v>0</v>
      </c>
      <c r="N75" s="727">
        <f>E75+(GlobalWarmingPotentials!$B$11*H75)+(GlobalWarmingPotentials!$C$11*K75)</f>
        <v>0</v>
      </c>
      <c r="O75" s="26">
        <f t="shared" si="18"/>
        <v>0</v>
      </c>
      <c r="P75" s="756">
        <f>SQRT((G75^2)+((GlobalWarmingPotentials!$B$11*J75)^2)+((GlobalWarmingPotentials!$C$11*M75)^2))</f>
        <v>0</v>
      </c>
    </row>
    <row r="76" spans="1:16" x14ac:dyDescent="0.25">
      <c r="A76" s="979" t="str">
        <f>Cultivation!A40</f>
        <v>rolling</v>
      </c>
      <c r="B76" s="727">
        <f>(Unitflowchart!$S$17*(AllocationPrice!$H$23/100)*Cultivation!J40)/Unitflowchart!$S$383</f>
        <v>0</v>
      </c>
      <c r="C76" s="26">
        <f t="shared" si="14"/>
        <v>0</v>
      </c>
      <c r="D76" s="148">
        <f>(Unitflowchart!$S$17*(AllocationPrice!$H$23/100)*Cultivation!K40)/Unitflowchart!$S$383</f>
        <v>0</v>
      </c>
      <c r="E76" s="727">
        <f>(Unitflowchart!$S$17*(AllocationPrice!$H$23/100)*Cultivation!P40)/Unitflowchart!$S$383</f>
        <v>0</v>
      </c>
      <c r="F76" s="26">
        <f t="shared" si="15"/>
        <v>0</v>
      </c>
      <c r="G76" s="148">
        <f>(Unitflowchart!$S$17*(AllocationPrice!$H$23/100)*Cultivation!Q40)/Unitflowchart!$S$383</f>
        <v>0</v>
      </c>
      <c r="H76" s="165">
        <f>(Unitflowchart!$S$17*(AllocationPrice!$H$23/100)*Cultivation!V40)/Unitflowchart!$S$383</f>
        <v>0</v>
      </c>
      <c r="I76" s="26">
        <f t="shared" si="16"/>
        <v>0</v>
      </c>
      <c r="J76" s="214">
        <f>(Unitflowchart!$S$17*(AllocationPrice!$H$23/100)*Cultivation!W40)/Unitflowchart!$S$383</f>
        <v>0</v>
      </c>
      <c r="K76" s="165">
        <f>(Unitflowchart!$S$17*(AllocationPrice!$H$23/100)*Cultivation!AB40)/Unitflowchart!$S$383</f>
        <v>0</v>
      </c>
      <c r="L76" s="26">
        <f t="shared" si="17"/>
        <v>0</v>
      </c>
      <c r="M76" s="214">
        <f>(Unitflowchart!$S$17*(AllocationPrice!$H$23/100)*Cultivation!AC40)/Unitflowchart!$S$383</f>
        <v>0</v>
      </c>
      <c r="N76" s="727">
        <f>E76+(GlobalWarmingPotentials!$B$11*H76)+(GlobalWarmingPotentials!$C$11*K76)</f>
        <v>0</v>
      </c>
      <c r="O76" s="26">
        <f t="shared" si="18"/>
        <v>0</v>
      </c>
      <c r="P76" s="756">
        <f>SQRT((G76^2)+((GlobalWarmingPotentials!$B$11*J76)^2)+((GlobalWarmingPotentials!$C$11*M76)^2))</f>
        <v>0</v>
      </c>
    </row>
    <row r="77" spans="1:16" x14ac:dyDescent="0.25">
      <c r="A77" s="979" t="str">
        <f>Cultivation!A41</f>
        <v>fertilizer application</v>
      </c>
      <c r="B77" s="727">
        <f>(Unitflowchart!$S$17*(AllocationPrice!$H$23/100)*Cultivation!J41)/Unitflowchart!$S$383</f>
        <v>0</v>
      </c>
      <c r="C77" s="26">
        <f t="shared" si="14"/>
        <v>0</v>
      </c>
      <c r="D77" s="148">
        <f>(Unitflowchart!$S$17*(AllocationPrice!$H$23/100)*Cultivation!K41)/Unitflowchart!$S$383</f>
        <v>0</v>
      </c>
      <c r="E77" s="727">
        <f>(Unitflowchart!$S$17*(AllocationPrice!$H$23/100)*Cultivation!P41)/Unitflowchart!$S$383</f>
        <v>0</v>
      </c>
      <c r="F77" s="26">
        <f t="shared" si="15"/>
        <v>0</v>
      </c>
      <c r="G77" s="148">
        <f>(Unitflowchart!$S$17*(AllocationPrice!$H$23/100)*Cultivation!Q41)/Unitflowchart!$S$383</f>
        <v>0</v>
      </c>
      <c r="H77" s="165">
        <f>(Unitflowchart!$S$17*(AllocationPrice!$H$23/100)*Cultivation!V41)/Unitflowchart!$S$383</f>
        <v>0</v>
      </c>
      <c r="I77" s="26">
        <f t="shared" si="16"/>
        <v>0</v>
      </c>
      <c r="J77" s="214">
        <f>(Unitflowchart!$S$17*(AllocationPrice!$H$23/100)*Cultivation!W41)/Unitflowchart!$S$383</f>
        <v>0</v>
      </c>
      <c r="K77" s="165">
        <f>(Unitflowchart!$S$17*(AllocationPrice!$H$23/100)*Cultivation!AB41)/Unitflowchart!$S$383</f>
        <v>0</v>
      </c>
      <c r="L77" s="26">
        <f t="shared" si="17"/>
        <v>0</v>
      </c>
      <c r="M77" s="214">
        <f>(Unitflowchart!$S$17*(AllocationPrice!$H$23/100)*Cultivation!AC41)/Unitflowchart!$S$383</f>
        <v>0</v>
      </c>
      <c r="N77" s="727">
        <f>E77+(GlobalWarmingPotentials!$B$11*H77)+(GlobalWarmingPotentials!$C$11*K77)</f>
        <v>0</v>
      </c>
      <c r="O77" s="26">
        <f t="shared" si="18"/>
        <v>0</v>
      </c>
      <c r="P77" s="756">
        <f>SQRT((G77^2)+((GlobalWarmingPotentials!$B$11*J77)^2)+((GlobalWarmingPotentials!$C$11*M77)^2))</f>
        <v>0</v>
      </c>
    </row>
    <row r="78" spans="1:16" x14ac:dyDescent="0.25">
      <c r="A78" s="979" t="str">
        <f>Cultivation!A42</f>
        <v>herbicide application</v>
      </c>
      <c r="B78" s="727">
        <f>(Unitflowchart!$S$17*(AllocationPrice!$H$23/100)*Cultivation!J42)/Unitflowchart!$S$383</f>
        <v>0</v>
      </c>
      <c r="C78" s="26">
        <f t="shared" si="14"/>
        <v>0</v>
      </c>
      <c r="D78" s="148">
        <f>(Unitflowchart!$S$17*(AllocationPrice!$H$23/100)*Cultivation!K42)/Unitflowchart!$S$383</f>
        <v>0</v>
      </c>
      <c r="E78" s="727">
        <f>(Unitflowchart!$S$17*(AllocationPrice!$H$23/100)*Cultivation!P42)/Unitflowchart!$S$383</f>
        <v>0</v>
      </c>
      <c r="F78" s="26">
        <f t="shared" si="15"/>
        <v>0</v>
      </c>
      <c r="G78" s="148">
        <f>(Unitflowchart!$S$17*(AllocationPrice!$H$23/100)*Cultivation!Q42)/Unitflowchart!$S$383</f>
        <v>0</v>
      </c>
      <c r="H78" s="165">
        <f>(Unitflowchart!$S$17*(AllocationPrice!$H$23/100)*Cultivation!V42)/Unitflowchart!$S$383</f>
        <v>0</v>
      </c>
      <c r="I78" s="26">
        <f t="shared" si="16"/>
        <v>0</v>
      </c>
      <c r="J78" s="214">
        <f>(Unitflowchart!$S$17*(AllocationPrice!$H$23/100)*Cultivation!W42)/Unitflowchart!$S$383</f>
        <v>0</v>
      </c>
      <c r="K78" s="165">
        <f>(Unitflowchart!$S$17*(AllocationPrice!$H$23/100)*Cultivation!AB42)/Unitflowchart!$S$383</f>
        <v>0</v>
      </c>
      <c r="L78" s="26">
        <f t="shared" si="17"/>
        <v>0</v>
      </c>
      <c r="M78" s="214">
        <f>(Unitflowchart!$S$17*(AllocationPrice!$H$23/100)*Cultivation!AC42)/Unitflowchart!$S$383</f>
        <v>0</v>
      </c>
      <c r="N78" s="727">
        <f>E78+(GlobalWarmingPotentials!$B$11*H78)+(GlobalWarmingPotentials!$C$11*K78)</f>
        <v>0</v>
      </c>
      <c r="O78" s="26">
        <f t="shared" si="18"/>
        <v>0</v>
      </c>
      <c r="P78" s="756">
        <f>SQRT((G78^2)+((GlobalWarmingPotentials!$B$11*J78)^2)+((GlobalWarmingPotentials!$C$11*M78)^2))</f>
        <v>0</v>
      </c>
    </row>
    <row r="79" spans="1:16" x14ac:dyDescent="0.25">
      <c r="A79" s="979" t="str">
        <f>Cultivation!A43</f>
        <v>weed cultivating</v>
      </c>
      <c r="B79" s="727">
        <f>(Unitflowchart!$S$17*(AllocationPrice!$H$23/100)*Cultivation!J43)/Unitflowchart!$S$383</f>
        <v>0</v>
      </c>
      <c r="C79" s="26">
        <f t="shared" si="14"/>
        <v>0</v>
      </c>
      <c r="D79" s="148">
        <f>(Unitflowchart!$S$17*(AllocationPrice!$H$23/100)*Cultivation!K43)/Unitflowchart!$S$383</f>
        <v>0</v>
      </c>
      <c r="E79" s="727">
        <f>(Unitflowchart!$S$17*(AllocationPrice!$H$23/100)*Cultivation!P43)/Unitflowchart!$S$383</f>
        <v>0</v>
      </c>
      <c r="F79" s="26">
        <f t="shared" si="15"/>
        <v>0</v>
      </c>
      <c r="G79" s="148">
        <f>(Unitflowchart!$S$17*(AllocationPrice!$H$23/100)*Cultivation!Q43)/Unitflowchart!$S$383</f>
        <v>0</v>
      </c>
      <c r="H79" s="165">
        <f>(Unitflowchart!$S$17*(AllocationPrice!$H$23/100)*Cultivation!V43)/Unitflowchart!$S$383</f>
        <v>0</v>
      </c>
      <c r="I79" s="26">
        <f t="shared" si="16"/>
        <v>0</v>
      </c>
      <c r="J79" s="214">
        <f>(Unitflowchart!$S$17*(AllocationPrice!$H$23/100)*Cultivation!W43)/Unitflowchart!$S$383</f>
        <v>0</v>
      </c>
      <c r="K79" s="165">
        <f>(Unitflowchart!$S$17*(AllocationPrice!$H$23/100)*Cultivation!AB43)/Unitflowchart!$S$383</f>
        <v>0</v>
      </c>
      <c r="L79" s="26">
        <f t="shared" si="17"/>
        <v>0</v>
      </c>
      <c r="M79" s="214">
        <f>(Unitflowchart!$S$17*(AllocationPrice!$H$23/100)*Cultivation!AC43)/Unitflowchart!$S$383</f>
        <v>0</v>
      </c>
      <c r="N79" s="727">
        <f>E79+(GlobalWarmingPotentials!$B$11*H79)+(GlobalWarmingPotentials!$C$11*K79)</f>
        <v>0</v>
      </c>
      <c r="O79" s="26">
        <f t="shared" si="18"/>
        <v>0</v>
      </c>
      <c r="P79" s="756">
        <f>SQRT((G79^2)+((GlobalWarmingPotentials!$B$11*J79)^2)+((GlobalWarmingPotentials!$C$11*M79)^2))</f>
        <v>0</v>
      </c>
    </row>
    <row r="80" spans="1:16" x14ac:dyDescent="0.25">
      <c r="A80" s="979" t="str">
        <f>Cultivation!A44</f>
        <v>residue removal</v>
      </c>
      <c r="B80" s="727">
        <f>(Unitflowchart!$S$17*(AllocationPrice!$H$23/100)*Cultivation!J44)/Unitflowchart!$S$383</f>
        <v>0</v>
      </c>
      <c r="C80" s="26">
        <f t="shared" si="14"/>
        <v>0</v>
      </c>
      <c r="D80" s="148">
        <f>(Unitflowchart!$S$17*(AllocationPrice!$H$23/100)*Cultivation!K44)/Unitflowchart!$S$383</f>
        <v>0</v>
      </c>
      <c r="E80" s="727">
        <f>(Unitflowchart!$S$17*(AllocationPrice!$H$23/100)*Cultivation!P44)/Unitflowchart!$S$383</f>
        <v>0</v>
      </c>
      <c r="F80" s="26">
        <f t="shared" si="15"/>
        <v>0</v>
      </c>
      <c r="G80" s="148">
        <f>(Unitflowchart!$S$17*(AllocationPrice!$H$23/100)*Cultivation!Q44)/Unitflowchart!$S$383</f>
        <v>0</v>
      </c>
      <c r="H80" s="165">
        <f>(Unitflowchart!$S$17*(AllocationPrice!$H$23/100)*Cultivation!V44)/Unitflowchart!$S$383</f>
        <v>0</v>
      </c>
      <c r="I80" s="26">
        <f t="shared" si="16"/>
        <v>0</v>
      </c>
      <c r="J80" s="214">
        <f>(Unitflowchart!$S$17*(AllocationPrice!$H$23/100)*Cultivation!W44)/Unitflowchart!$S$383</f>
        <v>0</v>
      </c>
      <c r="K80" s="165">
        <f>(Unitflowchart!$S$17*(AllocationPrice!$H$23/100)*Cultivation!AB44)/Unitflowchart!$S$383</f>
        <v>0</v>
      </c>
      <c r="L80" s="26">
        <f t="shared" si="17"/>
        <v>0</v>
      </c>
      <c r="M80" s="214">
        <f>(Unitflowchart!$S$17*(AllocationPrice!$H$23/100)*Cultivation!AC44)/Unitflowchart!$S$383</f>
        <v>0</v>
      </c>
      <c r="N80" s="727">
        <f>E80+(GlobalWarmingPotentials!$B$11*H80)+(GlobalWarmingPotentials!$C$11*K80)</f>
        <v>0</v>
      </c>
      <c r="O80" s="26">
        <f t="shared" si="18"/>
        <v>0</v>
      </c>
      <c r="P80" s="756">
        <f>SQRT((G80^2)+((GlobalWarmingPotentials!$B$11*J80)^2)+((GlobalWarmingPotentials!$C$11*M80)^2))</f>
        <v>0</v>
      </c>
    </row>
    <row r="81" spans="1:16" s="43" customFormat="1" x14ac:dyDescent="0.25">
      <c r="A81" s="979"/>
      <c r="B81" s="729"/>
      <c r="C81" s="992"/>
      <c r="D81" s="736"/>
      <c r="E81" s="729"/>
      <c r="F81" s="992"/>
      <c r="G81" s="736"/>
      <c r="H81" s="505"/>
      <c r="I81" s="992"/>
      <c r="J81" s="506"/>
      <c r="K81" s="505"/>
      <c r="L81" s="992"/>
      <c r="M81" s="506"/>
      <c r="N81" s="729"/>
      <c r="O81" s="992"/>
      <c r="P81" s="758"/>
    </row>
    <row r="82" spans="1:16" x14ac:dyDescent="0.25">
      <c r="A82" s="979" t="str">
        <f>Cultivation!A46</f>
        <v>Sub-Totals for Machinery</v>
      </c>
      <c r="B82" s="727">
        <f>(Unitflowchart!$S$17*(AllocationPrice!$H$23/100)*Cultivation!J46)/Unitflowchart!$S$383</f>
        <v>0</v>
      </c>
      <c r="C82" s="26">
        <f>(B82/B$383)*100</f>
        <v>0</v>
      </c>
      <c r="D82" s="148">
        <f>(Unitflowchart!$S$17*(AllocationPrice!$H$23/100)*Cultivation!K46)/Unitflowchart!$S$383</f>
        <v>0</v>
      </c>
      <c r="E82" s="727">
        <f>(Unitflowchart!$S$17*(AllocationPrice!$H$23/100)*Cultivation!P46)/Unitflowchart!$S$383</f>
        <v>0</v>
      </c>
      <c r="F82" s="26">
        <f>(E82/E$383)*100</f>
        <v>0</v>
      </c>
      <c r="G82" s="148">
        <f>(Unitflowchart!$S$17*(AllocationPrice!$H$23/100)*Cultivation!Q46)/Unitflowchart!$S$383</f>
        <v>0</v>
      </c>
      <c r="H82" s="165">
        <f>(Unitflowchart!$S$17*(AllocationPrice!$H$23/100)*Cultivation!V46)/Unitflowchart!$S$383</f>
        <v>0</v>
      </c>
      <c r="I82" s="26">
        <f>(H82/H$383)*100</f>
        <v>0</v>
      </c>
      <c r="J82" s="214">
        <f>(Unitflowchart!$S$17*(AllocationPrice!$H$23/100)*Cultivation!W46)/Unitflowchart!$S$383</f>
        <v>0</v>
      </c>
      <c r="K82" s="165">
        <f>(Unitflowchart!$S$17*(AllocationPrice!$H$23/100)*Cultivation!AB46)/Unitflowchart!$S$383</f>
        <v>0</v>
      </c>
      <c r="L82" s="26">
        <f>(K82/K$383)*100</f>
        <v>0</v>
      </c>
      <c r="M82" s="214">
        <f>(Unitflowchart!$S$17*(AllocationPrice!$H$23/100)*Cultivation!AC46)/Unitflowchart!$S$383</f>
        <v>0</v>
      </c>
      <c r="N82" s="727">
        <f>E82+(GlobalWarmingPotentials!$B$11*H82)+(GlobalWarmingPotentials!$C$11*K82)</f>
        <v>0</v>
      </c>
      <c r="O82" s="26">
        <f>(N82/N$383)*100</f>
        <v>0</v>
      </c>
      <c r="P82" s="756">
        <f>SQRT((G82^2)+((GlobalWarmingPotentials!$B$11*J82)^2)+((GlobalWarmingPotentials!$C$11*M82)^2))</f>
        <v>0</v>
      </c>
    </row>
    <row r="83" spans="1:16" s="907" customFormat="1" x14ac:dyDescent="0.25">
      <c r="A83" s="979"/>
      <c r="B83" s="729"/>
      <c r="C83" s="992"/>
      <c r="D83" s="736"/>
      <c r="E83" s="729"/>
      <c r="F83" s="992"/>
      <c r="G83" s="736"/>
      <c r="H83" s="505"/>
      <c r="I83" s="992"/>
      <c r="J83" s="506"/>
      <c r="K83" s="505"/>
      <c r="L83" s="992"/>
      <c r="M83" s="506"/>
      <c r="N83" s="729"/>
      <c r="O83" s="992"/>
      <c r="P83" s="758"/>
    </row>
    <row r="84" spans="1:16" s="5" customFormat="1" x14ac:dyDescent="0.25">
      <c r="A84" s="154" t="str">
        <f>Cultivation!A48</f>
        <v>Maintenance:</v>
      </c>
      <c r="B84" s="727">
        <f>(Unitflowchart!$S$17*(AllocationPrice!$H$23/100)*Cultivation!J48)/Unitflowchart!$S$383</f>
        <v>0</v>
      </c>
      <c r="C84" s="26">
        <f t="shared" ref="C84:C93" si="19">(B84/B$383)*100</f>
        <v>0</v>
      </c>
      <c r="D84" s="148">
        <f>(Unitflowchart!$S$17*(AllocationPrice!$H$23/100)*Cultivation!K48)/Unitflowchart!$S$383</f>
        <v>0</v>
      </c>
      <c r="E84" s="727">
        <f>(Unitflowchart!$S$17*(AllocationPrice!$H$23/100)*Cultivation!P48)/Unitflowchart!$S$383</f>
        <v>0</v>
      </c>
      <c r="F84" s="26">
        <f t="shared" ref="F84:F93" si="20">(E84/E$383)*100</f>
        <v>0</v>
      </c>
      <c r="G84" s="148">
        <f>(Unitflowchart!$S$17*(AllocationPrice!$H$23/100)*Cultivation!Q48)/Unitflowchart!$S$383</f>
        <v>0</v>
      </c>
      <c r="H84" s="165">
        <f>(Unitflowchart!$S$17*(AllocationPrice!$H$23/100)*Cultivation!V48)/Unitflowchart!$S$383</f>
        <v>0</v>
      </c>
      <c r="I84" s="26">
        <f t="shared" ref="I84:I93" si="21">(H84/H$383)*100</f>
        <v>0</v>
      </c>
      <c r="J84" s="214">
        <f>(Unitflowchart!$S$17*(AllocationPrice!$H$23/100)*Cultivation!W48)/Unitflowchart!$S$383</f>
        <v>0</v>
      </c>
      <c r="K84" s="165">
        <f>(Unitflowchart!$S$17*(AllocationPrice!$H$23/100)*Cultivation!AB48)/Unitflowchart!$S$383</f>
        <v>0</v>
      </c>
      <c r="L84" s="26">
        <f t="shared" ref="L84:L93" si="22">(K84/K$383)*100</f>
        <v>0</v>
      </c>
      <c r="M84" s="214">
        <f>(Unitflowchart!$S$17*(AllocationPrice!$H$23/100)*Cultivation!AC48)/Unitflowchart!$S$383</f>
        <v>0</v>
      </c>
      <c r="N84" s="727">
        <f>E84+(GlobalWarmingPotentials!$B$11*H84)+(GlobalWarmingPotentials!$C$11*K84)</f>
        <v>0</v>
      </c>
      <c r="O84" s="26">
        <f t="shared" ref="O84:O93" si="23">(N84/N$383)*100</f>
        <v>0</v>
      </c>
      <c r="P84" s="756">
        <f>SQRT((G84^2)+((GlobalWarmingPotentials!$B$11*J84)^2)+((GlobalWarmingPotentials!$C$11*M84)^2))</f>
        <v>0</v>
      </c>
    </row>
    <row r="85" spans="1:16" s="5" customFormat="1" x14ac:dyDescent="0.25">
      <c r="A85" s="979" t="str">
        <f>Cultivation!A49</f>
        <v xml:space="preserve"> - subsoiling</v>
      </c>
      <c r="B85" s="727">
        <f>(Unitflowchart!$S$17*(AllocationPrice!$H$23/100)*Cultivation!J49)/Unitflowchart!$S$383</f>
        <v>0</v>
      </c>
      <c r="C85" s="26">
        <f t="shared" si="19"/>
        <v>0</v>
      </c>
      <c r="D85" s="148">
        <f>(Unitflowchart!$S$17*(AllocationPrice!$H$23/100)*Cultivation!K49)/Unitflowchart!$S$383</f>
        <v>0</v>
      </c>
      <c r="E85" s="727">
        <f>(Unitflowchart!$S$17*(AllocationPrice!$H$23/100)*Cultivation!P49)/Unitflowchart!$S$383</f>
        <v>0</v>
      </c>
      <c r="F85" s="26">
        <f t="shared" si="20"/>
        <v>0</v>
      </c>
      <c r="G85" s="148">
        <f>(Unitflowchart!$S$17*(AllocationPrice!$H$23/100)*Cultivation!Q49)/Unitflowchart!$S$383</f>
        <v>0</v>
      </c>
      <c r="H85" s="165">
        <f>(Unitflowchart!$S$17*(AllocationPrice!$H$23/100)*Cultivation!V49)/Unitflowchart!$S$383</f>
        <v>0</v>
      </c>
      <c r="I85" s="26">
        <f t="shared" si="21"/>
        <v>0</v>
      </c>
      <c r="J85" s="214">
        <f>(Unitflowchart!$S$17*(AllocationPrice!$H$23/100)*Cultivation!W49)/Unitflowchart!$S$383</f>
        <v>0</v>
      </c>
      <c r="K85" s="165">
        <f>(Unitflowchart!$S$17*(AllocationPrice!$H$23/100)*Cultivation!AB49)/Unitflowchart!$S$383</f>
        <v>0</v>
      </c>
      <c r="L85" s="26">
        <f t="shared" si="22"/>
        <v>0</v>
      </c>
      <c r="M85" s="214">
        <f>(Unitflowchart!$S$17*(AllocationPrice!$H$23/100)*Cultivation!AC49)/Unitflowchart!$S$383</f>
        <v>0</v>
      </c>
      <c r="N85" s="727">
        <f>E85+(GlobalWarmingPotentials!$B$11*H85)+(GlobalWarmingPotentials!$C$11*K85)</f>
        <v>0</v>
      </c>
      <c r="O85" s="26">
        <f t="shared" si="23"/>
        <v>0</v>
      </c>
      <c r="P85" s="756">
        <f>SQRT((G85^2)+((GlobalWarmingPotentials!$B$11*J85)^2)+((GlobalWarmingPotentials!$C$11*M85)^2))</f>
        <v>0</v>
      </c>
    </row>
    <row r="86" spans="1:16" x14ac:dyDescent="0.25">
      <c r="A86" s="979" t="str">
        <f>Cultivation!A50</f>
        <v xml:space="preserve"> - ploughing</v>
      </c>
      <c r="B86" s="727">
        <f>(Unitflowchart!$S$17*(AllocationPrice!$H$23/100)*Cultivation!J50)/Unitflowchart!$S$383</f>
        <v>0</v>
      </c>
      <c r="C86" s="26">
        <f t="shared" si="19"/>
        <v>0</v>
      </c>
      <c r="D86" s="148">
        <f>(Unitflowchart!$S$17*(AllocationPrice!$H$23/100)*Cultivation!K50)/Unitflowchart!$S$383</f>
        <v>0</v>
      </c>
      <c r="E86" s="727">
        <f>(Unitflowchart!$S$17*(AllocationPrice!$H$23/100)*Cultivation!P50)/Unitflowchart!$S$383</f>
        <v>0</v>
      </c>
      <c r="F86" s="26">
        <f t="shared" si="20"/>
        <v>0</v>
      </c>
      <c r="G86" s="148">
        <f>(Unitflowchart!$S$17*(AllocationPrice!$H$23/100)*Cultivation!Q50)/Unitflowchart!$S$383</f>
        <v>0</v>
      </c>
      <c r="H86" s="165">
        <f>(Unitflowchart!$S$17*(AllocationPrice!$H$23/100)*Cultivation!V50)/Unitflowchart!$S$383</f>
        <v>0</v>
      </c>
      <c r="I86" s="26">
        <f t="shared" si="21"/>
        <v>0</v>
      </c>
      <c r="J86" s="214">
        <f>(Unitflowchart!$S$17*(AllocationPrice!$H$23/100)*Cultivation!W50)/Unitflowchart!$S$383</f>
        <v>0</v>
      </c>
      <c r="K86" s="165">
        <f>(Unitflowchart!$S$17*(AllocationPrice!$H$23/100)*Cultivation!AB50)/Unitflowchart!$S$383</f>
        <v>0</v>
      </c>
      <c r="L86" s="26">
        <f t="shared" si="22"/>
        <v>0</v>
      </c>
      <c r="M86" s="214">
        <f>(Unitflowchart!$S$17*(AllocationPrice!$H$23/100)*Cultivation!AC50)/Unitflowchart!$S$383</f>
        <v>0</v>
      </c>
      <c r="N86" s="727">
        <f>E86+(GlobalWarmingPotentials!$B$11*H86)+(GlobalWarmingPotentials!$C$11*K86)</f>
        <v>0</v>
      </c>
      <c r="O86" s="26">
        <f t="shared" si="23"/>
        <v>0</v>
      </c>
      <c r="P86" s="756">
        <f>SQRT((G86^2)+((GlobalWarmingPotentials!$B$11*J86)^2)+((GlobalWarmingPotentials!$C$11*M86)^2))</f>
        <v>0</v>
      </c>
    </row>
    <row r="87" spans="1:16" x14ac:dyDescent="0.25">
      <c r="A87" s="979" t="str">
        <f>Cultivation!A51</f>
        <v xml:space="preserve"> - rotavating/power harrowing</v>
      </c>
      <c r="B87" s="727">
        <f>(Unitflowchart!$S$17*(AllocationPrice!$H$23/100)*Cultivation!J51)/Unitflowchart!$S$383</f>
        <v>0</v>
      </c>
      <c r="C87" s="26">
        <f t="shared" si="19"/>
        <v>0</v>
      </c>
      <c r="D87" s="148">
        <f>(Unitflowchart!$S$17*(AllocationPrice!$H$23/100)*Cultivation!K51)/Unitflowchart!$S$383</f>
        <v>0</v>
      </c>
      <c r="E87" s="727">
        <f>(Unitflowchart!$S$17*(AllocationPrice!$H$23/100)*Cultivation!P51)/Unitflowchart!$S$383</f>
        <v>0</v>
      </c>
      <c r="F87" s="26">
        <f t="shared" si="20"/>
        <v>0</v>
      </c>
      <c r="G87" s="148">
        <f>(Unitflowchart!$S$17*(AllocationPrice!$H$23/100)*Cultivation!Q51)/Unitflowchart!$S$383</f>
        <v>0</v>
      </c>
      <c r="H87" s="165">
        <f>(Unitflowchart!$S$17*(AllocationPrice!$H$23/100)*Cultivation!V51)/Unitflowchart!$S$383</f>
        <v>0</v>
      </c>
      <c r="I87" s="26">
        <f t="shared" si="21"/>
        <v>0</v>
      </c>
      <c r="J87" s="214">
        <f>(Unitflowchart!$S$17*(AllocationPrice!$H$23/100)*Cultivation!W51)/Unitflowchart!$S$383</f>
        <v>0</v>
      </c>
      <c r="K87" s="165">
        <f>(Unitflowchart!$S$17*(AllocationPrice!$H$23/100)*Cultivation!AB51)/Unitflowchart!$S$383</f>
        <v>0</v>
      </c>
      <c r="L87" s="26">
        <f t="shared" si="22"/>
        <v>0</v>
      </c>
      <c r="M87" s="214">
        <f>(Unitflowchart!$S$17*(AllocationPrice!$H$23/100)*Cultivation!AC51)/Unitflowchart!$S$383</f>
        <v>0</v>
      </c>
      <c r="N87" s="727">
        <f>E87+(GlobalWarmingPotentials!$B$11*H87)+(GlobalWarmingPotentials!$C$11*K87)</f>
        <v>0</v>
      </c>
      <c r="O87" s="26">
        <f t="shared" si="23"/>
        <v>0</v>
      </c>
      <c r="P87" s="756">
        <f>SQRT((G87^2)+((GlobalWarmingPotentials!$B$11*J87)^2)+((GlobalWarmingPotentials!$C$11*M87)^2))</f>
        <v>0</v>
      </c>
    </row>
    <row r="88" spans="1:16" x14ac:dyDescent="0.25">
      <c r="A88" s="979" t="str">
        <f>Cultivation!A52</f>
        <v xml:space="preserve"> - planting </v>
      </c>
      <c r="B88" s="727">
        <f>(Unitflowchart!$S$17*(AllocationPrice!$H$23/100)*Cultivation!J52)/Unitflowchart!$S$383</f>
        <v>0</v>
      </c>
      <c r="C88" s="26">
        <f t="shared" si="19"/>
        <v>0</v>
      </c>
      <c r="D88" s="148">
        <f>(Unitflowchart!$S$17*(AllocationPrice!$H$23/100)*Cultivation!K52)/Unitflowchart!$S$383</f>
        <v>0</v>
      </c>
      <c r="E88" s="727">
        <f>(Unitflowchart!$S$17*(AllocationPrice!$H$23/100)*Cultivation!P52)/Unitflowchart!$S$383</f>
        <v>0</v>
      </c>
      <c r="F88" s="26">
        <f t="shared" si="20"/>
        <v>0</v>
      </c>
      <c r="G88" s="148">
        <f>(Unitflowchart!$S$17*(AllocationPrice!$H$23/100)*Cultivation!Q52)/Unitflowchart!$S$383</f>
        <v>0</v>
      </c>
      <c r="H88" s="165">
        <f>(Unitflowchart!$S$17*(AllocationPrice!$H$23/100)*Cultivation!V52)/Unitflowchart!$S$383</f>
        <v>0</v>
      </c>
      <c r="I88" s="26">
        <f t="shared" si="21"/>
        <v>0</v>
      </c>
      <c r="J88" s="214">
        <f>(Unitflowchart!$S$17*(AllocationPrice!$H$23/100)*Cultivation!W52)/Unitflowchart!$S$383</f>
        <v>0</v>
      </c>
      <c r="K88" s="165">
        <f>(Unitflowchart!$S$17*(AllocationPrice!$H$23/100)*Cultivation!AB52)/Unitflowchart!$S$383</f>
        <v>0</v>
      </c>
      <c r="L88" s="26">
        <f t="shared" si="22"/>
        <v>0</v>
      </c>
      <c r="M88" s="214">
        <f>(Unitflowchart!$S$17*(AllocationPrice!$H$23/100)*Cultivation!AC52)/Unitflowchart!$S$383</f>
        <v>0</v>
      </c>
      <c r="N88" s="727">
        <f>E88+(GlobalWarmingPotentials!$B$11*H88)+(GlobalWarmingPotentials!$C$11*K88)</f>
        <v>0</v>
      </c>
      <c r="O88" s="26">
        <f t="shared" si="23"/>
        <v>0</v>
      </c>
      <c r="P88" s="756">
        <f>SQRT((G88^2)+((GlobalWarmingPotentials!$B$11*J88)^2)+((GlobalWarmingPotentials!$C$11*M88)^2))</f>
        <v>0</v>
      </c>
    </row>
    <row r="89" spans="1:16" x14ac:dyDescent="0.25">
      <c r="A89" s="979" t="str">
        <f>Cultivation!A53</f>
        <v xml:space="preserve"> - rolling</v>
      </c>
      <c r="B89" s="727">
        <f>(Unitflowchart!$S$17*(AllocationPrice!$H$23/100)*Cultivation!J53)/Unitflowchart!$S$383</f>
        <v>0</v>
      </c>
      <c r="C89" s="26">
        <f t="shared" si="19"/>
        <v>0</v>
      </c>
      <c r="D89" s="148">
        <f>(Unitflowchart!$S$17*(AllocationPrice!$H$23/100)*Cultivation!K53)/Unitflowchart!$S$383</f>
        <v>0</v>
      </c>
      <c r="E89" s="727">
        <f>(Unitflowchart!$S$17*(AllocationPrice!$H$23/100)*Cultivation!P53)/Unitflowchart!$S$383</f>
        <v>0</v>
      </c>
      <c r="F89" s="26">
        <f t="shared" si="20"/>
        <v>0</v>
      </c>
      <c r="G89" s="148">
        <f>(Unitflowchart!$S$17*(AllocationPrice!$H$23/100)*Cultivation!Q53)/Unitflowchart!$S$383</f>
        <v>0</v>
      </c>
      <c r="H89" s="165">
        <f>(Unitflowchart!$S$17*(AllocationPrice!$H$23/100)*Cultivation!V53)/Unitflowchart!$S$383</f>
        <v>0</v>
      </c>
      <c r="I89" s="26">
        <f t="shared" si="21"/>
        <v>0</v>
      </c>
      <c r="J89" s="214">
        <f>(Unitflowchart!$S$17*(AllocationPrice!$H$23/100)*Cultivation!W53)/Unitflowchart!$S$383</f>
        <v>0</v>
      </c>
      <c r="K89" s="165">
        <f>(Unitflowchart!$S$17*(AllocationPrice!$H$23/100)*Cultivation!AB53)/Unitflowchart!$S$383</f>
        <v>0</v>
      </c>
      <c r="L89" s="26">
        <f t="shared" si="22"/>
        <v>0</v>
      </c>
      <c r="M89" s="214">
        <f>(Unitflowchart!$S$17*(AllocationPrice!$H$23/100)*Cultivation!AC53)/Unitflowchart!$S$383</f>
        <v>0</v>
      </c>
      <c r="N89" s="727">
        <f>E89+(GlobalWarmingPotentials!$B$11*H89)+(GlobalWarmingPotentials!$C$11*K89)</f>
        <v>0</v>
      </c>
      <c r="O89" s="26">
        <f t="shared" si="23"/>
        <v>0</v>
      </c>
      <c r="P89" s="756">
        <f>SQRT((G89^2)+((GlobalWarmingPotentials!$B$11*J89)^2)+((GlobalWarmingPotentials!$C$11*M89)^2))</f>
        <v>0</v>
      </c>
    </row>
    <row r="90" spans="1:16" x14ac:dyDescent="0.25">
      <c r="A90" s="979" t="str">
        <f>Cultivation!A54</f>
        <v xml:space="preserve"> - fertilizer application</v>
      </c>
      <c r="B90" s="727">
        <f>(Unitflowchart!$S$17*(AllocationPrice!$H$23/100)*Cultivation!J54)/Unitflowchart!$S$383</f>
        <v>0</v>
      </c>
      <c r="C90" s="26">
        <f t="shared" si="19"/>
        <v>0</v>
      </c>
      <c r="D90" s="148">
        <f>(Unitflowchart!$S$17*(AllocationPrice!$H$23/100)*Cultivation!K54)/Unitflowchart!$S$383</f>
        <v>0</v>
      </c>
      <c r="E90" s="727">
        <f>(Unitflowchart!$S$17*(AllocationPrice!$H$23/100)*Cultivation!P54)/Unitflowchart!$S$383</f>
        <v>0</v>
      </c>
      <c r="F90" s="26">
        <f t="shared" si="20"/>
        <v>0</v>
      </c>
      <c r="G90" s="148">
        <f>(Unitflowchart!$S$17*(AllocationPrice!$H$23/100)*Cultivation!Q54)/Unitflowchart!$S$383</f>
        <v>0</v>
      </c>
      <c r="H90" s="165">
        <f>(Unitflowchart!$S$17*(AllocationPrice!$H$23/100)*Cultivation!V54)/Unitflowchart!$S$383</f>
        <v>0</v>
      </c>
      <c r="I90" s="26">
        <f t="shared" si="21"/>
        <v>0</v>
      </c>
      <c r="J90" s="214">
        <f>(Unitflowchart!$S$17*(AllocationPrice!$H$23/100)*Cultivation!W54)/Unitflowchart!$S$383</f>
        <v>0</v>
      </c>
      <c r="K90" s="165">
        <f>(Unitflowchart!$S$17*(AllocationPrice!$H$23/100)*Cultivation!AB54)/Unitflowchart!$S$383</f>
        <v>0</v>
      </c>
      <c r="L90" s="26">
        <f t="shared" si="22"/>
        <v>0</v>
      </c>
      <c r="M90" s="214">
        <f>(Unitflowchart!$S$17*(AllocationPrice!$H$23/100)*Cultivation!AC54)/Unitflowchart!$S$383</f>
        <v>0</v>
      </c>
      <c r="N90" s="727">
        <f>E90+(GlobalWarmingPotentials!$B$11*H90)+(GlobalWarmingPotentials!$C$11*K90)</f>
        <v>0</v>
      </c>
      <c r="O90" s="26">
        <f t="shared" si="23"/>
        <v>0</v>
      </c>
      <c r="P90" s="756">
        <f>SQRT((G90^2)+((GlobalWarmingPotentials!$B$11*J90)^2)+((GlobalWarmingPotentials!$C$11*M90)^2))</f>
        <v>0</v>
      </c>
    </row>
    <row r="91" spans="1:16" x14ac:dyDescent="0.25">
      <c r="A91" s="979" t="str">
        <f>Cultivation!A55</f>
        <v xml:space="preserve"> - dessicant application</v>
      </c>
      <c r="B91" s="727">
        <f>(Unitflowchart!$S$17*(AllocationPrice!$H$23/100)*Cultivation!J55)/Unitflowchart!$S$383</f>
        <v>0</v>
      </c>
      <c r="C91" s="26">
        <f t="shared" si="19"/>
        <v>0</v>
      </c>
      <c r="D91" s="148">
        <f>(Unitflowchart!$S$17*(AllocationPrice!$H$23/100)*Cultivation!K55)/Unitflowchart!$S$383</f>
        <v>0</v>
      </c>
      <c r="E91" s="727">
        <f>(Unitflowchart!$S$17*(AllocationPrice!$H$23/100)*Cultivation!P55)/Unitflowchart!$S$383</f>
        <v>0</v>
      </c>
      <c r="F91" s="26">
        <f t="shared" si="20"/>
        <v>0</v>
      </c>
      <c r="G91" s="148">
        <f>(Unitflowchart!$S$17*(AllocationPrice!$H$23/100)*Cultivation!Q55)/Unitflowchart!$S$383</f>
        <v>0</v>
      </c>
      <c r="H91" s="165">
        <f>(Unitflowchart!$S$17*(AllocationPrice!$H$23/100)*Cultivation!V55)/Unitflowchart!$S$383</f>
        <v>0</v>
      </c>
      <c r="I91" s="26">
        <f t="shared" si="21"/>
        <v>0</v>
      </c>
      <c r="J91" s="214">
        <f>(Unitflowchart!$S$17*(AllocationPrice!$H$23/100)*Cultivation!W55)/Unitflowchart!$S$383</f>
        <v>0</v>
      </c>
      <c r="K91" s="165">
        <f>(Unitflowchart!$S$17*(AllocationPrice!$H$23/100)*Cultivation!AB55)/Unitflowchart!$S$383</f>
        <v>0</v>
      </c>
      <c r="L91" s="26">
        <f t="shared" si="22"/>
        <v>0</v>
      </c>
      <c r="M91" s="214">
        <f>(Unitflowchart!$S$17*(AllocationPrice!$H$23/100)*Cultivation!AC55)/Unitflowchart!$S$383</f>
        <v>0</v>
      </c>
      <c r="N91" s="727">
        <f>E91+(GlobalWarmingPotentials!$B$11*H91)+(GlobalWarmingPotentials!$C$11*K91)</f>
        <v>0</v>
      </c>
      <c r="O91" s="26">
        <f t="shared" si="23"/>
        <v>0</v>
      </c>
      <c r="P91" s="756">
        <f>SQRT((G91^2)+((GlobalWarmingPotentials!$B$11*J91)^2)+((GlobalWarmingPotentials!$C$11*M91)^2))</f>
        <v>0</v>
      </c>
    </row>
    <row r="92" spans="1:16" x14ac:dyDescent="0.25">
      <c r="A92" s="979" t="str">
        <f>Cultivation!A56</f>
        <v>weed cultivating</v>
      </c>
      <c r="B92" s="727">
        <f>(Unitflowchart!$S$17*(AllocationPrice!$H$23/100)*Cultivation!J56)/Unitflowchart!$S$383</f>
        <v>0</v>
      </c>
      <c r="C92" s="26">
        <f t="shared" si="19"/>
        <v>0</v>
      </c>
      <c r="D92" s="148">
        <f>(Unitflowchart!$S$17*(AllocationPrice!$H$23/100)*Cultivation!K56)/Unitflowchart!$S$383</f>
        <v>0</v>
      </c>
      <c r="E92" s="727">
        <f>(Unitflowchart!$S$17*(AllocationPrice!$H$23/100)*Cultivation!P56)/Unitflowchart!$S$383</f>
        <v>0</v>
      </c>
      <c r="F92" s="26">
        <f t="shared" si="20"/>
        <v>0</v>
      </c>
      <c r="G92" s="148">
        <f>(Unitflowchart!$S$17*(AllocationPrice!$H$23/100)*Cultivation!Q56)/Unitflowchart!$S$383</f>
        <v>0</v>
      </c>
      <c r="H92" s="165">
        <f>(Unitflowchart!$S$17*(AllocationPrice!$H$23/100)*Cultivation!V56)/Unitflowchart!$S$383</f>
        <v>0</v>
      </c>
      <c r="I92" s="26">
        <f t="shared" si="21"/>
        <v>0</v>
      </c>
      <c r="J92" s="214">
        <f>(Unitflowchart!$S$17*(AllocationPrice!$H$23/100)*Cultivation!W56)/Unitflowchart!$S$383</f>
        <v>0</v>
      </c>
      <c r="K92" s="165">
        <f>(Unitflowchart!$S$17*(AllocationPrice!$H$23/100)*Cultivation!AB56)/Unitflowchart!$S$383</f>
        <v>0</v>
      </c>
      <c r="L92" s="26">
        <f t="shared" si="22"/>
        <v>0</v>
      </c>
      <c r="M92" s="214">
        <f>(Unitflowchart!$S$17*(AllocationPrice!$H$23/100)*Cultivation!AC56)/Unitflowchart!$S$383</f>
        <v>0</v>
      </c>
      <c r="N92" s="727">
        <f>E92+(GlobalWarmingPotentials!$B$11*H92)+(GlobalWarmingPotentials!$C$11*K92)</f>
        <v>0</v>
      </c>
      <c r="O92" s="26">
        <f t="shared" si="23"/>
        <v>0</v>
      </c>
      <c r="P92" s="756">
        <f>SQRT((G92^2)+((GlobalWarmingPotentials!$B$11*J92)^2)+((GlobalWarmingPotentials!$C$11*M92)^2))</f>
        <v>0</v>
      </c>
    </row>
    <row r="93" spans="1:16" x14ac:dyDescent="0.25">
      <c r="A93" s="979" t="str">
        <f>Cultivation!A57</f>
        <v>residue removal</v>
      </c>
      <c r="B93" s="727">
        <f>(Unitflowchart!$S$17*(AllocationPrice!$H$23/100)*Cultivation!J57)/Unitflowchart!$S$383</f>
        <v>0</v>
      </c>
      <c r="C93" s="26">
        <f t="shared" si="19"/>
        <v>0</v>
      </c>
      <c r="D93" s="148">
        <f>(Unitflowchart!$S$17*(AllocationPrice!$H$23/100)*Cultivation!K57)/Unitflowchart!$S$383</f>
        <v>0</v>
      </c>
      <c r="E93" s="727">
        <f>(Unitflowchart!$S$17*(AllocationPrice!$H$23/100)*Cultivation!P57)/Unitflowchart!$S$383</f>
        <v>0</v>
      </c>
      <c r="F93" s="26">
        <f t="shared" si="20"/>
        <v>0</v>
      </c>
      <c r="G93" s="148">
        <f>(Unitflowchart!$S$17*(AllocationPrice!$H$23/100)*Cultivation!Q57)/Unitflowchart!$S$383</f>
        <v>0</v>
      </c>
      <c r="H93" s="165">
        <f>(Unitflowchart!$S$17*(AllocationPrice!$H$23/100)*Cultivation!V57)/Unitflowchart!$S$383</f>
        <v>0</v>
      </c>
      <c r="I93" s="26">
        <f t="shared" si="21"/>
        <v>0</v>
      </c>
      <c r="J93" s="214">
        <f>(Unitflowchart!$S$17*(AllocationPrice!$H$23/100)*Cultivation!W57)/Unitflowchart!$S$383</f>
        <v>0</v>
      </c>
      <c r="K93" s="165">
        <f>(Unitflowchart!$S$17*(AllocationPrice!$H$23/100)*Cultivation!AB57)/Unitflowchart!$S$383</f>
        <v>0</v>
      </c>
      <c r="L93" s="26">
        <f t="shared" si="22"/>
        <v>0</v>
      </c>
      <c r="M93" s="214">
        <f>(Unitflowchart!$S$17*(AllocationPrice!$H$23/100)*Cultivation!AC57)/Unitflowchart!$S$383</f>
        <v>0</v>
      </c>
      <c r="N93" s="727">
        <f>E93+(GlobalWarmingPotentials!$B$11*H93)+(GlobalWarmingPotentials!$C$11*K93)</f>
        <v>0</v>
      </c>
      <c r="O93" s="26">
        <f t="shared" si="23"/>
        <v>0</v>
      </c>
      <c r="P93" s="756">
        <f>SQRT((G93^2)+((GlobalWarmingPotentials!$B$11*J93)^2)+((GlobalWarmingPotentials!$C$11*M93)^2))</f>
        <v>0</v>
      </c>
    </row>
    <row r="94" spans="1:16" s="43" customFormat="1" x14ac:dyDescent="0.25">
      <c r="A94" s="979"/>
      <c r="B94" s="729"/>
      <c r="C94" s="992"/>
      <c r="D94" s="736"/>
      <c r="E94" s="729"/>
      <c r="F94" s="992"/>
      <c r="G94" s="736"/>
      <c r="H94" s="505"/>
      <c r="I94" s="992"/>
      <c r="J94" s="506"/>
      <c r="K94" s="505"/>
      <c r="L94" s="992"/>
      <c r="M94" s="506"/>
      <c r="N94" s="729"/>
      <c r="O94" s="992"/>
      <c r="P94" s="758"/>
    </row>
    <row r="95" spans="1:16" x14ac:dyDescent="0.25">
      <c r="A95" s="979" t="str">
        <f>Cultivation!A59</f>
        <v>Sub-Totals for Maintenance</v>
      </c>
      <c r="B95" s="727">
        <f>(Unitflowchart!$S$17*(AllocationPrice!$H$23/100)*Cultivation!J59)/Unitflowchart!$S$383</f>
        <v>0</v>
      </c>
      <c r="C95" s="26">
        <f>(B95/B$383)*100</f>
        <v>0</v>
      </c>
      <c r="D95" s="148">
        <f>(Unitflowchart!$S$17*(AllocationPrice!$H$23/100)*Cultivation!K59)/Unitflowchart!$S$383</f>
        <v>0</v>
      </c>
      <c r="E95" s="727">
        <f>(Unitflowchart!$S$17*(AllocationPrice!$H$23/100)*Cultivation!P59)/Unitflowchart!$S$383</f>
        <v>0</v>
      </c>
      <c r="F95" s="26">
        <f>(E95/E$383)*100</f>
        <v>0</v>
      </c>
      <c r="G95" s="148">
        <f>(Unitflowchart!$S$17*(AllocationPrice!$H$23/100)*Cultivation!Q59)/Unitflowchart!$S$383</f>
        <v>0</v>
      </c>
      <c r="H95" s="165">
        <f>(Unitflowchart!$S$17*(AllocationPrice!$H$23/100)*Cultivation!V59)/Unitflowchart!$S$383</f>
        <v>0</v>
      </c>
      <c r="I95" s="26">
        <f>(H95/H$383)*100</f>
        <v>0</v>
      </c>
      <c r="J95" s="214">
        <f>(Unitflowchart!$S$17*(AllocationPrice!$H$23/100)*Cultivation!W59)/Unitflowchart!$S$383</f>
        <v>0</v>
      </c>
      <c r="K95" s="165">
        <f>(Unitflowchart!$S$17*(AllocationPrice!$H$23/100)*Cultivation!AB59)/Unitflowchart!$S$383</f>
        <v>0</v>
      </c>
      <c r="L95" s="26">
        <f>(K95/K$383)*100</f>
        <v>0</v>
      </c>
      <c r="M95" s="214">
        <f>(Unitflowchart!$S$17*(AllocationPrice!$H$23/100)*Cultivation!AC59)/Unitflowchart!$S$383</f>
        <v>0</v>
      </c>
      <c r="N95" s="727">
        <f>E95+(GlobalWarmingPotentials!$B$11*H95)+(GlobalWarmingPotentials!$C$11*K95)</f>
        <v>0</v>
      </c>
      <c r="O95" s="26">
        <f>(N95/N$383)*100</f>
        <v>0</v>
      </c>
      <c r="P95" s="756">
        <f>SQRT((G95^2)+((GlobalWarmingPotentials!$B$11*J95)^2)+((GlobalWarmingPotentials!$C$11*M95)^2))</f>
        <v>0</v>
      </c>
    </row>
    <row r="96" spans="1:16" s="907" customFormat="1" x14ac:dyDescent="0.25">
      <c r="A96" s="979"/>
      <c r="B96" s="729"/>
      <c r="C96" s="992"/>
      <c r="D96" s="736"/>
      <c r="E96" s="729"/>
      <c r="F96" s="992"/>
      <c r="G96" s="736"/>
      <c r="H96" s="505"/>
      <c r="I96" s="992"/>
      <c r="J96" s="506"/>
      <c r="K96" s="505"/>
      <c r="L96" s="992"/>
      <c r="M96" s="506"/>
      <c r="N96" s="729"/>
      <c r="O96" s="992"/>
      <c r="P96" s="758"/>
    </row>
    <row r="97" spans="1:16" s="5" customFormat="1" x14ac:dyDescent="0.25">
      <c r="A97" s="979" t="str">
        <f>Cultivation!A61</f>
        <v xml:space="preserve"> - N Fertiliser</v>
      </c>
      <c r="B97" s="727">
        <f>(Unitflowchart!$S$17*(AllocationPrice!$H$23/100)*Cultivation!J61)/Unitflowchart!$S$383</f>
        <v>111.5885146740152</v>
      </c>
      <c r="C97" s="26">
        <f t="shared" ref="C97:C104" si="24">(B97/B$383)*100</f>
        <v>0.86206135989033306</v>
      </c>
      <c r="D97" s="148">
        <f>(Unitflowchart!$S$17*(AllocationPrice!$H$23/100)*Cultivation!K61)/Unitflowchart!$S$383</f>
        <v>16.738277201102282</v>
      </c>
      <c r="E97" s="727">
        <f>(Unitflowchart!$S$17*(AllocationPrice!$H$23/100)*Cultivation!P61)/Unitflowchart!$S$383</f>
        <v>6.5362972470304408</v>
      </c>
      <c r="F97" s="26">
        <f t="shared" ref="F97:F104" si="25">(E97/E$383)*100</f>
        <v>0.81258656828195608</v>
      </c>
      <c r="G97" s="148">
        <f>(Unitflowchart!$S$17*(AllocationPrice!$H$23/100)*Cultivation!Q61)/Unitflowchart!$S$383</f>
        <v>0.98044458705456605</v>
      </c>
      <c r="H97" s="165">
        <f>(Unitflowchart!$S$17*(AllocationPrice!$H$23/100)*Cultivation!V61)/Unitflowchart!$S$383</f>
        <v>1.7324116903140865E-2</v>
      </c>
      <c r="I97" s="26">
        <f t="shared" ref="I97:I104" si="26">(H97/H$383)*100</f>
        <v>1.7329620346794379</v>
      </c>
      <c r="J97" s="214">
        <f>(Unitflowchart!$S$17*(AllocationPrice!$H$23/100)*Cultivation!W61)/Unitflowchart!$S$383</f>
        <v>2.5986175354711298E-3</v>
      </c>
      <c r="K97" s="165">
        <f>(Unitflowchart!$S$17*(AllocationPrice!$H$23/100)*Cultivation!AB61)/Unitflowchart!$S$383</f>
        <v>0</v>
      </c>
      <c r="L97" s="26">
        <f t="shared" ref="L97:L104" si="27">(K97/K$383)*100</f>
        <v>0</v>
      </c>
      <c r="M97" s="214">
        <f>(Unitflowchart!$S$17*(AllocationPrice!$H$23/100)*Cultivation!AC61)/Unitflowchart!$S$383</f>
        <v>0</v>
      </c>
      <c r="N97" s="727">
        <f>E97+(GlobalWarmingPotentials!$B$11*H97)+(GlobalWarmingPotentials!$C$11*K97)</f>
        <v>6.934751935802681</v>
      </c>
      <c r="O97" s="26">
        <f t="shared" ref="O97:O104" si="28">(N97/N$383)*100</f>
        <v>0.77803984128425541</v>
      </c>
      <c r="P97" s="756">
        <f>SQRT((G97^2)+((GlobalWarmingPotentials!$B$11*J97)^2)+((GlobalWarmingPotentials!$C$11*M97)^2))</f>
        <v>0.98226464173979189</v>
      </c>
    </row>
    <row r="98" spans="1:16" s="5" customFormat="1" x14ac:dyDescent="0.25">
      <c r="A98" s="979" t="str">
        <f>Cultivation!A62</f>
        <v xml:space="preserve"> - P Fertiliser</v>
      </c>
      <c r="B98" s="727">
        <f>(Unitflowchart!$S$17*(AllocationPrice!$H$23/100)*Cultivation!J62)/Unitflowchart!$S$383</f>
        <v>3.5369573847567324</v>
      </c>
      <c r="C98" s="26">
        <f t="shared" si="24"/>
        <v>2.7324266317952522E-2</v>
      </c>
      <c r="D98" s="148">
        <f>(Unitflowchart!$S$17*(AllocationPrice!$H$23/100)*Cultivation!K62)/Unitflowchart!$S$383</f>
        <v>0.53054360771350972</v>
      </c>
      <c r="E98" s="727">
        <f>(Unitflowchart!$S$17*(AllocationPrice!$H$23/100)*Cultivation!P62)/Unitflowchart!$S$383</f>
        <v>0.18818605938953564</v>
      </c>
      <c r="F98" s="26">
        <f t="shared" si="25"/>
        <v>2.3395120879381722E-2</v>
      </c>
      <c r="G98" s="148">
        <f>(Unitflowchart!$S$17*(AllocationPrice!$H$23/100)*Cultivation!Q62)/Unitflowchart!$S$383</f>
        <v>2.8227908908430348E-2</v>
      </c>
      <c r="H98" s="165">
        <f>(Unitflowchart!$S$17*(AllocationPrice!$H$23/100)*Cultivation!V62)/Unitflowchart!$S$383</f>
        <v>2.4071236736823281E-4</v>
      </c>
      <c r="I98" s="26">
        <f t="shared" si="26"/>
        <v>2.4078883573645737E-2</v>
      </c>
      <c r="J98" s="214">
        <f>(Unitflowchart!$S$17*(AllocationPrice!$H$23/100)*Cultivation!W62)/Unitflowchart!$S$383</f>
        <v>7.970608191001085E-5</v>
      </c>
      <c r="K98" s="165">
        <f>(Unitflowchart!$S$17*(AllocationPrice!$H$23/100)*Cultivation!AB62)/Unitflowchart!$S$383</f>
        <v>0</v>
      </c>
      <c r="L98" s="26">
        <f t="shared" si="27"/>
        <v>0</v>
      </c>
      <c r="M98" s="214">
        <f>(Unitflowchart!$S$17*(AllocationPrice!$H$23/100)*Cultivation!AC62)/Unitflowchart!$S$383</f>
        <v>0</v>
      </c>
      <c r="N98" s="727">
        <f>E98+(GlobalWarmingPotentials!$B$11*H98)+(GlobalWarmingPotentials!$C$11*K98)</f>
        <v>0.193722443839005</v>
      </c>
      <c r="O98" s="26">
        <f t="shared" si="28"/>
        <v>2.1734559628519952E-2</v>
      </c>
      <c r="P98" s="756">
        <f>SQRT((G98^2)+((GlobalWarmingPotentials!$B$11*J98)^2)+((GlobalWarmingPotentials!$C$11*M98)^2))</f>
        <v>2.828737544938862E-2</v>
      </c>
    </row>
    <row r="99" spans="1:16" s="5" customFormat="1" x14ac:dyDescent="0.25">
      <c r="A99" s="979" t="str">
        <f>Cultivation!A63</f>
        <v xml:space="preserve"> - K Fertiliser</v>
      </c>
      <c r="B99" s="727">
        <f>(Unitflowchart!$S$17*(AllocationPrice!$H$23/100)*Cultivation!J63)/Unitflowchart!$S$383</f>
        <v>38.573758340349755</v>
      </c>
      <c r="C99" s="26">
        <f t="shared" si="24"/>
        <v>0.29799613937066194</v>
      </c>
      <c r="D99" s="148">
        <f>(Unitflowchart!$S$17*(AllocationPrice!$H$23/100)*Cultivation!K63)/Unitflowchart!$S$383</f>
        <v>5.7860637510524633</v>
      </c>
      <c r="E99" s="727">
        <f>(Unitflowchart!$S$17*(AllocationPrice!$H$23/100)*Cultivation!P63)/Unitflowchart!$S$383</f>
        <v>2.1373185864169413</v>
      </c>
      <c r="F99" s="26">
        <f t="shared" si="25"/>
        <v>0.26570951562076278</v>
      </c>
      <c r="G99" s="148">
        <f>(Unitflowchart!$S$17*(AllocationPrice!$H$23/100)*Cultivation!Q63)/Unitflowchart!$S$383</f>
        <v>0.32059778796254118</v>
      </c>
      <c r="H99" s="165">
        <f>(Unitflowchart!$S$17*(AllocationPrice!$H$23/100)*Cultivation!V63)/Unitflowchart!$S$383</f>
        <v>6.2605142036218035E-3</v>
      </c>
      <c r="I99" s="26">
        <f t="shared" si="26"/>
        <v>0.62625030142119353</v>
      </c>
      <c r="J99" s="214">
        <f>(Unitflowchart!$S$17*(AllocationPrice!$H$23/100)*Cultivation!W63)/Unitflowchart!$S$383</f>
        <v>9.3907713054327028E-4</v>
      </c>
      <c r="K99" s="165">
        <f>(Unitflowchart!$S$17*(AllocationPrice!$H$23/100)*Cultivation!AB63)/Unitflowchart!$S$383</f>
        <v>0</v>
      </c>
      <c r="L99" s="26">
        <f t="shared" si="27"/>
        <v>0</v>
      </c>
      <c r="M99" s="214">
        <f>(Unitflowchart!$S$17*(AllocationPrice!$H$23/100)*Cultivation!AC63)/Unitflowchart!$S$383</f>
        <v>0</v>
      </c>
      <c r="N99" s="727">
        <f>E99+(GlobalWarmingPotentials!$B$11*H99)+(GlobalWarmingPotentials!$C$11*K99)</f>
        <v>2.2813104131002429</v>
      </c>
      <c r="O99" s="26">
        <f t="shared" si="28"/>
        <v>0.25595009138898434</v>
      </c>
      <c r="P99" s="756">
        <f>SQRT((G99^2)+((GlobalWarmingPotentials!$B$11*J99)^2)+((GlobalWarmingPotentials!$C$11*M99)^2))</f>
        <v>0.32132452238334591</v>
      </c>
    </row>
    <row r="100" spans="1:16" s="5" customFormat="1" x14ac:dyDescent="0.25">
      <c r="A100" s="979" t="str">
        <f>Cultivation!A64</f>
        <v xml:space="preserve"> - Lime  </v>
      </c>
      <c r="B100" s="727">
        <f>(Unitflowchart!$S$17*(AllocationPrice!$H$23/100)*Cultivation!J64)/Unitflowchart!$S$383</f>
        <v>224.71649538720661</v>
      </c>
      <c r="C100" s="26">
        <f t="shared" si="24"/>
        <v>1.7360156479293571</v>
      </c>
      <c r="D100" s="148">
        <f>(Unitflowchart!$S$17*(AllocationPrice!$H$23/100)*Cultivation!K64)/Unitflowchart!$S$383</f>
        <v>33.707474308080997</v>
      </c>
      <c r="E100" s="727">
        <f>(Unitflowchart!$S$17*(AllocationPrice!$H$23/100)*Cultivation!P64)/Unitflowchart!$S$383</f>
        <v>13.56324236113265</v>
      </c>
      <c r="F100" s="26">
        <f t="shared" si="25"/>
        <v>1.6861700361036083</v>
      </c>
      <c r="G100" s="148">
        <f>(Unitflowchart!$S$17*(AllocationPrice!$H$23/100)*Cultivation!Q64)/Unitflowchart!$S$383</f>
        <v>2.0344863541698968</v>
      </c>
      <c r="H100" s="165">
        <f>(Unitflowchart!$S$17*(AllocationPrice!$H$23/100)*Cultivation!V64)/Unitflowchart!$S$383</f>
        <v>2.4583632977673346E-2</v>
      </c>
      <c r="I100" s="26">
        <f t="shared" si="26"/>
        <v>2.4591442590114068</v>
      </c>
      <c r="J100" s="214">
        <f>(Unitflowchart!$S$17*(AllocationPrice!$H$23/100)*Cultivation!W64)/Unitflowchart!$S$383</f>
        <v>3.687544946651002E-3</v>
      </c>
      <c r="K100" s="165">
        <f>(Unitflowchart!$S$17*(AllocationPrice!$H$23/100)*Cultivation!AB64)/Unitflowchart!$S$383</f>
        <v>0</v>
      </c>
      <c r="L100" s="26">
        <f t="shared" si="27"/>
        <v>0</v>
      </c>
      <c r="M100" s="214">
        <f>(Unitflowchart!$S$17*(AllocationPrice!$H$23/100)*Cultivation!AC64)/Unitflowchart!$S$383</f>
        <v>0</v>
      </c>
      <c r="N100" s="727">
        <f>E100+(GlobalWarmingPotentials!$B$11*H100)+(GlobalWarmingPotentials!$C$11*K100)</f>
        <v>14.128665919619136</v>
      </c>
      <c r="O100" s="26">
        <f t="shared" si="28"/>
        <v>1.5851561946874986</v>
      </c>
      <c r="P100" s="756">
        <f>SQRT((G100^2)+((GlobalWarmingPotentials!$B$11*J100)^2)+((GlobalWarmingPotentials!$C$11*M100)^2))</f>
        <v>2.03625343727508</v>
      </c>
    </row>
    <row r="101" spans="1:16" s="5" customFormat="1" x14ac:dyDescent="0.25">
      <c r="A101" s="979" t="str">
        <f>Cultivation!A65</f>
        <v xml:space="preserve"> - Manganese</v>
      </c>
      <c r="B101" s="727">
        <f>(Unitflowchart!$S$17*(AllocationPrice!$H$23/100)*Cultivation!J65)/Unitflowchart!$S$383</f>
        <v>22.773166260003102</v>
      </c>
      <c r="C101" s="26">
        <f t="shared" si="24"/>
        <v>0.17593088977353735</v>
      </c>
      <c r="D101" s="148">
        <f>(Unitflowchart!$S$17*(AllocationPrice!$H$23/100)*Cultivation!K65)/Unitflowchart!$S$383</f>
        <v>3.4159749390004657</v>
      </c>
      <c r="E101" s="727">
        <f>(Unitflowchart!$S$17*(AllocationPrice!$H$23/100)*Cultivation!P65)/Unitflowchart!$S$383</f>
        <v>1.7079874695002328</v>
      </c>
      <c r="F101" s="26">
        <f t="shared" si="25"/>
        <v>0.21233545906136983</v>
      </c>
      <c r="G101" s="148">
        <f>(Unitflowchart!$S$17*(AllocationPrice!$H$23/100)*Cultivation!Q65)/Unitflowchart!$S$383</f>
        <v>0.25050482886003411</v>
      </c>
      <c r="H101" s="165">
        <f>(Unitflowchart!$S$17*(AllocationPrice!$H$23/100)*Cultivation!V65)/Unitflowchart!$S$383</f>
        <v>2.7145614181923698E-7</v>
      </c>
      <c r="I101" s="26">
        <f t="shared" si="26"/>
        <v>2.7154237672455743E-5</v>
      </c>
      <c r="J101" s="214">
        <f>(Unitflowchart!$S$17*(AllocationPrice!$H$23/100)*Cultivation!W65)/Unitflowchart!$S$383</f>
        <v>0</v>
      </c>
      <c r="K101" s="165">
        <f>(Unitflowchart!$S$17*(AllocationPrice!$H$23/100)*Cultivation!AB65)/Unitflowchart!$S$383</f>
        <v>0</v>
      </c>
      <c r="L101" s="26">
        <f t="shared" si="27"/>
        <v>0</v>
      </c>
      <c r="M101" s="214">
        <f>(Unitflowchart!$S$17*(AllocationPrice!$H$23/100)*Cultivation!AC65)/Unitflowchart!$S$383</f>
        <v>0</v>
      </c>
      <c r="N101" s="727">
        <f>E101+(GlobalWarmingPotentials!$B$11*H101)+(GlobalWarmingPotentials!$C$11*K101)</f>
        <v>1.7079937129914946</v>
      </c>
      <c r="O101" s="26">
        <f t="shared" si="28"/>
        <v>0.19162720882770742</v>
      </c>
      <c r="P101" s="756">
        <f>SQRT((G101^2)+((GlobalWarmingPotentials!$B$11*J101)^2)+((GlobalWarmingPotentials!$C$11*M101)^2))</f>
        <v>0.25050482886003411</v>
      </c>
    </row>
    <row r="102" spans="1:16" s="5" customFormat="1" x14ac:dyDescent="0.25">
      <c r="A102" s="979" t="str">
        <f>Cultivation!A66</f>
        <v xml:space="preserve"> - Advance Herbicide</v>
      </c>
      <c r="B102" s="727">
        <f>(Unitflowchart!$S$17*(AllocationPrice!$H$23/100)*Cultivation!J66)/Unitflowchart!$S$383</f>
        <v>18.06671189960246</v>
      </c>
      <c r="C102" s="26">
        <f t="shared" si="24"/>
        <v>0.13957183922033961</v>
      </c>
      <c r="D102" s="148">
        <f>(Unitflowchart!$S$17*(AllocationPrice!$H$23/100)*Cultivation!K66)/Unitflowchart!$S$383</f>
        <v>2.7327799512003721</v>
      </c>
      <c r="E102" s="727">
        <f>(Unitflowchart!$S$17*(AllocationPrice!$H$23/100)*Cultivation!P66)/Unitflowchart!$S$383</f>
        <v>1.0627477588001448</v>
      </c>
      <c r="F102" s="26">
        <f t="shared" si="25"/>
        <v>0.13211984119374121</v>
      </c>
      <c r="G102" s="148">
        <f>(Unitflowchart!$S$17*(AllocationPrice!$H$23/100)*Cultivation!Q66)/Unitflowchart!$S$383</f>
        <v>0.15182110840002069</v>
      </c>
      <c r="H102" s="165">
        <f>(Unitflowchart!$S$17*(AllocationPrice!$H$23/100)*Cultivation!V66)/Unitflowchart!$S$383</f>
        <v>9.0485380606412316E-9</v>
      </c>
      <c r="I102" s="26">
        <f t="shared" si="26"/>
        <v>9.0514125574852457E-7</v>
      </c>
      <c r="J102" s="214">
        <f>(Unitflowchart!$S$17*(AllocationPrice!$H$23/100)*Cultivation!W66)/Unitflowchart!$S$383</f>
        <v>0</v>
      </c>
      <c r="K102" s="165">
        <f>(Unitflowchart!$S$17*(AllocationPrice!$H$23/100)*Cultivation!AB66)/Unitflowchart!$S$383</f>
        <v>0</v>
      </c>
      <c r="L102" s="26">
        <f t="shared" si="27"/>
        <v>0</v>
      </c>
      <c r="M102" s="214">
        <f>(Unitflowchart!$S$17*(AllocationPrice!$H$23/100)*Cultivation!AC66)/Unitflowchart!$S$383</f>
        <v>0</v>
      </c>
      <c r="N102" s="727">
        <f>E102+(GlobalWarmingPotentials!$B$11*H102)+(GlobalWarmingPotentials!$C$11*K102)</f>
        <v>1.0627479669165203</v>
      </c>
      <c r="O102" s="26">
        <f t="shared" si="28"/>
        <v>0.11923429520758877</v>
      </c>
      <c r="P102" s="756">
        <f>SQRT((G102^2)+((GlobalWarmingPotentials!$B$11*J102)^2)+((GlobalWarmingPotentials!$C$11*M102)^2))</f>
        <v>0.15182110840002069</v>
      </c>
    </row>
    <row r="103" spans="1:16" s="5" customFormat="1" x14ac:dyDescent="0.25">
      <c r="A103" s="979" t="str">
        <f>Cultivation!A67</f>
        <v xml:space="preserve"> - Trifolex-Tra Herbicide</v>
      </c>
      <c r="B103" s="727">
        <f>(Unitflowchart!$S$17*(AllocationPrice!$H$23/100)*Cultivation!J67)/Unitflowchart!$S$383</f>
        <v>37.99323237710518</v>
      </c>
      <c r="C103" s="26">
        <f t="shared" si="24"/>
        <v>0.29351136777218484</v>
      </c>
      <c r="D103" s="148">
        <f>(Unitflowchart!$S$17*(AllocationPrice!$H$23/100)*Cultivation!K67)/Unitflowchart!$S$383</f>
        <v>5.552857039730756</v>
      </c>
      <c r="E103" s="727">
        <f>(Unitflowchart!$S$17*(AllocationPrice!$H$23/100)*Cultivation!P67)/Unitflowchart!$S$383</f>
        <v>4.0915788713805572</v>
      </c>
      <c r="F103" s="26">
        <f t="shared" si="25"/>
        <v>0.5086613885959036</v>
      </c>
      <c r="G103" s="148">
        <f>(Unitflowchart!$S$17*(AllocationPrice!$H$23/100)*Cultivation!Q67)/Unitflowchart!$S$383</f>
        <v>0.58451126734007963</v>
      </c>
      <c r="H103" s="165">
        <f>(Unitflowchart!$S$17*(AllocationPrice!$H$23/100)*Cultivation!V67)/Unitflowchart!$S$383</f>
        <v>3.483687153346874E-8</v>
      </c>
      <c r="I103" s="26">
        <f t="shared" si="26"/>
        <v>3.4847938346318196E-6</v>
      </c>
      <c r="J103" s="214">
        <f>(Unitflowchart!$S$17*(AllocationPrice!$H$23/100)*Cultivation!W67)/Unitflowchart!$S$383</f>
        <v>0</v>
      </c>
      <c r="K103" s="165">
        <f>(Unitflowchart!$S$17*(AllocationPrice!$H$23/100)*Cultivation!AB67)/Unitflowchart!$S$383</f>
        <v>0</v>
      </c>
      <c r="L103" s="26">
        <f t="shared" si="27"/>
        <v>0</v>
      </c>
      <c r="M103" s="214">
        <f>(Unitflowchart!$S$17*(AllocationPrice!$H$23/100)*Cultivation!AC67)/Unitflowchart!$S$383</f>
        <v>0</v>
      </c>
      <c r="N103" s="727">
        <f>E103+(GlobalWarmingPotentials!$B$11*H103)+(GlobalWarmingPotentials!$C$11*K103)</f>
        <v>4.0915796726286029</v>
      </c>
      <c r="O103" s="26">
        <f t="shared" si="28"/>
        <v>0.45905203654921678</v>
      </c>
      <c r="P103" s="756">
        <f>SQRT((G103^2)+((GlobalWarmingPotentials!$B$11*J103)^2)+((GlobalWarmingPotentials!$C$11*M103)^2))</f>
        <v>0.58451126734007963</v>
      </c>
    </row>
    <row r="104" spans="1:16" s="5" customFormat="1" x14ac:dyDescent="0.25">
      <c r="A104" s="979" t="str">
        <f>Cultivation!A68</f>
        <v xml:space="preserve"> - Glyphosate Herbicide</v>
      </c>
      <c r="B104" s="727">
        <f>(Unitflowchart!$S$17*(AllocationPrice!$H$23/100)*Cultivation!J68)/Unitflowchart!$S$383</f>
        <v>1033.9017482041409</v>
      </c>
      <c r="C104" s="26">
        <f t="shared" si="24"/>
        <v>7.987262395718596</v>
      </c>
      <c r="D104" s="148">
        <f>(Unitflowchart!$S$17*(AllocationPrice!$H$23/100)*Cultivation!K68)/Unitflowchart!$S$383</f>
        <v>154.8575305680211</v>
      </c>
      <c r="E104" s="727">
        <f>(Unitflowchart!$S$17*(AllocationPrice!$H$23/100)*Cultivation!P68)/Unitflowchart!$S$383</f>
        <v>59.210232276008071</v>
      </c>
      <c r="F104" s="26">
        <f t="shared" si="25"/>
        <v>7.360962580794153</v>
      </c>
      <c r="G104" s="148">
        <f>(Unitflowchart!$S$17*(AllocationPrice!$H$23/100)*Cultivation!Q68)/Unitflowchart!$S$383</f>
        <v>9.1092665040012406</v>
      </c>
      <c r="H104" s="165">
        <f>(Unitflowchart!$S$17*(AllocationPrice!$H$23/100)*Cultivation!V68)/Unitflowchart!$S$383</f>
        <v>2.7145614181923698E-7</v>
      </c>
      <c r="I104" s="26">
        <f t="shared" si="26"/>
        <v>2.7154237672455743E-5</v>
      </c>
      <c r="J104" s="214">
        <f>(Unitflowchart!$S$17*(AllocationPrice!$H$23/100)*Cultivation!W68)/Unitflowchart!$S$383</f>
        <v>0</v>
      </c>
      <c r="K104" s="165">
        <f>(Unitflowchart!$S$17*(AllocationPrice!$H$23/100)*Cultivation!AB68)/Unitflowchart!$S$383</f>
        <v>0</v>
      </c>
      <c r="L104" s="26">
        <f t="shared" si="27"/>
        <v>0</v>
      </c>
      <c r="M104" s="214">
        <f>(Unitflowchart!$S$17*(AllocationPrice!$H$23/100)*Cultivation!AC68)/Unitflowchart!$S$383</f>
        <v>0</v>
      </c>
      <c r="N104" s="727">
        <f>E104+(GlobalWarmingPotentials!$B$11*H104)+(GlobalWarmingPotentials!$C$11*K104)</f>
        <v>59.210238519499335</v>
      </c>
      <c r="O104" s="26">
        <f t="shared" si="28"/>
        <v>6.643052989721963</v>
      </c>
      <c r="P104" s="756">
        <f>SQRT((G104^2)+((GlobalWarmingPotentials!$B$11*J104)^2)+((GlobalWarmingPotentials!$C$11*M104)^2))</f>
        <v>9.1092665040012406</v>
      </c>
    </row>
    <row r="105" spans="1:16" s="907" customFormat="1" x14ac:dyDescent="0.25">
      <c r="A105" s="979"/>
      <c r="B105" s="729"/>
      <c r="C105" s="992"/>
      <c r="D105" s="736"/>
      <c r="E105" s="729"/>
      <c r="F105" s="992"/>
      <c r="G105" s="736"/>
      <c r="H105" s="505"/>
      <c r="I105" s="992"/>
      <c r="J105" s="506"/>
      <c r="K105" s="505"/>
      <c r="L105" s="992"/>
      <c r="M105" s="506"/>
      <c r="N105" s="729"/>
      <c r="O105" s="992"/>
      <c r="P105" s="758"/>
    </row>
    <row r="106" spans="1:16" s="5" customFormat="1" x14ac:dyDescent="0.25">
      <c r="A106" s="979" t="str">
        <f>Cultivation!A70</f>
        <v>Sub-Totals for Agrochemicals</v>
      </c>
      <c r="B106" s="727">
        <f>(Unitflowchart!$S$17*(AllocationPrice!$H$23/100)*Cultivation!J70)/Unitflowchart!$S$383</f>
        <v>1491.1505845271799</v>
      </c>
      <c r="C106" s="26">
        <f>(B106/B$383)*100</f>
        <v>11.519673905992962</v>
      </c>
      <c r="D106" s="148">
        <f>(Unitflowchart!$S$17*(AllocationPrice!$H$23/100)*Cultivation!K70)/Unitflowchart!$S$383</f>
        <v>159.62753435456128</v>
      </c>
      <c r="E106" s="727">
        <f>(Unitflowchart!$S$17*(AllocationPrice!$H$23/100)*Cultivation!P70)/Unitflowchart!$S$383</f>
        <v>88.497590629658561</v>
      </c>
      <c r="F106" s="26">
        <f>(E106/E$383)*100</f>
        <v>11.001940510530876</v>
      </c>
      <c r="G106" s="148">
        <f>(Unitflowchart!$S$17*(AllocationPrice!$H$23/100)*Cultivation!Q70)/Unitflowchart!$S$383</f>
        <v>9.4132979370080729</v>
      </c>
      <c r="H106" s="165">
        <f>(Unitflowchart!$S$17*(AllocationPrice!$H$23/100)*Cultivation!V70)/Unitflowchart!$S$383</f>
        <v>4.8409563249497467E-2</v>
      </c>
      <c r="I106" s="26">
        <f>(H106/H$383)*100</f>
        <v>4.8424941770961185</v>
      </c>
      <c r="J106" s="214">
        <f>(Unitflowchart!$S$17*(AllocationPrice!$H$23/100)*Cultivation!W70)/Unitflowchart!$S$383</f>
        <v>4.6085810989752824E-3</v>
      </c>
      <c r="K106" s="165">
        <f>(Unitflowchart!$S$17*(AllocationPrice!$H$23/100)*Cultivation!AB70)/Unitflowchart!$S$383</f>
        <v>0</v>
      </c>
      <c r="L106" s="26">
        <f>(K106/K$383)*100</f>
        <v>0</v>
      </c>
      <c r="M106" s="214">
        <f>(Unitflowchart!$S$17*(AllocationPrice!$H$23/100)*Cultivation!AC70)/Unitflowchart!$S$383</f>
        <v>0</v>
      </c>
      <c r="N106" s="727">
        <f>E106+(GlobalWarmingPotentials!$B$11*H106)+(GlobalWarmingPotentials!$C$11*K106)</f>
        <v>89.611010584397008</v>
      </c>
      <c r="O106" s="26">
        <f>(N106/N$383)*100</f>
        <v>10.053847217295733</v>
      </c>
      <c r="P106" s="756">
        <f>SQRT((G106^2)+((GlobalWarmingPotentials!$B$11*J106)^2)+((GlobalWarmingPotentials!$C$11*M106)^2))</f>
        <v>9.4138947036986753</v>
      </c>
    </row>
    <row r="107" spans="1:16" s="907" customFormat="1" x14ac:dyDescent="0.25">
      <c r="A107" s="979"/>
      <c r="B107" s="729"/>
      <c r="C107" s="992"/>
      <c r="D107" s="736"/>
      <c r="E107" s="729"/>
      <c r="F107" s="992"/>
      <c r="G107" s="736"/>
      <c r="H107" s="505"/>
      <c r="I107" s="992"/>
      <c r="J107" s="506"/>
      <c r="K107" s="505"/>
      <c r="L107" s="992"/>
      <c r="M107" s="506"/>
      <c r="N107" s="729"/>
      <c r="O107" s="992"/>
      <c r="P107" s="758"/>
    </row>
    <row r="108" spans="1:16" s="5" customFormat="1" x14ac:dyDescent="0.25">
      <c r="A108" s="979" t="str">
        <f>Cultivation!A72</f>
        <v xml:space="preserve"> - Rhizomes</v>
      </c>
      <c r="B108" s="727">
        <f>(Unitflowchart!$S$17*(AllocationPrice!$H$23/100)*Cultivation!J72)/Unitflowchart!$S$383</f>
        <v>425.09910352005795</v>
      </c>
      <c r="C108" s="26">
        <f>(B108/B$383)*100</f>
        <v>3.2840432757726976</v>
      </c>
      <c r="D108" s="148">
        <f>(Unitflowchart!$S$17*(AllocationPrice!$H$23/100)*Cultivation!K72)/Unitflowchart!$S$383</f>
        <v>53.137387940007244</v>
      </c>
      <c r="E108" s="727">
        <f>(Unitflowchart!$S$17*(AllocationPrice!$H$23/100)*Cultivation!P72)/Unitflowchart!$S$383</f>
        <v>14.878468623202032</v>
      </c>
      <c r="F108" s="26">
        <f>(E108/E$383)*100</f>
        <v>1.8496777767123773</v>
      </c>
      <c r="G108" s="148">
        <f>(Unitflowchart!$S$17*(AllocationPrice!$H$23/100)*Cultivation!Q72)/Unitflowchart!$S$383</f>
        <v>2.1254955176002901</v>
      </c>
      <c r="H108" s="165">
        <f>(Unitflowchart!$S$17*(AllocationPrice!$H$23/100)*Cultivation!V72)/Unitflowchart!$S$383</f>
        <v>5.0671813139590908E-5</v>
      </c>
      <c r="I108" s="26">
        <f>(H108/H$383)*100</f>
        <v>5.0687910321917384E-3</v>
      </c>
      <c r="J108" s="214">
        <f>(Unitflowchart!$S$17*(AllocationPrice!$H$23/100)*Cultivation!W72)/Unitflowchart!$S$383</f>
        <v>6.3339766424488635E-6</v>
      </c>
      <c r="K108" s="165">
        <f>(Unitflowchart!$S$17*(AllocationPrice!$H$23/100)*Cultivation!AB72)/Unitflowchart!$S$383</f>
        <v>5.4370175340215408E-7</v>
      </c>
      <c r="L108" s="26">
        <f>(K108/K$383)*100</f>
        <v>2.5171259333039661E-4</v>
      </c>
      <c r="M108" s="214">
        <f>(Unitflowchart!$S$17*(AllocationPrice!$H$23/100)*Cultivation!AC72)/Unitflowchart!$S$383</f>
        <v>6.7962719175269259E-8</v>
      </c>
      <c r="N108" s="727">
        <f>E108+(GlobalWarmingPotentials!$B$11*H108)+(GlobalWarmingPotentials!$C$11*K108)</f>
        <v>14.879795010623249</v>
      </c>
      <c r="O108" s="26">
        <f>(N108/N$383)*100</f>
        <v>1.669428619160485</v>
      </c>
      <c r="P108" s="756">
        <f>SQRT((G108^2)+((GlobalWarmingPotentials!$B$11*J108)^2)+((GlobalWarmingPotentials!$C$11*M108)^2))</f>
        <v>2.1254955226879932</v>
      </c>
    </row>
    <row r="109" spans="1:16" s="907" customFormat="1" x14ac:dyDescent="0.25">
      <c r="A109" s="979"/>
      <c r="B109" s="729"/>
      <c r="C109" s="992"/>
      <c r="D109" s="736"/>
      <c r="E109" s="729"/>
      <c r="F109" s="992"/>
      <c r="G109" s="736"/>
      <c r="H109" s="505"/>
      <c r="I109" s="992"/>
      <c r="J109" s="506"/>
      <c r="K109" s="505"/>
      <c r="L109" s="992"/>
      <c r="M109" s="506"/>
      <c r="N109" s="729"/>
      <c r="O109" s="992"/>
      <c r="P109" s="758"/>
    </row>
    <row r="110" spans="1:16" s="5" customFormat="1" x14ac:dyDescent="0.25">
      <c r="A110" s="979" t="str">
        <f>Cultivation!A74</f>
        <v xml:space="preserve"> - Nitrous Oxide Emissions from Soil</v>
      </c>
      <c r="B110" s="727">
        <f>(Unitflowchart!$S$17*(AllocationPrice!$H$23/100)*Cultivation!J74)/Unitflowchart!$S$383</f>
        <v>0</v>
      </c>
      <c r="C110" s="26">
        <f>(B110/B$383)*100</f>
        <v>0</v>
      </c>
      <c r="D110" s="148">
        <f>(Unitflowchart!$S$17*(AllocationPrice!$H$23/100)*Cultivation!K74)/Unitflowchart!$S$383</f>
        <v>0</v>
      </c>
      <c r="E110" s="727">
        <f>(Unitflowchart!$S$17*(AllocationPrice!$H$23/100)*Cultivation!P74)/Unitflowchart!$S$383</f>
        <v>0</v>
      </c>
      <c r="F110" s="26">
        <f>(E110/E$383)*100</f>
        <v>0</v>
      </c>
      <c r="G110" s="148">
        <f>(Unitflowchart!$S$17*(AllocationPrice!$H$23/100)*Cultivation!Q74)/Unitflowchart!$S$383</f>
        <v>0</v>
      </c>
      <c r="H110" s="165">
        <f>(Unitflowchart!$S$17*(AllocationPrice!$H$23/100)*Cultivation!V74)/Unitflowchart!$S$383</f>
        <v>0</v>
      </c>
      <c r="I110" s="26">
        <f>(H110/H$383)*100</f>
        <v>0</v>
      </c>
      <c r="J110" s="214">
        <f>(Unitflowchart!$S$17*(AllocationPrice!$H$23/100)*Cultivation!W74)/Unitflowchart!$S$383</f>
        <v>0</v>
      </c>
      <c r="K110" s="165">
        <f>(Unitflowchart!$S$17*(AllocationPrice!$H$23/100)*Cultivation!AB74)/Unitflowchart!$S$383</f>
        <v>5.8026027630487899E-2</v>
      </c>
      <c r="L110" s="26">
        <f>(K110/K$383)*100</f>
        <v>26.863775597810115</v>
      </c>
      <c r="M110" s="214">
        <f>(Unitflowchart!$S$17*(AllocationPrice!$H$23/100)*Cultivation!AC74)/Unitflowchart!$S$383</f>
        <v>0</v>
      </c>
      <c r="N110" s="729"/>
      <c r="O110" s="26"/>
      <c r="P110" s="758"/>
    </row>
    <row r="111" spans="1:16" s="5" customFormat="1" x14ac:dyDescent="0.25">
      <c r="A111" s="979" t="str">
        <f>Cultivation!A75</f>
        <v xml:space="preserve"> - Carbon Dioxide Emissions from Soil</v>
      </c>
      <c r="B111" s="727">
        <f>(Unitflowchart!$S$17*(AllocationPrice!$H$23/100)*Cultivation!J75)/Unitflowchart!$S$383</f>
        <v>0</v>
      </c>
      <c r="C111" s="26">
        <f>(B111/B$383)*100</f>
        <v>0</v>
      </c>
      <c r="D111" s="148">
        <f>(Unitflowchart!$S$17*(AllocationPrice!$H$23/100)*Cultivation!K75)/Unitflowchart!$S$383</f>
        <v>0</v>
      </c>
      <c r="E111" s="727">
        <f>(Unitflowchart!$S$17*(AllocationPrice!$H$23/100)*Cultivation!P75)/Unitflowchart!$S$383</f>
        <v>0</v>
      </c>
      <c r="F111" s="26">
        <f>(E111/E$383)*100</f>
        <v>0</v>
      </c>
      <c r="G111" s="148">
        <f>(Unitflowchart!$S$17*(AllocationPrice!$H$23/100)*Cultivation!Q75)/Unitflowchart!$S$383</f>
        <v>0</v>
      </c>
      <c r="H111" s="165">
        <f>(Unitflowchart!$S$17*(AllocationPrice!$H$23/100)*Cultivation!V75)/Unitflowchart!$S$383</f>
        <v>0</v>
      </c>
      <c r="I111" s="26">
        <f>(H111/H$383)*100</f>
        <v>0</v>
      </c>
      <c r="J111" s="214">
        <f>(Unitflowchart!$S$17*(AllocationPrice!$H$23/100)*Cultivation!W75)/Unitflowchart!$S$383</f>
        <v>0</v>
      </c>
      <c r="K111" s="165">
        <f>(Unitflowchart!$S$17*(AllocationPrice!$H$23/100)*Cultivation!AB75)/Unitflowchart!$S$383</f>
        <v>0</v>
      </c>
      <c r="L111" s="26">
        <f>(K111/K$383)*100</f>
        <v>0</v>
      </c>
      <c r="M111" s="214">
        <f>(Unitflowchart!$S$17*(AllocationPrice!$H$23/100)*Cultivation!AC75)/Unitflowchart!$S$383</f>
        <v>0</v>
      </c>
      <c r="N111" s="727">
        <f>E111+(GlobalWarmingPotentials!$B$11*H111)+(GlobalWarmingPotentials!$C$11*K111)</f>
        <v>0</v>
      </c>
      <c r="O111" s="26">
        <f>(N111/N$383)*100</f>
        <v>0</v>
      </c>
      <c r="P111" s="756">
        <f>SQRT((G111^2)+((GlobalWarmingPotentials!$B$11*J111)^2)+((GlobalWarmingPotentials!$C$11*M111)^2))</f>
        <v>0</v>
      </c>
    </row>
    <row r="112" spans="1:16" s="43" customFormat="1" x14ac:dyDescent="0.25">
      <c r="A112" s="154"/>
      <c r="B112" s="729"/>
      <c r="C112" s="992"/>
      <c r="D112" s="736"/>
      <c r="E112" s="729"/>
      <c r="F112" s="992"/>
      <c r="G112" s="736"/>
      <c r="H112" s="505"/>
      <c r="I112" s="992"/>
      <c r="J112" s="506"/>
      <c r="K112" s="505"/>
      <c r="L112" s="992"/>
      <c r="M112" s="506"/>
      <c r="N112" s="1006"/>
      <c r="O112" s="992"/>
      <c r="P112" s="1011"/>
    </row>
    <row r="113" spans="1:19" s="7" customFormat="1" x14ac:dyDescent="0.25">
      <c r="A113" s="218" t="s">
        <v>27</v>
      </c>
      <c r="B113" s="730">
        <f>(Unitflowchart!$S$17*(AllocationPrice!$H$23/100)*Cultivation!J77)/Unitflowchart!$S$383</f>
        <v>2267.6113893076836</v>
      </c>
      <c r="C113" s="15">
        <f>(B113/B$383)*100</f>
        <v>17.518112537657011</v>
      </c>
      <c r="D113" s="740">
        <f>(Unitflowchart!$S$17*(AllocationPrice!$H$23/100)*Cultivation!K77)/Unitflowchart!$S$383</f>
        <v>168.23950701664418</v>
      </c>
      <c r="E113" s="730">
        <f>(Unitflowchart!$S$17*(AllocationPrice!$H$23/100)*Cultivation!P77)/Unitflowchart!$S$383</f>
        <v>128.59027267043217</v>
      </c>
      <c r="F113" s="15">
        <f>(E113/E$383)*100</f>
        <v>15.986226518565925</v>
      </c>
      <c r="G113" s="740">
        <f>(Unitflowchart!$S$17*(AllocationPrice!$H$23/100)*Cultivation!Q77)/Unitflowchart!$S$383</f>
        <v>9.6502802677548889</v>
      </c>
      <c r="H113" s="215">
        <f>(Unitflowchart!$S$17*(AllocationPrice!$H$23/100)*Cultivation!V77)/Unitflowchart!$S$383</f>
        <v>5.3699552136418166E-2</v>
      </c>
      <c r="I113" s="15">
        <f>(H113/H$383)*100</f>
        <v>5.3716611156572212</v>
      </c>
      <c r="J113" s="216">
        <f>(Unitflowchart!$S$17*(AllocationPrice!$H$23/100)*Cultivation!W77)/Unitflowchart!$S$383</f>
        <v>4.6085854516426548E-3</v>
      </c>
      <c r="K113" s="215">
        <f>(Unitflowchart!$S$17*(AllocationPrice!$H$23/100)*Cultivation!AB77)/Unitflowchart!$S$383</f>
        <v>6.4837683528156748E-2</v>
      </c>
      <c r="L113" s="15">
        <f>(K113/K$383)*100</f>
        <v>30.017305194041359</v>
      </c>
      <c r="M113" s="216">
        <f>(Unitflowchart!$S$17*(AllocationPrice!$H$23/100)*Cultivation!AC77)/Unitflowchart!$S$383</f>
        <v>6.7962719175269259E-8</v>
      </c>
      <c r="N113" s="730">
        <f>E113+(GlobalWarmingPotentials!$B$11*H113)+(GlobalWarmingPotentials!$C$11*K113)</f>
        <v>149.01731669390421</v>
      </c>
      <c r="O113" s="15">
        <f>(N113/N$383)*100</f>
        <v>16.718897878747395</v>
      </c>
      <c r="P113" s="759">
        <f>SQRT((G113^2)+((GlobalWarmingPotentials!$B$11*J113)^2)+((GlobalWarmingPotentials!$C$11*M113)^2))</f>
        <v>9.65086238163682</v>
      </c>
    </row>
    <row r="114" spans="1:19" s="43" customFormat="1" x14ac:dyDescent="0.25">
      <c r="A114" s="212"/>
      <c r="B114" s="729"/>
      <c r="C114" s="992"/>
      <c r="D114" s="736"/>
      <c r="E114" s="729"/>
      <c r="F114" s="992"/>
      <c r="G114" s="736"/>
      <c r="H114" s="505"/>
      <c r="I114" s="992"/>
      <c r="J114" s="506"/>
      <c r="K114" s="505"/>
      <c r="L114" s="992"/>
      <c r="M114" s="506"/>
      <c r="N114" s="729"/>
      <c r="O114" s="992"/>
      <c r="P114" s="758"/>
    </row>
    <row r="115" spans="1:19" x14ac:dyDescent="0.25">
      <c r="A115" s="387" t="s">
        <v>1145</v>
      </c>
      <c r="B115" s="729"/>
      <c r="C115" s="992"/>
      <c r="D115" s="736"/>
      <c r="E115" s="729"/>
      <c r="F115" s="992"/>
      <c r="G115" s="736"/>
      <c r="H115" s="505"/>
      <c r="I115" s="992"/>
      <c r="J115" s="506"/>
      <c r="K115" s="505"/>
      <c r="L115" s="992"/>
      <c r="M115" s="506"/>
      <c r="N115" s="729"/>
      <c r="O115" s="992"/>
      <c r="P115" s="758"/>
      <c r="Q115" s="43"/>
      <c r="R115" s="43"/>
      <c r="S115" s="43"/>
    </row>
    <row r="116" spans="1:19" x14ac:dyDescent="0.25">
      <c r="A116" s="387" t="str">
        <f>Harvesting!A17</f>
        <v>MAIN LAND USE</v>
      </c>
      <c r="B116" s="729"/>
      <c r="C116" s="992"/>
      <c r="D116" s="736"/>
      <c r="E116" s="729"/>
      <c r="F116" s="992"/>
      <c r="G116" s="736"/>
      <c r="H116" s="505"/>
      <c r="I116" s="992"/>
      <c r="J116" s="506"/>
      <c r="K116" s="505"/>
      <c r="L116" s="992"/>
      <c r="M116" s="506"/>
      <c r="N116" s="729"/>
      <c r="O116" s="992"/>
      <c r="P116" s="758"/>
      <c r="Q116" s="43"/>
      <c r="R116" s="43"/>
      <c r="S116" s="43"/>
    </row>
    <row r="117" spans="1:19" x14ac:dyDescent="0.25">
      <c r="A117" s="387" t="str">
        <f>Harvesting!A18</f>
        <v xml:space="preserve"> Diesel Fuel</v>
      </c>
      <c r="B117" s="729"/>
      <c r="C117" s="992"/>
      <c r="D117" s="736"/>
      <c r="E117" s="729"/>
      <c r="F117" s="992"/>
      <c r="G117" s="736"/>
      <c r="H117" s="505"/>
      <c r="I117" s="992"/>
      <c r="J117" s="506"/>
      <c r="K117" s="505"/>
      <c r="L117" s="992"/>
      <c r="M117" s="506"/>
      <c r="N117" s="729"/>
      <c r="O117" s="992"/>
      <c r="P117" s="758"/>
      <c r="Q117" s="43"/>
      <c r="R117" s="43"/>
      <c r="S117" s="43"/>
    </row>
    <row r="118" spans="1:19" x14ac:dyDescent="0.25">
      <c r="A118" s="361" t="str">
        <f>Harvesting!A19</f>
        <v>Mower conditioner</v>
      </c>
      <c r="B118" s="727">
        <f>(Unitflowchart!$S$17*(AllocationPrice!$H$23/100)*Harvesting!J19)/Unitflowchart!$S$383</f>
        <v>117.14580485391284</v>
      </c>
      <c r="C118" s="26">
        <f>(B118/B$383)*100</f>
        <v>0.904993422780344</v>
      </c>
      <c r="D118" s="148">
        <f>(Unitflowchart!$S$17*(AllocationPrice!$H$23/100)*Harvesting!K19)/Unitflowchart!$S$383</f>
        <v>0</v>
      </c>
      <c r="E118" s="727">
        <f>(Unitflowchart!$S$17*(AllocationPrice!$H$23/100)*Harvesting!P19)/Unitflowchart!$S$383</f>
        <v>8.4065489037756649</v>
      </c>
      <c r="F118" s="26">
        <f>(E118/E$383)*100</f>
        <v>1.0450945644978091</v>
      </c>
      <c r="G118" s="148">
        <f>(Unitflowchart!$S$17*(AllocationPrice!$H$23/100)*Harvesting!Q19)/Unitflowchart!$S$383</f>
        <v>0</v>
      </c>
      <c r="H118" s="727">
        <f>(Unitflowchart!$S$17*(AllocationPrice!$H$23/100)*Harvesting!V19)/Unitflowchart!$S$383</f>
        <v>1.7468153566287097E-3</v>
      </c>
      <c r="I118" s="26">
        <f>(H118/H$383)*100</f>
        <v>0.1747370276682762</v>
      </c>
      <c r="J118" s="148">
        <f>(Unitflowchart!$S$17*(AllocationPrice!$H$23/100)*Harvesting!W19)/Unitflowchart!$S$383</f>
        <v>0</v>
      </c>
      <c r="K118" s="727">
        <f>(Unitflowchart!$S$17*(AllocationPrice!$H$23/100)*Harvesting!AB19)/Unitflowchart!$S$383</f>
        <v>2.2708599636173227E-3</v>
      </c>
      <c r="L118" s="26">
        <f>(K118/K$383)*100</f>
        <v>1.0513191229484486</v>
      </c>
      <c r="M118" s="148">
        <f>(Unitflowchart!$S$17*(AllocationPrice!$H$23/100)*Harvesting!AC19)/Unitflowchart!$S$383</f>
        <v>0</v>
      </c>
      <c r="N118" s="727">
        <f>E118+(GlobalWarmingPotentials!$B$11*H118)+(GlobalWarmingPotentials!$C$11*K118)</f>
        <v>9.1189002062088527</v>
      </c>
      <c r="O118" s="26">
        <f>(N118/N$383)*100</f>
        <v>1.0230888912545486</v>
      </c>
      <c r="P118" s="756">
        <f>SQRT((G118^2)+((GlobalWarmingPotentials!$B$11*J118)^2)+((GlobalWarmingPotentials!$C$11*M118)^2))</f>
        <v>0</v>
      </c>
    </row>
    <row r="119" spans="1:19" x14ac:dyDescent="0.25">
      <c r="A119" s="361" t="str">
        <f>Harvesting!A20</f>
        <v>Baler</v>
      </c>
      <c r="B119" s="727">
        <f>(Unitflowchart!$S$17*(AllocationPrice!$H$23/100)*Harvesting!J20)/Unitflowchart!$S$383</f>
        <v>150.61603481217364</v>
      </c>
      <c r="C119" s="26">
        <f>(B119/B$383)*100</f>
        <v>1.1635629721461567</v>
      </c>
      <c r="D119" s="148">
        <f>(Unitflowchart!$S$17*(AllocationPrice!$H$23/100)*Harvesting!K20)/Unitflowchart!$S$383</f>
        <v>0</v>
      </c>
      <c r="E119" s="727">
        <f>(Unitflowchart!$S$17*(AllocationPrice!$H$23/100)*Harvesting!P20)/Unitflowchart!$S$383</f>
        <v>10.808420019140142</v>
      </c>
      <c r="F119" s="26">
        <f>(E119/E$383)*100</f>
        <v>1.3436930114971835</v>
      </c>
      <c r="G119" s="148">
        <f>(Unitflowchart!$S$17*(AllocationPrice!$H$23/100)*Harvesting!Q20)/Unitflowchart!$S$383</f>
        <v>0</v>
      </c>
      <c r="H119" s="727">
        <f>(Unitflowchart!$S$17*(AllocationPrice!$H$23/100)*Harvesting!V20)/Unitflowchart!$S$383</f>
        <v>2.2459054585226268E-3</v>
      </c>
      <c r="I119" s="26">
        <f>(H119/H$383)*100</f>
        <v>0.22466189271635514</v>
      </c>
      <c r="J119" s="148">
        <f>(Unitflowchart!$S$17*(AllocationPrice!$H$23/100)*Harvesting!W20)/Unitflowchart!$S$383</f>
        <v>0</v>
      </c>
      <c r="K119" s="727">
        <f>(Unitflowchart!$S$17*(AllocationPrice!$H$23/100)*Harvesting!AB20)/Unitflowchart!$S$383</f>
        <v>2.9196770960794147E-3</v>
      </c>
      <c r="L119" s="26">
        <f>(K119/K$383)*100</f>
        <v>1.3516960152194339</v>
      </c>
      <c r="M119" s="148">
        <f>(Unitflowchart!$S$17*(AllocationPrice!$H$23/100)*Harvesting!AC20)/Unitflowchart!$S$383</f>
        <v>0</v>
      </c>
      <c r="N119" s="727">
        <f>E119+(GlobalWarmingPotentials!$B$11*H119)+(GlobalWarmingPotentials!$C$11*K119)</f>
        <v>11.72430026512567</v>
      </c>
      <c r="O119" s="26">
        <f>(N119/N$383)*100</f>
        <v>1.3154000030415627</v>
      </c>
      <c r="P119" s="756">
        <f>SQRT((G119^2)+((GlobalWarmingPotentials!$B$11*J119)^2)+((GlobalWarmingPotentials!$C$11*M119)^2))</f>
        <v>0</v>
      </c>
    </row>
    <row r="120" spans="1:19" x14ac:dyDescent="0.25">
      <c r="A120" s="361" t="str">
        <f>Harvesting!A21</f>
        <v>Tractor and trailer</v>
      </c>
      <c r="B120" s="727">
        <f>(Unitflowchart!$S$17*(AllocationPrice!$H$23/100)*Harvesting!J21)/Unitflowchart!$S$383</f>
        <v>101.46429006541904</v>
      </c>
      <c r="C120" s="26">
        <f>(B120/B$383)*100</f>
        <v>0.78384808803688177</v>
      </c>
      <c r="D120" s="148">
        <f>(Unitflowchart!$S$17*(AllocationPrice!$H$23/100)*Harvesting!K21)/Unitflowchart!$S$383</f>
        <v>0</v>
      </c>
      <c r="E120" s="727">
        <f>(Unitflowchart!$S$17*(AllocationPrice!$H$23/100)*Harvesting!P21)/Unitflowchart!$S$383</f>
        <v>7.2812211882919522</v>
      </c>
      <c r="F120" s="26">
        <f>(E120/E$383)*100</f>
        <v>0.90519483962943292</v>
      </c>
      <c r="G120" s="148">
        <f>(Unitflowchart!$S$17*(AllocationPrice!$H$23/100)*Harvesting!Q21)/Unitflowchart!$S$383</f>
        <v>0</v>
      </c>
      <c r="H120" s="727">
        <f>(Unitflowchart!$S$17*(AllocationPrice!$H$23/100)*Harvesting!V21)/Unitflowchart!$S$383</f>
        <v>1.5129810261385877E-3</v>
      </c>
      <c r="I120" s="26">
        <f>(H120/H$383)*100</f>
        <v>0.15134616628066927</v>
      </c>
      <c r="J120" s="148">
        <f>(Unitflowchart!$S$17*(AllocationPrice!$H$23/100)*Harvesting!W21)/Unitflowchart!$S$383</f>
        <v>0</v>
      </c>
      <c r="K120" s="727">
        <f>(Unitflowchart!$S$17*(AllocationPrice!$H$23/100)*Harvesting!AB21)/Unitflowchart!$S$383</f>
        <v>1.9668753339801641E-3</v>
      </c>
      <c r="L120" s="26">
        <f>(K120/K$383)*100</f>
        <v>0.91058615863528602</v>
      </c>
      <c r="M120" s="148">
        <f>(Unitflowchart!$S$17*(AllocationPrice!$H$23/100)*Harvesting!AC21)/Unitflowchart!$S$383</f>
        <v>0</v>
      </c>
      <c r="N120" s="727">
        <f>E120+(GlobalWarmingPotentials!$B$11*H120)+(GlobalWarmingPotentials!$C$11*K120)</f>
        <v>7.8982148507512679</v>
      </c>
      <c r="O120" s="26">
        <f>(N120/N$383)*100</f>
        <v>0.88613491669131805</v>
      </c>
      <c r="P120" s="756">
        <f>SQRT((G120^2)+((GlobalWarmingPotentials!$B$11*J120)^2)+((GlobalWarmingPotentials!$C$11*M120)^2))</f>
        <v>0</v>
      </c>
    </row>
    <row r="121" spans="1:19" s="43" customFormat="1" x14ac:dyDescent="0.25">
      <c r="A121" s="212"/>
      <c r="B121" s="729"/>
      <c r="C121" s="992"/>
      <c r="D121" s="736"/>
      <c r="E121" s="729"/>
      <c r="F121" s="992"/>
      <c r="G121" s="736"/>
      <c r="H121" s="729"/>
      <c r="I121" s="992"/>
      <c r="J121" s="736"/>
      <c r="K121" s="729"/>
      <c r="L121" s="992"/>
      <c r="M121" s="736"/>
      <c r="N121" s="729"/>
      <c r="O121" s="992"/>
      <c r="P121" s="758"/>
    </row>
    <row r="122" spans="1:19" x14ac:dyDescent="0.25">
      <c r="A122" s="361" t="str">
        <f>Harvesting!A23</f>
        <v>Sub-totals for diesel fuel</v>
      </c>
      <c r="B122" s="727">
        <f>(Unitflowchart!$S$17*(AllocationPrice!$H$23/100)*Harvesting!J23)/Unitflowchart!$S$383</f>
        <v>369.22612973150552</v>
      </c>
      <c r="C122" s="26">
        <f>(B122/B$383)*100</f>
        <v>2.8524044829633826</v>
      </c>
      <c r="D122" s="148">
        <f>(Unitflowchart!$S$17*(AllocationPrice!$H$23/100)*Harvesting!K23)/Unitflowchart!$S$383</f>
        <v>0</v>
      </c>
      <c r="E122" s="727">
        <f>(Unitflowchart!$S$17*(AllocationPrice!$H$23/100)*Harvesting!P23)/Unitflowchart!$S$383</f>
        <v>26.49619011120776</v>
      </c>
      <c r="F122" s="26">
        <f>(E122/E$383)*100</f>
        <v>3.2939824156244253</v>
      </c>
      <c r="G122" s="148">
        <f>(Unitflowchart!$S$17*(AllocationPrice!$H$23/100)*Harvesting!Q23)/Unitflowchart!$S$383</f>
        <v>0</v>
      </c>
      <c r="H122" s="727">
        <f>(Unitflowchart!$S$17*(AllocationPrice!$H$23/100)*Harvesting!V23)/Unitflowchart!$S$383</f>
        <v>5.505701841289924E-3</v>
      </c>
      <c r="I122" s="26">
        <f>(H122/H$383)*100</f>
        <v>0.55074508666530064</v>
      </c>
      <c r="J122" s="148">
        <f>(Unitflowchart!$S$17*(AllocationPrice!$H$23/100)*Harvesting!W23)/Unitflowchart!$S$383</f>
        <v>0</v>
      </c>
      <c r="K122" s="727">
        <f>(Unitflowchart!$S$17*(AllocationPrice!$H$23/100)*Harvesting!AB23)/Unitflowchart!$S$383</f>
        <v>7.157412393676902E-3</v>
      </c>
      <c r="L122" s="26">
        <f>(K122/K$383)*100</f>
        <v>3.3136012968031689</v>
      </c>
      <c r="M122" s="148">
        <f>(Unitflowchart!$S$17*(AllocationPrice!$H$23/100)*Harvesting!AC23)/Unitflowchart!$S$383</f>
        <v>0</v>
      </c>
      <c r="N122" s="727">
        <f>E122+(GlobalWarmingPotentials!$B$11*H122)+(GlobalWarmingPotentials!$C$11*K122)</f>
        <v>28.741415322085793</v>
      </c>
      <c r="O122" s="26">
        <f>(N122/N$383)*100</f>
        <v>3.2246238109874299</v>
      </c>
      <c r="P122" s="756">
        <f>SQRT((G122^2)+((GlobalWarmingPotentials!$B$11*J122)^2)+((GlobalWarmingPotentials!$C$11*M122)^2))</f>
        <v>0</v>
      </c>
    </row>
    <row r="123" spans="1:19" s="43" customFormat="1" x14ac:dyDescent="0.25">
      <c r="A123" s="212"/>
      <c r="B123" s="729"/>
      <c r="C123" s="992"/>
      <c r="D123" s="736"/>
      <c r="E123" s="729"/>
      <c r="F123" s="992"/>
      <c r="G123" s="736"/>
      <c r="H123" s="729"/>
      <c r="I123" s="992"/>
      <c r="J123" s="736"/>
      <c r="K123" s="729"/>
      <c r="L123" s="992"/>
      <c r="M123" s="736"/>
      <c r="N123" s="729"/>
      <c r="O123" s="992"/>
      <c r="P123" s="758"/>
    </row>
    <row r="124" spans="1:19" x14ac:dyDescent="0.25">
      <c r="A124" s="387" t="str">
        <f>Harvesting!A25</f>
        <v xml:space="preserve"> Machinery</v>
      </c>
      <c r="B124" s="727">
        <f>(Unitflowchart!$S$17*(AllocationPrice!$H$23/100)*Harvesting!J25)/Unitflowchart!$S$383</f>
        <v>0</v>
      </c>
      <c r="C124" s="26">
        <f>(B124/B$383)*100</f>
        <v>0</v>
      </c>
      <c r="D124" s="148">
        <f>(Unitflowchart!$S$17*(AllocationPrice!$H$23/100)*Harvesting!K25)/Unitflowchart!$S$383</f>
        <v>0</v>
      </c>
      <c r="E124" s="727">
        <f>(Unitflowchart!$S$17*(AllocationPrice!$H$23/100)*Harvesting!P25)/Unitflowchart!$S$383</f>
        <v>0</v>
      </c>
      <c r="F124" s="26">
        <f>(E124/E$383)*100</f>
        <v>0</v>
      </c>
      <c r="G124" s="148">
        <f>(Unitflowchart!$S$17*(AllocationPrice!$H$23/100)*Harvesting!Q25)/Unitflowchart!$S$383</f>
        <v>0</v>
      </c>
      <c r="H124" s="727">
        <f>(Unitflowchart!$S$17*(AllocationPrice!$H$23/100)*Harvesting!V25)/Unitflowchart!$S$383</f>
        <v>0</v>
      </c>
      <c r="I124" s="26">
        <f>(H124/H$383)*100</f>
        <v>0</v>
      </c>
      <c r="J124" s="148">
        <f>(Unitflowchart!$S$17*(AllocationPrice!$H$23/100)*Harvesting!W25)/Unitflowchart!$S$383</f>
        <v>0</v>
      </c>
      <c r="K124" s="727">
        <f>(Unitflowchart!$S$17*(AllocationPrice!$H$23/100)*Harvesting!AB25)/Unitflowchart!$S$383</f>
        <v>0</v>
      </c>
      <c r="L124" s="26">
        <f>(K124/K$383)*100</f>
        <v>0</v>
      </c>
      <c r="M124" s="148">
        <f>(Unitflowchart!$S$17*(AllocationPrice!$H$23/100)*Harvesting!AC25)/Unitflowchart!$S$383</f>
        <v>0</v>
      </c>
      <c r="N124" s="727">
        <f>E124+(GlobalWarmingPotentials!$B$11*H124)+(GlobalWarmingPotentials!$C$11*K124)</f>
        <v>0</v>
      </c>
      <c r="O124" s="26">
        <f>(N124/N$383)*100</f>
        <v>0</v>
      </c>
      <c r="P124" s="756">
        <f>SQRT((G124^2)+((GlobalWarmingPotentials!$B$11*J124)^2)+((GlobalWarmingPotentials!$C$11*M124)^2))</f>
        <v>0</v>
      </c>
    </row>
    <row r="125" spans="1:19" x14ac:dyDescent="0.25">
      <c r="A125" s="361" t="str">
        <f>Harvesting!A26</f>
        <v>Mower conditioner</v>
      </c>
      <c r="B125" s="727">
        <f>(Unitflowchart!$S$17*(AllocationPrice!$H$23/100)*Harvesting!J26)/Unitflowchart!$S$383</f>
        <v>0</v>
      </c>
      <c r="C125" s="26">
        <f>(B125/B$383)*100</f>
        <v>0</v>
      </c>
      <c r="D125" s="148">
        <f>(Unitflowchart!$S$17*(AllocationPrice!$H$23/100)*Harvesting!K26)/Unitflowchart!$S$383</f>
        <v>0</v>
      </c>
      <c r="E125" s="727">
        <f>(Unitflowchart!$S$17*(AllocationPrice!$H$23/100)*Harvesting!P26)/Unitflowchart!$S$383</f>
        <v>0</v>
      </c>
      <c r="F125" s="26">
        <f>(E125/E$383)*100</f>
        <v>0</v>
      </c>
      <c r="G125" s="148">
        <f>(Unitflowchart!$S$17*(AllocationPrice!$H$23/100)*Harvesting!Q26)/Unitflowchart!$S$383</f>
        <v>0</v>
      </c>
      <c r="H125" s="727">
        <f>(Unitflowchart!$S$17*(AllocationPrice!$H$23/100)*Harvesting!V26)/Unitflowchart!$S$383</f>
        <v>0</v>
      </c>
      <c r="I125" s="26">
        <f>(H125/H$383)*100</f>
        <v>0</v>
      </c>
      <c r="J125" s="148">
        <f>(Unitflowchart!$S$17*(AllocationPrice!$H$23/100)*Harvesting!W26)/Unitflowchart!$S$383</f>
        <v>0</v>
      </c>
      <c r="K125" s="727">
        <f>(Unitflowchart!$S$17*(AllocationPrice!$H$23/100)*Harvesting!AB26)/Unitflowchart!$S$383</f>
        <v>0</v>
      </c>
      <c r="L125" s="26">
        <f>(K125/K$383)*100</f>
        <v>0</v>
      </c>
      <c r="M125" s="148">
        <f>(Unitflowchart!$S$17*(AllocationPrice!$H$23/100)*Harvesting!AC26)/Unitflowchart!$S$383</f>
        <v>0</v>
      </c>
      <c r="N125" s="727">
        <f>E125+(GlobalWarmingPotentials!$B$11*H125)+(GlobalWarmingPotentials!$C$11*K125)</f>
        <v>0</v>
      </c>
      <c r="O125" s="26">
        <f>(N125/N$383)*100</f>
        <v>0</v>
      </c>
      <c r="P125" s="756">
        <f>SQRT((G125^2)+((GlobalWarmingPotentials!$B$11*J125)^2)+((GlobalWarmingPotentials!$C$11*M125)^2))</f>
        <v>0</v>
      </c>
    </row>
    <row r="126" spans="1:19" x14ac:dyDescent="0.25">
      <c r="A126" s="361" t="str">
        <f>Harvesting!A27</f>
        <v>Baler</v>
      </c>
      <c r="B126" s="727">
        <f>(Unitflowchart!$S$17*(AllocationPrice!$H$23/100)*Harvesting!J27)/Unitflowchart!$S$383</f>
        <v>0</v>
      </c>
      <c r="C126" s="26">
        <f>(B126/B$383)*100</f>
        <v>0</v>
      </c>
      <c r="D126" s="148">
        <f>(Unitflowchart!$S$17*(AllocationPrice!$H$23/100)*Harvesting!K27)/Unitflowchart!$S$383</f>
        <v>0</v>
      </c>
      <c r="E126" s="727">
        <f>(Unitflowchart!$S$17*(AllocationPrice!$H$23/100)*Harvesting!P27)/Unitflowchart!$S$383</f>
        <v>0</v>
      </c>
      <c r="F126" s="26">
        <f>(E126/E$383)*100</f>
        <v>0</v>
      </c>
      <c r="G126" s="148">
        <f>(Unitflowchart!$S$17*(AllocationPrice!$H$23/100)*Harvesting!Q27)/Unitflowchart!$S$383</f>
        <v>0</v>
      </c>
      <c r="H126" s="727">
        <f>(Unitflowchart!$S$17*(AllocationPrice!$H$23/100)*Harvesting!V27)/Unitflowchart!$S$383</f>
        <v>0</v>
      </c>
      <c r="I126" s="26">
        <f>(H126/H$383)*100</f>
        <v>0</v>
      </c>
      <c r="J126" s="148">
        <f>(Unitflowchart!$S$17*(AllocationPrice!$H$23/100)*Harvesting!W27)/Unitflowchart!$S$383</f>
        <v>0</v>
      </c>
      <c r="K126" s="727">
        <f>(Unitflowchart!$S$17*(AllocationPrice!$H$23/100)*Harvesting!AB27)/Unitflowchart!$S$383</f>
        <v>0</v>
      </c>
      <c r="L126" s="26">
        <f>(K126/K$383)*100</f>
        <v>0</v>
      </c>
      <c r="M126" s="148">
        <f>(Unitflowchart!$S$17*(AllocationPrice!$H$23/100)*Harvesting!AC27)/Unitflowchart!$S$383</f>
        <v>0</v>
      </c>
      <c r="N126" s="727">
        <f>E126+(GlobalWarmingPotentials!$B$11*H126)+(GlobalWarmingPotentials!$C$11*K126)</f>
        <v>0</v>
      </c>
      <c r="O126" s="26">
        <f>(N126/N$383)*100</f>
        <v>0</v>
      </c>
      <c r="P126" s="756">
        <f>SQRT((G126^2)+((GlobalWarmingPotentials!$B$11*J126)^2)+((GlobalWarmingPotentials!$C$11*M126)^2))</f>
        <v>0</v>
      </c>
    </row>
    <row r="127" spans="1:19" x14ac:dyDescent="0.25">
      <c r="A127" s="361" t="str">
        <f>Harvesting!A28</f>
        <v>Tractor</v>
      </c>
      <c r="B127" s="727">
        <f>(Unitflowchart!$S$17*(AllocationPrice!$H$23/100)*Harvesting!J28)/Unitflowchart!$S$383</f>
        <v>0</v>
      </c>
      <c r="C127" s="26">
        <f>(B127/B$383)*100</f>
        <v>0</v>
      </c>
      <c r="D127" s="148">
        <f>(Unitflowchart!$S$17*(AllocationPrice!$H$23/100)*Harvesting!K28)/Unitflowchart!$S$383</f>
        <v>0</v>
      </c>
      <c r="E127" s="727">
        <f>(Unitflowchart!$S$17*(AllocationPrice!$H$23/100)*Harvesting!P28)/Unitflowchart!$S$383</f>
        <v>0</v>
      </c>
      <c r="F127" s="26">
        <f>(E127/E$383)*100</f>
        <v>0</v>
      </c>
      <c r="G127" s="148">
        <f>(Unitflowchart!$S$17*(AllocationPrice!$H$23/100)*Harvesting!Q28)/Unitflowchart!$S$383</f>
        <v>0</v>
      </c>
      <c r="H127" s="727">
        <f>(Unitflowchart!$S$17*(AllocationPrice!$H$23/100)*Harvesting!V28)/Unitflowchart!$S$383</f>
        <v>0</v>
      </c>
      <c r="I127" s="26">
        <f>(H127/H$383)*100</f>
        <v>0</v>
      </c>
      <c r="J127" s="148">
        <f>(Unitflowchart!$S$17*(AllocationPrice!$H$23/100)*Harvesting!W28)/Unitflowchart!$S$383</f>
        <v>0</v>
      </c>
      <c r="K127" s="727">
        <f>(Unitflowchart!$S$17*(AllocationPrice!$H$23/100)*Harvesting!AB28)/Unitflowchart!$S$383</f>
        <v>0</v>
      </c>
      <c r="L127" s="26">
        <f>(K127/K$383)*100</f>
        <v>0</v>
      </c>
      <c r="M127" s="148">
        <f>(Unitflowchart!$S$17*(AllocationPrice!$H$23/100)*Harvesting!AC28)/Unitflowchart!$S$383</f>
        <v>0</v>
      </c>
      <c r="N127" s="727">
        <f>E127+(GlobalWarmingPotentials!$B$11*H127)+(GlobalWarmingPotentials!$C$11*K127)</f>
        <v>0</v>
      </c>
      <c r="O127" s="26">
        <f>(N127/N$383)*100</f>
        <v>0</v>
      </c>
      <c r="P127" s="756">
        <f>SQRT((G127^2)+((GlobalWarmingPotentials!$B$11*J127)^2)+((GlobalWarmingPotentials!$C$11*M127)^2))</f>
        <v>0</v>
      </c>
    </row>
    <row r="128" spans="1:19" x14ac:dyDescent="0.25">
      <c r="A128" s="361" t="str">
        <f>Harvesting!A29</f>
        <v>Trailer</v>
      </c>
      <c r="B128" s="727">
        <f>(Unitflowchart!$S$17*(AllocationPrice!$H$23/100)*Harvesting!J29)/Unitflowchart!$S$383</f>
        <v>0</v>
      </c>
      <c r="C128" s="26">
        <f>(B128/B$383)*100</f>
        <v>0</v>
      </c>
      <c r="D128" s="148">
        <f>(Unitflowchart!$S$17*(AllocationPrice!$H$23/100)*Harvesting!K29)/Unitflowchart!$S$383</f>
        <v>0</v>
      </c>
      <c r="E128" s="727">
        <f>(Unitflowchart!$S$17*(AllocationPrice!$H$23/100)*Harvesting!P29)/Unitflowchart!$S$383</f>
        <v>0</v>
      </c>
      <c r="F128" s="26">
        <f>(E128/E$383)*100</f>
        <v>0</v>
      </c>
      <c r="G128" s="148">
        <f>(Unitflowchart!$S$17*(AllocationPrice!$H$23/100)*Harvesting!Q29)/Unitflowchart!$S$383</f>
        <v>0</v>
      </c>
      <c r="H128" s="727">
        <f>(Unitflowchart!$S$17*(AllocationPrice!$H$23/100)*Harvesting!V29)/Unitflowchart!$S$383</f>
        <v>0</v>
      </c>
      <c r="I128" s="26">
        <f>(H128/H$383)*100</f>
        <v>0</v>
      </c>
      <c r="J128" s="148">
        <f>(Unitflowchart!$S$17*(AllocationPrice!$H$23/100)*Harvesting!W29)/Unitflowchart!$S$383</f>
        <v>0</v>
      </c>
      <c r="K128" s="727">
        <f>(Unitflowchart!$S$17*(AllocationPrice!$H$23/100)*Harvesting!AB29)/Unitflowchart!$S$383</f>
        <v>0</v>
      </c>
      <c r="L128" s="26">
        <f>(K128/K$383)*100</f>
        <v>0</v>
      </c>
      <c r="M128" s="148">
        <f>(Unitflowchart!$S$17*(AllocationPrice!$H$23/100)*Harvesting!AC29)/Unitflowchart!$S$383</f>
        <v>0</v>
      </c>
      <c r="N128" s="727">
        <f>E128+(GlobalWarmingPotentials!$B$11*H128)+(GlobalWarmingPotentials!$C$11*K128)</f>
        <v>0</v>
      </c>
      <c r="O128" s="26">
        <f>(N128/N$383)*100</f>
        <v>0</v>
      </c>
      <c r="P128" s="756">
        <f>SQRT((G128^2)+((GlobalWarmingPotentials!$B$11*J128)^2)+((GlobalWarmingPotentials!$C$11*M128)^2))</f>
        <v>0</v>
      </c>
    </row>
    <row r="129" spans="1:16" s="43" customFormat="1" x14ac:dyDescent="0.25">
      <c r="A129" s="212"/>
      <c r="B129" s="729"/>
      <c r="C129" s="992"/>
      <c r="D129" s="736"/>
      <c r="E129" s="729"/>
      <c r="F129" s="992"/>
      <c r="G129" s="736"/>
      <c r="H129" s="729"/>
      <c r="I129" s="992"/>
      <c r="J129" s="736"/>
      <c r="K129" s="729"/>
      <c r="L129" s="992"/>
      <c r="M129" s="736"/>
      <c r="N129" s="729"/>
      <c r="O129" s="992"/>
      <c r="P129" s="758"/>
    </row>
    <row r="130" spans="1:16" x14ac:dyDescent="0.25">
      <c r="A130" s="361" t="str">
        <f>Harvesting!A31</f>
        <v>Sub-totals for machinery</v>
      </c>
      <c r="B130" s="727">
        <f>(Unitflowchart!$S$17*(AllocationPrice!$H$23/100)*Harvesting!J31)/Unitflowchart!$S$383</f>
        <v>0</v>
      </c>
      <c r="C130" s="26">
        <f>(B130/B$383)*100</f>
        <v>0</v>
      </c>
      <c r="D130" s="148">
        <f>(Unitflowchart!$S$17*(AllocationPrice!$H$23/100)*Harvesting!K31)/Unitflowchart!$S$383</f>
        <v>0</v>
      </c>
      <c r="E130" s="727">
        <f>(Unitflowchart!$S$17*(AllocationPrice!$H$23/100)*Harvesting!P31)/Unitflowchart!$S$383</f>
        <v>0</v>
      </c>
      <c r="F130" s="26">
        <f>(E130/E$383)*100</f>
        <v>0</v>
      </c>
      <c r="G130" s="148">
        <f>(Unitflowchart!$S$17*(AllocationPrice!$H$23/100)*Harvesting!Q31)/Unitflowchart!$S$383</f>
        <v>0</v>
      </c>
      <c r="H130" s="727">
        <f>(Unitflowchart!$S$17*(AllocationPrice!$H$23/100)*Harvesting!V31)/Unitflowchart!$S$383</f>
        <v>0</v>
      </c>
      <c r="I130" s="26">
        <f>(H130/H$383)*100</f>
        <v>0</v>
      </c>
      <c r="J130" s="148">
        <f>(Unitflowchart!$S$17*(AllocationPrice!$H$23/100)*Harvesting!W31)/Unitflowchart!$S$383</f>
        <v>0</v>
      </c>
      <c r="K130" s="727">
        <f>(Unitflowchart!$S$17*(AllocationPrice!$H$23/100)*Harvesting!AB31)/Unitflowchart!$S$383</f>
        <v>0</v>
      </c>
      <c r="L130" s="26">
        <f>(K130/K$383)*100</f>
        <v>0</v>
      </c>
      <c r="M130" s="148">
        <f>(Unitflowchart!$S$17*(AllocationPrice!$H$23/100)*Harvesting!AC31)/Unitflowchart!$S$383</f>
        <v>0</v>
      </c>
      <c r="N130" s="727">
        <f>E130+(GlobalWarmingPotentials!$B$11*H130)+(GlobalWarmingPotentials!$C$11*K130)</f>
        <v>0</v>
      </c>
      <c r="O130" s="26">
        <f>(N130/N$383)*100</f>
        <v>0</v>
      </c>
      <c r="P130" s="756">
        <f>SQRT((G130^2)+((GlobalWarmingPotentials!$B$11*J130)^2)+((GlobalWarmingPotentials!$C$11*M130)^2))</f>
        <v>0</v>
      </c>
    </row>
    <row r="131" spans="1:16" s="43" customFormat="1" x14ac:dyDescent="0.25">
      <c r="A131" s="212"/>
      <c r="B131" s="729"/>
      <c r="C131" s="992"/>
      <c r="D131" s="736"/>
      <c r="E131" s="729"/>
      <c r="F131" s="992"/>
      <c r="G131" s="736"/>
      <c r="H131" s="729"/>
      <c r="I131" s="992"/>
      <c r="J131" s="736"/>
      <c r="K131" s="729"/>
      <c r="L131" s="992"/>
      <c r="M131" s="736"/>
      <c r="N131" s="729"/>
      <c r="O131" s="992"/>
      <c r="P131" s="758"/>
    </row>
    <row r="132" spans="1:16" x14ac:dyDescent="0.25">
      <c r="A132" s="387" t="str">
        <f>Harvesting!A33</f>
        <v xml:space="preserve"> Maintenance</v>
      </c>
      <c r="B132" s="727">
        <f>(Unitflowchart!$S$17*(AllocationPrice!$H$23/100)*Harvesting!J33)/Unitflowchart!$S$383</f>
        <v>0</v>
      </c>
      <c r="C132" s="26">
        <f>(B132/B$383)*100</f>
        <v>0</v>
      </c>
      <c r="D132" s="148">
        <f>(Unitflowchart!$S$17*(AllocationPrice!$H$23/100)*Harvesting!K33)/Unitflowchart!$S$383</f>
        <v>0</v>
      </c>
      <c r="E132" s="727">
        <f>(Unitflowchart!$S$17*(AllocationPrice!$H$23/100)*Harvesting!P33)/Unitflowchart!$S$383</f>
        <v>0</v>
      </c>
      <c r="F132" s="26">
        <f>(E132/E$383)*100</f>
        <v>0</v>
      </c>
      <c r="G132" s="148">
        <f>(Unitflowchart!$S$17*(AllocationPrice!$H$23/100)*Harvesting!Q33)/Unitflowchart!$S$383</f>
        <v>0</v>
      </c>
      <c r="H132" s="727">
        <f>(Unitflowchart!$S$17*(AllocationPrice!$H$23/100)*Harvesting!V33)/Unitflowchart!$S$383</f>
        <v>0</v>
      </c>
      <c r="I132" s="26">
        <f>(H132/H$383)*100</f>
        <v>0</v>
      </c>
      <c r="J132" s="148">
        <f>(Unitflowchart!$S$17*(AllocationPrice!$H$23/100)*Harvesting!W33)/Unitflowchart!$S$383</f>
        <v>0</v>
      </c>
      <c r="K132" s="727">
        <f>(Unitflowchart!$S$17*(AllocationPrice!$H$23/100)*Harvesting!AB33)/Unitflowchart!$S$383</f>
        <v>0</v>
      </c>
      <c r="L132" s="26">
        <f>(K132/K$383)*100</f>
        <v>0</v>
      </c>
      <c r="M132" s="148">
        <f>(Unitflowchart!$S$17*(AllocationPrice!$H$23/100)*Harvesting!AC33)/Unitflowchart!$S$383</f>
        <v>0</v>
      </c>
      <c r="N132" s="727">
        <f>E132+(GlobalWarmingPotentials!$B$11*H132)+(GlobalWarmingPotentials!$C$11*K132)</f>
        <v>0</v>
      </c>
      <c r="O132" s="26">
        <f>(N132/N$383)*100</f>
        <v>0</v>
      </c>
      <c r="P132" s="756">
        <f>SQRT((G132^2)+((GlobalWarmingPotentials!$B$11*J132)^2)+((GlobalWarmingPotentials!$C$11*M132)^2))</f>
        <v>0</v>
      </c>
    </row>
    <row r="133" spans="1:16" x14ac:dyDescent="0.25">
      <c r="A133" s="361" t="str">
        <f>Harvesting!A34</f>
        <v>Mower conditioner</v>
      </c>
      <c r="B133" s="727">
        <f>(Unitflowchart!$S$17*(AllocationPrice!$H$23/100)*Harvesting!J34)/Unitflowchart!$S$383</f>
        <v>0</v>
      </c>
      <c r="C133" s="26">
        <f>(B133/B$383)*100</f>
        <v>0</v>
      </c>
      <c r="D133" s="148">
        <f>(Unitflowchart!$S$17*(AllocationPrice!$H$23/100)*Harvesting!K34)/Unitflowchart!$S$383</f>
        <v>0</v>
      </c>
      <c r="E133" s="727">
        <f>(Unitflowchart!$S$17*(AllocationPrice!$H$23/100)*Harvesting!P34)/Unitflowchart!$S$383</f>
        <v>0</v>
      </c>
      <c r="F133" s="26">
        <f>(E133/E$383)*100</f>
        <v>0</v>
      </c>
      <c r="G133" s="148">
        <f>(Unitflowchart!$S$17*(AllocationPrice!$H$23/100)*Harvesting!Q34)/Unitflowchart!$S$383</f>
        <v>0</v>
      </c>
      <c r="H133" s="727">
        <f>(Unitflowchart!$S$17*(AllocationPrice!$H$23/100)*Harvesting!V34)/Unitflowchart!$S$383</f>
        <v>0</v>
      </c>
      <c r="I133" s="26">
        <f>(H133/H$383)*100</f>
        <v>0</v>
      </c>
      <c r="J133" s="148">
        <f>(Unitflowchart!$S$17*(AllocationPrice!$H$23/100)*Harvesting!W34)/Unitflowchart!$S$383</f>
        <v>0</v>
      </c>
      <c r="K133" s="727">
        <f>(Unitflowchart!$S$17*(AllocationPrice!$H$23/100)*Harvesting!AB34)/Unitflowchart!$S$383</f>
        <v>0</v>
      </c>
      <c r="L133" s="26">
        <f>(K133/K$383)*100</f>
        <v>0</v>
      </c>
      <c r="M133" s="148">
        <f>(Unitflowchart!$S$17*(AllocationPrice!$H$23/100)*Harvesting!AC34)/Unitflowchart!$S$383</f>
        <v>0</v>
      </c>
      <c r="N133" s="727">
        <f>E133+(GlobalWarmingPotentials!$B$11*H133)+(GlobalWarmingPotentials!$C$11*K133)</f>
        <v>0</v>
      </c>
      <c r="O133" s="26">
        <f>(N133/N$383)*100</f>
        <v>0</v>
      </c>
      <c r="P133" s="756">
        <f>SQRT((G133^2)+((GlobalWarmingPotentials!$B$11*J133)^2)+((GlobalWarmingPotentials!$C$11*M133)^2))</f>
        <v>0</v>
      </c>
    </row>
    <row r="134" spans="1:16" x14ac:dyDescent="0.25">
      <c r="A134" s="361" t="str">
        <f>Harvesting!A35</f>
        <v>Baler</v>
      </c>
      <c r="B134" s="727">
        <f>(Unitflowchart!$S$17*(AllocationPrice!$H$23/100)*Harvesting!J35)/Unitflowchart!$S$383</f>
        <v>0</v>
      </c>
      <c r="C134" s="26">
        <f>(B134/B$383)*100</f>
        <v>0</v>
      </c>
      <c r="D134" s="148">
        <f>(Unitflowchart!$S$17*(AllocationPrice!$H$23/100)*Harvesting!K35)/Unitflowchart!$S$383</f>
        <v>0</v>
      </c>
      <c r="E134" s="727">
        <f>(Unitflowchart!$S$17*(AllocationPrice!$H$23/100)*Harvesting!P35)/Unitflowchart!$S$383</f>
        <v>0</v>
      </c>
      <c r="F134" s="26">
        <f>(E134/E$383)*100</f>
        <v>0</v>
      </c>
      <c r="G134" s="148">
        <f>(Unitflowchart!$S$17*(AllocationPrice!$H$23/100)*Harvesting!Q35)/Unitflowchart!$S$383</f>
        <v>0</v>
      </c>
      <c r="H134" s="727">
        <f>(Unitflowchart!$S$17*(AllocationPrice!$H$23/100)*Harvesting!V35)/Unitflowchart!$S$383</f>
        <v>0</v>
      </c>
      <c r="I134" s="26">
        <f>(H134/H$383)*100</f>
        <v>0</v>
      </c>
      <c r="J134" s="148">
        <f>(Unitflowchart!$S$17*(AllocationPrice!$H$23/100)*Harvesting!W35)/Unitflowchart!$S$383</f>
        <v>0</v>
      </c>
      <c r="K134" s="727">
        <f>(Unitflowchart!$S$17*(AllocationPrice!$H$23/100)*Harvesting!AB35)/Unitflowchart!$S$383</f>
        <v>0</v>
      </c>
      <c r="L134" s="26">
        <f>(K134/K$383)*100</f>
        <v>0</v>
      </c>
      <c r="M134" s="148">
        <f>(Unitflowchart!$S$17*(AllocationPrice!$H$23/100)*Harvesting!AC35)/Unitflowchart!$S$383</f>
        <v>0</v>
      </c>
      <c r="N134" s="727">
        <f>E134+(GlobalWarmingPotentials!$B$11*H134)+(GlobalWarmingPotentials!$C$11*K134)</f>
        <v>0</v>
      </c>
      <c r="O134" s="26">
        <f>(N134/N$383)*100</f>
        <v>0</v>
      </c>
      <c r="P134" s="756">
        <f>SQRT((G134^2)+((GlobalWarmingPotentials!$B$11*J134)^2)+((GlobalWarmingPotentials!$C$11*M134)^2))</f>
        <v>0</v>
      </c>
    </row>
    <row r="135" spans="1:16" x14ac:dyDescent="0.25">
      <c r="A135" s="361" t="str">
        <f>Harvesting!A36</f>
        <v>Tractor</v>
      </c>
      <c r="B135" s="727">
        <f>(Unitflowchart!$S$17*(AllocationPrice!$H$23/100)*Harvesting!J36)/Unitflowchart!$S$383</f>
        <v>0</v>
      </c>
      <c r="C135" s="26">
        <f>(B135/B$383)*100</f>
        <v>0</v>
      </c>
      <c r="D135" s="148">
        <f>(Unitflowchart!$S$17*(AllocationPrice!$H$23/100)*Harvesting!K36)/Unitflowchart!$S$383</f>
        <v>0</v>
      </c>
      <c r="E135" s="727">
        <f>(Unitflowchart!$S$17*(AllocationPrice!$H$23/100)*Harvesting!P36)/Unitflowchart!$S$383</f>
        <v>0</v>
      </c>
      <c r="F135" s="26">
        <f>(E135/E$383)*100</f>
        <v>0</v>
      </c>
      <c r="G135" s="148">
        <f>(Unitflowchart!$S$17*(AllocationPrice!$H$23/100)*Harvesting!Q36)/Unitflowchart!$S$383</f>
        <v>0</v>
      </c>
      <c r="H135" s="727">
        <f>(Unitflowchart!$S$17*(AllocationPrice!$H$23/100)*Harvesting!V36)/Unitflowchart!$S$383</f>
        <v>0</v>
      </c>
      <c r="I135" s="26">
        <f>(H135/H$383)*100</f>
        <v>0</v>
      </c>
      <c r="J135" s="148">
        <f>(Unitflowchart!$S$17*(AllocationPrice!$H$23/100)*Harvesting!W36)/Unitflowchart!$S$383</f>
        <v>0</v>
      </c>
      <c r="K135" s="727">
        <f>(Unitflowchart!$S$17*(AllocationPrice!$H$23/100)*Harvesting!AB36)/Unitflowchart!$S$383</f>
        <v>0</v>
      </c>
      <c r="L135" s="26">
        <f>(K135/K$383)*100</f>
        <v>0</v>
      </c>
      <c r="M135" s="148">
        <f>(Unitflowchart!$S$17*(AllocationPrice!$H$23/100)*Harvesting!AC36)/Unitflowchart!$S$383</f>
        <v>0</v>
      </c>
      <c r="N135" s="727">
        <f>E135+(GlobalWarmingPotentials!$B$11*H135)+(GlobalWarmingPotentials!$C$11*K135)</f>
        <v>0</v>
      </c>
      <c r="O135" s="26">
        <f>(N135/N$383)*100</f>
        <v>0</v>
      </c>
      <c r="P135" s="756">
        <f>SQRT((G135^2)+((GlobalWarmingPotentials!$B$11*J135)^2)+((GlobalWarmingPotentials!$C$11*M135)^2))</f>
        <v>0</v>
      </c>
    </row>
    <row r="136" spans="1:16" x14ac:dyDescent="0.25">
      <c r="A136" s="361" t="str">
        <f>Harvesting!A37</f>
        <v>Trailer</v>
      </c>
      <c r="B136" s="727">
        <f>(Unitflowchart!$S$17*(AllocationPrice!$H$23/100)*Harvesting!J37)/Unitflowchart!$S$383</f>
        <v>0</v>
      </c>
      <c r="C136" s="26">
        <f>(B136/B$383)*100</f>
        <v>0</v>
      </c>
      <c r="D136" s="148">
        <f>(Unitflowchart!$S$17*(AllocationPrice!$H$23/100)*Harvesting!K37)/Unitflowchart!$S$383</f>
        <v>0</v>
      </c>
      <c r="E136" s="727">
        <f>(Unitflowchart!$S$17*(AllocationPrice!$H$23/100)*Harvesting!P37)/Unitflowchart!$S$383</f>
        <v>0</v>
      </c>
      <c r="F136" s="26">
        <f>(E136/E$383)*100</f>
        <v>0</v>
      </c>
      <c r="G136" s="148">
        <f>(Unitflowchart!$S$17*(AllocationPrice!$H$23/100)*Harvesting!Q37)/Unitflowchart!$S$383</f>
        <v>0</v>
      </c>
      <c r="H136" s="727">
        <f>(Unitflowchart!$S$17*(AllocationPrice!$H$23/100)*Harvesting!V37)/Unitflowchart!$S$383</f>
        <v>0</v>
      </c>
      <c r="I136" s="26">
        <f>(H136/H$383)*100</f>
        <v>0</v>
      </c>
      <c r="J136" s="148">
        <f>(Unitflowchart!$S$17*(AllocationPrice!$H$23/100)*Harvesting!W37)/Unitflowchart!$S$383</f>
        <v>0</v>
      </c>
      <c r="K136" s="727">
        <f>(Unitflowchart!$S$17*(AllocationPrice!$H$23/100)*Harvesting!AB37)/Unitflowchart!$S$383</f>
        <v>0</v>
      </c>
      <c r="L136" s="26">
        <f>(K136/K$383)*100</f>
        <v>0</v>
      </c>
      <c r="M136" s="148">
        <f>(Unitflowchart!$S$17*(AllocationPrice!$H$23/100)*Harvesting!AC37)/Unitflowchart!$S$383</f>
        <v>0</v>
      </c>
      <c r="N136" s="727">
        <f>E136+(GlobalWarmingPotentials!$B$11*H136)+(GlobalWarmingPotentials!$C$11*K136)</f>
        <v>0</v>
      </c>
      <c r="O136" s="26">
        <f>(N136/N$383)*100</f>
        <v>0</v>
      </c>
      <c r="P136" s="756">
        <f>SQRT((G136^2)+((GlobalWarmingPotentials!$B$11*J136)^2)+((GlobalWarmingPotentials!$C$11*M136)^2))</f>
        <v>0</v>
      </c>
    </row>
    <row r="137" spans="1:16" s="43" customFormat="1" x14ac:dyDescent="0.25">
      <c r="A137" s="212"/>
      <c r="B137" s="729"/>
      <c r="C137" s="992"/>
      <c r="D137" s="736"/>
      <c r="E137" s="729"/>
      <c r="F137" s="992"/>
      <c r="G137" s="736"/>
      <c r="H137" s="729"/>
      <c r="I137" s="992"/>
      <c r="J137" s="736"/>
      <c r="K137" s="729"/>
      <c r="L137" s="992"/>
      <c r="M137" s="736"/>
      <c r="N137" s="729"/>
      <c r="O137" s="992"/>
      <c r="P137" s="758"/>
    </row>
    <row r="138" spans="1:16" x14ac:dyDescent="0.25">
      <c r="A138" s="361" t="str">
        <f>Harvesting!A39</f>
        <v>Sub-totals for maintenance</v>
      </c>
      <c r="B138" s="727">
        <f>(Unitflowchart!$S$17*(AllocationPrice!$H$23/100)*Harvesting!J39)/Unitflowchart!$S$383</f>
        <v>0</v>
      </c>
      <c r="C138" s="26">
        <f>(B138/B$383)*100</f>
        <v>0</v>
      </c>
      <c r="D138" s="148">
        <f>(Unitflowchart!$S$17*(AllocationPrice!$H$23/100)*Harvesting!K39)/Unitflowchart!$S$383</f>
        <v>0</v>
      </c>
      <c r="E138" s="727">
        <f>(Unitflowchart!$S$17*(AllocationPrice!$H$23/100)*Harvesting!P39)/Unitflowchart!$S$383</f>
        <v>0</v>
      </c>
      <c r="F138" s="26">
        <f>(E138/E$383)*100</f>
        <v>0</v>
      </c>
      <c r="G138" s="148">
        <f>(Unitflowchart!$S$17*(AllocationPrice!$H$23/100)*Harvesting!Q39)/Unitflowchart!$S$383</f>
        <v>0</v>
      </c>
      <c r="H138" s="727">
        <f>(Unitflowchart!$S$17*(AllocationPrice!$H$23/100)*Harvesting!V39)/Unitflowchart!$S$383</f>
        <v>0</v>
      </c>
      <c r="I138" s="26">
        <f>(H138/H$383)*100</f>
        <v>0</v>
      </c>
      <c r="J138" s="148">
        <f>(Unitflowchart!$S$17*(AllocationPrice!$H$23/100)*Harvesting!W39)/Unitflowchart!$S$383</f>
        <v>0</v>
      </c>
      <c r="K138" s="727">
        <f>(Unitflowchart!$S$17*(AllocationPrice!$H$23/100)*Harvesting!AB39)/Unitflowchart!$S$383</f>
        <v>0</v>
      </c>
      <c r="L138" s="26">
        <f>(K138/K$383)*100</f>
        <v>0</v>
      </c>
      <c r="M138" s="148">
        <f>(Unitflowchart!$S$17*(AllocationPrice!$H$23/100)*Harvesting!AC39)/Unitflowchart!$S$383</f>
        <v>0</v>
      </c>
      <c r="N138" s="727">
        <f>E138+(GlobalWarmingPotentials!$B$11*H138)+(GlobalWarmingPotentials!$C$11*K138)</f>
        <v>0</v>
      </c>
      <c r="O138" s="26">
        <f>(N138/N$383)*100</f>
        <v>0</v>
      </c>
      <c r="P138" s="756">
        <f>SQRT((G138^2)+((GlobalWarmingPotentials!$B$11*J138)^2)+((GlobalWarmingPotentials!$C$11*M138)^2))</f>
        <v>0</v>
      </c>
    </row>
    <row r="139" spans="1:16" s="43" customFormat="1" x14ac:dyDescent="0.25">
      <c r="A139" s="212"/>
      <c r="B139" s="729"/>
      <c r="C139" s="992"/>
      <c r="D139" s="736"/>
      <c r="E139" s="729"/>
      <c r="F139" s="992"/>
      <c r="G139" s="736"/>
      <c r="H139" s="729"/>
      <c r="I139" s="992"/>
      <c r="J139" s="736"/>
      <c r="K139" s="729"/>
      <c r="L139" s="992"/>
      <c r="M139" s="736"/>
      <c r="N139" s="729"/>
      <c r="O139" s="992"/>
      <c r="P139" s="758"/>
    </row>
    <row r="140" spans="1:16" x14ac:dyDescent="0.25">
      <c r="A140" s="218" t="s">
        <v>1351</v>
      </c>
      <c r="B140" s="730">
        <f>(Unitflowchart!$S$17*(AllocationPrice!$H$23/100)*Harvesting!J41)/Unitflowchart!$S$383</f>
        <v>369.22612973150552</v>
      </c>
      <c r="C140" s="15">
        <f>(B140/B$383)*100</f>
        <v>2.8524044829633826</v>
      </c>
      <c r="D140" s="740">
        <f>(Unitflowchart!$S$17*(AllocationPrice!$H$23/100)*Harvesting!K41)/Unitflowchart!$S$383</f>
        <v>0</v>
      </c>
      <c r="E140" s="730">
        <f>(Unitflowchart!$S$17*(AllocationPrice!$H$23/100)*Harvesting!P41)/Unitflowchart!$S$383</f>
        <v>26.49619011120776</v>
      </c>
      <c r="F140" s="15">
        <f>(E140/E$383)*100</f>
        <v>3.2939824156244253</v>
      </c>
      <c r="G140" s="740">
        <f>(Unitflowchart!$S$17*(AllocationPrice!$H$23/100)*Harvesting!Q41)/Unitflowchart!$S$383</f>
        <v>0</v>
      </c>
      <c r="H140" s="730">
        <f>(Unitflowchart!$S$17*(AllocationPrice!$H$23/100)*Harvesting!V41)/Unitflowchart!$S$383</f>
        <v>5.505701841289924E-3</v>
      </c>
      <c r="I140" s="15">
        <f>(H140/H$383)*100</f>
        <v>0.55074508666530064</v>
      </c>
      <c r="J140" s="740">
        <f>(Unitflowchart!$S$17*(AllocationPrice!$H$23/100)*Harvesting!W41)/Unitflowchart!$S$383</f>
        <v>0</v>
      </c>
      <c r="K140" s="730">
        <f>(Unitflowchart!$S$17*(AllocationPrice!$H$23/100)*Harvesting!AB41)/Unitflowchart!$S$383</f>
        <v>7.157412393676902E-3</v>
      </c>
      <c r="L140" s="15">
        <f>(K140/K$383)*100</f>
        <v>3.3136012968031689</v>
      </c>
      <c r="M140" s="740">
        <f>(Unitflowchart!$S$17*(AllocationPrice!$H$23/100)*Harvesting!AC41)/Unitflowchart!$S$383</f>
        <v>0</v>
      </c>
      <c r="N140" s="1042">
        <f>E140+(GlobalWarmingPotentials!$B$11*H140)+(GlobalWarmingPotentials!$C$11*K140)</f>
        <v>28.741415322085793</v>
      </c>
      <c r="O140" s="993">
        <f>(N140/N$383)*100</f>
        <v>3.2246238109874299</v>
      </c>
      <c r="P140" s="1058">
        <f>SQRT((G140^2)+((GlobalWarmingPotentials!$B$11*J140)^2)+((GlobalWarmingPotentials!$C$11*M140)^2))</f>
        <v>0</v>
      </c>
    </row>
    <row r="141" spans="1:16" s="3" customFormat="1" x14ac:dyDescent="0.25">
      <c r="A141" s="361"/>
      <c r="B141" s="731"/>
      <c r="C141" s="27"/>
      <c r="D141" s="738"/>
      <c r="E141" s="731"/>
      <c r="F141" s="27"/>
      <c r="G141" s="746"/>
      <c r="H141" s="748"/>
      <c r="I141" s="27"/>
      <c r="J141" s="45"/>
      <c r="K141" s="753"/>
      <c r="L141" s="27"/>
      <c r="M141" s="45"/>
      <c r="N141" s="738"/>
      <c r="O141" s="27"/>
      <c r="P141" s="746"/>
    </row>
    <row r="142" spans="1:16" x14ac:dyDescent="0.25">
      <c r="A142" s="387" t="s">
        <v>34</v>
      </c>
      <c r="B142" s="728"/>
      <c r="C142" s="26"/>
      <c r="D142" s="735"/>
      <c r="E142" s="728"/>
      <c r="F142" s="26"/>
      <c r="G142" s="739"/>
      <c r="H142" s="194"/>
      <c r="I142" s="26"/>
      <c r="J142" s="32"/>
      <c r="K142" s="194"/>
      <c r="L142" s="26"/>
      <c r="M142" s="32"/>
      <c r="N142" s="755"/>
      <c r="O142" s="26"/>
      <c r="P142" s="757"/>
    </row>
    <row r="143" spans="1:16" x14ac:dyDescent="0.25">
      <c r="B143" s="728"/>
      <c r="D143" s="739"/>
      <c r="E143" s="735"/>
      <c r="G143" s="739"/>
      <c r="H143" s="724"/>
      <c r="J143" s="32"/>
      <c r="K143" s="724"/>
      <c r="M143" s="724"/>
      <c r="N143" s="728"/>
      <c r="P143" s="739"/>
    </row>
    <row r="144" spans="1:16" x14ac:dyDescent="0.25">
      <c r="A144" s="14" t="str">
        <f>RoadTransportStage1!A28</f>
        <v xml:space="preserve"> - Diesel Fuel</v>
      </c>
      <c r="B144" s="732">
        <f>Unitflowchart!$S$41*(AllocationPrice!$H$23/100)/Unitflowchart!$S$383*(RoadTransportStage1!J28)*Unitflowchart!$S$52</f>
        <v>275.59665533211654</v>
      </c>
      <c r="C144" s="26">
        <f>(B144/B$383)*100</f>
        <v>2.1290831603134115</v>
      </c>
      <c r="D144" s="491">
        <f>Unitflowchart!$S$41*(AllocationPrice!$H$23/100)/Unitflowchart!$S$383*(RoadTransportStage1!K28)*Unitflowchart!$S$52</f>
        <v>12.953042800609477</v>
      </c>
      <c r="E144" s="732">
        <f>Unitflowchart!$S$41*(AllocationPrice!$H$23/100)/Unitflowchart!$S$383*(RoadTransportStage1!P28)*Unitflowchart!$S$52</f>
        <v>19.777206393823835</v>
      </c>
      <c r="F144" s="26">
        <f>(E144/E$383)*100</f>
        <v>2.4586844304032347</v>
      </c>
      <c r="G144" s="491">
        <f>Unitflowchart!$S$41*(AllocationPrice!$H$23/100)/Unitflowchart!$S$383*(RoadTransportStage1!Q28)*Unitflowchart!$S$52</f>
        <v>0.92952870050972014</v>
      </c>
      <c r="H144" s="749">
        <f>Unitflowchart!$S$41*(AllocationPrice!$H$23/100)/Unitflowchart!$S$383*(RoadTransportStage1!V28)*Unitflowchart!$S$52</f>
        <v>4.1095493805348229E-3</v>
      </c>
      <c r="I144" s="26">
        <f>(H144/H$383)*100</f>
        <v>0.41108548827767871</v>
      </c>
      <c r="J144" s="751">
        <f>Unitflowchart!$S$41*(AllocationPrice!$H$23/100)/Unitflowchart!$S$383*(RoadTransportStage1!W28)*Unitflowchart!$S$52</f>
        <v>1.9314882088513667E-4</v>
      </c>
      <c r="K144" s="749">
        <f>Unitflowchart!$S$41*(AllocationPrice!$H$23/100)/Unitflowchart!$S$383*(RoadTransportStage1!AB28)*Unitflowchart!$S$52</f>
        <v>5.3424141946952705E-3</v>
      </c>
      <c r="L144" s="26">
        <f>(K144/K$383)*100</f>
        <v>2.4733282965839725</v>
      </c>
      <c r="M144" s="751">
        <f>Unitflowchart!$S$41*(AllocationPrice!$H$23/100)/Unitflowchart!$S$383*(RoadTransportStage1!AC28)*Unitflowchart!$S$52</f>
        <v>2.5109346715067771E-4</v>
      </c>
      <c r="N144" s="727">
        <f>E144+(GlobalWarmingPotentials!$B$11*H144)+(GlobalWarmingPotentials!$C$11*K144)</f>
        <v>21.453080631205939</v>
      </c>
      <c r="O144" s="26">
        <f>(N144/N$383)*100</f>
        <v>2.4069139896969967</v>
      </c>
      <c r="P144" s="756">
        <f>SQRT((G144^2)+((GlobalWarmingPotentials!$B$11*J144)^2)+((GlobalWarmingPotentials!$C$11*M144)^2))</f>
        <v>0.93250595041593831</v>
      </c>
    </row>
    <row r="145" spans="1:16" x14ac:dyDescent="0.25">
      <c r="A145" s="14" t="str">
        <f>RoadTransportStage1!A29</f>
        <v xml:space="preserve"> - Vehicle </v>
      </c>
      <c r="B145" s="732">
        <f>Unitflowchart!$S$41*(AllocationPrice!$H$23/100)/Unitflowchart!$S$383*(RoadTransportStage1!J29)*Unitflowchart!$S$52</f>
        <v>0</v>
      </c>
      <c r="C145" s="26">
        <f>(B145/B$383)*100</f>
        <v>0</v>
      </c>
      <c r="D145" s="491">
        <f>Unitflowchart!$S$41*(AllocationPrice!$H$23/100)/Unitflowchart!$S$383*(RoadTransportStage1!K29)*Unitflowchart!$S$52</f>
        <v>0</v>
      </c>
      <c r="E145" s="732">
        <f>Unitflowchart!$S$41*(AllocationPrice!$H$23/100)/Unitflowchart!$S$383*(RoadTransportStage1!P29)*Unitflowchart!$S$52</f>
        <v>0</v>
      </c>
      <c r="F145" s="26">
        <f>(E145/E$383)*100</f>
        <v>0</v>
      </c>
      <c r="G145" s="491">
        <f>Unitflowchart!$S$41*(AllocationPrice!$H$23/100)/Unitflowchart!$S$383*(RoadTransportStage1!Q29)*Unitflowchart!$S$52</f>
        <v>0</v>
      </c>
      <c r="H145" s="749">
        <f>Unitflowchart!$S$41*(AllocationPrice!$H$23/100)/Unitflowchart!$S$383*(RoadTransportStage1!V29)*Unitflowchart!$S$52</f>
        <v>0</v>
      </c>
      <c r="I145" s="26">
        <f>(H145/H$383)*100</f>
        <v>0</v>
      </c>
      <c r="J145" s="751">
        <f>Unitflowchart!$S$41*(AllocationPrice!$H$23/100)/Unitflowchart!$S$383*(RoadTransportStage1!W29)*Unitflowchart!$S$52</f>
        <v>0</v>
      </c>
      <c r="K145" s="749">
        <f>Unitflowchart!$S$41*(AllocationPrice!$H$23/100)/Unitflowchart!$S$383*(RoadTransportStage1!AB29)*Unitflowchart!$S$52</f>
        <v>0</v>
      </c>
      <c r="L145" s="26">
        <f>(K145/K$383)*100</f>
        <v>0</v>
      </c>
      <c r="M145" s="751">
        <f>Unitflowchart!$S$41*(AllocationPrice!$H$23/100)/Unitflowchart!$S$383*(RoadTransportStage1!AC29)*Unitflowchart!$S$52</f>
        <v>0</v>
      </c>
      <c r="N145" s="727">
        <f>E145+(GlobalWarmingPotentials!$B$11*H145)+(GlobalWarmingPotentials!$C$11*K145)</f>
        <v>0</v>
      </c>
      <c r="O145" s="26">
        <f>(N145/N$383)*100</f>
        <v>0</v>
      </c>
      <c r="P145" s="756">
        <f>SQRT((G145^2)+((GlobalWarmingPotentials!$B$11*J145)^2)+((GlobalWarmingPotentials!$C$11*M145)^2))</f>
        <v>0</v>
      </c>
    </row>
    <row r="146" spans="1:16" x14ac:dyDescent="0.25">
      <c r="A146" s="14" t="str">
        <f>RoadTransportStage1!A30</f>
        <v xml:space="preserve"> - Maintenance</v>
      </c>
      <c r="B146" s="732">
        <f>Unitflowchart!$S$41*(AllocationPrice!$H$23/100)/Unitflowchart!$S$383*(RoadTransportStage1!J30)*Unitflowchart!$S$52</f>
        <v>0</v>
      </c>
      <c r="C146" s="26">
        <f>(B146/B$383)*100</f>
        <v>0</v>
      </c>
      <c r="D146" s="491">
        <f>Unitflowchart!$S$41*(AllocationPrice!$H$23/100)/Unitflowchart!$S$383*(RoadTransportStage1!K30)*Unitflowchart!$S$52</f>
        <v>0</v>
      </c>
      <c r="E146" s="732">
        <f>Unitflowchart!$S$41*(AllocationPrice!$H$23/100)/Unitflowchart!$S$383*(RoadTransportStage1!P30)*Unitflowchart!$S$52</f>
        <v>0</v>
      </c>
      <c r="F146" s="26">
        <f>(E146/E$383)*100</f>
        <v>0</v>
      </c>
      <c r="G146" s="491">
        <f>Unitflowchart!$S$41*(AllocationPrice!$H$23/100)/Unitflowchart!$S$383*(RoadTransportStage1!Q30)*Unitflowchart!$S$52</f>
        <v>0</v>
      </c>
      <c r="H146" s="749">
        <f>Unitflowchart!$S$41*(AllocationPrice!$H$23/100)/Unitflowchart!$S$383*(RoadTransportStage1!V30)*Unitflowchart!$S$52</f>
        <v>0</v>
      </c>
      <c r="I146" s="26">
        <f>(H146/H$383)*100</f>
        <v>0</v>
      </c>
      <c r="J146" s="751">
        <f>Unitflowchart!$S$41*(AllocationPrice!$H$23/100)/Unitflowchart!$S$383*(RoadTransportStage1!W30)*Unitflowchart!$S$52</f>
        <v>0</v>
      </c>
      <c r="K146" s="749">
        <f>Unitflowchart!$S$41*(AllocationPrice!$H$23/100)/Unitflowchart!$S$383*(RoadTransportStage1!AB30)*Unitflowchart!$S$52</f>
        <v>0</v>
      </c>
      <c r="L146" s="26">
        <f>(K146/K$383)*100</f>
        <v>0</v>
      </c>
      <c r="M146" s="751">
        <f>Unitflowchart!$S$41*(AllocationPrice!$H$23/100)/Unitflowchart!$S$383*(RoadTransportStage1!AC30)*Unitflowchart!$S$52</f>
        <v>0</v>
      </c>
      <c r="N146" s="727">
        <f>E146+(GlobalWarmingPotentials!$B$11*H146)+(GlobalWarmingPotentials!$C$11*K146)</f>
        <v>0</v>
      </c>
      <c r="O146" s="26">
        <f>(N146/N$383)*100</f>
        <v>0</v>
      </c>
      <c r="P146" s="756">
        <f>SQRT((G146^2)+((GlobalWarmingPotentials!$B$11*J146)^2)+((GlobalWarmingPotentials!$C$11*M146)^2))</f>
        <v>0</v>
      </c>
    </row>
    <row r="147" spans="1:16" s="43" customFormat="1" x14ac:dyDescent="0.25">
      <c r="A147" s="155"/>
      <c r="B147" s="766"/>
      <c r="C147" s="992"/>
      <c r="D147" s="779"/>
      <c r="E147" s="766"/>
      <c r="F147" s="992"/>
      <c r="G147" s="779"/>
      <c r="H147" s="783"/>
      <c r="I147" s="992"/>
      <c r="J147" s="784"/>
      <c r="K147" s="783"/>
      <c r="L147" s="992"/>
      <c r="M147" s="784"/>
      <c r="N147" s="1006"/>
      <c r="O147" s="992"/>
      <c r="P147" s="1011"/>
    </row>
    <row r="148" spans="1:16" x14ac:dyDescent="0.25">
      <c r="A148" s="218" t="s">
        <v>866</v>
      </c>
      <c r="B148" s="730">
        <f>Unitflowchart!$S$41*(AllocationPrice!$H$23/100)/Unitflowchart!$S$383*(RoadTransportStage1!J32)*Unitflowchart!$S$52</f>
        <v>275.59665533211654</v>
      </c>
      <c r="C148" s="15">
        <f>(B148/B$383)*100</f>
        <v>2.1290831603134115</v>
      </c>
      <c r="D148" s="740">
        <f>Unitflowchart!$S$41*(AllocationPrice!$H$23/100)/Unitflowchart!$S$383*(RoadTransportStage1!K32)*Unitflowchart!$S$52</f>
        <v>12.953042800609477</v>
      </c>
      <c r="E148" s="730">
        <f>Unitflowchart!$S$41*(AllocationPrice!$H$23/100)/Unitflowchart!$S$383*(RoadTransportStage1!P32)*Unitflowchart!$S$52</f>
        <v>19.777206393823835</v>
      </c>
      <c r="F148" s="15">
        <f>(E148/E$383)*100</f>
        <v>2.4586844304032347</v>
      </c>
      <c r="G148" s="740">
        <f>Unitflowchart!$S$41*(AllocationPrice!$H$23/100)/Unitflowchart!$S$383*(RoadTransportStage1!Q32)*Unitflowchart!$S$52</f>
        <v>0.92952870050972014</v>
      </c>
      <c r="H148" s="215">
        <f>Unitflowchart!$S$41*(AllocationPrice!$H$23/100)/Unitflowchart!$S$383*(RoadTransportStage1!V32)*Unitflowchart!$S$52</f>
        <v>4.1095493805348229E-3</v>
      </c>
      <c r="I148" s="15">
        <f>(H148/H$383)*100</f>
        <v>0.41108548827767871</v>
      </c>
      <c r="J148" s="216">
        <f>Unitflowchart!$S$41*(AllocationPrice!$H$23/100)/Unitflowchart!$S$383*(RoadTransportStage1!W32)*Unitflowchart!$S$52</f>
        <v>1.9314882088513667E-4</v>
      </c>
      <c r="K148" s="215">
        <f>Unitflowchart!$S$41*(AllocationPrice!$H$23/100)/Unitflowchart!$S$383*(RoadTransportStage1!AB32)*Unitflowchart!$S$52</f>
        <v>5.3424141946952705E-3</v>
      </c>
      <c r="L148" s="15">
        <f>(K148/K$383)*100</f>
        <v>2.4733282965839725</v>
      </c>
      <c r="M148" s="216">
        <f>Unitflowchart!$S$41*(AllocationPrice!$H$23/100)/Unitflowchart!$S$383*(RoadTransportStage1!AC32)*Unitflowchart!$S$52</f>
        <v>2.5109346715067771E-4</v>
      </c>
      <c r="N148" s="730">
        <f>E148+(GlobalWarmingPotentials!$B$11*H148)+(GlobalWarmingPotentials!$C$11*K148)</f>
        <v>21.453080631205939</v>
      </c>
      <c r="O148" s="15">
        <f>(N148/N$383)*100</f>
        <v>2.4069139896969967</v>
      </c>
      <c r="P148" s="759">
        <f>SQRT((G148^2)+((GlobalWarmingPotentials!$B$11*J148)^2)+((GlobalWarmingPotentials!$C$11*M148)^2))</f>
        <v>0.93250595041593831</v>
      </c>
    </row>
    <row r="149" spans="1:16" x14ac:dyDescent="0.25">
      <c r="B149" s="728"/>
      <c r="D149" s="739"/>
      <c r="E149" s="735"/>
      <c r="G149" s="735"/>
      <c r="H149" s="31"/>
      <c r="J149" s="724"/>
      <c r="K149" s="31"/>
      <c r="M149" s="724"/>
      <c r="N149" s="733"/>
      <c r="O149" s="354"/>
      <c r="P149" s="741"/>
    </row>
    <row r="150" spans="1:16" x14ac:dyDescent="0.25">
      <c r="A150" s="387" t="s">
        <v>862</v>
      </c>
      <c r="B150" s="728"/>
      <c r="D150" s="739"/>
      <c r="E150" s="735"/>
      <c r="G150" s="735"/>
      <c r="H150" s="31"/>
      <c r="J150" s="724"/>
      <c r="K150" s="31"/>
      <c r="M150" s="724"/>
      <c r="N150" s="728"/>
      <c r="P150" s="739"/>
    </row>
    <row r="151" spans="1:16" x14ac:dyDescent="0.25">
      <c r="B151" s="728"/>
      <c r="D151" s="739"/>
      <c r="E151" s="735"/>
      <c r="G151" s="735"/>
      <c r="H151" s="31"/>
      <c r="J151" s="724"/>
      <c r="K151" s="31"/>
      <c r="M151" s="724"/>
      <c r="N151" s="728"/>
      <c r="P151" s="739"/>
    </row>
    <row r="152" spans="1:16" x14ac:dyDescent="0.25">
      <c r="A152" s="14" t="str">
        <f>RailTransport!A11</f>
        <v xml:space="preserve"> - Gas Oil</v>
      </c>
      <c r="B152" s="726">
        <f>Unitflowchart!$S$41*(AllocationPrice!$H$23/100)/Unitflowchart!$S$383*(RailTransport!J11)*Unitflowchart!$S$54</f>
        <v>0</v>
      </c>
      <c r="C152" s="25">
        <f>(B152/B$383)*100</f>
        <v>0</v>
      </c>
      <c r="D152" s="742">
        <f>Unitflowchart!$S$41*(AllocationPrice!$H$23/100)/Unitflowchart!$S$383*(RailTransport!K11)*Unitflowchart!$S$54</f>
        <v>0</v>
      </c>
      <c r="E152" s="744">
        <f>Unitflowchart!$S$41*(AllocationPrice!$H$23/100)/Unitflowchart!$S$383*(RailTransport!P11)*Unitflowchart!$S$54</f>
        <v>0</v>
      </c>
      <c r="F152" s="25">
        <f>(E152/E$383)*100</f>
        <v>0</v>
      </c>
      <c r="G152" s="744">
        <f>Unitflowchart!$S$41*(AllocationPrice!$H$23/100)/Unitflowchart!$S$383*(RailTransport!Q11)*Unitflowchart!$S$54</f>
        <v>0</v>
      </c>
      <c r="H152" s="723">
        <f>Unitflowchart!$S$41*(AllocationPrice!$H$23/100)/Unitflowchart!$S$383*(RailTransport!V11)*Unitflowchart!$S$54</f>
        <v>0</v>
      </c>
      <c r="I152" s="25">
        <f>(H152/H$383)*100</f>
        <v>0</v>
      </c>
      <c r="J152" s="725">
        <f>Unitflowchart!$S$41*(AllocationPrice!$H$23/100)/Unitflowchart!$S$383*(RailTransport!W11)*Unitflowchart!$S$54</f>
        <v>0</v>
      </c>
      <c r="K152" s="723">
        <f>Unitflowchart!$S$41*(AllocationPrice!$H$23/100)/Unitflowchart!$S$383*(RailTransport!AB11)*Unitflowchart!$S$54</f>
        <v>0</v>
      </c>
      <c r="L152" s="25">
        <f>(K152/K$383)*100</f>
        <v>0</v>
      </c>
      <c r="M152" s="725">
        <f>Unitflowchart!$S$41*(AllocationPrice!$H$23/100)/Unitflowchart!$S$383*(RailTransport!AC11)*Unitflowchart!$S$54</f>
        <v>0</v>
      </c>
      <c r="N152" s="726">
        <f>E152+(GlobalWarmingPotentials!$B$11*H152)+(GlobalWarmingPotentials!$C$11*K152)</f>
        <v>0</v>
      </c>
      <c r="O152" s="25">
        <f>(N152/N$383)*100</f>
        <v>0</v>
      </c>
      <c r="P152" s="742">
        <f>SQRT((G152^2)+((GlobalWarmingPotentials!$B$11*J152)^2)+((GlobalWarmingPotentials!$C$11*M152)^2))</f>
        <v>0</v>
      </c>
    </row>
    <row r="153" spans="1:16" x14ac:dyDescent="0.25">
      <c r="A153" s="14" t="str">
        <f>RailTransport!A12</f>
        <v xml:space="preserve"> - Capital Equipment</v>
      </c>
      <c r="B153" s="726">
        <f>Unitflowchart!$S$41*(AllocationPrice!$H$23/100)/Unitflowchart!$S$383*(RailTransport!J12)*Unitflowchart!$S$54</f>
        <v>0</v>
      </c>
      <c r="C153" s="25">
        <f>(B153/B$383)*100</f>
        <v>0</v>
      </c>
      <c r="D153" s="742">
        <f>Unitflowchart!$S$41*(AllocationPrice!$H$23/100)/Unitflowchart!$S$383*(RailTransport!K12)*Unitflowchart!$S$54</f>
        <v>0</v>
      </c>
      <c r="E153" s="744">
        <f>Unitflowchart!$S$41*(AllocationPrice!$H$23/100)/Unitflowchart!$S$383*(RailTransport!P12)*Unitflowchart!$S$54</f>
        <v>0</v>
      </c>
      <c r="F153" s="25">
        <f>(E153/E$383)*100</f>
        <v>0</v>
      </c>
      <c r="G153" s="744">
        <f>Unitflowchart!$S$41*(AllocationPrice!$H$23/100)/Unitflowchart!$S$383*(RailTransport!Q12)*Unitflowchart!$S$54</f>
        <v>0</v>
      </c>
      <c r="H153" s="723">
        <f>Unitflowchart!$S$41*(AllocationPrice!$H$23/100)/Unitflowchart!$S$383*(RailTransport!V12)*Unitflowchart!$S$54</f>
        <v>0</v>
      </c>
      <c r="I153" s="25">
        <f>(H153/H$383)*100</f>
        <v>0</v>
      </c>
      <c r="J153" s="725">
        <f>Unitflowchart!$S$41*(AllocationPrice!$H$23/100)/Unitflowchart!$S$383*(RailTransport!W12)*Unitflowchart!$S$54</f>
        <v>0</v>
      </c>
      <c r="K153" s="723">
        <f>Unitflowchart!$S$41*(AllocationPrice!$H$23/100)/Unitflowchart!$S$383*(RailTransport!AB12)*Unitflowchart!$S$54</f>
        <v>0</v>
      </c>
      <c r="L153" s="25">
        <f>(K153/K$383)*100</f>
        <v>0</v>
      </c>
      <c r="M153" s="725">
        <f>Unitflowchart!$S$41*(AllocationPrice!$H$23/100)/Unitflowchart!$S$383*(RailTransport!AC12)*Unitflowchart!$S$54</f>
        <v>0</v>
      </c>
      <c r="N153" s="726">
        <f>E153+(GlobalWarmingPotentials!$B$11*H153)+(GlobalWarmingPotentials!$C$11*K153)</f>
        <v>0</v>
      </c>
      <c r="O153" s="25">
        <f>(N153/N$383)*100</f>
        <v>0</v>
      </c>
      <c r="P153" s="742">
        <f>SQRT((G153^2)+((GlobalWarmingPotentials!$B$11*J153)^2)+((GlobalWarmingPotentials!$C$11*M153)^2))</f>
        <v>0</v>
      </c>
    </row>
    <row r="154" spans="1:16" x14ac:dyDescent="0.25">
      <c r="A154" s="14" t="str">
        <f>RailTransport!A13</f>
        <v xml:space="preserve"> - Maintenance</v>
      </c>
      <c r="B154" s="726">
        <f>Unitflowchart!$S$41*(AllocationPrice!$H$23/100)/Unitflowchart!$S$383*(RailTransport!J13)*Unitflowchart!$S$54</f>
        <v>0</v>
      </c>
      <c r="C154" s="25">
        <f>(B154/B$383)*100</f>
        <v>0</v>
      </c>
      <c r="D154" s="742">
        <f>Unitflowchart!$S$41*(AllocationPrice!$H$23/100)/Unitflowchart!$S$383*(RailTransport!K13)*Unitflowchart!$S$54</f>
        <v>0</v>
      </c>
      <c r="E154" s="744">
        <f>Unitflowchart!$S$41*(AllocationPrice!$H$23/100)/Unitflowchart!$S$383*(RailTransport!P13)*Unitflowchart!$S$54</f>
        <v>0</v>
      </c>
      <c r="F154" s="25">
        <f>(E154/E$383)*100</f>
        <v>0</v>
      </c>
      <c r="G154" s="744">
        <f>Unitflowchart!$S$41*(AllocationPrice!$H$23/100)/Unitflowchart!$S$383*(RailTransport!Q13)*Unitflowchart!$S$54</f>
        <v>0</v>
      </c>
      <c r="H154" s="723">
        <f>Unitflowchart!$S$41*(AllocationPrice!$H$23/100)/Unitflowchart!$S$383*(RailTransport!V13)*Unitflowchart!$S$54</f>
        <v>0</v>
      </c>
      <c r="I154" s="25">
        <f>(H154/H$383)*100</f>
        <v>0</v>
      </c>
      <c r="J154" s="725">
        <f>Unitflowchart!$S$41*(AllocationPrice!$H$23/100)/Unitflowchart!$S$383*(RailTransport!W13)*Unitflowchart!$S$54</f>
        <v>0</v>
      </c>
      <c r="K154" s="723">
        <f>Unitflowchart!$S$41*(AllocationPrice!$H$23/100)/Unitflowchart!$S$383*(RailTransport!AB13)*Unitflowchart!$S$54</f>
        <v>0</v>
      </c>
      <c r="L154" s="25">
        <f>(K154/K$383)*100</f>
        <v>0</v>
      </c>
      <c r="M154" s="725">
        <f>Unitflowchart!$S$41*(AllocationPrice!$H$23/100)/Unitflowchart!$S$383*(RailTransport!AC13)*Unitflowchart!$S$54</f>
        <v>0</v>
      </c>
      <c r="N154" s="726">
        <f>E154+(GlobalWarmingPotentials!$B$11*H154)+(GlobalWarmingPotentials!$C$11*K154)</f>
        <v>0</v>
      </c>
      <c r="O154" s="25">
        <f>(N154/N$383)*100</f>
        <v>0</v>
      </c>
      <c r="P154" s="742">
        <f>SQRT((G154^2)+((GlobalWarmingPotentials!$B$11*J154)^2)+((GlobalWarmingPotentials!$C$11*M154)^2))</f>
        <v>0</v>
      </c>
    </row>
    <row r="155" spans="1:16" x14ac:dyDescent="0.25">
      <c r="A155" s="24"/>
      <c r="B155" s="728"/>
      <c r="C155" s="25"/>
      <c r="D155" s="739"/>
      <c r="E155" s="735"/>
      <c r="F155" s="25"/>
      <c r="G155" s="735"/>
      <c r="H155" s="31"/>
      <c r="I155" s="25"/>
      <c r="J155" s="724"/>
      <c r="K155" s="31"/>
      <c r="L155" s="25"/>
      <c r="M155" s="724"/>
      <c r="N155" s="728"/>
      <c r="O155" s="25"/>
      <c r="P155" s="739"/>
    </row>
    <row r="156" spans="1:16" x14ac:dyDescent="0.25">
      <c r="A156" s="218" t="s">
        <v>867</v>
      </c>
      <c r="B156" s="734">
        <f>Unitflowchart!$S$41*(AllocationPrice!$H$23/100)/Unitflowchart!$S$383*(RailTransport!J15)*Unitflowchart!$S$54</f>
        <v>0</v>
      </c>
      <c r="C156" s="721">
        <f>(B156/B$383)*100</f>
        <v>0</v>
      </c>
      <c r="D156" s="743">
        <f>Unitflowchart!$S$41*(AllocationPrice!$H$23/100)/Unitflowchart!$S$383*(RailTransport!K15)*Unitflowchart!$S$54</f>
        <v>0</v>
      </c>
      <c r="E156" s="745">
        <f>Unitflowchart!$S$41*(AllocationPrice!$H$23/100)/Unitflowchart!$S$383*(RailTransport!P15)*Unitflowchart!$S$54</f>
        <v>0</v>
      </c>
      <c r="F156" s="721">
        <f>(E156/E$383)*100</f>
        <v>0</v>
      </c>
      <c r="G156" s="745">
        <f>Unitflowchart!$S$41*(AllocationPrice!$H$23/100)/Unitflowchart!$S$383*(RailTransport!Q15)*Unitflowchart!$S$54</f>
        <v>0</v>
      </c>
      <c r="H156" s="722">
        <f>Unitflowchart!$S$41*(AllocationPrice!$H$23/100)/Unitflowchart!$S$383*(RailTransport!V15)*Unitflowchart!$S$54</f>
        <v>0</v>
      </c>
      <c r="I156" s="721">
        <f>(H156/H$383)*100</f>
        <v>0</v>
      </c>
      <c r="J156" s="720">
        <f>Unitflowchart!$S$41*(AllocationPrice!$H$23/100)/Unitflowchart!$S$383*(RailTransport!W15)*Unitflowchart!$S$54</f>
        <v>0</v>
      </c>
      <c r="K156" s="722">
        <f>Unitflowchart!$S$41*(AllocationPrice!$H$23/100)/Unitflowchart!$S$383*(RailTransport!AB15)*Unitflowchart!$S$54</f>
        <v>0</v>
      </c>
      <c r="L156" s="721">
        <f>(K156/K$383)*100</f>
        <v>0</v>
      </c>
      <c r="M156" s="720">
        <f>Unitflowchart!$S$41*(AllocationPrice!$H$23/100)/Unitflowchart!$S$383*(RailTransport!AC15)*Unitflowchart!$S$54</f>
        <v>0</v>
      </c>
      <c r="N156" s="734">
        <f>E156+(GlobalWarmingPotentials!$B$11*H156)+(GlobalWarmingPotentials!$C$11*K156)</f>
        <v>0</v>
      </c>
      <c r="O156" s="721">
        <f>(N156/N$383)*100</f>
        <v>0</v>
      </c>
      <c r="P156" s="743">
        <f>SQRT((G156^2)+((GlobalWarmingPotentials!$B$11*J156)^2)+((GlobalWarmingPotentials!$C$11*M156)^2))</f>
        <v>0</v>
      </c>
    </row>
    <row r="157" spans="1:16" x14ac:dyDescent="0.25">
      <c r="B157" s="728"/>
      <c r="C157" s="25"/>
      <c r="D157" s="739"/>
      <c r="E157" s="735"/>
      <c r="F157" s="25"/>
      <c r="G157" s="735"/>
      <c r="H157" s="31"/>
      <c r="I157" s="25"/>
      <c r="J157" s="724"/>
      <c r="K157" s="31"/>
      <c r="L157" s="25"/>
      <c r="M157" s="724"/>
      <c r="N157" s="728"/>
      <c r="O157" s="25"/>
      <c r="P157" s="739"/>
    </row>
    <row r="158" spans="1:16" x14ac:dyDescent="0.25">
      <c r="A158" s="387" t="s">
        <v>870</v>
      </c>
      <c r="B158" s="728"/>
      <c r="C158" s="25"/>
      <c r="D158" s="739"/>
      <c r="E158" s="735"/>
      <c r="F158" s="25"/>
      <c r="G158" s="735"/>
      <c r="H158" s="31"/>
      <c r="I158" s="25"/>
      <c r="J158" s="724"/>
      <c r="K158" s="31"/>
      <c r="L158" s="25"/>
      <c r="M158" s="724"/>
      <c r="N158" s="728"/>
      <c r="O158" s="25"/>
      <c r="P158" s="739"/>
    </row>
    <row r="159" spans="1:16" x14ac:dyDescent="0.25">
      <c r="B159" s="728"/>
      <c r="C159" s="25"/>
      <c r="D159" s="739"/>
      <c r="E159" s="735"/>
      <c r="F159" s="25"/>
      <c r="G159" s="735"/>
      <c r="H159" s="31"/>
      <c r="I159" s="25"/>
      <c r="J159" s="724"/>
      <c r="K159" s="31"/>
      <c r="L159" s="25"/>
      <c r="M159" s="724"/>
      <c r="N159" s="728"/>
      <c r="O159" s="25"/>
      <c r="P159" s="739"/>
    </row>
    <row r="160" spans="1:16" x14ac:dyDescent="0.25">
      <c r="A160" s="14" t="str">
        <f>BargeTransport!A11</f>
        <v xml:space="preserve"> - Marine Diesel</v>
      </c>
      <c r="B160" s="726">
        <f>Unitflowchart!$S$41*(AllocationPrice!$H$23/100)/Unitflowchart!$S$383*(BargeTransport!J11)*Unitflowchart!$S$56</f>
        <v>0</v>
      </c>
      <c r="C160" s="25">
        <f>(B160/B$383)*100</f>
        <v>0</v>
      </c>
      <c r="D160" s="742">
        <f>Unitflowchart!$S$41*(AllocationPrice!$H$23/100)/Unitflowchart!$S$383*(BargeTransport!K11)*Unitflowchart!$S$56</f>
        <v>0</v>
      </c>
      <c r="E160" s="744">
        <f>Unitflowchart!$S$41*(AllocationPrice!$H$23/100)/Unitflowchart!$S$383*(BargeTransport!P11)*Unitflowchart!$S$56</f>
        <v>0</v>
      </c>
      <c r="F160" s="25">
        <f>(E160/E$383)*100</f>
        <v>0</v>
      </c>
      <c r="G160" s="744">
        <f>Unitflowchart!$S$41*(AllocationPrice!$H$23/100)/Unitflowchart!$S$383*(BargeTransport!Q11)*Unitflowchart!$S$56</f>
        <v>0</v>
      </c>
      <c r="H160" s="723">
        <f>Unitflowchart!$S$41*(AllocationPrice!$H$23/100)/Unitflowchart!$S$383*(BargeTransport!V11)*Unitflowchart!$S$56</f>
        <v>0</v>
      </c>
      <c r="I160" s="25">
        <f>(H160/H$383)*100</f>
        <v>0</v>
      </c>
      <c r="J160" s="725">
        <f>Unitflowchart!$S$41*(AllocationPrice!$H$23/100)/Unitflowchart!$S$383*(BargeTransport!W11)*Unitflowchart!$S$56</f>
        <v>0</v>
      </c>
      <c r="K160" s="723">
        <f>Unitflowchart!$S$41*(AllocationPrice!$H$23/100)/Unitflowchart!$S$383*(BargeTransport!AB11)*Unitflowchart!$S$56</f>
        <v>0</v>
      </c>
      <c r="L160" s="25">
        <f>(K160/K$383)*100</f>
        <v>0</v>
      </c>
      <c r="M160" s="725">
        <f>Unitflowchart!$S$41*(AllocationPrice!$H$23/100)/Unitflowchart!$S$383*(BargeTransport!AC11)*Unitflowchart!$S$56</f>
        <v>0</v>
      </c>
      <c r="N160" s="726">
        <f>E160+(GlobalWarmingPotentials!$B$11*H160)+(GlobalWarmingPotentials!$C$11*K160)</f>
        <v>0</v>
      </c>
      <c r="O160" s="25">
        <f>(N160/N$383)*100</f>
        <v>0</v>
      </c>
      <c r="P160" s="742">
        <f>SQRT((G160^2)+((GlobalWarmingPotentials!$B$11*J160)^2)+((GlobalWarmingPotentials!$C$11*M160)^2))</f>
        <v>0</v>
      </c>
    </row>
    <row r="161" spans="1:16" x14ac:dyDescent="0.25">
      <c r="A161" s="14" t="str">
        <f>BargeTransport!A12</f>
        <v xml:space="preserve"> - Barge Construction</v>
      </c>
      <c r="B161" s="726">
        <f>Unitflowchart!$S$41*(AllocationPrice!$H$23/100)/Unitflowchart!$S$383*(BargeTransport!J12)*Unitflowchart!$S$56</f>
        <v>0</v>
      </c>
      <c r="C161" s="25">
        <f>(B161/B$383)*100</f>
        <v>0</v>
      </c>
      <c r="D161" s="742">
        <f>Unitflowchart!$S$41*(AllocationPrice!$H$23/100)/Unitflowchart!$S$383*(BargeTransport!K12)*Unitflowchart!$S$56</f>
        <v>0</v>
      </c>
      <c r="E161" s="744">
        <f>Unitflowchart!$S$41*(AllocationPrice!$H$23/100)/Unitflowchart!$S$383*(BargeTransport!P12)*Unitflowchart!$S$56</f>
        <v>0</v>
      </c>
      <c r="F161" s="25">
        <f>(E161/E$383)*100</f>
        <v>0</v>
      </c>
      <c r="G161" s="744">
        <f>Unitflowchart!$S$41*(AllocationPrice!$H$23/100)/Unitflowchart!$S$383*(BargeTransport!Q12)*Unitflowchart!$S$56</f>
        <v>0</v>
      </c>
      <c r="H161" s="723">
        <f>Unitflowchart!$S$41*(AllocationPrice!$H$23/100)/Unitflowchart!$S$383*(BargeTransport!V12)*Unitflowchart!$S$56</f>
        <v>0</v>
      </c>
      <c r="I161" s="25">
        <f>(H161/H$383)*100</f>
        <v>0</v>
      </c>
      <c r="J161" s="725">
        <f>Unitflowchart!$S$41*(AllocationPrice!$H$23/100)/Unitflowchart!$S$383*(BargeTransport!W12)*Unitflowchart!$S$56</f>
        <v>0</v>
      </c>
      <c r="K161" s="723">
        <f>Unitflowchart!$S$41*(AllocationPrice!$H$23/100)/Unitflowchart!$S$383*(BargeTransport!AB12)*Unitflowchart!$S$56</f>
        <v>0</v>
      </c>
      <c r="L161" s="25">
        <f>(K161/K$383)*100</f>
        <v>0</v>
      </c>
      <c r="M161" s="725">
        <f>Unitflowchart!$S$41*(AllocationPrice!$H$23/100)/Unitflowchart!$S$383*(BargeTransport!AC12)*Unitflowchart!$S$56</f>
        <v>0</v>
      </c>
      <c r="N161" s="726">
        <f>E161+(GlobalWarmingPotentials!$B$11*H161)+(GlobalWarmingPotentials!$C$11*K161)</f>
        <v>0</v>
      </c>
      <c r="O161" s="25">
        <f>(N161/N$383)*100</f>
        <v>0</v>
      </c>
      <c r="P161" s="742">
        <f>SQRT((G161^2)+((GlobalWarmingPotentials!$B$11*J161)^2)+((GlobalWarmingPotentials!$C$11*M161)^2))</f>
        <v>0</v>
      </c>
    </row>
    <row r="162" spans="1:16" x14ac:dyDescent="0.25">
      <c r="A162" s="14" t="str">
        <f>BargeTransport!A13</f>
        <v xml:space="preserve"> - Barge Maintenance</v>
      </c>
      <c r="B162" s="726">
        <f>Unitflowchart!$S$41*(AllocationPrice!$H$23/100)/Unitflowchart!$S$383*(BargeTransport!J13)*Unitflowchart!$S$56</f>
        <v>0</v>
      </c>
      <c r="C162" s="25">
        <f>(B162/B$383)*100</f>
        <v>0</v>
      </c>
      <c r="D162" s="742">
        <f>Unitflowchart!$S$41*(AllocationPrice!$H$23/100)/Unitflowchart!$S$383*(BargeTransport!K13)*Unitflowchart!$S$56</f>
        <v>0</v>
      </c>
      <c r="E162" s="744">
        <f>Unitflowchart!$S$41*(AllocationPrice!$H$23/100)/Unitflowchart!$S$383*(BargeTransport!P13)*Unitflowchart!$S$56</f>
        <v>0</v>
      </c>
      <c r="F162" s="25">
        <f>(E162/E$383)*100</f>
        <v>0</v>
      </c>
      <c r="G162" s="744">
        <f>Unitflowchart!$S$41*(AllocationPrice!$H$23/100)/Unitflowchart!$S$383*(BargeTransport!Q13)*Unitflowchart!$S$56</f>
        <v>0</v>
      </c>
      <c r="H162" s="723">
        <f>Unitflowchart!$S$41*(AllocationPrice!$H$23/100)/Unitflowchart!$S$383*(BargeTransport!V13)*Unitflowchart!$S$56</f>
        <v>0</v>
      </c>
      <c r="I162" s="25">
        <f>(H162/H$383)*100</f>
        <v>0</v>
      </c>
      <c r="J162" s="725">
        <f>Unitflowchart!$S$41*(AllocationPrice!$H$23/100)/Unitflowchart!$S$383*(BargeTransport!W13)*Unitflowchart!$S$56</f>
        <v>0</v>
      </c>
      <c r="K162" s="723">
        <f>Unitflowchart!$S$41*(AllocationPrice!$H$23/100)/Unitflowchart!$S$383*(BargeTransport!AB13)*Unitflowchart!$S$56</f>
        <v>0</v>
      </c>
      <c r="L162" s="25">
        <f>(K162/K$383)*100</f>
        <v>0</v>
      </c>
      <c r="M162" s="725">
        <f>Unitflowchart!$S$41*(AllocationPrice!$H$23/100)/Unitflowchart!$S$383*(BargeTransport!AC13)*Unitflowchart!$S$56</f>
        <v>0</v>
      </c>
      <c r="N162" s="726">
        <f>E162+(GlobalWarmingPotentials!$B$11*H162)+(GlobalWarmingPotentials!$C$11*K162)</f>
        <v>0</v>
      </c>
      <c r="O162" s="25">
        <f>(N162/N$383)*100</f>
        <v>0</v>
      </c>
      <c r="P162" s="742">
        <f>SQRT((G162^2)+((GlobalWarmingPotentials!$B$11*J162)^2)+((GlobalWarmingPotentials!$C$11*M162)^2))</f>
        <v>0</v>
      </c>
    </row>
    <row r="163" spans="1:16" x14ac:dyDescent="0.25">
      <c r="A163" s="24"/>
      <c r="B163" s="728"/>
      <c r="C163" s="25"/>
      <c r="D163" s="739"/>
      <c r="E163" s="735"/>
      <c r="F163" s="25"/>
      <c r="G163" s="735"/>
      <c r="H163" s="31"/>
      <c r="I163" s="25"/>
      <c r="J163" s="724"/>
      <c r="K163" s="31"/>
      <c r="L163" s="25"/>
      <c r="M163" s="724"/>
      <c r="N163" s="728"/>
      <c r="O163" s="25"/>
      <c r="P163" s="739"/>
    </row>
    <row r="164" spans="1:16" x14ac:dyDescent="0.25">
      <c r="A164" s="218" t="s">
        <v>871</v>
      </c>
      <c r="B164" s="734">
        <f>Unitflowchart!$S$41*(AllocationPrice!$H$23/100)/Unitflowchart!$S$383*(BargeTransport!J15)*Unitflowchart!$S$56</f>
        <v>0</v>
      </c>
      <c r="C164" s="721">
        <f>(B164/B$383)*100</f>
        <v>0</v>
      </c>
      <c r="D164" s="743">
        <f>Unitflowchart!$S$41*(AllocationPrice!$H$23/100)/Unitflowchart!$S$383*(BargeTransport!K15)*Unitflowchart!$S$56</f>
        <v>0</v>
      </c>
      <c r="E164" s="745">
        <f>Unitflowchart!$S$41*(AllocationPrice!$H$23/100)/Unitflowchart!$S$383*(BargeTransport!P15)*Unitflowchart!$S$56</f>
        <v>0</v>
      </c>
      <c r="F164" s="721">
        <f>(E164/E$383)*100</f>
        <v>0</v>
      </c>
      <c r="G164" s="745">
        <f>Unitflowchart!$S$41*(AllocationPrice!$H$23/100)/Unitflowchart!$S$383*(BargeTransport!Q15)*Unitflowchart!$S$56</f>
        <v>0</v>
      </c>
      <c r="H164" s="722">
        <f>Unitflowchart!$S$41*(AllocationPrice!$H$23/100)/Unitflowchart!$S$383*(BargeTransport!V15)*Unitflowchart!$S$56</f>
        <v>0</v>
      </c>
      <c r="I164" s="721">
        <f>(H164/H$383)*100</f>
        <v>0</v>
      </c>
      <c r="J164" s="720">
        <f>Unitflowchart!$S$41*(AllocationPrice!$H$23/100)/Unitflowchart!$S$383*(BargeTransport!W15)*Unitflowchart!$S$56</f>
        <v>0</v>
      </c>
      <c r="K164" s="722">
        <f>Unitflowchart!$S$41*(AllocationPrice!$H$23/100)/Unitflowchart!$S$383*(BargeTransport!AB15)*Unitflowchart!$S$56</f>
        <v>0</v>
      </c>
      <c r="L164" s="721">
        <f>(K164/K$383)*100</f>
        <v>0</v>
      </c>
      <c r="M164" s="720">
        <f>Unitflowchart!$S$41*(AllocationPrice!$H$23/100)/Unitflowchart!$S$383*(BargeTransport!AC15)*Unitflowchart!$S$56</f>
        <v>0</v>
      </c>
      <c r="N164" s="734">
        <f>E164+(GlobalWarmingPotentials!$B$11*H164)+(GlobalWarmingPotentials!$C$11*K164)</f>
        <v>0</v>
      </c>
      <c r="O164" s="721">
        <f>(N164/N$383)*100</f>
        <v>0</v>
      </c>
      <c r="P164" s="743">
        <f>SQRT((G164^2)+((GlobalWarmingPotentials!$B$11*J164)^2)+((GlobalWarmingPotentials!$C$11*M164)^2))</f>
        <v>0</v>
      </c>
    </row>
    <row r="165" spans="1:16" x14ac:dyDescent="0.25">
      <c r="B165" s="728"/>
      <c r="C165" s="25"/>
      <c r="D165" s="739"/>
      <c r="E165" s="735"/>
      <c r="F165" s="25"/>
      <c r="G165" s="735"/>
      <c r="H165" s="31"/>
      <c r="I165" s="25"/>
      <c r="J165" s="724"/>
      <c r="K165" s="31"/>
      <c r="L165" s="25"/>
      <c r="M165" s="724"/>
      <c r="N165" s="728"/>
      <c r="O165" s="25"/>
      <c r="P165" s="739"/>
    </row>
    <row r="166" spans="1:16" x14ac:dyDescent="0.25">
      <c r="A166" s="387" t="s">
        <v>872</v>
      </c>
      <c r="B166" s="728"/>
      <c r="C166" s="25"/>
      <c r="D166" s="739"/>
      <c r="E166" s="735"/>
      <c r="F166" s="25"/>
      <c r="G166" s="735"/>
      <c r="H166" s="31"/>
      <c r="I166" s="25"/>
      <c r="J166" s="724"/>
      <c r="K166" s="31"/>
      <c r="L166" s="25"/>
      <c r="M166" s="724"/>
      <c r="N166" s="728"/>
      <c r="O166" s="25"/>
      <c r="P166" s="739"/>
    </row>
    <row r="167" spans="1:16" x14ac:dyDescent="0.25">
      <c r="B167" s="728"/>
      <c r="C167" s="25"/>
      <c r="D167" s="739"/>
      <c r="E167" s="735"/>
      <c r="F167" s="25"/>
      <c r="G167" s="735"/>
      <c r="H167" s="31"/>
      <c r="I167" s="25"/>
      <c r="J167" s="724"/>
      <c r="K167" s="31"/>
      <c r="L167" s="25"/>
      <c r="M167" s="724"/>
      <c r="N167" s="728"/>
      <c r="O167" s="25"/>
      <c r="P167" s="739"/>
    </row>
    <row r="168" spans="1:16" x14ac:dyDescent="0.25">
      <c r="A168" s="14" t="str">
        <f>ShipTransport!A11</f>
        <v xml:space="preserve"> - Marine Diesel</v>
      </c>
      <c r="B168" s="726">
        <f>Unitflowchart!$S$41*(AllocationPrice!$H$23/100)/Unitflowchart!$S$383*(ShipTransport!J11)*Unitflowchart!$S$58</f>
        <v>0</v>
      </c>
      <c r="C168" s="25">
        <f>(B168/B$383)*100</f>
        <v>0</v>
      </c>
      <c r="D168" s="742">
        <f>Unitflowchart!$S$41*(AllocationPrice!$H$23/100)/Unitflowchart!$S$383*(ShipTransport!K11)*Unitflowchart!$S$58</f>
        <v>0</v>
      </c>
      <c r="E168" s="744">
        <f>Unitflowchart!$S$41*(AllocationPrice!$H$23/100)/Unitflowchart!$S$383*(ShipTransport!P11)*Unitflowchart!$S$58</f>
        <v>0</v>
      </c>
      <c r="F168" s="25">
        <f>(E168/E$383)*100</f>
        <v>0</v>
      </c>
      <c r="G168" s="744">
        <f>Unitflowchart!$S$41*(AllocationPrice!$H$23/100)/Unitflowchart!$S$383*(ShipTransport!Q11)*Unitflowchart!$S$58</f>
        <v>0</v>
      </c>
      <c r="H168" s="723">
        <f>Unitflowchart!$S$41*(AllocationPrice!$H$23/100)/Unitflowchart!$S$383*(ShipTransport!V11)*Unitflowchart!$S$58</f>
        <v>0</v>
      </c>
      <c r="I168" s="25">
        <f>(H168/H$383)*100</f>
        <v>0</v>
      </c>
      <c r="J168" s="725">
        <f>Unitflowchart!$S$41*(AllocationPrice!$H$23/100)/Unitflowchart!$S$383*(ShipTransport!W11)*Unitflowchart!$S$58</f>
        <v>0</v>
      </c>
      <c r="K168" s="723">
        <f>Unitflowchart!$S$41*(AllocationPrice!$H$23/100)/Unitflowchart!$S$383*(ShipTransport!AB11)*Unitflowchart!$S$58</f>
        <v>0</v>
      </c>
      <c r="L168" s="25">
        <f>(K168/K$383)*100</f>
        <v>0</v>
      </c>
      <c r="M168" s="725">
        <f>Unitflowchart!$S$41*(AllocationPrice!$H$23/100)/Unitflowchart!$S$383*(ShipTransport!AC11)*Unitflowchart!$S$58</f>
        <v>0</v>
      </c>
      <c r="N168" s="726">
        <f>E168+(GlobalWarmingPotentials!$B$11*H168)+(GlobalWarmingPotentials!$C$11*K168)</f>
        <v>0</v>
      </c>
      <c r="O168" s="25">
        <f>(N168/N$383)*100</f>
        <v>0</v>
      </c>
      <c r="P168" s="742">
        <f>SQRT((G168^2)+((GlobalWarmingPotentials!$B$11*J168)^2)+((GlobalWarmingPotentials!$C$11*M168)^2))</f>
        <v>0</v>
      </c>
    </row>
    <row r="169" spans="1:16" x14ac:dyDescent="0.25">
      <c r="A169" s="14" t="str">
        <f>ShipTransport!A12</f>
        <v xml:space="preserve"> - Ship Construction</v>
      </c>
      <c r="B169" s="726">
        <f>Unitflowchart!$S$41*(AllocationPrice!$H$23/100)/Unitflowchart!$S$383*(ShipTransport!J12)*Unitflowchart!$S$58</f>
        <v>0</v>
      </c>
      <c r="C169" s="25">
        <f>(B169/B$383)*100</f>
        <v>0</v>
      </c>
      <c r="D169" s="742">
        <f>Unitflowchart!$S$41*(AllocationPrice!$H$23/100)/Unitflowchart!$S$383*(ShipTransport!K12)*Unitflowchart!$S$58</f>
        <v>0</v>
      </c>
      <c r="E169" s="744">
        <f>Unitflowchart!$S$41*(AllocationPrice!$H$23/100)/Unitflowchart!$S$383*(ShipTransport!P12)*Unitflowchart!$S$58</f>
        <v>0</v>
      </c>
      <c r="F169" s="25">
        <f>(E169/E$383)*100</f>
        <v>0</v>
      </c>
      <c r="G169" s="744">
        <f>Unitflowchart!$S$41*(AllocationPrice!$H$23/100)/Unitflowchart!$S$383*(ShipTransport!Q12)*Unitflowchart!$S$58</f>
        <v>0</v>
      </c>
      <c r="H169" s="723">
        <f>Unitflowchart!$S$41*(AllocationPrice!$H$23/100)/Unitflowchart!$S$383*(ShipTransport!V12)*Unitflowchart!$S$58</f>
        <v>0</v>
      </c>
      <c r="I169" s="25">
        <f>(H169/H$383)*100</f>
        <v>0</v>
      </c>
      <c r="J169" s="725">
        <f>Unitflowchart!$S$41*(AllocationPrice!$H$23/100)/Unitflowchart!$S$383*(ShipTransport!W12)*Unitflowchart!$S$58</f>
        <v>0</v>
      </c>
      <c r="K169" s="723">
        <f>Unitflowchart!$S$41*(AllocationPrice!$H$23/100)/Unitflowchart!$S$383*(ShipTransport!AB12)*Unitflowchart!$S$58</f>
        <v>0</v>
      </c>
      <c r="L169" s="25">
        <f>(K169/K$383)*100</f>
        <v>0</v>
      </c>
      <c r="M169" s="725">
        <f>Unitflowchart!$S$41*(AllocationPrice!$H$23/100)/Unitflowchart!$S$383*(ShipTransport!AC12)*Unitflowchart!$S$58</f>
        <v>0</v>
      </c>
      <c r="N169" s="726">
        <f>E169+(GlobalWarmingPotentials!$B$11*H169)+(GlobalWarmingPotentials!$C$11*K169)</f>
        <v>0</v>
      </c>
      <c r="O169" s="25">
        <f>(N169/N$383)*100</f>
        <v>0</v>
      </c>
      <c r="P169" s="742">
        <f>SQRT((G169^2)+((GlobalWarmingPotentials!$B$11*J169)^2)+((GlobalWarmingPotentials!$C$11*M169)^2))</f>
        <v>0</v>
      </c>
    </row>
    <row r="170" spans="1:16" x14ac:dyDescent="0.25">
      <c r="A170" s="14" t="str">
        <f>ShipTransport!A13</f>
        <v xml:space="preserve"> - Ship Maintenance</v>
      </c>
      <c r="B170" s="726">
        <f>Unitflowchart!$S$41*(AllocationPrice!$H$23/100)/Unitflowchart!$S$383*(ShipTransport!J13)*Unitflowchart!$S$58</f>
        <v>0</v>
      </c>
      <c r="C170" s="25">
        <f>(B170/B$383)*100</f>
        <v>0</v>
      </c>
      <c r="D170" s="742">
        <f>Unitflowchart!$S$41*(AllocationPrice!$H$23/100)/Unitflowchart!$S$383*(ShipTransport!K13)*Unitflowchart!$S$58</f>
        <v>0</v>
      </c>
      <c r="E170" s="744">
        <f>Unitflowchart!$S$41*(AllocationPrice!$H$23/100)/Unitflowchart!$S$383*(ShipTransport!P13)*Unitflowchart!$S$58</f>
        <v>0</v>
      </c>
      <c r="F170" s="25">
        <f>(E170/E$383)*100</f>
        <v>0</v>
      </c>
      <c r="G170" s="744">
        <f>Unitflowchart!$S$41*(AllocationPrice!$H$23/100)/Unitflowchart!$S$383*(ShipTransport!Q13)*Unitflowchart!$S$58</f>
        <v>0</v>
      </c>
      <c r="H170" s="723">
        <f>Unitflowchart!$S$41*(AllocationPrice!$H$23/100)/Unitflowchart!$S$383*(ShipTransport!V13)*Unitflowchart!$S$58</f>
        <v>0</v>
      </c>
      <c r="I170" s="25">
        <f>(H170/H$383)*100</f>
        <v>0</v>
      </c>
      <c r="J170" s="725">
        <f>Unitflowchart!$S$41*(AllocationPrice!$H$23/100)/Unitflowchart!$S$383*(ShipTransport!W13)*Unitflowchart!$S$58</f>
        <v>0</v>
      </c>
      <c r="K170" s="723">
        <f>Unitflowchart!$S$41*(AllocationPrice!$H$23/100)/Unitflowchart!$S$383*(ShipTransport!AB13)*Unitflowchart!$S$58</f>
        <v>0</v>
      </c>
      <c r="L170" s="25">
        <f>(K170/K$383)*100</f>
        <v>0</v>
      </c>
      <c r="M170" s="725">
        <f>Unitflowchart!$S$41*(AllocationPrice!$H$23/100)/Unitflowchart!$S$383*(ShipTransport!AC13)*Unitflowchart!$S$58</f>
        <v>0</v>
      </c>
      <c r="N170" s="726">
        <f>E170+(GlobalWarmingPotentials!$B$11*H170)+(GlobalWarmingPotentials!$C$11*K170)</f>
        <v>0</v>
      </c>
      <c r="O170" s="25">
        <f>(N170/N$383)*100</f>
        <v>0</v>
      </c>
      <c r="P170" s="742">
        <f>SQRT((G170^2)+((GlobalWarmingPotentials!$B$11*J170)^2)+((GlobalWarmingPotentials!$C$11*M170)^2))</f>
        <v>0</v>
      </c>
    </row>
    <row r="171" spans="1:16" x14ac:dyDescent="0.25">
      <c r="A171" s="24"/>
      <c r="B171" s="728"/>
      <c r="C171" s="25"/>
      <c r="D171" s="739"/>
      <c r="E171" s="735"/>
      <c r="F171" s="25"/>
      <c r="G171" s="735"/>
      <c r="H171" s="31"/>
      <c r="I171" s="25"/>
      <c r="J171" s="724"/>
      <c r="K171" s="31"/>
      <c r="L171" s="25"/>
      <c r="M171" s="724"/>
      <c r="N171" s="728"/>
      <c r="O171" s="25"/>
      <c r="P171" s="739"/>
    </row>
    <row r="172" spans="1:16" x14ac:dyDescent="0.25">
      <c r="A172" s="218" t="s">
        <v>873</v>
      </c>
      <c r="B172" s="734">
        <f>Unitflowchart!$S$41*(AllocationPrice!$H$23/100)/Unitflowchart!$S$383*(ShipTransport!J15)*Unitflowchart!$S$58</f>
        <v>0</v>
      </c>
      <c r="C172" s="721">
        <f>(B172/B$383)*100</f>
        <v>0</v>
      </c>
      <c r="D172" s="743">
        <f>Unitflowchart!$S$41*(AllocationPrice!$H$23/100)/Unitflowchart!$S$383*(ShipTransport!K15)*Unitflowchart!$S$58</f>
        <v>0</v>
      </c>
      <c r="E172" s="745">
        <f>Unitflowchart!$S$41*(AllocationPrice!$H$23/100)/Unitflowchart!$S$383*(ShipTransport!P15)*Unitflowchart!$S$58</f>
        <v>0</v>
      </c>
      <c r="F172" s="721">
        <f>(E172/E$383)*100</f>
        <v>0</v>
      </c>
      <c r="G172" s="745">
        <f>Unitflowchart!$S$41*(AllocationPrice!$H$23/100)/Unitflowchart!$S$383*(ShipTransport!Q15)*Unitflowchart!$S$58</f>
        <v>0</v>
      </c>
      <c r="H172" s="722">
        <f>Unitflowchart!$S$41*(AllocationPrice!$H$23/100)/Unitflowchart!$S$383*(ShipTransport!V15)*Unitflowchart!$S$58</f>
        <v>0</v>
      </c>
      <c r="I172" s="721">
        <f>(H172/H$383)*100</f>
        <v>0</v>
      </c>
      <c r="J172" s="720">
        <f>Unitflowchart!$S$41*(AllocationPrice!$H$23/100)/Unitflowchart!$S$383*(ShipTransport!W15)*Unitflowchart!$S$58</f>
        <v>0</v>
      </c>
      <c r="K172" s="722">
        <f>Unitflowchart!$S$41*(AllocationPrice!$H$23/100)/Unitflowchart!$S$383*(ShipTransport!AB15)*Unitflowchart!$S$58</f>
        <v>0</v>
      </c>
      <c r="L172" s="721">
        <f>(K172/K$383)*100</f>
        <v>0</v>
      </c>
      <c r="M172" s="720">
        <f>Unitflowchart!$S$41*(AllocationPrice!$H$23/100)/Unitflowchart!$S$383*(ShipTransport!AC15)*Unitflowchart!$S$58</f>
        <v>0</v>
      </c>
      <c r="N172" s="734">
        <f>E172+(GlobalWarmingPotentials!$B$11*H172)+(GlobalWarmingPotentials!$C$11*K172)</f>
        <v>0</v>
      </c>
      <c r="O172" s="721">
        <f>(N172/N$383)*100</f>
        <v>0</v>
      </c>
      <c r="P172" s="743">
        <f>SQRT((G172^2)+((GlobalWarmingPotentials!$B$11*J172)^2)+((GlobalWarmingPotentials!$C$11*M172)^2))</f>
        <v>0</v>
      </c>
    </row>
    <row r="173" spans="1:16" x14ac:dyDescent="0.25">
      <c r="B173" s="728"/>
      <c r="D173" s="739"/>
      <c r="E173" s="735"/>
      <c r="G173" s="735"/>
      <c r="H173" s="31"/>
      <c r="J173" s="724"/>
      <c r="K173" s="31"/>
      <c r="M173" s="724"/>
      <c r="N173" s="728"/>
      <c r="P173" s="739"/>
    </row>
    <row r="174" spans="1:16" x14ac:dyDescent="0.25">
      <c r="A174" s="218" t="s">
        <v>875</v>
      </c>
      <c r="B174" s="734">
        <f>B148+B156+B164+B172</f>
        <v>275.59665533211654</v>
      </c>
      <c r="C174" s="721">
        <f>(B174/B$383)*100</f>
        <v>2.1290831603134115</v>
      </c>
      <c r="D174" s="743">
        <f>SQRT((D148^2)+(D156^2)+(D164^2)+(D172^2))</f>
        <v>12.953042800609477</v>
      </c>
      <c r="E174" s="745">
        <f t="shared" ref="E174" si="29">E148+E156+E164+E172</f>
        <v>19.777206393823835</v>
      </c>
      <c r="F174" s="721">
        <f>(E174/E$383)*100</f>
        <v>2.4586844304032347</v>
      </c>
      <c r="G174" s="745">
        <f t="shared" ref="G174" si="30">SQRT((G148^2)+(G156^2)+(G164^2)+(G172^2))</f>
        <v>0.92952870050972014</v>
      </c>
      <c r="H174" s="722">
        <f t="shared" ref="H174" si="31">H148+H156+H164+H172</f>
        <v>4.1095493805348229E-3</v>
      </c>
      <c r="I174" s="721">
        <f>(H174/H$383)*100</f>
        <v>0.41108548827767871</v>
      </c>
      <c r="J174" s="720">
        <f t="shared" ref="J174" si="32">SQRT((J148^2)+(J156^2)+(J164^2)+(J172^2))</f>
        <v>1.9314882088513667E-4</v>
      </c>
      <c r="K174" s="722">
        <f t="shared" ref="K174" si="33">K148+K156+K164+K172</f>
        <v>5.3424141946952705E-3</v>
      </c>
      <c r="L174" s="721">
        <f>(K174/K$383)*100</f>
        <v>2.4733282965839725</v>
      </c>
      <c r="M174" s="720">
        <f t="shared" ref="M174" si="34">SQRT((M148^2)+(M156^2)+(M164^2)+(M172^2))</f>
        <v>2.5109346715067771E-4</v>
      </c>
      <c r="N174" s="734">
        <f t="shared" ref="N174" si="35">N148+N156+N164+N172</f>
        <v>21.453080631205939</v>
      </c>
      <c r="O174" s="721">
        <f>(N174/N$383)*100</f>
        <v>2.4069139896969967</v>
      </c>
      <c r="P174" s="743">
        <f t="shared" ref="P174" si="36">SQRT((P148^2)+(P156^2)+(P164^2)+(P172^2))</f>
        <v>0.93250595041593831</v>
      </c>
    </row>
    <row r="175" spans="1:16" x14ac:dyDescent="0.25">
      <c r="B175" s="728"/>
      <c r="D175" s="739"/>
      <c r="E175" s="735"/>
      <c r="G175" s="735"/>
      <c r="H175" s="31"/>
      <c r="J175" s="724"/>
      <c r="K175" s="31"/>
      <c r="M175" s="724"/>
      <c r="N175" s="728"/>
      <c r="P175" s="739"/>
    </row>
    <row r="176" spans="1:16" x14ac:dyDescent="0.25">
      <c r="A176" s="387" t="s">
        <v>43</v>
      </c>
      <c r="B176" s="728"/>
      <c r="D176" s="739"/>
      <c r="E176" s="735"/>
      <c r="G176" s="735"/>
      <c r="H176" s="31"/>
      <c r="J176" s="724"/>
      <c r="K176" s="31"/>
      <c r="M176" s="724"/>
      <c r="N176" s="728"/>
      <c r="P176" s="739"/>
    </row>
    <row r="177" spans="1:16" x14ac:dyDescent="0.25">
      <c r="B177" s="728"/>
      <c r="D177" s="739"/>
      <c r="E177" s="735"/>
      <c r="G177" s="735"/>
      <c r="H177" s="31"/>
      <c r="J177" s="724"/>
      <c r="K177" s="31"/>
      <c r="M177" s="724"/>
      <c r="N177" s="728"/>
      <c r="P177" s="739"/>
    </row>
    <row r="178" spans="1:16" x14ac:dyDescent="0.25">
      <c r="A178" t="str">
        <f>RoadTransportStage2!A28</f>
        <v xml:space="preserve"> - Diesel Fuel</v>
      </c>
      <c r="B178" s="732">
        <f>Unitflowchart!$S$64*(AllocationPrice!$H$23/100)/Unitflowchart!$S$383*(RoadTransportStage2!J28)*Unitflowchart!$S$73</f>
        <v>0</v>
      </c>
      <c r="C178" s="26">
        <f>(B178/B$383)*100</f>
        <v>0</v>
      </c>
      <c r="D178" s="491">
        <f>Unitflowchart!$S$64*(AllocationPrice!$H$23/100)/Unitflowchart!$S$383*(RoadTransportStage2!K28)*Unitflowchart!$S$73</f>
        <v>0</v>
      </c>
      <c r="E178" s="732">
        <f>Unitflowchart!$S$64*(AllocationPrice!$H$23/100)/Unitflowchart!$S$383*(RoadTransportStage2!P28)*Unitflowchart!$S$73</f>
        <v>0</v>
      </c>
      <c r="F178" s="26">
        <f>(E178/E$383)*100</f>
        <v>0</v>
      </c>
      <c r="G178" s="491">
        <f>Unitflowchart!$S$64*(AllocationPrice!$H$23/100)/Unitflowchart!$S$383*(RoadTransportStage2!Q28)*Unitflowchart!$S$73</f>
        <v>0</v>
      </c>
      <c r="H178" s="749">
        <f>Unitflowchart!$S$64*(AllocationPrice!$H$23/100)/Unitflowchart!$S$383*(RoadTransportStage2!V28)*Unitflowchart!$S$73</f>
        <v>0</v>
      </c>
      <c r="I178" s="26">
        <f>(H178/H$383)*100</f>
        <v>0</v>
      </c>
      <c r="J178" s="751">
        <f>Unitflowchart!$S$64*(AllocationPrice!$H$23/100)/Unitflowchart!$S$383*(RoadTransportStage2!W28)*Unitflowchart!$S$73</f>
        <v>0</v>
      </c>
      <c r="K178" s="749">
        <f>Unitflowchart!$S$64*(AllocationPrice!$H$23/100)/Unitflowchart!$S$383*(RoadTransportStage2!AB28)*Unitflowchart!$S$73</f>
        <v>0</v>
      </c>
      <c r="L178" s="26">
        <f>(K178/K$383)*100</f>
        <v>0</v>
      </c>
      <c r="M178" s="751">
        <f>Unitflowchart!$S$64*(AllocationPrice!$H$23/100)/Unitflowchart!$S$383*(RoadTransportStage2!AC28)*Unitflowchart!$S$73</f>
        <v>0</v>
      </c>
      <c r="N178" s="727">
        <f>E178+(GlobalWarmingPotentials!$B$11*H178)+(GlobalWarmingPotentials!$C$11*K178)</f>
        <v>0</v>
      </c>
      <c r="O178" s="26">
        <f>(N178/N$383)*100</f>
        <v>0</v>
      </c>
      <c r="P178" s="756">
        <f>SQRT((G178^2)+((GlobalWarmingPotentials!$B$11*J178)^2)+((GlobalWarmingPotentials!$C$11*M178)^2))</f>
        <v>0</v>
      </c>
    </row>
    <row r="179" spans="1:16" x14ac:dyDescent="0.25">
      <c r="A179" t="str">
        <f>RoadTransportStage2!A29</f>
        <v xml:space="preserve"> - Vehicle </v>
      </c>
      <c r="B179" s="732">
        <f>Unitflowchart!$S$64*(AllocationPrice!$H$23/100)/Unitflowchart!$S$383*(RoadTransportStage2!J29)*Unitflowchart!$S$73</f>
        <v>0</v>
      </c>
      <c r="C179" s="26">
        <f>(B179/B$383)*100</f>
        <v>0</v>
      </c>
      <c r="D179" s="491">
        <f>Unitflowchart!$S$64*(AllocationPrice!$H$23/100)/Unitflowchart!$S$383*(RoadTransportStage2!K29)*Unitflowchart!$S$73</f>
        <v>0</v>
      </c>
      <c r="E179" s="732">
        <f>Unitflowchart!$S$64*(AllocationPrice!$H$23/100)/Unitflowchart!$S$383*(RoadTransportStage2!P29)*Unitflowchart!$S$73</f>
        <v>0</v>
      </c>
      <c r="F179" s="26">
        <f>(E179/E$383)*100</f>
        <v>0</v>
      </c>
      <c r="G179" s="491">
        <f>Unitflowchart!$S$64*(AllocationPrice!$H$23/100)/Unitflowchart!$S$383*(RoadTransportStage2!Q29)*Unitflowchart!$S$73</f>
        <v>0</v>
      </c>
      <c r="H179" s="749">
        <f>Unitflowchart!$S$64*(AllocationPrice!$H$23/100)/Unitflowchart!$S$383*(RoadTransportStage2!V29)*Unitflowchart!$S$73</f>
        <v>0</v>
      </c>
      <c r="I179" s="26">
        <f>(H179/H$383)*100</f>
        <v>0</v>
      </c>
      <c r="J179" s="751">
        <f>Unitflowchart!$S$64*(AllocationPrice!$H$23/100)/Unitflowchart!$S$383*(RoadTransportStage2!W29)*Unitflowchart!$S$73</f>
        <v>0</v>
      </c>
      <c r="K179" s="749">
        <f>Unitflowchart!$S$64*(AllocationPrice!$H$23/100)/Unitflowchart!$S$383*(RoadTransportStage2!AB29)*Unitflowchart!$S$73</f>
        <v>0</v>
      </c>
      <c r="L179" s="26">
        <f>(K179/K$383)*100</f>
        <v>0</v>
      </c>
      <c r="M179" s="751">
        <f>Unitflowchart!$S$64*(AllocationPrice!$H$23/100)/Unitflowchart!$S$383*(RoadTransportStage2!AC29)*Unitflowchart!$S$73</f>
        <v>0</v>
      </c>
      <c r="N179" s="727">
        <f>E179+(GlobalWarmingPotentials!$B$11*H179)+(GlobalWarmingPotentials!$C$11*K179)</f>
        <v>0</v>
      </c>
      <c r="O179" s="26">
        <f>(N179/N$383)*100</f>
        <v>0</v>
      </c>
      <c r="P179" s="756">
        <f>SQRT((G179^2)+((GlobalWarmingPotentials!$B$11*J179)^2)+((GlobalWarmingPotentials!$C$11*M179)^2))</f>
        <v>0</v>
      </c>
    </row>
    <row r="180" spans="1:16" x14ac:dyDescent="0.25">
      <c r="A180" t="str">
        <f>RoadTransportStage2!A30</f>
        <v xml:space="preserve"> - Maintenance</v>
      </c>
      <c r="B180" s="732">
        <f>Unitflowchart!$S$64*(AllocationPrice!$H$23/100)/Unitflowchart!$S$383*(RoadTransportStage2!J30)*Unitflowchart!$S$73</f>
        <v>0</v>
      </c>
      <c r="C180" s="26">
        <f>(B180/B$383)*100</f>
        <v>0</v>
      </c>
      <c r="D180" s="491">
        <f>Unitflowchart!$S$64*(AllocationPrice!$H$23/100)/Unitflowchart!$S$383*(RoadTransportStage2!K30)*Unitflowchart!$S$73</f>
        <v>0</v>
      </c>
      <c r="E180" s="732">
        <f>Unitflowchart!$S$64*(AllocationPrice!$H$23/100)/Unitflowchart!$S$383*(RoadTransportStage2!P30)*Unitflowchart!$S$73</f>
        <v>0</v>
      </c>
      <c r="F180" s="26">
        <f>(E180/E$383)*100</f>
        <v>0</v>
      </c>
      <c r="G180" s="491">
        <f>Unitflowchart!$S$64*(AllocationPrice!$H$23/100)/Unitflowchart!$S$383*(RoadTransportStage2!Q30)*Unitflowchart!$S$73</f>
        <v>0</v>
      </c>
      <c r="H180" s="749">
        <f>Unitflowchart!$S$64*(AllocationPrice!$H$23/100)/Unitflowchart!$S$383*(RoadTransportStage2!V30)*Unitflowchart!$S$73</f>
        <v>0</v>
      </c>
      <c r="I180" s="26">
        <f>(H180/H$383)*100</f>
        <v>0</v>
      </c>
      <c r="J180" s="751">
        <f>Unitflowchart!$S$64*(AllocationPrice!$H$23/100)/Unitflowchart!$S$383*(RoadTransportStage2!W30)*Unitflowchart!$S$73</f>
        <v>0</v>
      </c>
      <c r="K180" s="749">
        <f>Unitflowchart!$S$64*(AllocationPrice!$H$23/100)/Unitflowchart!$S$383*(RoadTransportStage2!AB30)*Unitflowchart!$S$73</f>
        <v>0</v>
      </c>
      <c r="L180" s="26">
        <f>(K180/K$383)*100</f>
        <v>0</v>
      </c>
      <c r="M180" s="751">
        <f>Unitflowchart!$S$64*(AllocationPrice!$H$23/100)/Unitflowchart!$S$383*(RoadTransportStage2!AC30)*Unitflowchart!$S$73</f>
        <v>0</v>
      </c>
      <c r="N180" s="727">
        <f>E180+(GlobalWarmingPotentials!$B$11*H180)+(GlobalWarmingPotentials!$C$11*K180)</f>
        <v>0</v>
      </c>
      <c r="O180" s="26">
        <f>(N180/N$383)*100</f>
        <v>0</v>
      </c>
      <c r="P180" s="756">
        <f>SQRT((G180^2)+((GlobalWarmingPotentials!$B$11*J180)^2)+((GlobalWarmingPotentials!$C$11*M180)^2))</f>
        <v>0</v>
      </c>
    </row>
    <row r="181" spans="1:16" s="43" customFormat="1" x14ac:dyDescent="0.25">
      <c r="B181" s="766"/>
      <c r="C181" s="992"/>
      <c r="D181" s="779"/>
      <c r="E181" s="766"/>
      <c r="F181" s="992"/>
      <c r="G181" s="779"/>
      <c r="H181" s="783"/>
      <c r="I181" s="992"/>
      <c r="J181" s="784"/>
      <c r="K181" s="783"/>
      <c r="L181" s="992"/>
      <c r="M181" s="784"/>
      <c r="N181" s="729"/>
      <c r="O181" s="155"/>
      <c r="P181" s="736"/>
    </row>
    <row r="182" spans="1:16" x14ac:dyDescent="0.25">
      <c r="A182" s="22" t="s">
        <v>868</v>
      </c>
      <c r="B182" s="730">
        <f>Unitflowchart!$S$64*(AllocationPrice!$H$23/100)/Unitflowchart!$S$383*(RoadTransportStage2!J32)*Unitflowchart!$S$73</f>
        <v>0</v>
      </c>
      <c r="C182" s="15">
        <f>(B182/B$383)*100</f>
        <v>0</v>
      </c>
      <c r="D182" s="740">
        <f>Unitflowchart!$S$64*(AllocationPrice!$H$23/100)/Unitflowchart!$S$383*(RoadTransportStage2!K32)*Unitflowchart!$S$73</f>
        <v>0</v>
      </c>
      <c r="E182" s="730">
        <f>Unitflowchart!$S$64*(AllocationPrice!$H$23/100)/Unitflowchart!$S$383*(RoadTransportStage2!P32)*Unitflowchart!$S$73</f>
        <v>0</v>
      </c>
      <c r="F182" s="15">
        <f>(E182/E$383)*100</f>
        <v>0</v>
      </c>
      <c r="G182" s="740">
        <f>Unitflowchart!$S$64*(AllocationPrice!$H$23/100)/Unitflowchart!$S$383*(RoadTransportStage2!Q32)*Unitflowchart!$S$73</f>
        <v>0</v>
      </c>
      <c r="H182" s="215">
        <f>Unitflowchart!$S$64*(AllocationPrice!$H$23/100)/Unitflowchart!$S$383*(RoadTransportStage2!V32)*Unitflowchart!$S$73</f>
        <v>0</v>
      </c>
      <c r="I182" s="15">
        <f>(H182/H$383)*100</f>
        <v>0</v>
      </c>
      <c r="J182" s="216">
        <f>Unitflowchart!$S$64*(AllocationPrice!$H$23/100)/Unitflowchart!$S$383*(RoadTransportStage2!W32)*Unitflowchart!$S$73</f>
        <v>0</v>
      </c>
      <c r="K182" s="215">
        <f>Unitflowchart!$S$64*(AllocationPrice!$H$23/100)/Unitflowchart!$S$383*(RoadTransportStage2!AB32)*Unitflowchart!$S$73</f>
        <v>0</v>
      </c>
      <c r="L182" s="15">
        <f>(K182/K$383)*100</f>
        <v>0</v>
      </c>
      <c r="M182" s="216">
        <f>Unitflowchart!$S$64*(AllocationPrice!$H$23/100)/Unitflowchart!$S$383*(RoadTransportStage2!AC32)*Unitflowchart!$S$73</f>
        <v>0</v>
      </c>
      <c r="N182" s="762">
        <f>E182+(GlobalWarmingPotentials!$B$11*H182)+(GlobalWarmingPotentials!$C$11*K182)</f>
        <v>0</v>
      </c>
      <c r="O182" s="714">
        <f>(N182/N$383)*100</f>
        <v>0</v>
      </c>
      <c r="P182" s="767">
        <f>SQRT((G182^2)+((GlobalWarmingPotentials!$B$11*J182)^2)+((GlobalWarmingPotentials!$C$11*M182)^2))</f>
        <v>0</v>
      </c>
    </row>
    <row r="183" spans="1:16" s="212" customFormat="1" x14ac:dyDescent="0.25">
      <c r="A183" s="775"/>
      <c r="B183" s="763"/>
      <c r="C183" s="773"/>
      <c r="D183" s="778"/>
      <c r="E183" s="763"/>
      <c r="F183" s="773"/>
      <c r="G183" s="778"/>
      <c r="H183" s="765"/>
      <c r="I183" s="773"/>
      <c r="J183" s="782"/>
      <c r="K183" s="765"/>
      <c r="L183" s="773"/>
      <c r="M183" s="782"/>
      <c r="N183" s="763"/>
      <c r="O183" s="773"/>
      <c r="P183" s="787"/>
    </row>
    <row r="184" spans="1:16" s="212" customFormat="1" x14ac:dyDescent="0.25">
      <c r="A184" s="387" t="s">
        <v>890</v>
      </c>
      <c r="B184" s="766"/>
      <c r="C184" s="764"/>
      <c r="D184" s="779"/>
      <c r="E184" s="766"/>
      <c r="F184" s="764"/>
      <c r="G184" s="779"/>
      <c r="H184" s="783"/>
      <c r="I184" s="764"/>
      <c r="J184" s="784"/>
      <c r="K184" s="783"/>
      <c r="L184" s="764"/>
      <c r="M184" s="784"/>
      <c r="N184" s="766"/>
      <c r="O184" s="764"/>
      <c r="P184" s="788"/>
    </row>
    <row r="185" spans="1:16" s="212" customFormat="1" x14ac:dyDescent="0.25">
      <c r="A185"/>
      <c r="B185" s="766"/>
      <c r="C185" s="764"/>
      <c r="D185" s="779"/>
      <c r="E185" s="766"/>
      <c r="F185" s="764"/>
      <c r="G185" s="779"/>
      <c r="H185" s="783"/>
      <c r="I185" s="764"/>
      <c r="J185" s="784"/>
      <c r="K185" s="783"/>
      <c r="L185" s="764"/>
      <c r="M185" s="784"/>
      <c r="N185" s="766"/>
      <c r="O185" s="764"/>
      <c r="P185" s="788"/>
    </row>
    <row r="186" spans="1:16" s="212" customFormat="1" x14ac:dyDescent="0.25">
      <c r="A186" t="str">
        <f>RailTransport!A11</f>
        <v xml:space="preserve"> - Gas Oil</v>
      </c>
      <c r="B186" s="791">
        <f>Unitflowchart!$S$64*(AllocationPrice!$H$23/100)/Unitflowchart!$S$383*(RailTransport!J11)*Unitflowchart!$S$75</f>
        <v>0</v>
      </c>
      <c r="C186" s="764">
        <f>(B186/B$383)*100</f>
        <v>0</v>
      </c>
      <c r="D186" s="792">
        <f>Unitflowchart!$S$64*(AllocationPrice!$H$23/100)/Unitflowchart!$S$383*(RailTransport!K11)*Unitflowchart!$S$75</f>
        <v>0</v>
      </c>
      <c r="E186" s="791">
        <f>Unitflowchart!$S$64*(AllocationPrice!$H$23/100)/Unitflowchart!$S$383*(RailTransport!P11)*Unitflowchart!$S$75</f>
        <v>0</v>
      </c>
      <c r="F186" s="764">
        <f>(E186/E$383)*100</f>
        <v>0</v>
      </c>
      <c r="G186" s="792">
        <f>Unitflowchart!$S$64*(AllocationPrice!$H$23/100)/Unitflowchart!$S$383*(RailTransport!Q11)*Unitflowchart!$S$75</f>
        <v>0</v>
      </c>
      <c r="H186" s="793">
        <f>Unitflowchart!$S64*(AllocationPrice!$H$23/100)/Unitflowchart!$S$383*(RailTransport!V11)*Unitflowchart!$S$75</f>
        <v>0</v>
      </c>
      <c r="I186" s="764">
        <f>(H186/H$383)*100</f>
        <v>0</v>
      </c>
      <c r="J186" s="794">
        <f>Unitflowchart!$S$64*(AllocationPrice!$H$23/100)/Unitflowchart!$S$383*(RailTransport!W11)*Unitflowchart!$S$75</f>
        <v>0</v>
      </c>
      <c r="K186" s="793">
        <f>Unitflowchart!$S$64*(AllocationPrice!$H$23/100)/Unitflowchart!$S$383*(RailTransport!AB11)*Unitflowchart!$S$75</f>
        <v>0</v>
      </c>
      <c r="L186" s="764">
        <f>(K186/K$383)*100</f>
        <v>0</v>
      </c>
      <c r="M186" s="794">
        <f>Unitflowchart!$S$64*(AllocationPrice!$H$23/100)/Unitflowchart!$S$383*(RailTransport!AC11)*Unitflowchart!$S$75</f>
        <v>0</v>
      </c>
      <c r="N186" s="791">
        <f>E186+(GlobalWarmingPotentials!$B$11*H186)+(GlobalWarmingPotentials!$C$11*K186)</f>
        <v>0</v>
      </c>
      <c r="O186" s="764">
        <f>(N186/N$383)*100</f>
        <v>0</v>
      </c>
      <c r="P186" s="796">
        <f>SQRT((G186^2)+((GlobalWarmingPotentials!$B$11*J186)^2)+((GlobalWarmingPotentials!$C$11*M186)^2))</f>
        <v>0</v>
      </c>
    </row>
    <row r="187" spans="1:16" s="212" customFormat="1" x14ac:dyDescent="0.25">
      <c r="A187" t="str">
        <f>RailTransport!A12</f>
        <v xml:space="preserve"> - Capital Equipment</v>
      </c>
      <c r="B187" s="791">
        <f>Unitflowchart!$S$64*(AllocationPrice!$H$23/100)/Unitflowchart!$S$383*(RailTransport!J12)*Unitflowchart!$S$75</f>
        <v>0</v>
      </c>
      <c r="C187" s="764">
        <f>(B187/B$383)*100</f>
        <v>0</v>
      </c>
      <c r="D187" s="792">
        <f>Unitflowchart!$S$64*(AllocationPrice!$H$23/100)/Unitflowchart!$S$383*(RailTransport!K12)*Unitflowchart!$S$75</f>
        <v>0</v>
      </c>
      <c r="E187" s="791">
        <f>Unitflowchart!$S$64*(AllocationPrice!$H$23/100)/Unitflowchart!$S$383*(RailTransport!P12)*Unitflowchart!$S$75</f>
        <v>0</v>
      </c>
      <c r="F187" s="764">
        <f>(E187/E$383)*100</f>
        <v>0</v>
      </c>
      <c r="G187" s="792">
        <f>Unitflowchart!$S$64*(AllocationPrice!$H$23/100)/Unitflowchart!$S$383*(RailTransport!Q12)*Unitflowchart!$S$75</f>
        <v>0</v>
      </c>
      <c r="H187" s="793">
        <f>Unitflowchart!$S65*(AllocationPrice!$H$23/100)/Unitflowchart!$S$383*(RailTransport!V12)*Unitflowchart!$S$75</f>
        <v>0</v>
      </c>
      <c r="I187" s="764">
        <f>(H187/H$383)*100</f>
        <v>0</v>
      </c>
      <c r="J187" s="794">
        <f>Unitflowchart!$S$64*(AllocationPrice!$H$23/100)/Unitflowchart!$S$383*(RailTransport!W12)*Unitflowchart!$S$75</f>
        <v>0</v>
      </c>
      <c r="K187" s="793">
        <f>Unitflowchart!$S$64*(AllocationPrice!$H$23/100)/Unitflowchart!$S$383*(RailTransport!AB12)*Unitflowchart!$S$75</f>
        <v>0</v>
      </c>
      <c r="L187" s="764">
        <f>(K187/K$383)*100</f>
        <v>0</v>
      </c>
      <c r="M187" s="794">
        <f>Unitflowchart!$S$64*(AllocationPrice!$H$23/100)/Unitflowchart!$S$383*(RailTransport!AC12)*Unitflowchart!$S$75</f>
        <v>0</v>
      </c>
      <c r="N187" s="791">
        <f>E187+(GlobalWarmingPotentials!$B$11*H187)+(GlobalWarmingPotentials!$C$11*K187)</f>
        <v>0</v>
      </c>
      <c r="O187" s="764">
        <f>(N187/N$383)*100</f>
        <v>0</v>
      </c>
      <c r="P187" s="796">
        <f>SQRT((G187^2)+((GlobalWarmingPotentials!$B$11*J187)^2)+((GlobalWarmingPotentials!$C$11*M187)^2))</f>
        <v>0</v>
      </c>
    </row>
    <row r="188" spans="1:16" s="212" customFormat="1" x14ac:dyDescent="0.25">
      <c r="A188" t="str">
        <f>RailTransport!A13</f>
        <v xml:space="preserve"> - Maintenance</v>
      </c>
      <c r="B188" s="791">
        <f>Unitflowchart!$S$64*(AllocationPrice!$H$23/100)/Unitflowchart!$S$383*(RailTransport!J13)*Unitflowchart!$S$75</f>
        <v>0</v>
      </c>
      <c r="C188" s="764">
        <f>(B188/B$383)*100</f>
        <v>0</v>
      </c>
      <c r="D188" s="792">
        <f>Unitflowchart!$S$64*(AllocationPrice!$H$23/100)/Unitflowchart!$S$383*(RailTransport!K13)*Unitflowchart!$S$75</f>
        <v>0</v>
      </c>
      <c r="E188" s="791">
        <f>Unitflowchart!$S$64*(AllocationPrice!$H$23/100)/Unitflowchart!$S$383*(RailTransport!P13)*Unitflowchart!$S$75</f>
        <v>0</v>
      </c>
      <c r="F188" s="764">
        <f>(E188/E$383)*100</f>
        <v>0</v>
      </c>
      <c r="G188" s="792">
        <f>Unitflowchart!$S$64*(AllocationPrice!$H$23/100)/Unitflowchart!$S$383*(RailTransport!Q13)*Unitflowchart!$S$75</f>
        <v>0</v>
      </c>
      <c r="H188" s="793">
        <f>Unitflowchart!$S66*(AllocationPrice!$H$23/100)/Unitflowchart!$S$383*(RailTransport!V13)*Unitflowchart!$S$75</f>
        <v>0</v>
      </c>
      <c r="I188" s="764">
        <f>(H188/H$383)*100</f>
        <v>0</v>
      </c>
      <c r="J188" s="794">
        <f>Unitflowchart!$S$64*(AllocationPrice!$H$23/100)/Unitflowchart!$S$383*(RailTransport!W13)*Unitflowchart!$S$75</f>
        <v>0</v>
      </c>
      <c r="K188" s="793">
        <f>Unitflowchart!$S$64*(AllocationPrice!$H$23/100)/Unitflowchart!$S$383*(RailTransport!AB13)*Unitflowchart!$S$75</f>
        <v>0</v>
      </c>
      <c r="L188" s="764">
        <f>(K188/K$383)*100</f>
        <v>0</v>
      </c>
      <c r="M188" s="794">
        <f>Unitflowchart!$S$64*(AllocationPrice!$H$23/100)/Unitflowchart!$S$383*(RailTransport!AC13)*Unitflowchart!$S$75</f>
        <v>0</v>
      </c>
      <c r="N188" s="791">
        <f>E188+(GlobalWarmingPotentials!$B$11*H188)+(GlobalWarmingPotentials!$C$11*K188)</f>
        <v>0</v>
      </c>
      <c r="O188" s="764">
        <f>(N188/N$383)*100</f>
        <v>0</v>
      </c>
      <c r="P188" s="796">
        <f>SQRT((G188^2)+((GlobalWarmingPotentials!$B$11*J188)^2)+((GlobalWarmingPotentials!$C$11*M188)^2))</f>
        <v>0</v>
      </c>
    </row>
    <row r="189" spans="1:16" s="212" customFormat="1" x14ac:dyDescent="0.25">
      <c r="A189"/>
      <c r="B189" s="766"/>
      <c r="C189" s="764"/>
      <c r="D189" s="779"/>
      <c r="E189" s="766"/>
      <c r="F189" s="764"/>
      <c r="G189" s="779"/>
      <c r="H189" s="783"/>
      <c r="I189" s="764"/>
      <c r="J189" s="784"/>
      <c r="K189" s="783"/>
      <c r="L189" s="764"/>
      <c r="M189" s="784"/>
      <c r="N189" s="766"/>
      <c r="O189" s="764"/>
      <c r="P189" s="788"/>
    </row>
    <row r="190" spans="1:16" s="212" customFormat="1" x14ac:dyDescent="0.25">
      <c r="A190" s="715" t="s">
        <v>891</v>
      </c>
      <c r="B190" s="734">
        <f>Unitflowchart!$S$64*(AllocationPrice!$H$23/100)/Unitflowchart!$S$383*(RailTransport!J15)*Unitflowchart!$S$75</f>
        <v>0</v>
      </c>
      <c r="C190" s="790">
        <f>(B190/B$383)*100</f>
        <v>0</v>
      </c>
      <c r="D190" s="743">
        <f>Unitflowchart!$S$64*(AllocationPrice!$H$23/100)/Unitflowchart!$S$383*(RailTransport!K15)*Unitflowchart!$S$75</f>
        <v>0</v>
      </c>
      <c r="E190" s="734">
        <f>Unitflowchart!$S$64*(AllocationPrice!$H$23/100)/Unitflowchart!$S$383*(RailTransport!P15)*Unitflowchart!$S$75</f>
        <v>0</v>
      </c>
      <c r="F190" s="790">
        <f>(E190/E$383)*100</f>
        <v>0</v>
      </c>
      <c r="G190" s="743">
        <f>Unitflowchart!$S$64*(AllocationPrice!$H$23/100)/Unitflowchart!$S$383*(RailTransport!Q15)*Unitflowchart!$S$75</f>
        <v>0</v>
      </c>
      <c r="H190" s="722">
        <f>Unitflowchart!$S68*(AllocationPrice!$H$23/100)/Unitflowchart!$S$383*(RailTransport!V15)*Unitflowchart!$S$75</f>
        <v>0</v>
      </c>
      <c r="I190" s="790">
        <f>(H190/H$383)*100</f>
        <v>0</v>
      </c>
      <c r="J190" s="719">
        <f>Unitflowchart!$S$64*(AllocationPrice!$H$23/100)/Unitflowchart!$S$383*(RailTransport!W15)*Unitflowchart!$S$75</f>
        <v>0</v>
      </c>
      <c r="K190" s="722">
        <f>Unitflowchart!$S$64*(AllocationPrice!$H$23/100)/Unitflowchart!$S$383*(RailTransport!AB15)*Unitflowchart!$S$75</f>
        <v>0</v>
      </c>
      <c r="L190" s="790">
        <f>(K190/K$383)*100</f>
        <v>0</v>
      </c>
      <c r="M190" s="719">
        <f>Unitflowchart!$S$64*(AllocationPrice!$H$23/100)/Unitflowchart!$S$383*(RailTransport!AC15)*Unitflowchart!$S$75</f>
        <v>0</v>
      </c>
      <c r="N190" s="734">
        <f>E190+(GlobalWarmingPotentials!$B$11*H190)+(GlobalWarmingPotentials!$C$11*K190)</f>
        <v>0</v>
      </c>
      <c r="O190" s="790">
        <f>(N190/N$383)*100</f>
        <v>0</v>
      </c>
      <c r="P190" s="795">
        <f>SQRT((G190^2)+((GlobalWarmingPotentials!$B$11*J190)^2)+((GlobalWarmingPotentials!$C$11*M190)^2))</f>
        <v>0</v>
      </c>
    </row>
    <row r="191" spans="1:16" s="212" customFormat="1" x14ac:dyDescent="0.25">
      <c r="A191" s="776"/>
      <c r="B191" s="766"/>
      <c r="C191" s="764"/>
      <c r="D191" s="779"/>
      <c r="E191" s="766"/>
      <c r="F191" s="764"/>
      <c r="G191" s="779"/>
      <c r="H191" s="783"/>
      <c r="I191" s="764"/>
      <c r="J191" s="784"/>
      <c r="K191" s="783"/>
      <c r="L191" s="764"/>
      <c r="M191" s="784"/>
      <c r="N191" s="766"/>
      <c r="O191" s="764"/>
      <c r="P191" s="788"/>
    </row>
    <row r="192" spans="1:16" s="212" customFormat="1" x14ac:dyDescent="0.25">
      <c r="A192" s="387" t="s">
        <v>892</v>
      </c>
      <c r="B192" s="766"/>
      <c r="C192" s="764"/>
      <c r="D192" s="779"/>
      <c r="E192" s="766"/>
      <c r="F192" s="764"/>
      <c r="G192" s="779"/>
      <c r="H192" s="783"/>
      <c r="I192" s="764"/>
      <c r="J192" s="784"/>
      <c r="K192" s="783"/>
      <c r="L192" s="764"/>
      <c r="M192" s="784"/>
      <c r="N192" s="766"/>
      <c r="O192" s="764"/>
      <c r="P192" s="788"/>
    </row>
    <row r="193" spans="1:17" s="212" customFormat="1" x14ac:dyDescent="0.25">
      <c r="A193"/>
      <c r="B193" s="766"/>
      <c r="C193" s="764"/>
      <c r="D193" s="779"/>
      <c r="E193" s="766"/>
      <c r="F193" s="764"/>
      <c r="G193" s="779"/>
      <c r="H193" s="783"/>
      <c r="I193" s="764"/>
      <c r="J193" s="784"/>
      <c r="K193" s="783"/>
      <c r="L193" s="764"/>
      <c r="M193" s="784"/>
      <c r="N193" s="766"/>
      <c r="O193" s="764"/>
      <c r="P193" s="788"/>
    </row>
    <row r="194" spans="1:17" s="212" customFormat="1" x14ac:dyDescent="0.25">
      <c r="A194" t="str">
        <f>BargeTransport!A11</f>
        <v xml:space="preserve"> - Marine Diesel</v>
      </c>
      <c r="B194" s="791">
        <f>Unitflowchart!$S$64*(AllocationPrice!$H$23/100)/Unitflowchart!$S$383*(BargeTransport!J11)*Unitflowchart!$S$77</f>
        <v>0</v>
      </c>
      <c r="C194" s="764">
        <f>(B194/B$383)*100</f>
        <v>0</v>
      </c>
      <c r="D194" s="792">
        <f>Unitflowchart!$S$64*(AllocationPrice!$H$23/100)/Unitflowchart!$S$383*(BargeTransport!K11)*Unitflowchart!$S$77</f>
        <v>0</v>
      </c>
      <c r="E194" s="791">
        <f>Unitflowchart!$S$64*(AllocationPrice!$H$23/100)/Unitflowchart!$S$383*(BargeTransport!P11)*Unitflowchart!$S$77</f>
        <v>0</v>
      </c>
      <c r="F194" s="764">
        <f>(E194/E$383)*100</f>
        <v>0</v>
      </c>
      <c r="G194" s="792">
        <f>Unitflowchart!$S$64*(AllocationPrice!$H$23/100)/Unitflowchart!$S$383*(BargeTransport!Q11)*Unitflowchart!$S$77</f>
        <v>0</v>
      </c>
      <c r="H194" s="793">
        <f>Unitflowchart!$S72*(AllocationPrice!$H$23/100)/Unitflowchart!$S$383*(BargeTransport!V11)*Unitflowchart!$S$77</f>
        <v>0</v>
      </c>
      <c r="I194" s="764">
        <f>(H194/H$383)*100</f>
        <v>0</v>
      </c>
      <c r="J194" s="794">
        <f>Unitflowchart!$S$64*(AllocationPrice!$H$23/100)/Unitflowchart!$S$383*(BargeTransport!W11)*Unitflowchart!$S$77</f>
        <v>0</v>
      </c>
      <c r="K194" s="793">
        <f>Unitflowchart!$S$64*(AllocationPrice!$H$23/100)/Unitflowchart!$S$383*(BargeTransport!AB11)*Unitflowchart!$S$77</f>
        <v>0</v>
      </c>
      <c r="L194" s="764">
        <f>(K194/K$383)*100</f>
        <v>0</v>
      </c>
      <c r="M194" s="794">
        <f>Unitflowchart!$S$64*(AllocationPrice!$H$23/100)/Unitflowchart!$S$383*(BargeTransport!AC11)*Unitflowchart!$S$77</f>
        <v>0</v>
      </c>
      <c r="N194" s="791">
        <f>E194+(GlobalWarmingPotentials!$B$11*H194)+(GlobalWarmingPotentials!$C$11*K194)</f>
        <v>0</v>
      </c>
      <c r="O194" s="764">
        <f>(N194/N$383)*100</f>
        <v>0</v>
      </c>
      <c r="P194" s="796">
        <f>SQRT((G194^2)+((GlobalWarmingPotentials!$B$11*J194)^2)+((GlobalWarmingPotentials!$C$11*M194)^2))</f>
        <v>0</v>
      </c>
    </row>
    <row r="195" spans="1:17" s="212" customFormat="1" x14ac:dyDescent="0.25">
      <c r="A195" t="str">
        <f>BargeTransport!A12</f>
        <v xml:space="preserve"> - Barge Construction</v>
      </c>
      <c r="B195" s="791">
        <f>Unitflowchart!$S$64*(AllocationPrice!$H$23/100)/Unitflowchart!$S$383*(BargeTransport!J12)*Unitflowchart!$S$77</f>
        <v>0</v>
      </c>
      <c r="C195" s="764">
        <f>(B195/B$383)*100</f>
        <v>0</v>
      </c>
      <c r="D195" s="792">
        <f>Unitflowchart!$S$64*(AllocationPrice!$H$23/100)/Unitflowchart!$S$383*(BargeTransport!K12)*Unitflowchart!$S$77</f>
        <v>0</v>
      </c>
      <c r="E195" s="791">
        <f>Unitflowchart!$S$64*(AllocationPrice!$H$23/100)/Unitflowchart!$S$383*(BargeTransport!P12)*Unitflowchart!$S$77</f>
        <v>0</v>
      </c>
      <c r="F195" s="764">
        <f>(E195/E$383)*100</f>
        <v>0</v>
      </c>
      <c r="G195" s="792">
        <f>Unitflowchart!$S$64*(AllocationPrice!$H$23/100)/Unitflowchart!$S$383*(BargeTransport!Q12)*Unitflowchart!$S$77</f>
        <v>0</v>
      </c>
      <c r="H195" s="793">
        <f>Unitflowchart!$S73*(AllocationPrice!$H$23/100)/Unitflowchart!$S$383*(BargeTransport!V12)*Unitflowchart!$S$77</f>
        <v>0</v>
      </c>
      <c r="I195" s="764">
        <f>(H195/H$383)*100</f>
        <v>0</v>
      </c>
      <c r="J195" s="794">
        <f>Unitflowchart!$S$64*(AllocationPrice!$H$23/100)/Unitflowchart!$S$383*(BargeTransport!W12)*Unitflowchart!$S$77</f>
        <v>0</v>
      </c>
      <c r="K195" s="793">
        <f>Unitflowchart!$S$64*(AllocationPrice!$H$23/100)/Unitflowchart!$S$383*(BargeTransport!AB12)*Unitflowchart!$S$77</f>
        <v>0</v>
      </c>
      <c r="L195" s="764">
        <f>(K195/K$383)*100</f>
        <v>0</v>
      </c>
      <c r="M195" s="794">
        <f>Unitflowchart!$S$64*(AllocationPrice!$H$23/100)/Unitflowchart!$S$383*(BargeTransport!AC12)*Unitflowchart!$S$77</f>
        <v>0</v>
      </c>
      <c r="N195" s="791">
        <f>E195+(GlobalWarmingPotentials!$B$11*H195)+(GlobalWarmingPotentials!$C$11*K195)</f>
        <v>0</v>
      </c>
      <c r="O195" s="764">
        <f>(N195/N$383)*100</f>
        <v>0</v>
      </c>
      <c r="P195" s="796">
        <f>SQRT((G195^2)+((GlobalWarmingPotentials!$B$11*J195)^2)+((GlobalWarmingPotentials!$C$11*M195)^2))</f>
        <v>0</v>
      </c>
    </row>
    <row r="196" spans="1:17" s="212" customFormat="1" x14ac:dyDescent="0.25">
      <c r="A196" t="str">
        <f>BargeTransport!A13</f>
        <v xml:space="preserve"> - Barge Maintenance</v>
      </c>
      <c r="B196" s="791">
        <f>Unitflowchart!$S$64*(AllocationPrice!$H$23/100)/Unitflowchart!$S$383*(BargeTransport!J13)*Unitflowchart!$S$77</f>
        <v>0</v>
      </c>
      <c r="C196" s="764">
        <f>(B196/B$383)*100</f>
        <v>0</v>
      </c>
      <c r="D196" s="792">
        <f>Unitflowchart!$S$64*(AllocationPrice!$H$23/100)/Unitflowchart!$S$383*(BargeTransport!K13)*Unitflowchart!$S$77</f>
        <v>0</v>
      </c>
      <c r="E196" s="791">
        <f>Unitflowchart!$S$64*(AllocationPrice!$H$23/100)/Unitflowchart!$S$383*(BargeTransport!P13)*Unitflowchart!$S$77</f>
        <v>0</v>
      </c>
      <c r="F196" s="764">
        <f>(E196/E$383)*100</f>
        <v>0</v>
      </c>
      <c r="G196" s="792">
        <f>Unitflowchart!$S$64*(AllocationPrice!$H$23/100)/Unitflowchart!$S$383*(BargeTransport!Q13)*Unitflowchart!$S$77</f>
        <v>0</v>
      </c>
      <c r="H196" s="793">
        <f>Unitflowchart!$S74*(AllocationPrice!$H$23/100)/Unitflowchart!$S$383*(BargeTransport!V13)*Unitflowchart!$S$77</f>
        <v>0</v>
      </c>
      <c r="I196" s="764">
        <f>(H196/H$383)*100</f>
        <v>0</v>
      </c>
      <c r="J196" s="794">
        <f>Unitflowchart!$S$64*(AllocationPrice!$H$23/100)/Unitflowchart!$S$383*(BargeTransport!W13)*Unitflowchart!$S$77</f>
        <v>0</v>
      </c>
      <c r="K196" s="793">
        <f>Unitflowchart!$S$64*(AllocationPrice!$H$23/100)/Unitflowchart!$S$383*(BargeTransport!AB13)*Unitflowchart!$S$77</f>
        <v>0</v>
      </c>
      <c r="L196" s="764">
        <f>(K196/K$383)*100</f>
        <v>0</v>
      </c>
      <c r="M196" s="794">
        <f>Unitflowchart!$S$64*(AllocationPrice!$H$23/100)/Unitflowchart!$S$383*(BargeTransport!AC13)*Unitflowchart!$S$77</f>
        <v>0</v>
      </c>
      <c r="N196" s="791">
        <f>E196+(GlobalWarmingPotentials!$B$11*H196)+(GlobalWarmingPotentials!$C$11*K196)</f>
        <v>0</v>
      </c>
      <c r="O196" s="764">
        <f>(N196/N$383)*100</f>
        <v>0</v>
      </c>
      <c r="P196" s="796">
        <f>SQRT((G196^2)+((GlobalWarmingPotentials!$B$11*J196)^2)+((GlobalWarmingPotentials!$C$11*M196)^2))</f>
        <v>0</v>
      </c>
    </row>
    <row r="197" spans="1:17" s="212" customFormat="1" x14ac:dyDescent="0.25">
      <c r="A197"/>
      <c r="B197" s="766"/>
      <c r="C197" s="764"/>
      <c r="D197" s="779"/>
      <c r="E197" s="766"/>
      <c r="F197" s="764"/>
      <c r="G197" s="779"/>
      <c r="H197" s="783"/>
      <c r="I197" s="764"/>
      <c r="J197" s="784"/>
      <c r="K197" s="783"/>
      <c r="L197" s="764"/>
      <c r="M197" s="784"/>
      <c r="N197" s="766"/>
      <c r="O197" s="764"/>
      <c r="P197" s="788"/>
    </row>
    <row r="198" spans="1:17" s="212" customFormat="1" x14ac:dyDescent="0.25">
      <c r="A198" s="715" t="s">
        <v>893</v>
      </c>
      <c r="B198" s="734">
        <f>Unitflowchart!$S$64*(AllocationPrice!$H$23/100)/Unitflowchart!$S$383*(BargeTransport!J15)*Unitflowchart!$S$77</f>
        <v>0</v>
      </c>
      <c r="C198" s="790">
        <f>(B198/B$383)*100</f>
        <v>0</v>
      </c>
      <c r="D198" s="743">
        <f>Unitflowchart!$S$64*(AllocationPrice!$H$23/100)/Unitflowchart!$S$383*(BargeTransport!K15)*Unitflowchart!$S$77</f>
        <v>0</v>
      </c>
      <c r="E198" s="734">
        <f>Unitflowchart!$S$64*(AllocationPrice!$H$23/100)/Unitflowchart!$S$383*(BargeTransport!P15)*Unitflowchart!$S$77</f>
        <v>0</v>
      </c>
      <c r="F198" s="790">
        <f>(E198/E$383)*100</f>
        <v>0</v>
      </c>
      <c r="G198" s="743">
        <f>Unitflowchart!$S$64*(AllocationPrice!$H$23/100)/Unitflowchart!$S$383*(BargeTransport!Q15)*Unitflowchart!$S$77</f>
        <v>0</v>
      </c>
      <c r="H198" s="722">
        <f>Unitflowchart!$S76*(AllocationPrice!$H$23/100)/Unitflowchart!$S$383*(BargeTransport!V15)*Unitflowchart!$S$77</f>
        <v>0</v>
      </c>
      <c r="I198" s="790">
        <f>(H198/H$383)*100</f>
        <v>0</v>
      </c>
      <c r="J198" s="719">
        <f>Unitflowchart!$S$64*(AllocationPrice!$H$23/100)/Unitflowchart!$S$383*(BargeTransport!W15)*Unitflowchart!$S$77</f>
        <v>0</v>
      </c>
      <c r="K198" s="722">
        <f>Unitflowchart!$S$64*(AllocationPrice!$H$23/100)/Unitflowchart!$S$383*(BargeTransport!AB15)*Unitflowchart!$S$77</f>
        <v>0</v>
      </c>
      <c r="L198" s="790">
        <f>(K198/K$383)*100</f>
        <v>0</v>
      </c>
      <c r="M198" s="719">
        <f>Unitflowchart!$S$64*(AllocationPrice!$H$23/100)/Unitflowchart!$S$383*(BargeTransport!AC15)*Unitflowchart!$S$77</f>
        <v>0</v>
      </c>
      <c r="N198" s="734">
        <f>E198+(GlobalWarmingPotentials!$B$11*H198)+(GlobalWarmingPotentials!$C$11*K198)</f>
        <v>0</v>
      </c>
      <c r="O198" s="790">
        <f>(N198/N$383)*100</f>
        <v>0</v>
      </c>
      <c r="P198" s="795">
        <f>SQRT((G198^2)+((GlobalWarmingPotentials!$B$11*J198)^2)+((GlobalWarmingPotentials!$C$11*M198)^2))</f>
        <v>0</v>
      </c>
    </row>
    <row r="199" spans="1:17" s="212" customFormat="1" x14ac:dyDescent="0.25">
      <c r="A199" s="776"/>
      <c r="B199" s="766"/>
      <c r="C199" s="764"/>
      <c r="D199" s="779"/>
      <c r="E199" s="766"/>
      <c r="F199" s="764"/>
      <c r="G199" s="779"/>
      <c r="H199" s="783"/>
      <c r="I199" s="764"/>
      <c r="J199" s="784"/>
      <c r="K199" s="783"/>
      <c r="L199" s="764"/>
      <c r="M199" s="784"/>
      <c r="N199" s="766"/>
      <c r="O199" s="764"/>
      <c r="P199" s="788"/>
    </row>
    <row r="200" spans="1:17" s="212" customFormat="1" x14ac:dyDescent="0.25">
      <c r="A200" s="387" t="s">
        <v>894</v>
      </c>
      <c r="B200" s="766"/>
      <c r="C200" s="764"/>
      <c r="D200" s="779"/>
      <c r="E200" s="766"/>
      <c r="F200" s="764"/>
      <c r="G200" s="779"/>
      <c r="H200" s="783"/>
      <c r="I200" s="764"/>
      <c r="J200" s="784"/>
      <c r="K200" s="783"/>
      <c r="L200" s="764"/>
      <c r="M200" s="784"/>
      <c r="N200" s="766"/>
      <c r="O200" s="764"/>
      <c r="P200" s="788"/>
    </row>
    <row r="201" spans="1:17" s="212" customFormat="1" x14ac:dyDescent="0.25">
      <c r="A201"/>
      <c r="B201" s="766"/>
      <c r="C201" s="764"/>
      <c r="D201" s="779"/>
      <c r="E201" s="766"/>
      <c r="F201" s="764"/>
      <c r="G201" s="779"/>
      <c r="H201" s="783"/>
      <c r="I201" s="764"/>
      <c r="J201" s="784"/>
      <c r="K201" s="783"/>
      <c r="L201" s="764"/>
      <c r="M201" s="784"/>
      <c r="N201" s="766"/>
      <c r="O201" s="764"/>
      <c r="P201" s="788"/>
    </row>
    <row r="202" spans="1:17" s="212" customFormat="1" x14ac:dyDescent="0.25">
      <c r="A202" t="str">
        <f>ShipTransport!A11</f>
        <v xml:space="preserve"> - Marine Diesel</v>
      </c>
      <c r="B202" s="791">
        <f>Unitflowchart!$S$64*(AllocationPrice!$H$23/100)/Unitflowchart!$S$383*(ShipTransport!J11)*Unitflowchart!$S$79</f>
        <v>0</v>
      </c>
      <c r="C202" s="764">
        <f>(B202/B$383)*100</f>
        <v>0</v>
      </c>
      <c r="D202" s="792">
        <f>Unitflowchart!$S$64*(AllocationPrice!$H$23/100)/Unitflowchart!$S$383*(ShipTransport!K11)*Unitflowchart!$S$79</f>
        <v>0</v>
      </c>
      <c r="E202" s="791">
        <f>Unitflowchart!$S$64*(AllocationPrice!$H$23/100)/Unitflowchart!$S$383*(ShipTransport!P11)*Unitflowchart!$S$79</f>
        <v>0</v>
      </c>
      <c r="F202" s="764">
        <f>(E202/E$383)*100</f>
        <v>0</v>
      </c>
      <c r="G202" s="792">
        <f>Unitflowchart!$S$64*(AllocationPrice!$H$23/100)/Unitflowchart!$S$383*(ShipTransport!Q11)*Unitflowchart!$S$79</f>
        <v>0</v>
      </c>
      <c r="H202" s="793">
        <f>Unitflowchart!$S80*(AllocationPrice!$H$23/100)/Unitflowchart!$S$383*(ShipTransport!V11)*Unitflowchart!$S$79</f>
        <v>0</v>
      </c>
      <c r="I202" s="764">
        <f>(H202/H$383)*100</f>
        <v>0</v>
      </c>
      <c r="J202" s="794">
        <f>Unitflowchart!$S$64*(AllocationPrice!$H$23/100)/Unitflowchart!$S$383*(ShipTransport!W11)*Unitflowchart!$S$79</f>
        <v>0</v>
      </c>
      <c r="K202" s="793">
        <f>Unitflowchart!$S$64*(AllocationPrice!$H$23/100)/Unitflowchart!$S$383*(ShipTransport!AB11)*Unitflowchart!$S$79</f>
        <v>0</v>
      </c>
      <c r="L202" s="764">
        <f>(K202/K$383)*100</f>
        <v>0</v>
      </c>
      <c r="M202" s="794">
        <f>Unitflowchart!$S$64*(AllocationPrice!$H$23/100)/Unitflowchart!$S$383*(ShipTransport!AC11)*Unitflowchart!$S$79</f>
        <v>0</v>
      </c>
      <c r="N202" s="791">
        <f>E202+(GlobalWarmingPotentials!$B$11*H202)+(GlobalWarmingPotentials!$C$11*K202)</f>
        <v>0</v>
      </c>
      <c r="O202" s="764">
        <f>(N202/N$383)*100</f>
        <v>0</v>
      </c>
      <c r="P202" s="796">
        <f>SQRT((G202^2)+((GlobalWarmingPotentials!$B$11*J202)^2)+((GlobalWarmingPotentials!$C$11*M202)^2))</f>
        <v>0</v>
      </c>
    </row>
    <row r="203" spans="1:17" s="212" customFormat="1" x14ac:dyDescent="0.25">
      <c r="A203" t="str">
        <f>ShipTransport!A12</f>
        <v xml:space="preserve"> - Ship Construction</v>
      </c>
      <c r="B203" s="791">
        <f>Unitflowchart!$S$64*(AllocationPrice!$H$23/100)/Unitflowchart!$S$383*(ShipTransport!J12)*Unitflowchart!$S$79</f>
        <v>0</v>
      </c>
      <c r="C203" s="764">
        <f>(B203/B$383)*100</f>
        <v>0</v>
      </c>
      <c r="D203" s="792">
        <f>Unitflowchart!$S$64*(AllocationPrice!$H$23/100)/Unitflowchart!$S$383*(ShipTransport!K12)*Unitflowchart!$S$79</f>
        <v>0</v>
      </c>
      <c r="E203" s="791">
        <f>Unitflowchart!$S$64*(AllocationPrice!$H$23/100)/Unitflowchart!$S$383*(ShipTransport!P12)*Unitflowchart!$S$79</f>
        <v>0</v>
      </c>
      <c r="F203" s="764">
        <f>(E203/E$383)*100</f>
        <v>0</v>
      </c>
      <c r="G203" s="792">
        <f>Unitflowchart!$S$64*(AllocationPrice!$H$23/100)/Unitflowchart!$S$383*(ShipTransport!Q12)*Unitflowchart!$S$79</f>
        <v>0</v>
      </c>
      <c r="H203" s="793">
        <f>Unitflowchart!$S81*(AllocationPrice!$H$23/100)/Unitflowchart!$S$383*(ShipTransport!V12)*Unitflowchart!$S$79</f>
        <v>0</v>
      </c>
      <c r="I203" s="764">
        <f>(H203/H$383)*100</f>
        <v>0</v>
      </c>
      <c r="J203" s="794">
        <f>Unitflowchart!$S$64*(AllocationPrice!$H$23/100)/Unitflowchart!$S$383*(ShipTransport!W12)*Unitflowchart!$S$79</f>
        <v>0</v>
      </c>
      <c r="K203" s="793">
        <f>Unitflowchart!$S$64*(AllocationPrice!$H$23/100)/Unitflowchart!$S$383*(ShipTransport!AB12)*Unitflowchart!$S$79</f>
        <v>0</v>
      </c>
      <c r="L203" s="764">
        <f>(K203/K$383)*100</f>
        <v>0</v>
      </c>
      <c r="M203" s="794">
        <f>Unitflowchart!$S$64*(AllocationPrice!$H$23/100)/Unitflowchart!$S$383*(ShipTransport!AC12)*Unitflowchart!$S$79</f>
        <v>0</v>
      </c>
      <c r="N203" s="791">
        <f>E203+(GlobalWarmingPotentials!$B$11*H203)+(GlobalWarmingPotentials!$C$11*K203)</f>
        <v>0</v>
      </c>
      <c r="O203" s="764">
        <f>(N203/N$383)*100</f>
        <v>0</v>
      </c>
      <c r="P203" s="796">
        <f>SQRT((G203^2)+((GlobalWarmingPotentials!$B$11*J203)^2)+((GlobalWarmingPotentials!$C$11*M203)^2))</f>
        <v>0</v>
      </c>
    </row>
    <row r="204" spans="1:17" s="212" customFormat="1" x14ac:dyDescent="0.25">
      <c r="A204" t="str">
        <f>ShipTransport!A13</f>
        <v xml:space="preserve"> - Ship Maintenance</v>
      </c>
      <c r="B204" s="791">
        <f>Unitflowchart!$S$64*(AllocationPrice!$H$23/100)/Unitflowchart!$S$383*(ShipTransport!J13)*Unitflowchart!$S$79</f>
        <v>0</v>
      </c>
      <c r="C204" s="764">
        <f>(B204/B$383)*100</f>
        <v>0</v>
      </c>
      <c r="D204" s="792">
        <f>Unitflowchart!$S$64*(AllocationPrice!$H$23/100)/Unitflowchart!$S$383*(ShipTransport!K13)*Unitflowchart!$S$79</f>
        <v>0</v>
      </c>
      <c r="E204" s="791">
        <f>Unitflowchart!$S$64*(AllocationPrice!$H$23/100)/Unitflowchart!$S$383*(ShipTransport!P13)*Unitflowchart!$S$79</f>
        <v>0</v>
      </c>
      <c r="F204" s="764">
        <f>(E204/E$383)*100</f>
        <v>0</v>
      </c>
      <c r="G204" s="792">
        <f>Unitflowchart!$S$64*(AllocationPrice!$H$23/100)/Unitflowchart!$S$383*(ShipTransport!Q13)*Unitflowchart!$S$79</f>
        <v>0</v>
      </c>
      <c r="H204" s="793">
        <f>Unitflowchart!$S82*(AllocationPrice!$H$23/100)/Unitflowchart!$S$383*(ShipTransport!V13)*Unitflowchart!$S$79</f>
        <v>0</v>
      </c>
      <c r="I204" s="764">
        <f>(H204/H$383)*100</f>
        <v>0</v>
      </c>
      <c r="J204" s="794">
        <f>Unitflowchart!$S$64*(AllocationPrice!$H$23/100)/Unitflowchart!$S$383*(ShipTransport!W13)*Unitflowchart!$S$79</f>
        <v>0</v>
      </c>
      <c r="K204" s="793">
        <f>Unitflowchart!$S$64*(AllocationPrice!$H$23/100)/Unitflowchart!$S$383*(ShipTransport!AB13)*Unitflowchart!$S$79</f>
        <v>0</v>
      </c>
      <c r="L204" s="764">
        <f>(K204/K$383)*100</f>
        <v>0</v>
      </c>
      <c r="M204" s="794">
        <f>Unitflowchart!$S$64*(AllocationPrice!$H$23/100)/Unitflowchart!$S$383*(ShipTransport!AC13)*Unitflowchart!$S$79</f>
        <v>0</v>
      </c>
      <c r="N204" s="791">
        <f>E204+(GlobalWarmingPotentials!$B$11*H204)+(GlobalWarmingPotentials!$C$11*K204)</f>
        <v>0</v>
      </c>
      <c r="O204" s="764">
        <f>(N204/N$383)*100</f>
        <v>0</v>
      </c>
      <c r="P204" s="796">
        <f>SQRT((G204^2)+((GlobalWarmingPotentials!$B$11*J204)^2)+((GlobalWarmingPotentials!$C$11*M204)^2))</f>
        <v>0</v>
      </c>
    </row>
    <row r="205" spans="1:17" s="212" customFormat="1" x14ac:dyDescent="0.25">
      <c r="A205"/>
      <c r="B205" s="766"/>
      <c r="C205" s="764"/>
      <c r="D205" s="779"/>
      <c r="E205" s="766"/>
      <c r="F205" s="764"/>
      <c r="G205" s="779"/>
      <c r="H205" s="783"/>
      <c r="I205" s="764"/>
      <c r="J205" s="784"/>
      <c r="K205" s="783"/>
      <c r="L205" s="764"/>
      <c r="M205" s="784"/>
      <c r="N205" s="766"/>
      <c r="O205" s="764"/>
      <c r="P205" s="788"/>
    </row>
    <row r="206" spans="1:17" s="212" customFormat="1" x14ac:dyDescent="0.25">
      <c r="A206" s="715" t="s">
        <v>895</v>
      </c>
      <c r="B206" s="797">
        <f>Unitflowchart!$S$64*(AllocationPrice!$H$23/100)/Unitflowchart!$S$383*(ShipTransport!J15)*Unitflowchart!$S$79</f>
        <v>0</v>
      </c>
      <c r="C206" s="789">
        <f>(B206/B$383)*100</f>
        <v>0</v>
      </c>
      <c r="D206" s="798">
        <f>Unitflowchart!$S$64*(AllocationPrice!$H$23/100)/Unitflowchart!$S$383*(ShipTransport!K15)*Unitflowchart!$S$79</f>
        <v>0</v>
      </c>
      <c r="E206" s="797">
        <f>Unitflowchart!$S$64*(AllocationPrice!$H$23/100)/Unitflowchart!$S$383*(ShipTransport!P15)*Unitflowchart!$S$79</f>
        <v>0</v>
      </c>
      <c r="F206" s="789">
        <f>(E206/E$383)*100</f>
        <v>0</v>
      </c>
      <c r="G206" s="798">
        <f>Unitflowchart!$S$64*(AllocationPrice!$H$23/100)/Unitflowchart!$S$383*(ShipTransport!Q15)*Unitflowchart!$S$79</f>
        <v>0</v>
      </c>
      <c r="H206" s="799">
        <f>Unitflowchart!$S84*(AllocationPrice!$H$23/100)/Unitflowchart!$S$383*(ShipTransport!V15)*Unitflowchart!$S$79</f>
        <v>0</v>
      </c>
      <c r="I206" s="789">
        <f>(H206/H$383)*100</f>
        <v>0</v>
      </c>
      <c r="J206" s="800">
        <f>Unitflowchart!$S$64*(AllocationPrice!$H$23/100)/Unitflowchart!$S$383*(ShipTransport!W15)*Unitflowchart!$S$79</f>
        <v>0</v>
      </c>
      <c r="K206" s="799">
        <f>Unitflowchart!$S$64*(AllocationPrice!$H$23/100)/Unitflowchart!$S$383*(ShipTransport!AB15)*Unitflowchart!$S$79</f>
        <v>0</v>
      </c>
      <c r="L206" s="789">
        <f>(K206/K$383)*100</f>
        <v>0</v>
      </c>
      <c r="M206" s="800">
        <f>Unitflowchart!$S$64*(AllocationPrice!$H$23/100)/Unitflowchart!$S$383*(ShipTransport!AC15)*Unitflowchart!$S$79</f>
        <v>0</v>
      </c>
      <c r="N206" s="797">
        <f>E206+(GlobalWarmingPotentials!$B$11*H206)+(GlobalWarmingPotentials!$C$11*K206)</f>
        <v>0</v>
      </c>
      <c r="O206" s="789">
        <f>(N206/N$383)*100</f>
        <v>0</v>
      </c>
      <c r="P206" s="801">
        <f>SQRT((G206^2)+((GlobalWarmingPotentials!$B$11*J206)^2)+((GlobalWarmingPotentials!$C$11*M206)^2))</f>
        <v>0</v>
      </c>
    </row>
    <row r="207" spans="1:17" s="361" customFormat="1" x14ac:dyDescent="0.25">
      <c r="A207" s="777"/>
      <c r="B207" s="780"/>
      <c r="C207" s="774"/>
      <c r="D207" s="781"/>
      <c r="E207" s="780"/>
      <c r="F207" s="774"/>
      <c r="G207" s="781"/>
      <c r="H207" s="785"/>
      <c r="I207" s="774"/>
      <c r="J207" s="786"/>
      <c r="K207" s="785"/>
      <c r="L207" s="774"/>
      <c r="M207" s="786"/>
      <c r="N207" s="780"/>
      <c r="O207" s="774"/>
      <c r="P207" s="781"/>
    </row>
    <row r="208" spans="1:17" x14ac:dyDescent="0.25">
      <c r="A208" s="21" t="s">
        <v>869</v>
      </c>
      <c r="B208" s="768">
        <f>B182+B190+B198+B206</f>
        <v>0</v>
      </c>
      <c r="C208" s="769">
        <f>(B208/B$383)*100</f>
        <v>0</v>
      </c>
      <c r="D208" s="770">
        <f>SQRT((D182^2)+(D190^2)+(D198^2)+(D206^2))</f>
        <v>0</v>
      </c>
      <c r="E208" s="768">
        <f t="shared" ref="E208" si="37">E182+E190+E198+E206</f>
        <v>0</v>
      </c>
      <c r="F208" s="769">
        <f>(E208/E$383)*100</f>
        <v>0</v>
      </c>
      <c r="G208" s="770">
        <f t="shared" ref="G208" si="38">SQRT((G182^2)+(G190^2)+(G198^2)+(G206^2))</f>
        <v>0</v>
      </c>
      <c r="H208" s="771">
        <f t="shared" ref="H208" si="39">H182+H190+H198+H206</f>
        <v>0</v>
      </c>
      <c r="I208" s="769">
        <f>(H208/H$383)*100</f>
        <v>0</v>
      </c>
      <c r="J208" s="772">
        <f t="shared" ref="J208" si="40">SQRT((J182^2)+(J190^2)+(J198^2)+(J206^2))</f>
        <v>0</v>
      </c>
      <c r="K208" s="771">
        <f t="shared" ref="K208" si="41">K182+K190+K198+K206</f>
        <v>0</v>
      </c>
      <c r="L208" s="769">
        <f>(K208/K$383)*100</f>
        <v>0</v>
      </c>
      <c r="M208" s="772">
        <f t="shared" ref="M208" si="42">SQRT((M182^2)+(M190^2)+(M198^2)+(M206^2))</f>
        <v>0</v>
      </c>
      <c r="N208" s="768">
        <f t="shared" ref="N208" si="43">N182+N190+N198+N206</f>
        <v>0</v>
      </c>
      <c r="O208" s="769">
        <f>(N208/N$383)*100</f>
        <v>0</v>
      </c>
      <c r="P208" s="770">
        <f t="shared" ref="P208" si="44">SQRT((P182^2)+(P190^2)+(P198^2)+(P206^2))</f>
        <v>0</v>
      </c>
      <c r="Q208" s="30"/>
    </row>
    <row r="209" spans="1:23" s="43" customFormat="1" x14ac:dyDescent="0.25">
      <c r="A209" s="157"/>
      <c r="B209" s="1006"/>
      <c r="C209" s="1010"/>
      <c r="D209" s="1097"/>
      <c r="E209" s="1006"/>
      <c r="F209" s="1010"/>
      <c r="G209" s="1097"/>
      <c r="H209" s="1012"/>
      <c r="I209" s="1010"/>
      <c r="J209" s="1013"/>
      <c r="K209" s="1012"/>
      <c r="L209" s="1010"/>
      <c r="M209" s="1098"/>
      <c r="N209" s="1006"/>
      <c r="O209" s="1010"/>
      <c r="P209" s="1097"/>
      <c r="Q209" s="852"/>
    </row>
    <row r="210" spans="1:23" x14ac:dyDescent="0.25">
      <c r="A210" s="1438" t="s">
        <v>1809</v>
      </c>
      <c r="B210" s="1006"/>
      <c r="C210" s="1010"/>
      <c r="D210" s="1097"/>
      <c r="E210" s="1006"/>
      <c r="F210" s="1010"/>
      <c r="G210" s="1097"/>
      <c r="H210" s="1012"/>
      <c r="I210" s="1010"/>
      <c r="J210" s="1013"/>
      <c r="K210" s="1012"/>
      <c r="L210" s="1010"/>
      <c r="M210" s="1098"/>
      <c r="N210" s="1006"/>
      <c r="O210" s="1010"/>
      <c r="P210" s="1097"/>
      <c r="Q210" s="852"/>
      <c r="R210" s="43"/>
      <c r="S210" s="43"/>
      <c r="T210" s="43"/>
      <c r="U210" s="43"/>
      <c r="V210" s="43"/>
      <c r="W210" s="43"/>
    </row>
    <row r="211" spans="1:23" x14ac:dyDescent="0.25">
      <c r="A211" s="29"/>
      <c r="B211" s="1006"/>
      <c r="C211" s="1010"/>
      <c r="D211" s="1097"/>
      <c r="E211" s="1006"/>
      <c r="F211" s="1010"/>
      <c r="G211" s="1097"/>
      <c r="H211" s="1012"/>
      <c r="I211" s="1010"/>
      <c r="J211" s="1013"/>
      <c r="K211" s="1012"/>
      <c r="L211" s="1010"/>
      <c r="M211" s="1098"/>
      <c r="N211" s="1006"/>
      <c r="O211" s="1010"/>
      <c r="P211" s="1097"/>
      <c r="Q211" s="852"/>
      <c r="R211" s="43"/>
      <c r="S211" s="43"/>
      <c r="T211" s="43"/>
      <c r="U211" s="43"/>
      <c r="V211" s="43"/>
      <c r="W211" s="43"/>
    </row>
    <row r="212" spans="1:23" x14ac:dyDescent="0.25">
      <c r="A212" s="1095" t="str">
        <f>Milling!A18</f>
        <v>Electricity Input</v>
      </c>
      <c r="B212" s="732">
        <f>(AllocationPrice!$H$23/100)*Milling!J18*(Unitflowchart!$S$312/Unitflowchart!$S$383)</f>
        <v>0</v>
      </c>
      <c r="C212" s="764">
        <f>(B212/B$383)*100</f>
        <v>0</v>
      </c>
      <c r="D212" s="491">
        <f>(AllocationPrice!$H$23/100)*Milling!K18*(Unitflowchart!$S$312/Unitflowchart!$S$383)</f>
        <v>0</v>
      </c>
      <c r="E212" s="732">
        <f>(AllocationPrice!$H$23/100)*Milling!P18*(Unitflowchart!$S$312/Unitflowchart!$S$383)</f>
        <v>0</v>
      </c>
      <c r="F212" s="764">
        <f>(E212/E$383)*100</f>
        <v>0</v>
      </c>
      <c r="G212" s="491">
        <f>(AllocationPrice!$H$23/100)*Milling!Q18*(Unitflowchart!$S$312/Unitflowchart!$S$383)</f>
        <v>0</v>
      </c>
      <c r="H212" s="732">
        <f>(AllocationPrice!$H$23/100)*Milling!V18*(Unitflowchart!$S$312/Unitflowchart!$S$383)</f>
        <v>2.2858900532981945E-3</v>
      </c>
      <c r="I212" s="764">
        <f>(H212/H$383)*100</f>
        <v>0.22866162240563803</v>
      </c>
      <c r="J212" s="491">
        <f>(AllocationPrice!$H$23/100)*Milling!W18*(Unitflowchart!$S$312/Unitflowchart!$S$383)</f>
        <v>0</v>
      </c>
      <c r="K212" s="732">
        <f>(AllocationPrice!$H$23/100)*Milling!AB18*(Unitflowchart!$S$312/Unitflowchart!$S$383)</f>
        <v>6.8576701598945823E-4</v>
      </c>
      <c r="L212" s="764">
        <f>(K212/K$383)*100</f>
        <v>0.31748323954268531</v>
      </c>
      <c r="M212" s="491">
        <f>(AllocationPrice!$H$23/100)*Milling!AC18*(Unitflowchart!$S$312/Unitflowchart!$S$383)</f>
        <v>0</v>
      </c>
      <c r="N212" s="727">
        <f>E212+(GlobalWarmingPotentials!$B$11*H212)+(GlobalWarmingPotentials!$C$11*K212)</f>
        <v>0.25556250795873808</v>
      </c>
      <c r="O212" s="764">
        <f>(N212/N$383)*100</f>
        <v>2.8672664137251197E-2</v>
      </c>
      <c r="P212" s="760">
        <f>SQRT((G212^2)+((GlobalWarmingPotentials!$B$11*J212)^2)+((GlobalWarmingPotentials!$C$11*M212)^2))</f>
        <v>0</v>
      </c>
      <c r="Q212" s="30"/>
    </row>
    <row r="213" spans="1:23" s="43" customFormat="1" x14ac:dyDescent="0.25">
      <c r="A213" s="1096"/>
      <c r="B213" s="1006"/>
      <c r="C213" s="1010"/>
      <c r="D213" s="1097"/>
      <c r="E213" s="1006"/>
      <c r="F213" s="1010"/>
      <c r="G213" s="1097"/>
      <c r="H213" s="1012"/>
      <c r="I213" s="1010"/>
      <c r="J213" s="1013"/>
      <c r="K213" s="1012"/>
      <c r="L213" s="1010"/>
      <c r="M213" s="1098"/>
      <c r="N213" s="1006"/>
      <c r="O213" s="1010"/>
      <c r="P213" s="1097"/>
      <c r="Q213" s="852"/>
    </row>
    <row r="214" spans="1:23" s="7" customFormat="1" x14ac:dyDescent="0.25">
      <c r="A214" s="715" t="s">
        <v>1810</v>
      </c>
      <c r="B214" s="730">
        <f>(AllocationPrice!$H$23/100)*Milling!J18*(Unitflowchart!$S$312/Unitflowchart!$S$383)</f>
        <v>0</v>
      </c>
      <c r="C214" s="15">
        <f>(B214/B$383)*100</f>
        <v>0</v>
      </c>
      <c r="D214" s="740">
        <f>(AllocationPrice!$H$23/100)*Milling!K18*(Unitflowchart!$S$312/Unitflowchart!$S$383)</f>
        <v>0</v>
      </c>
      <c r="E214" s="730">
        <f>(AllocationPrice!$H$23/100)*Milling!P18*(Unitflowchart!$S$312/Unitflowchart!$S$383)</f>
        <v>0</v>
      </c>
      <c r="F214" s="15">
        <f>(E214/E$383)*100</f>
        <v>0</v>
      </c>
      <c r="G214" s="740">
        <f>(AllocationPrice!$H$23/100)*Milling!Q18*(Unitflowchart!$S$312/Unitflowchart!$S$383)</f>
        <v>0</v>
      </c>
      <c r="H214" s="730">
        <f>(AllocationPrice!$H$23/100)*Milling!V18*(Unitflowchart!$S$312/Unitflowchart!$S$383)</f>
        <v>2.2858900532981945E-3</v>
      </c>
      <c r="I214" s="15">
        <f>(H214/H$383)*100</f>
        <v>0.22866162240563803</v>
      </c>
      <c r="J214" s="740">
        <f>(AllocationPrice!$H$23/100)*Milling!W18*(Unitflowchart!$S$312/Unitflowchart!$S$383)</f>
        <v>0</v>
      </c>
      <c r="K214" s="730">
        <f>(AllocationPrice!$H$23/100)*Milling!AB18*(Unitflowchart!$S$312/Unitflowchart!$S$383)</f>
        <v>6.8576701598945823E-4</v>
      </c>
      <c r="L214" s="15">
        <f>(K214/K$383)*100</f>
        <v>0.31748323954268531</v>
      </c>
      <c r="M214" s="740">
        <f>(AllocationPrice!$H$23/100)*Milling!AC18*(Unitflowchart!$S$312/Unitflowchart!$S$383)</f>
        <v>0</v>
      </c>
      <c r="N214" s="730">
        <f>E214+(GlobalWarmingPotentials!$B$11*H214)+(GlobalWarmingPotentials!$C$11*K214)</f>
        <v>0.25556250795873808</v>
      </c>
      <c r="O214" s="15">
        <f>(N214/N$383)*100</f>
        <v>2.8672664137251197E-2</v>
      </c>
      <c r="P214" s="759">
        <f>SQRT((G214^2)+((GlobalWarmingPotentials!$B$11*J214)^2)+((GlobalWarmingPotentials!$C$11*M214)^2))</f>
        <v>0</v>
      </c>
      <c r="Q214" s="29"/>
    </row>
    <row r="215" spans="1:23" x14ac:dyDescent="0.25">
      <c r="B215" s="733"/>
      <c r="D215" s="735"/>
      <c r="E215" s="733"/>
      <c r="G215" s="735"/>
      <c r="H215" s="750"/>
      <c r="J215" s="724"/>
      <c r="K215" s="750"/>
      <c r="M215" s="724"/>
      <c r="N215" s="733"/>
      <c r="P215" s="735"/>
      <c r="Q215" s="30"/>
    </row>
    <row r="216" spans="1:23" x14ac:dyDescent="0.25">
      <c r="A216" s="2" t="s">
        <v>1701</v>
      </c>
      <c r="B216" s="728"/>
      <c r="D216" s="735"/>
      <c r="E216" s="728"/>
      <c r="G216" s="735"/>
      <c r="H216" s="31"/>
      <c r="J216" s="724"/>
      <c r="K216" s="31"/>
      <c r="M216" s="724"/>
      <c r="N216" s="728"/>
      <c r="P216" s="735"/>
      <c r="Q216" s="30"/>
    </row>
    <row r="217" spans="1:23" x14ac:dyDescent="0.25">
      <c r="B217" s="728"/>
      <c r="D217" s="735"/>
      <c r="E217" s="728"/>
      <c r="G217" s="735"/>
      <c r="H217" s="31"/>
      <c r="J217" s="724"/>
      <c r="K217" s="31"/>
      <c r="M217" s="724"/>
      <c r="N217" s="728"/>
      <c r="P217" s="735"/>
      <c r="Q217" s="30"/>
    </row>
    <row r="218" spans="1:23" x14ac:dyDescent="0.25">
      <c r="A218" t="str">
        <f>'Pre-TreatHydrolysis'!A29</f>
        <v>Heat Input</v>
      </c>
      <c r="B218" s="732">
        <f>(AllocationPrice!$H$23/100)*'Pre-TreatHydrolysis'!J29*(Unitflowchart!$S$312/Unitflowchart!$S$383)</f>
        <v>0</v>
      </c>
      <c r="C218" s="26">
        <f t="shared" ref="C218:C229" si="45">(B218/B$383)*100</f>
        <v>0</v>
      </c>
      <c r="D218" s="358">
        <f>(AllocationPrice!$H$23/100)*'Pre-TreatHydrolysis'!K29*(Unitflowchart!$S$312/Unitflowchart!$S$383)</f>
        <v>0</v>
      </c>
      <c r="E218" s="732">
        <f>(AllocationPrice!$H$23/100)*'Pre-TreatHydrolysis'!P29*(Unitflowchart!$S$312/Unitflowchart!$S$383)</f>
        <v>0</v>
      </c>
      <c r="F218" s="26">
        <f t="shared" ref="F218:F229" si="46">(E218/E$383)*100</f>
        <v>0</v>
      </c>
      <c r="G218" s="358">
        <f>(AllocationPrice!$H$23/100)*'Pre-TreatHydrolysis'!Q29*(Unitflowchart!$S$312/Unitflowchart!$S$383)</f>
        <v>0</v>
      </c>
      <c r="H218" s="749">
        <f>(AllocationPrice!$H$23/100)*'Pre-TreatHydrolysis'!V29*(Unitflowchart!$S$312/Unitflowchart!$S$383)</f>
        <v>4.5421214065377727E-3</v>
      </c>
      <c r="I218" s="26">
        <f t="shared" ref="I218:I229" si="47">(H218/H$383)*100</f>
        <v>0.45435643262183578</v>
      </c>
      <c r="J218" s="752">
        <f>(AllocationPrice!$H$23/100)*'Pre-TreatHydrolysis'!W29*(Unitflowchart!$S$312/Unitflowchart!$S$383)</f>
        <v>0</v>
      </c>
      <c r="K218" s="749">
        <f>(AllocationPrice!$H$23/100)*'Pre-TreatHydrolysis'!AB29*(Unitflowchart!$S$312/Unitflowchart!$S$383)</f>
        <v>1.3626364219613315E-3</v>
      </c>
      <c r="L218" s="26">
        <f t="shared" ref="L218:L229" si="48">(K218/K$383)*100</f>
        <v>0.63084723452168368</v>
      </c>
      <c r="M218" s="752">
        <f>(AllocationPrice!$H$23/100)*'Pre-TreatHydrolysis'!AC29*(Unitflowchart!$S$312/Unitflowchart!$S$383)</f>
        <v>0</v>
      </c>
      <c r="N218" s="727">
        <f>E218+(GlobalWarmingPotentials!$B$11*H218)+(GlobalWarmingPotentials!$C$11*K218)</f>
        <v>0.5078091732509229</v>
      </c>
      <c r="O218" s="26">
        <f t="shared" ref="O218:O229" si="49">(N218/N$383)*100</f>
        <v>5.6973309530949444E-2</v>
      </c>
      <c r="P218" s="760">
        <f>SQRT((G218^2)+((GlobalWarmingPotentials!$B$11*J218)^2)+((GlobalWarmingPotentials!$C$11*M218)^2))</f>
        <v>0</v>
      </c>
      <c r="Q218" s="30"/>
    </row>
    <row r="219" spans="1:23" x14ac:dyDescent="0.25">
      <c r="A219" t="str">
        <f>'Pre-TreatHydrolysis'!A30</f>
        <v>Electricity Input</v>
      </c>
      <c r="B219" s="732">
        <f>(AllocationPrice!$H$23/100)*'Pre-TreatHydrolysis'!J30*(Unitflowchart!$S$312/Unitflowchart!$S$383)</f>
        <v>0</v>
      </c>
      <c r="C219" s="26">
        <f t="shared" si="45"/>
        <v>0</v>
      </c>
      <c r="D219" s="358">
        <f>(AllocationPrice!$H$23/100)*'Pre-TreatHydrolysis'!K30*(Unitflowchart!$S$312/Unitflowchart!$S$383)</f>
        <v>0</v>
      </c>
      <c r="E219" s="732">
        <f>(AllocationPrice!$H$23/100)*'Pre-TreatHydrolysis'!P30*(Unitflowchart!$S$312/Unitflowchart!$S$383)</f>
        <v>0</v>
      </c>
      <c r="F219" s="26">
        <f t="shared" si="46"/>
        <v>0</v>
      </c>
      <c r="G219" s="358">
        <f>(AllocationPrice!$H$23/100)*'Pre-TreatHydrolysis'!Q30*(Unitflowchart!$S$312/Unitflowchart!$S$383)</f>
        <v>0</v>
      </c>
      <c r="H219" s="749">
        <f>(AllocationPrice!$H$23/100)*'Pre-TreatHydrolysis'!V30*(Unitflowchart!$S$312/Unitflowchart!$S$383)</f>
        <v>3.4527067165798363E-2</v>
      </c>
      <c r="I219" s="26">
        <f t="shared" si="47"/>
        <v>3.4538035561459188</v>
      </c>
      <c r="J219" s="752">
        <f>(AllocationPrice!$H$23/100)*'Pre-TreatHydrolysis'!W30*(Unitflowchart!$S$312/Unitflowchart!$S$383)</f>
        <v>0</v>
      </c>
      <c r="K219" s="749">
        <f>(AllocationPrice!$H$23/100)*'Pre-TreatHydrolysis'!AB30*(Unitflowchart!$S$312/Unitflowchart!$S$383)</f>
        <v>1.0358120149739506E-2</v>
      </c>
      <c r="L219" s="26">
        <f t="shared" si="48"/>
        <v>4.7954034884089767</v>
      </c>
      <c r="M219" s="752">
        <f>(AllocationPrice!$H$23/100)*'Pre-TreatHydrolysis'!AC30*(Unitflowchart!$S$312/Unitflowchart!$S$383)</f>
        <v>0</v>
      </c>
      <c r="N219" s="727">
        <f>E219+(GlobalWarmingPotentials!$B$11*H219)+(GlobalWarmingPotentials!$C$11*K219)</f>
        <v>3.8601261091362558</v>
      </c>
      <c r="O219" s="26">
        <f t="shared" si="49"/>
        <v>0.43308425926297456</v>
      </c>
      <c r="P219" s="760">
        <f>SQRT((G219^2)+((GlobalWarmingPotentials!$B$11*J219)^2)+((GlobalWarmingPotentials!$C$11*M219)^2))</f>
        <v>0</v>
      </c>
      <c r="Q219" s="30"/>
    </row>
    <row r="220" spans="1:23" x14ac:dyDescent="0.25">
      <c r="A220" t="str">
        <f>'Pre-TreatHydrolysis'!A31</f>
        <v>Sulphuric Acid (93%) Input</v>
      </c>
      <c r="B220" s="732">
        <f>(AllocationPrice!$H$23/100)*'Pre-TreatHydrolysis'!J31*(Unitflowchart!$S$312/Unitflowchart!$S$383)</f>
        <v>439.02109916033982</v>
      </c>
      <c r="C220" s="26">
        <f t="shared" si="45"/>
        <v>3.3915956930542528</v>
      </c>
      <c r="D220" s="358">
        <f>(AllocationPrice!$H$23/100)*'Pre-TreatHydrolysis'!K31*(Unitflowchart!$S$312/Unitflowchart!$S$383)</f>
        <v>493.89873655538236</v>
      </c>
      <c r="E220" s="732">
        <f>(AllocationPrice!$H$23/100)*'Pre-TreatHydrolysis'!P31*(Unitflowchart!$S$312/Unitflowchart!$S$383)</f>
        <v>23.780309537851743</v>
      </c>
      <c r="F220" s="26">
        <f t="shared" si="46"/>
        <v>2.9563465965114522</v>
      </c>
      <c r="G220" s="358">
        <f>(AllocationPrice!$H$23/100)*'Pre-TreatHydrolysis'!Q31*(Unitflowchart!$S$312/Unitflowchart!$S$383)</f>
        <v>29.268073277355988</v>
      </c>
      <c r="H220" s="749">
        <f>(AllocationPrice!$H$23/100)*'Pre-TreatHydrolysis'!V31*(Unitflowchart!$S$312/Unitflowchart!$S$383)</f>
        <v>4.9389873655538229E-2</v>
      </c>
      <c r="I220" s="26">
        <f t="shared" si="47"/>
        <v>4.940556359738272</v>
      </c>
      <c r="J220" s="752">
        <f>(AllocationPrice!$H$23/100)*'Pre-TreatHydrolysis'!W31*(Unitflowchart!$S$312/Unitflowchart!$S$383)</f>
        <v>5.4877637395042471E-2</v>
      </c>
      <c r="K220" s="749">
        <f>(AllocationPrice!$H$23/100)*'Pre-TreatHydrolysis'!AB31*(Unitflowchart!$S$312/Unitflowchart!$S$383)</f>
        <v>3.6585091596694981E-5</v>
      </c>
      <c r="L220" s="26">
        <f t="shared" si="48"/>
        <v>1.693746291125665E-2</v>
      </c>
      <c r="M220" s="752">
        <f>(AllocationPrice!$H$23/100)*'Pre-TreatHydrolysis'!AC31*(Unitflowchart!$S$312/Unitflowchart!$S$383)</f>
        <v>5.4877637395042478E-5</v>
      </c>
      <c r="N220" s="727">
        <f>E220+(GlobalWarmingPotentials!$B$11*H220)+(GlobalWarmingPotentials!$C$11*K220)</f>
        <v>24.927105819041746</v>
      </c>
      <c r="O220" s="26">
        <f t="shared" si="49"/>
        <v>2.7966799151090669</v>
      </c>
      <c r="P220" s="760">
        <f>SQRT((G220^2)+((GlobalWarmingPotentials!$B$11*J220)^2)+((GlobalWarmingPotentials!$C$11*M220)^2))</f>
        <v>29.295281017078786</v>
      </c>
      <c r="Q220" s="30"/>
    </row>
    <row r="221" spans="1:23" x14ac:dyDescent="0.25">
      <c r="A221" t="str">
        <f>'Pre-TreatHydrolysis'!A32</f>
        <v>Caustic Soda Input</v>
      </c>
      <c r="B221" s="732">
        <f>(AllocationPrice!$H$23/100)*'Pre-TreatHydrolysis'!J32*(Unitflowchart!$S$312/Unitflowchart!$S$383)</f>
        <v>0</v>
      </c>
      <c r="C221" s="26">
        <f t="shared" si="45"/>
        <v>0</v>
      </c>
      <c r="D221" s="358">
        <f>(AllocationPrice!$H$23/100)*'Pre-TreatHydrolysis'!K32*(Unitflowchart!$S$312/Unitflowchart!$S$383)</f>
        <v>0</v>
      </c>
      <c r="E221" s="732">
        <f>(AllocationPrice!$H$23/100)*'Pre-TreatHydrolysis'!P32*(Unitflowchart!$S$312/Unitflowchart!$S$383)</f>
        <v>0</v>
      </c>
      <c r="F221" s="26">
        <f t="shared" si="46"/>
        <v>0</v>
      </c>
      <c r="G221" s="358">
        <f>(AllocationPrice!$H$23/100)*'Pre-TreatHydrolysis'!Q32*(Unitflowchart!$S$312/Unitflowchart!$S$383)</f>
        <v>0</v>
      </c>
      <c r="H221" s="749">
        <f>(AllocationPrice!$H$23/100)*'Pre-TreatHydrolysis'!V32*(Unitflowchart!$S$312/Unitflowchart!$S$383)</f>
        <v>0</v>
      </c>
      <c r="I221" s="26">
        <f t="shared" si="47"/>
        <v>0</v>
      </c>
      <c r="J221" s="752">
        <f>(AllocationPrice!$H$23/100)*'Pre-TreatHydrolysis'!W32*(Unitflowchart!$S$312/Unitflowchart!$S$383)</f>
        <v>0</v>
      </c>
      <c r="K221" s="749">
        <f>(AllocationPrice!$H$23/100)*'Pre-TreatHydrolysis'!AB32*(Unitflowchart!$S$312/Unitflowchart!$S$383)</f>
        <v>0</v>
      </c>
      <c r="L221" s="26">
        <f t="shared" si="48"/>
        <v>0</v>
      </c>
      <c r="M221" s="752">
        <f>(AllocationPrice!$H$23/100)*'Pre-TreatHydrolysis'!AC32*(Unitflowchart!$S$312/Unitflowchart!$S$383)</f>
        <v>0</v>
      </c>
      <c r="N221" s="727">
        <f>E221+(GlobalWarmingPotentials!$B$11*H221)+(GlobalWarmingPotentials!$C$11*K221)</f>
        <v>0</v>
      </c>
      <c r="O221" s="26">
        <f t="shared" si="49"/>
        <v>0</v>
      </c>
      <c r="P221" s="760">
        <f>SQRT((G221^2)+((GlobalWarmingPotentials!$B$11*J221)^2)+((GlobalWarmingPotentials!$C$11*M221)^2))</f>
        <v>0</v>
      </c>
      <c r="Q221" s="30"/>
    </row>
    <row r="222" spans="1:23" x14ac:dyDescent="0.25">
      <c r="A222" t="str">
        <f>'Pre-TreatHydrolysis'!A33</f>
        <v>Water Input</v>
      </c>
      <c r="B222" s="732">
        <f>(AllocationPrice!$H$23/100)*'Pre-TreatHydrolysis'!J33*(Unitflowchart!$S$312/Unitflowchart!$S$383)</f>
        <v>0</v>
      </c>
      <c r="C222" s="26">
        <f t="shared" si="45"/>
        <v>0</v>
      </c>
      <c r="D222" s="358">
        <f>(AllocationPrice!$H$23/100)*'Pre-TreatHydrolysis'!K33*(Unitflowchart!$S$312/Unitflowchart!$S$383)</f>
        <v>0</v>
      </c>
      <c r="E222" s="732">
        <f>(AllocationPrice!$H$23/100)*'Pre-TreatHydrolysis'!P33*(Unitflowchart!$S$312/Unitflowchart!$S$383)</f>
        <v>0</v>
      </c>
      <c r="F222" s="26">
        <f t="shared" si="46"/>
        <v>0</v>
      </c>
      <c r="G222" s="358">
        <f>(AllocationPrice!$H$23/100)*'Pre-TreatHydrolysis'!Q33*(Unitflowchart!$S$312/Unitflowchart!$S$383)</f>
        <v>0</v>
      </c>
      <c r="H222" s="749">
        <f>(AllocationPrice!$H$23/100)*'Pre-TreatHydrolysis'!V33*(Unitflowchart!$S$312/Unitflowchart!$S$383)</f>
        <v>0</v>
      </c>
      <c r="I222" s="26">
        <f t="shared" si="47"/>
        <v>0</v>
      </c>
      <c r="J222" s="752">
        <f>(AllocationPrice!$H$23/100)*'Pre-TreatHydrolysis'!W33*(Unitflowchart!$S$312/Unitflowchart!$S$383)</f>
        <v>0</v>
      </c>
      <c r="K222" s="749">
        <f>(AllocationPrice!$H$23/100)*'Pre-TreatHydrolysis'!AB33*(Unitflowchart!$S$312/Unitflowchart!$S$383)</f>
        <v>0</v>
      </c>
      <c r="L222" s="26">
        <f t="shared" si="48"/>
        <v>0</v>
      </c>
      <c r="M222" s="752">
        <f>(AllocationPrice!$H$23/100)*'Pre-TreatHydrolysis'!AC33*(Unitflowchart!$S$312/Unitflowchart!$S$383)</f>
        <v>0</v>
      </c>
      <c r="N222" s="727">
        <f>E222+(GlobalWarmingPotentials!$B$11*H222)+(GlobalWarmingPotentials!$C$11*K222)</f>
        <v>0</v>
      </c>
      <c r="O222" s="26">
        <f t="shared" si="49"/>
        <v>0</v>
      </c>
      <c r="P222" s="760">
        <f>SQRT((G222^2)+((GlobalWarmingPotentials!$B$11*J222)^2)+((GlobalWarmingPotentials!$C$11*M222)^2))</f>
        <v>0</v>
      </c>
      <c r="Q222" s="30"/>
    </row>
    <row r="223" spans="1:23" x14ac:dyDescent="0.25">
      <c r="A223" t="str">
        <f>'Pre-TreatHydrolysis'!A34</f>
        <v>Ammonia Input</v>
      </c>
      <c r="B223" s="732">
        <f>(AllocationPrice!$H$23/100)*'Pre-TreatHydrolysis'!J34*(Unitflowchart!$S$312/Unitflowchart!$S$383)</f>
        <v>3432.542417454617</v>
      </c>
      <c r="C223" s="26">
        <f t="shared" si="45"/>
        <v>26.517623188340846</v>
      </c>
      <c r="D223" s="358">
        <f>(AllocationPrice!$H$23/100)*'Pre-TreatHydrolysis'!K34*(Unitflowchart!$S$312/Unitflowchart!$S$383)</f>
        <v>548.77637395042461</v>
      </c>
      <c r="E223" s="732">
        <f>(AllocationPrice!$H$23/100)*'Pre-TreatHydrolysis'!P34*(Unitflowchart!$S$312/Unitflowchart!$S$383)</f>
        <v>154.94862323306108</v>
      </c>
      <c r="F223" s="26">
        <f t="shared" si="46"/>
        <v>19.263072846047464</v>
      </c>
      <c r="G223" s="358">
        <f>(AllocationPrice!$H$23/100)*'Pre-TreatHydrolysis'!Q34*(Unitflowchart!$S$312/Unitflowchart!$S$383)</f>
        <v>22.596674221488076</v>
      </c>
      <c r="H223" s="749">
        <f>(AllocationPrice!$H$23/100)*'Pre-TreatHydrolysis'!V34*(Unitflowchart!$S$312/Unitflowchart!$S$383)</f>
        <v>0.33464598489918057</v>
      </c>
      <c r="I223" s="26">
        <f t="shared" si="47"/>
        <v>33.475229365546895</v>
      </c>
      <c r="J223" s="752">
        <f>(AllocationPrice!$H$23/100)*'Pre-TreatHydrolysis'!W34*(Unitflowchart!$S$312/Unitflowchart!$S$383)</f>
        <v>5.2725573183472173E-2</v>
      </c>
      <c r="K223" s="749">
        <f>(AllocationPrice!$H$23/100)*'Pre-TreatHydrolysis'!AB34*(Unitflowchart!$S$312/Unitflowchart!$S$383)</f>
        <v>4.1319632862149623E-4</v>
      </c>
      <c r="L223" s="26">
        <f t="shared" si="48"/>
        <v>0.19129369876242805</v>
      </c>
      <c r="M223" s="752">
        <f>(AllocationPrice!$H$23/100)*'Pre-TreatHydrolysis'!AC34*(Unitflowchart!$S$312/Unitflowchart!$S$383)</f>
        <v>1.6893704060826799E-4</v>
      </c>
      <c r="N223" s="727">
        <f>E223+(GlobalWarmingPotentials!$B$11*H223)+(GlobalWarmingPotentials!$C$11*K223)</f>
        <v>162.76778699901422</v>
      </c>
      <c r="O223" s="26">
        <f t="shared" si="49"/>
        <v>18.261622670176198</v>
      </c>
      <c r="P223" s="760">
        <f>SQRT((G223^2)+((GlobalWarmingPotentials!$B$11*J223)^2)+((GlobalWarmingPotentials!$C$11*M223)^2))</f>
        <v>22.629246541549183</v>
      </c>
      <c r="Q223" s="30"/>
    </row>
    <row r="224" spans="1:23" x14ac:dyDescent="0.25">
      <c r="A224" t="str">
        <f>'Pre-TreatHydrolysis'!A35</f>
        <v>Corn Steep Liquor Input</v>
      </c>
      <c r="B224" s="732">
        <f>(AllocationPrice!$H$23/100)*'Pre-TreatHydrolysis'!J35*(Unitflowchart!$S$312/Unitflowchart!$S$383)</f>
        <v>2317.0353052743817</v>
      </c>
      <c r="C224" s="26">
        <f t="shared" si="45"/>
        <v>17.899930042207764</v>
      </c>
      <c r="D224" s="358">
        <f>(AllocationPrice!$H$23/100)*'Pre-TreatHydrolysis'!K35*(Unitflowchart!$S$312/Unitflowchart!$S$383)</f>
        <v>21.569447857643901</v>
      </c>
      <c r="E224" s="732">
        <f>(AllocationPrice!$H$23/100)*'Pre-TreatHydrolysis'!P35*(Unitflowchart!$S$312/Unitflowchart!$S$383)</f>
        <v>123.88684286507934</v>
      </c>
      <c r="F224" s="26">
        <f t="shared" si="46"/>
        <v>15.401500374658822</v>
      </c>
      <c r="G224" s="358">
        <f>(AllocationPrice!$H$23/100)*'Pre-TreatHydrolysis'!Q35*(Unitflowchart!$S$312/Unitflowchart!$S$383)</f>
        <v>12.990551315963438</v>
      </c>
      <c r="H224" s="749">
        <f>(AllocationPrice!$H$23/100)*'Pre-TreatHydrolysis'!V35*(Unitflowchart!$S$312/Unitflowchart!$S$383)</f>
        <v>0.3083270081860372</v>
      </c>
      <c r="I224" s="26">
        <f t="shared" si="47"/>
        <v>30.842495605408125</v>
      </c>
      <c r="J224" s="752">
        <f>(AllocationPrice!$H$23/100)*'Pre-TreatHydrolysis'!W35*(Unitflowchart!$S$312/Unitflowchart!$S$383)</f>
        <v>2.3219235654120913E-3</v>
      </c>
      <c r="K224" s="749">
        <f>(AllocationPrice!$H$23/100)*'Pre-TreatHydrolysis'!AB35*(Unitflowchart!$S$312/Unitflowchart!$S$383)</f>
        <v>0.12171767742897067</v>
      </c>
      <c r="L224" s="26">
        <f t="shared" si="48"/>
        <v>56.350512110887564</v>
      </c>
      <c r="M224" s="752">
        <f>(AllocationPrice!$H$23/100)*'Pre-TreatHydrolysis'!AC35*(Unitflowchart!$S$312/Unitflowchart!$S$383)</f>
        <v>2.4441300688548331E-4</v>
      </c>
      <c r="N224" s="727">
        <f>E224+(GlobalWarmingPotentials!$B$11*H224)+(GlobalWarmingPotentials!$C$11*K224)</f>
        <v>167.00679657233354</v>
      </c>
      <c r="O224" s="26">
        <f t="shared" si="49"/>
        <v>18.737215505530596</v>
      </c>
      <c r="P224" s="760">
        <f>SQRT((G224^2)+((GlobalWarmingPotentials!$B$11*J224)^2)+((GlobalWarmingPotentials!$C$11*M224)^2))</f>
        <v>12.990862538170362</v>
      </c>
      <c r="Q224" s="30"/>
    </row>
    <row r="225" spans="1:17" x14ac:dyDescent="0.25">
      <c r="A225" t="str">
        <f>'Pre-TreatHydrolysis'!A36</f>
        <v>Diammonium Phosphate Input</v>
      </c>
      <c r="B225" s="732">
        <f>(AllocationPrice!$H$23/100)*'Pre-TreatHydrolysis'!J36*(Unitflowchart!$S$312/Unitflowchart!$S$383)</f>
        <v>157.10683619952158</v>
      </c>
      <c r="C225" s="26">
        <f t="shared" si="45"/>
        <v>1.2137067444429861</v>
      </c>
      <c r="D225" s="358">
        <f>(AllocationPrice!$H$23/100)*'Pre-TreatHydrolysis'!K36*(Unitflowchart!$S$312/Unitflowchart!$S$383)</f>
        <v>23.518987455018202</v>
      </c>
      <c r="E225" s="732">
        <f>(AllocationPrice!$H$23/100)*'Pre-TreatHydrolysis'!P36*(Unitflowchart!$S$312/Unitflowchart!$S$383)</f>
        <v>8.7537671307577742</v>
      </c>
      <c r="F225" s="26">
        <f t="shared" si="46"/>
        <v>1.088260420768578</v>
      </c>
      <c r="G225" s="358">
        <f>(AllocationPrice!$H$23/100)*'Pre-TreatHydrolysis'!Q36*(Unitflowchart!$S$312/Unitflowchart!$S$383)</f>
        <v>1.3130650696136661</v>
      </c>
      <c r="H225" s="749">
        <f>(AllocationPrice!$H$23/100)*'Pre-TreatHydrolysis'!V36*(Unitflowchart!$S$312/Unitflowchart!$S$383)</f>
        <v>1.6933670967613106E-2</v>
      </c>
      <c r="I225" s="26">
        <f t="shared" si="47"/>
        <v>1.6939050376245501</v>
      </c>
      <c r="J225" s="752">
        <f>(AllocationPrice!$H$23/100)*'Pre-TreatHydrolysis'!W36*(Unitflowchart!$S$312/Unitflowchart!$S$383)</f>
        <v>2.5400506451419658E-3</v>
      </c>
      <c r="K225" s="749">
        <f>(AllocationPrice!$H$23/100)*'Pre-TreatHydrolysis'!AB36*(Unitflowchart!$S$312/Unitflowchart!$S$383)</f>
        <v>0</v>
      </c>
      <c r="L225" s="26">
        <f t="shared" si="48"/>
        <v>0</v>
      </c>
      <c r="M225" s="752">
        <f>(AllocationPrice!$H$23/100)*'Pre-TreatHydrolysis'!AC36*(Unitflowchart!$S$312/Unitflowchart!$S$383)</f>
        <v>0</v>
      </c>
      <c r="N225" s="727">
        <f>E225+(GlobalWarmingPotentials!$B$11*H225)+(GlobalWarmingPotentials!$C$11*K225)</f>
        <v>9.1432415630128752</v>
      </c>
      <c r="O225" s="26">
        <f t="shared" si="49"/>
        <v>1.0258198534518652</v>
      </c>
      <c r="P225" s="760">
        <f>SQRT((G225^2)+((GlobalWarmingPotentials!$B$11*J225)^2)+((GlobalWarmingPotentials!$C$11*M225)^2))</f>
        <v>1.3143640703932078</v>
      </c>
      <c r="Q225" s="30"/>
    </row>
    <row r="226" spans="1:17" x14ac:dyDescent="0.25">
      <c r="A226" t="str">
        <f>'Pre-TreatHydrolysis'!A37</f>
        <v>Sorbitol Input</v>
      </c>
      <c r="B226" s="732">
        <f>(AllocationPrice!$H$23/100)*'Pre-TreatHydrolysis'!J37*(Unitflowchart!$S$312/Unitflowchart!$S$383)</f>
        <v>41.119798328218096</v>
      </c>
      <c r="C226" s="26">
        <f t="shared" si="45"/>
        <v>0.31766521284734334</v>
      </c>
      <c r="D226" s="358">
        <f>(AllocationPrice!$H$23/100)*'Pre-TreatHydrolysis'!K37*(Unitflowchart!$S$312/Unitflowchart!$S$383)</f>
        <v>6.1871846082645927</v>
      </c>
      <c r="E226" s="732">
        <f>(AllocationPrice!$H$23/100)*'Pre-TreatHydrolysis'!P37*(Unitflowchart!$S$312/Unitflowchart!$S$383)</f>
        <v>2.7630967287840011</v>
      </c>
      <c r="F226" s="26">
        <f t="shared" si="46"/>
        <v>0.34350568889653094</v>
      </c>
      <c r="G226" s="358">
        <f>(AllocationPrice!$H$23/100)*'Pre-TreatHydrolysis'!Q37*(Unitflowchart!$S$312/Unitflowchart!$S$383)</f>
        <v>0.41504095508855648</v>
      </c>
      <c r="H226" s="749">
        <f>(AllocationPrice!$H$23/100)*'Pre-TreatHydrolysis'!V37*(Unitflowchart!$S$312/Unitflowchart!$S$383)</f>
        <v>3.9582609605667892E-3</v>
      </c>
      <c r="I226" s="26">
        <f t="shared" si="47"/>
        <v>0.39595184022178803</v>
      </c>
      <c r="J226" s="752">
        <f>(AllocationPrice!$H$23/100)*'Pre-TreatHydrolysis'!W37*(Unitflowchart!$S$312/Unitflowchart!$S$383)</f>
        <v>5.7644577095632837E-4</v>
      </c>
      <c r="K226" s="749">
        <f>(AllocationPrice!$H$23/100)*'Pre-TreatHydrolysis'!AB37*(Unitflowchart!$S$312/Unitflowchart!$S$383)</f>
        <v>3.9966906786305439E-3</v>
      </c>
      <c r="L226" s="26">
        <f t="shared" si="48"/>
        <v>1.8503110743389617</v>
      </c>
      <c r="M226" s="752">
        <f>(AllocationPrice!$H$23/100)*'Pre-TreatHydrolysis'!AC37*(Unitflowchart!$S$312/Unitflowchart!$S$383)</f>
        <v>6.1487548902008373E-4</v>
      </c>
      <c r="N226" s="727">
        <f>E226+(GlobalWarmingPotentials!$B$11*H226)+(GlobalWarmingPotentials!$C$11*K226)</f>
        <v>4.0371571717516783</v>
      </c>
      <c r="O226" s="26">
        <f t="shared" si="49"/>
        <v>0.45294614057246702</v>
      </c>
      <c r="P226" s="760">
        <f>SQRT((G226^2)+((GlobalWarmingPotentials!$B$11*J226)^2)+((GlobalWarmingPotentials!$C$11*M226)^2))</f>
        <v>0.45338716387343386</v>
      </c>
      <c r="Q226" s="30"/>
    </row>
    <row r="227" spans="1:17" x14ac:dyDescent="0.25">
      <c r="A227" t="str">
        <f>'Pre-TreatHydrolysis'!A38</f>
        <v>Glucose Input</v>
      </c>
      <c r="B227" s="732">
        <f>(AllocationPrice!$H$23/100)*'Pre-TreatHydrolysis'!J38*(Unitflowchart!$S$312/Unitflowchart!$S$383)</f>
        <v>1794.283536396732</v>
      </c>
      <c r="C227" s="26">
        <f t="shared" si="45"/>
        <v>13.8614848484509</v>
      </c>
      <c r="D227" s="358">
        <f>(AllocationPrice!$H$23/100)*'Pre-TreatHydrolysis'!K38*(Unitflowchart!$S$312/Unitflowchart!$S$383)</f>
        <v>269.69976137143425</v>
      </c>
      <c r="E227" s="732">
        <f>(AllocationPrice!$H$23/100)*'Pre-TreatHydrolysis'!P38*(Unitflowchart!$S$312/Unitflowchart!$S$383)</f>
        <v>200.60312829280232</v>
      </c>
      <c r="F227" s="26">
        <f t="shared" si="46"/>
        <v>24.93879966675788</v>
      </c>
      <c r="G227" s="358">
        <f>(AllocationPrice!$H$23/100)*'Pre-TreatHydrolysis'!Q38*(Unitflowchart!$S$312/Unitflowchart!$S$383)</f>
        <v>30.090469243920349</v>
      </c>
      <c r="H227" s="749">
        <f>(AllocationPrice!$H$23/100)*'Pre-TreatHydrolysis'!V38*(Unitflowchart!$S$312/Unitflowchart!$S$383)</f>
        <v>0</v>
      </c>
      <c r="I227" s="26">
        <f t="shared" si="47"/>
        <v>0</v>
      </c>
      <c r="J227" s="752">
        <f>(AllocationPrice!$H$23/100)*'Pre-TreatHydrolysis'!W38*(Unitflowchart!$S$312/Unitflowchart!$S$383)</f>
        <v>0</v>
      </c>
      <c r="K227" s="749">
        <f>(AllocationPrice!$H$23/100)*'Pre-TreatHydrolysis'!AB38*(Unitflowchart!$S$312/Unitflowchart!$S$383)</f>
        <v>0</v>
      </c>
      <c r="L227" s="26">
        <f t="shared" si="48"/>
        <v>0</v>
      </c>
      <c r="M227" s="752">
        <f>(AllocationPrice!$H$23/100)*'Pre-TreatHydrolysis'!AC38*(Unitflowchart!$S$312/Unitflowchart!$S$383)</f>
        <v>0</v>
      </c>
      <c r="N227" s="727">
        <f>E227+(GlobalWarmingPotentials!$B$11*H227)+(GlobalWarmingPotentials!$C$11*K227)</f>
        <v>200.60312829280232</v>
      </c>
      <c r="O227" s="26">
        <f t="shared" si="49"/>
        <v>22.506533404931588</v>
      </c>
      <c r="P227" s="760">
        <f>SQRT((G227^2)+((GlobalWarmingPotentials!$B$11*J227)^2)+((GlobalWarmingPotentials!$C$11*M227)^2))</f>
        <v>30.090469243920349</v>
      </c>
      <c r="Q227" s="30"/>
    </row>
    <row r="228" spans="1:17" x14ac:dyDescent="0.25">
      <c r="A228" t="str">
        <f>'Pre-TreatHydrolysis'!A39</f>
        <v>Hot Nutrient Input</v>
      </c>
      <c r="B228" s="732">
        <f>(AllocationPrice!$H$23/100)*'Pre-TreatHydrolysis'!J39*(Unitflowchart!$S$312/Unitflowchart!$S$383)</f>
        <v>49.497476866116742</v>
      </c>
      <c r="C228" s="26">
        <f t="shared" si="45"/>
        <v>0.38238578892278341</v>
      </c>
      <c r="D228" s="358">
        <f>(AllocationPrice!$H$23/100)*'Pre-TreatHydrolysis'!K39*(Unitflowchart!$S$312/Unitflowchart!$S$383)</f>
        <v>7.439993417143012</v>
      </c>
      <c r="E228" s="732">
        <f>(AllocationPrice!$H$23/100)*'Pre-TreatHydrolysis'!P39*(Unitflowchart!$S$312/Unitflowchart!$S$383)</f>
        <v>5.5338794011807533</v>
      </c>
      <c r="F228" s="26">
        <f t="shared" si="46"/>
        <v>0.68796688735883793</v>
      </c>
      <c r="G228" s="358">
        <f>(AllocationPrice!$H$23/100)*'Pre-TreatHydrolysis'!Q39*(Unitflowchart!$S$312/Unitflowchart!$S$383)</f>
        <v>0.83008191017711308</v>
      </c>
      <c r="H228" s="749">
        <f>(AllocationPrice!$H$23/100)*'Pre-TreatHydrolysis'!V39*(Unitflowchart!$S$312/Unitflowchart!$S$383)</f>
        <v>0</v>
      </c>
      <c r="I228" s="26">
        <f t="shared" si="47"/>
        <v>0</v>
      </c>
      <c r="J228" s="752">
        <f>(AllocationPrice!$H$23/100)*'Pre-TreatHydrolysis'!W39*(Unitflowchart!$S$312/Unitflowchart!$S$383)</f>
        <v>0</v>
      </c>
      <c r="K228" s="749">
        <f>(AllocationPrice!$H$23/100)*'Pre-TreatHydrolysis'!AB39*(Unitflowchart!$S$312/Unitflowchart!$S$383)</f>
        <v>0</v>
      </c>
      <c r="L228" s="26">
        <f t="shared" si="48"/>
        <v>0</v>
      </c>
      <c r="M228" s="752">
        <f>(AllocationPrice!$H$23/100)*'Pre-TreatHydrolysis'!AC39*(Unitflowchart!$S$312/Unitflowchart!$S$383)</f>
        <v>0</v>
      </c>
      <c r="N228" s="727">
        <f>E228+(GlobalWarmingPotentials!$B$11*H228)+(GlobalWarmingPotentials!$C$11*K228)</f>
        <v>5.5338794011807533</v>
      </c>
      <c r="O228" s="26">
        <f t="shared" si="49"/>
        <v>0.62086988703259549</v>
      </c>
      <c r="P228" s="760">
        <f>SQRT((G228^2)+((GlobalWarmingPotentials!$B$11*J228)^2)+((GlobalWarmingPotentials!$C$11*M228)^2))</f>
        <v>0.83008191017711308</v>
      </c>
      <c r="Q228" s="30"/>
    </row>
    <row r="229" spans="1:17" x14ac:dyDescent="0.25">
      <c r="A229" t="str">
        <f>'Pre-TreatHydrolysis'!A40</f>
        <v>Sulphur Dioxide Input</v>
      </c>
      <c r="B229" s="732">
        <f>(AllocationPrice!$H$23/100)*'Pre-TreatHydrolysis'!J40*(Unitflowchart!$S$312/Unitflowchart!$S$383)</f>
        <v>8.4545379740261506</v>
      </c>
      <c r="C229" s="26">
        <f t="shared" si="45"/>
        <v>6.5314342828425728E-2</v>
      </c>
      <c r="D229" s="358">
        <f>(AllocationPrice!$H$23/100)*'Pre-TreatHydrolysis'!K40*(Unitflowchart!$S$312/Unitflowchart!$S$383)</f>
        <v>2.3057830838253137</v>
      </c>
      <c r="E229" s="732">
        <f>(AllocationPrice!$H$23/100)*'Pre-TreatHydrolysis'!P40*(Unitflowchart!$S$312/Unitflowchart!$S$383)</f>
        <v>0.68404898153484306</v>
      </c>
      <c r="F229" s="26">
        <f t="shared" si="46"/>
        <v>8.5040351354078586E-2</v>
      </c>
      <c r="G229" s="358">
        <f>(AllocationPrice!$H$23/100)*'Pre-TreatHydrolysis'!Q40*(Unitflowchart!$S$312/Unitflowchart!$S$383)</f>
        <v>0.18446264670602511</v>
      </c>
      <c r="H229" s="749">
        <f>(AllocationPrice!$H$23/100)*'Pre-TreatHydrolysis'!V40*(Unitflowchart!$S$312/Unitflowchart!$S$383)</f>
        <v>1.9214859031877617E-5</v>
      </c>
      <c r="I229" s="26">
        <f t="shared" si="47"/>
        <v>1.9220963117562524E-3</v>
      </c>
      <c r="J229" s="752">
        <f>(AllocationPrice!$H$23/100)*'Pre-TreatHydrolysis'!W40*(Unitflowchart!$S$312/Unitflowchart!$S$383)</f>
        <v>5.3801605289257322E-6</v>
      </c>
      <c r="K229" s="749">
        <f>(AllocationPrice!$H$23/100)*'Pre-TreatHydrolysis'!AB40*(Unitflowchart!$S$312/Unitflowchart!$S$383)</f>
        <v>5.072722784415691E-6</v>
      </c>
      <c r="L229" s="26">
        <f t="shared" si="48"/>
        <v>2.3484717481994516E-3</v>
      </c>
      <c r="M229" s="752">
        <f>(AllocationPrice!$H$23/100)*'Pre-TreatHydrolysis'!AC40*(Unitflowchart!$S$312/Unitflowchart!$S$383)</f>
        <v>1.3834698502951883E-6</v>
      </c>
      <c r="N229" s="727">
        <f>E229+(GlobalWarmingPotentials!$B$11*H229)+(GlobalWarmingPotentials!$C$11*K229)</f>
        <v>0.68599244923676328</v>
      </c>
      <c r="O229" s="26">
        <f t="shared" si="49"/>
        <v>7.6964462646577858E-2</v>
      </c>
      <c r="P229" s="760">
        <f>SQRT((G229^2)+((GlobalWarmingPotentials!$B$11*J229)^2)+((GlobalWarmingPotentials!$C$11*M229)^2))</f>
        <v>0.18446314276390885</v>
      </c>
      <c r="Q229" s="30"/>
    </row>
    <row r="230" spans="1:17" x14ac:dyDescent="0.25">
      <c r="B230" s="728"/>
      <c r="D230" s="735"/>
      <c r="E230" s="728"/>
      <c r="G230" s="735"/>
      <c r="H230" s="31"/>
      <c r="J230" s="724"/>
      <c r="K230" s="31"/>
      <c r="M230" s="724"/>
      <c r="N230" s="728"/>
      <c r="P230" s="735"/>
      <c r="Q230" s="30"/>
    </row>
    <row r="231" spans="1:17" x14ac:dyDescent="0.25">
      <c r="A231" s="805" t="s">
        <v>1813</v>
      </c>
      <c r="B231" s="730">
        <f>(AllocationPrice!$H$23/100)*'Pre-TreatHydrolysis'!J42*(Unitflowchart!$S$312/Unitflowchart!$S$383)</f>
        <v>8239.0610076539524</v>
      </c>
      <c r="C231" s="15">
        <f>(B231/B$383)*100</f>
        <v>63.649705861095299</v>
      </c>
      <c r="D231" s="740">
        <f>(AllocationPrice!$H$23/100)*'Pre-TreatHydrolysis'!K42*(Unitflowchart!$S$312/Unitflowchart!$S$383)</f>
        <v>786.7316995671614</v>
      </c>
      <c r="E231" s="730">
        <f>(AllocationPrice!$H$23/100)*'Pre-TreatHydrolysis'!P42*(Unitflowchart!$S$312/Unitflowchart!$S$383)</f>
        <v>520.95369617105189</v>
      </c>
      <c r="F231" s="15">
        <f>(E231/E$383)*100</f>
        <v>64.764492832353653</v>
      </c>
      <c r="G231" s="740">
        <f>(AllocationPrice!$H$23/100)*'Pre-TreatHydrolysis'!Q42*(Unitflowchart!$S$312/Unitflowchart!$S$383)</f>
        <v>49.43723316863327</v>
      </c>
      <c r="H231" s="215">
        <f>(AllocationPrice!$H$23/100)*'Pre-TreatHydrolysis'!V42*(Unitflowchart!$S$312/Unitflowchart!$S$383)</f>
        <v>0.75234320210030403</v>
      </c>
      <c r="I231" s="15">
        <f>(H231/H$383)*100</f>
        <v>75.258220293619146</v>
      </c>
      <c r="J231" s="216">
        <f>(AllocationPrice!$H$23/100)*'Pre-TreatHydrolysis'!W42*(Unitflowchart!$S$312/Unitflowchart!$S$383)</f>
        <v>7.618212820986249E-2</v>
      </c>
      <c r="K231" s="215">
        <f>(AllocationPrice!$H$23/100)*'Pre-TreatHydrolysis'!AB42*(Unitflowchart!$S$312/Unitflowchart!$S$383)</f>
        <v>0.13788997882230464</v>
      </c>
      <c r="L231" s="15">
        <f>(K231/K$383)*100</f>
        <v>63.837653541579066</v>
      </c>
      <c r="M231" s="216">
        <f>(AllocationPrice!$H$23/100)*'Pre-TreatHydrolysis'!AC42*(Unitflowchart!$S$312/Unitflowchart!$S$383)</f>
        <v>6.8510056028064849E-4</v>
      </c>
      <c r="N231" s="730">
        <f>E231+(GlobalWarmingPotentials!$B$11*H231)+(GlobalWarmingPotentials!$C$11*K231)</f>
        <v>579.07302355076104</v>
      </c>
      <c r="O231" s="15">
        <f>(N231/N$383)*100</f>
        <v>64.968709408244877</v>
      </c>
      <c r="P231" s="761">
        <f>SQRT((G231^2)+((GlobalWarmingPotentials!$B$11*J231)^2)+((GlobalWarmingPotentials!$C$11*M231)^2))</f>
        <v>49.468690231007074</v>
      </c>
      <c r="Q231" s="30"/>
    </row>
    <row r="232" spans="1:17" x14ac:dyDescent="0.25">
      <c r="B232" s="733"/>
      <c r="D232" s="735"/>
      <c r="E232" s="733"/>
      <c r="G232" s="735"/>
      <c r="H232" s="750"/>
      <c r="J232" s="724"/>
      <c r="K232" s="750"/>
      <c r="M232" s="724"/>
      <c r="N232" s="733"/>
      <c r="P232" s="735"/>
      <c r="Q232" s="30"/>
    </row>
    <row r="233" spans="1:17" x14ac:dyDescent="0.25">
      <c r="A233" s="2" t="s">
        <v>282</v>
      </c>
      <c r="B233" s="728"/>
      <c r="D233" s="735"/>
      <c r="E233" s="728"/>
      <c r="G233" s="735"/>
      <c r="H233" s="31"/>
      <c r="J233" s="724"/>
      <c r="K233" s="31"/>
      <c r="M233" s="724"/>
      <c r="N233" s="728"/>
      <c r="P233" s="735"/>
      <c r="Q233" s="30"/>
    </row>
    <row r="234" spans="1:17" x14ac:dyDescent="0.25">
      <c r="B234" s="728"/>
      <c r="D234" s="735"/>
      <c r="E234" s="728"/>
      <c r="G234" s="735"/>
      <c r="H234" s="31"/>
      <c r="J234" s="724"/>
      <c r="K234" s="31"/>
      <c r="M234" s="724"/>
      <c r="N234" s="728"/>
      <c r="P234" s="735"/>
      <c r="Q234" s="30"/>
    </row>
    <row r="235" spans="1:17" x14ac:dyDescent="0.25">
      <c r="A235" t="str">
        <f>Ferment!A19</f>
        <v>Heat Input</v>
      </c>
      <c r="B235" s="732">
        <f>(AllocationPrice!$H$31/100)*Ferment!J19*Unitflowchart!$S$312/Unitflowchart!$S$383</f>
        <v>0</v>
      </c>
      <c r="C235" s="26">
        <f>(B235/B$383)*100</f>
        <v>0</v>
      </c>
      <c r="D235" s="358">
        <f>(AllocationPrice!$H$31/100)*Ferment!K19*Unitflowchart!$S$312/Unitflowchart!$S$383</f>
        <v>0</v>
      </c>
      <c r="E235" s="732">
        <f>(AllocationPrice!$H$31/100)*Ferment!P19*Unitflowchart!$S$312/Unitflowchart!$S$383</f>
        <v>0</v>
      </c>
      <c r="F235" s="26">
        <f>(E235/E$383)*100</f>
        <v>0</v>
      </c>
      <c r="G235" s="358">
        <f>(AllocationPrice!$H$31/100)*Ferment!Q19*Unitflowchart!$S$312/Unitflowchart!$S$383</f>
        <v>0</v>
      </c>
      <c r="H235" s="749">
        <f>(AllocationPrice!$H$31/100)*Ferment!V19*Unitflowchart!$S$312/Unitflowchart!$S$383</f>
        <v>0</v>
      </c>
      <c r="I235" s="26">
        <f>(H235/H$383)*100</f>
        <v>0</v>
      </c>
      <c r="J235" s="752">
        <f>(AllocationPrice!$H$31/100)*Ferment!W19*Unitflowchart!$S$312/Unitflowchart!$S$383</f>
        <v>0</v>
      </c>
      <c r="K235" s="749">
        <f>(AllocationPrice!$H$31/100)*Ferment!AB19*Unitflowchart!$S$312/Unitflowchart!$S$383</f>
        <v>0</v>
      </c>
      <c r="L235" s="26">
        <f>(K235/K$383)*100</f>
        <v>0</v>
      </c>
      <c r="M235" s="752">
        <f>(AllocationPrice!$H$31/100)*Ferment!AC19*Unitflowchart!$S$312/Unitflowchart!$S$383</f>
        <v>0</v>
      </c>
      <c r="N235" s="727">
        <f>E235+(GlobalWarmingPotentials!$B$11*H235)+(GlobalWarmingPotentials!$C$11*K235)</f>
        <v>0</v>
      </c>
      <c r="O235" s="26">
        <f>(N235/N$383)*100</f>
        <v>0</v>
      </c>
      <c r="P235" s="760">
        <f>SQRT((G235^2)+((GlobalWarmingPotentials!$B$11*J235)^2)+((GlobalWarmingPotentials!$C$11*M235)^2))</f>
        <v>0</v>
      </c>
      <c r="Q235" s="30"/>
    </row>
    <row r="236" spans="1:17" x14ac:dyDescent="0.25">
      <c r="A236" t="str">
        <f>Ferment!A20</f>
        <v>Electricity Input</v>
      </c>
      <c r="B236" s="732">
        <f>(AllocationPrice!$H$31/100)*Ferment!J20*Unitflowchart!$S$312/Unitflowchart!$S$383</f>
        <v>0</v>
      </c>
      <c r="C236" s="26">
        <f>(B236/B$383)*100</f>
        <v>0</v>
      </c>
      <c r="D236" s="358">
        <f>(AllocationPrice!$H$31/100)*Ferment!K20*Unitflowchart!$S$312/Unitflowchart!$S$383</f>
        <v>0</v>
      </c>
      <c r="E236" s="732">
        <f>(AllocationPrice!$H$31/100)*Ferment!P20*Unitflowchart!$S$312/Unitflowchart!$S$383</f>
        <v>0</v>
      </c>
      <c r="F236" s="26">
        <f>(E236/E$383)*100</f>
        <v>0</v>
      </c>
      <c r="G236" s="358">
        <f>(AllocationPrice!$H$31/100)*Ferment!Q20*Unitflowchart!$S$312/Unitflowchart!$S$383</f>
        <v>0</v>
      </c>
      <c r="H236" s="749">
        <f>(AllocationPrice!$H$31/100)*Ferment!V20*Unitflowchart!$S$312/Unitflowchart!$S$383</f>
        <v>3.3882352941176484E-4</v>
      </c>
      <c r="I236" s="26">
        <f>(H236/H$383)*100</f>
        <v>3.3893116527066766E-2</v>
      </c>
      <c r="J236" s="752">
        <f>(AllocationPrice!$H$31/100)*Ferment!W20*Unitflowchart!$S$312/Unitflowchart!$S$383</f>
        <v>0</v>
      </c>
      <c r="K236" s="749">
        <f>(AllocationPrice!$H$31/100)*Ferment!AB20*Unitflowchart!$S$312/Unitflowchart!$S$383</f>
        <v>1.0164705882352942E-4</v>
      </c>
      <c r="L236" s="26">
        <f>(K236/K$383)*100</f>
        <v>4.7058602663642972E-2</v>
      </c>
      <c r="M236" s="752">
        <f>(AllocationPrice!$H$31/100)*Ferment!AC20*Unitflowchart!$S$312/Unitflowchart!$S$383</f>
        <v>0</v>
      </c>
      <c r="N236" s="727">
        <f>E236+(GlobalWarmingPotentials!$B$11*H236)+(GlobalWarmingPotentials!$C$11*K236)</f>
        <v>3.78804705882353E-2</v>
      </c>
      <c r="O236" s="26">
        <f>(N236/N$383)*100</f>
        <v>4.2499739856710714E-3</v>
      </c>
      <c r="P236" s="760">
        <f>SQRT((G236^2)+((GlobalWarmingPotentials!$B$11*J236)^2)+((GlobalWarmingPotentials!$C$11*M236)^2))</f>
        <v>0</v>
      </c>
      <c r="Q236" s="30"/>
    </row>
    <row r="237" spans="1:17" x14ac:dyDescent="0.25">
      <c r="B237" s="728"/>
      <c r="D237" s="735"/>
      <c r="E237" s="728"/>
      <c r="G237" s="735"/>
      <c r="H237" s="31"/>
      <c r="J237" s="724"/>
      <c r="K237" s="31"/>
      <c r="M237" s="724"/>
      <c r="N237" s="728"/>
      <c r="P237" s="735"/>
      <c r="Q237" s="30"/>
    </row>
    <row r="238" spans="1:17" x14ac:dyDescent="0.25">
      <c r="A238" s="218" t="s">
        <v>913</v>
      </c>
      <c r="B238" s="730">
        <f>(AllocationPrice!$H$31/100)*Ferment!J22*Unitflowchart!$S$312/Unitflowchart!$S$383</f>
        <v>0</v>
      </c>
      <c r="C238" s="15">
        <f>(B238/B$383)*100</f>
        <v>0</v>
      </c>
      <c r="D238" s="740">
        <f>(AllocationPrice!$H$31/100)*Ferment!K22*Unitflowchart!$S$312/Unitflowchart!$S$383</f>
        <v>0</v>
      </c>
      <c r="E238" s="730">
        <f>(AllocationPrice!$H$31/100)*Ferment!P22*Unitflowchart!$S$312/Unitflowchart!$S$383</f>
        <v>0</v>
      </c>
      <c r="F238" s="15">
        <f>(E238/E$383)*100</f>
        <v>0</v>
      </c>
      <c r="G238" s="740">
        <f>(AllocationPrice!$H$31/100)*Ferment!Q22*Unitflowchart!$S$312/Unitflowchart!$S$383</f>
        <v>0</v>
      </c>
      <c r="H238" s="215">
        <f>(AllocationPrice!$H$31/100)*Ferment!V22*Unitflowchart!$S$312/Unitflowchart!$S$383</f>
        <v>3.3882352941176484E-4</v>
      </c>
      <c r="I238" s="15">
        <f>(H238/H$383)*100</f>
        <v>3.3893116527066766E-2</v>
      </c>
      <c r="J238" s="216">
        <f>(AllocationPrice!$H$31/100)*Ferment!W22*Unitflowchart!$S$312/Unitflowchart!$S$383</f>
        <v>0</v>
      </c>
      <c r="K238" s="215">
        <f>(AllocationPrice!$H$31/100)*Ferment!AB22*Unitflowchart!$S$312/Unitflowchart!$S$383</f>
        <v>1.0164705882352942E-4</v>
      </c>
      <c r="L238" s="15">
        <f>(K238/K$383)*100</f>
        <v>4.7058602663642972E-2</v>
      </c>
      <c r="M238" s="216">
        <f>(AllocationPrice!$H$31/100)*Ferment!AC22*Unitflowchart!$S$312/Unitflowchart!$S$383</f>
        <v>0</v>
      </c>
      <c r="N238" s="730">
        <f>E238+(GlobalWarmingPotentials!$B$11*H238)+(GlobalWarmingPotentials!$C$11*K238)</f>
        <v>3.78804705882353E-2</v>
      </c>
      <c r="O238" s="15">
        <f>(N238/N$383)*100</f>
        <v>4.2499739856710714E-3</v>
      </c>
      <c r="P238" s="759">
        <f>SQRT((G238^2)+((GlobalWarmingPotentials!$B$11*J238)^2)+((GlobalWarmingPotentials!$C$11*M238)^2))</f>
        <v>0</v>
      </c>
    </row>
    <row r="239" spans="1:17" x14ac:dyDescent="0.25">
      <c r="B239" s="728"/>
      <c r="D239" s="735"/>
      <c r="E239" s="733"/>
      <c r="G239" s="735"/>
      <c r="H239" s="750"/>
      <c r="J239" s="724"/>
      <c r="K239" s="750"/>
      <c r="M239" s="724"/>
      <c r="N239" s="733"/>
      <c r="P239" s="735"/>
      <c r="Q239" s="30"/>
    </row>
    <row r="240" spans="1:17" x14ac:dyDescent="0.25">
      <c r="A240" s="2" t="s">
        <v>1716</v>
      </c>
      <c r="B240" s="728"/>
      <c r="D240" s="735"/>
      <c r="E240" s="728"/>
      <c r="G240" s="735"/>
      <c r="H240" s="31"/>
      <c r="J240" s="724"/>
      <c r="K240" s="31"/>
      <c r="M240" s="724"/>
      <c r="N240" s="728"/>
      <c r="P240" s="735"/>
      <c r="Q240" s="30"/>
    </row>
    <row r="241" spans="1:17" x14ac:dyDescent="0.25">
      <c r="B241" s="728"/>
      <c r="D241" s="735"/>
      <c r="E241" s="728"/>
      <c r="G241" s="735"/>
      <c r="H241" s="31"/>
      <c r="J241" s="724"/>
      <c r="K241" s="31"/>
      <c r="M241" s="724"/>
      <c r="N241" s="728"/>
      <c r="P241" s="735"/>
      <c r="Q241" s="30"/>
    </row>
    <row r="242" spans="1:17" x14ac:dyDescent="0.25">
      <c r="A242" t="str">
        <f>EthanolRecovery!A19</f>
        <v>Heat Input</v>
      </c>
      <c r="B242" s="732">
        <f>(AllocationPrice!$H$36/100)*EthanolRecovery!J19*(Unitflowchart!$S$312/Unitflowchart!$S$383)</f>
        <v>0</v>
      </c>
      <c r="C242" s="26">
        <f>(B242/B$383)*100</f>
        <v>0</v>
      </c>
      <c r="D242" s="358">
        <f>(AllocationPrice!$H$36/100)*EthanolRecovery!K19*(Unitflowchart!$S$312/Unitflowchart!$S$383)</f>
        <v>0</v>
      </c>
      <c r="E242" s="732">
        <f>(AllocationPrice!$H$36/100)*EthanolRecovery!P19*(Unitflowchart!$S$312/Unitflowchart!$S$383)</f>
        <v>0</v>
      </c>
      <c r="F242" s="26">
        <f>(E242/E$383)*100</f>
        <v>0</v>
      </c>
      <c r="G242" s="358">
        <f>(AllocationPrice!$H$36/100)*EthanolRecovery!Q19*(Unitflowchart!$S$312/Unitflowchart!$S$383)</f>
        <v>0</v>
      </c>
      <c r="H242" s="749">
        <f>(AllocationPrice!$H$36/100)*EthanolRecovery!V19*(Unitflowchart!$S$312/Unitflowchart!$S$383)</f>
        <v>2.9162823529411769E-2</v>
      </c>
      <c r="I242" s="26">
        <f>(H242/H$383)*100</f>
        <v>2.9172087837484084</v>
      </c>
      <c r="J242" s="752">
        <f>(AllocationPrice!$H$36/100)*EthanolRecovery!W19*(Unitflowchart!$S$312/Unitflowchart!$S$383)</f>
        <v>0</v>
      </c>
      <c r="K242" s="749">
        <f>(AllocationPrice!$H$36/100)*EthanolRecovery!AB19*(Unitflowchart!$S$312/Unitflowchart!$S$383)</f>
        <v>8.7488470588235299E-3</v>
      </c>
      <c r="L242" s="26">
        <f>(K242/K$383)*100</f>
        <v>4.0503731467619701</v>
      </c>
      <c r="M242" s="752">
        <f>(AllocationPrice!$H$36/100)*EthanolRecovery!AC19*(Unitflowchart!$S$312/Unitflowchart!$S$383)</f>
        <v>0</v>
      </c>
      <c r="N242" s="727">
        <f>E242+(GlobalWarmingPotentials!$B$11*H242)+(GlobalWarmingPotentials!$C$11*K242)</f>
        <v>3.2604036705882353</v>
      </c>
      <c r="O242" s="26">
        <f>(N242/N$383)*100</f>
        <v>0.36579880259169711</v>
      </c>
      <c r="P242" s="760">
        <f>SQRT((G242^2)+((GlobalWarmingPotentials!$B$11*J242)^2)+((GlobalWarmingPotentials!$C$11*M242)^2))</f>
        <v>0</v>
      </c>
      <c r="Q242" s="30"/>
    </row>
    <row r="243" spans="1:17" x14ac:dyDescent="0.25">
      <c r="A243" t="str">
        <f>EthanolRecovery!A20</f>
        <v>Electricity Input</v>
      </c>
      <c r="B243" s="732">
        <f>(AllocationPrice!$H$36/100)*EthanolRecovery!J20*(Unitflowchart!$S$312/Unitflowchart!$S$383)</f>
        <v>0</v>
      </c>
      <c r="C243" s="26">
        <f>(B243/B$383)*100</f>
        <v>0</v>
      </c>
      <c r="D243" s="358">
        <f>(AllocationPrice!$H$36/100)*EthanolRecovery!K20*(Unitflowchart!$S$312/Unitflowchart!$S$383)</f>
        <v>0</v>
      </c>
      <c r="E243" s="732">
        <f>(AllocationPrice!$H$36/100)*EthanolRecovery!P20*(Unitflowchart!$S$312/Unitflowchart!$S$383)</f>
        <v>0</v>
      </c>
      <c r="F243" s="26">
        <f>(E243/E$383)*100</f>
        <v>0</v>
      </c>
      <c r="G243" s="358">
        <f>(AllocationPrice!$H$36/100)*EthanolRecovery!Q20*(Unitflowchart!$S$312/Unitflowchart!$S$383)</f>
        <v>0</v>
      </c>
      <c r="H243" s="749">
        <f>(AllocationPrice!$H$36/100)*EthanolRecovery!V20*(Unitflowchart!$S$312/Unitflowchart!$S$383)</f>
        <v>2.6371764705882361E-3</v>
      </c>
      <c r="I243" s="26">
        <f>(H243/H$383)*100</f>
        <v>0.26380142363566966</v>
      </c>
      <c r="J243" s="752">
        <f>(AllocationPrice!$H$36/100)*EthanolRecovery!W20*(Unitflowchart!$S$312/Unitflowchart!$S$383)</f>
        <v>0</v>
      </c>
      <c r="K243" s="749">
        <f>(AllocationPrice!$H$36/100)*EthanolRecovery!AB20*(Unitflowchart!$S$312/Unitflowchart!$S$383)</f>
        <v>7.9115294117647068E-4</v>
      </c>
      <c r="L243" s="26">
        <f>(K243/K$383)*100</f>
        <v>0.36627279073202113</v>
      </c>
      <c r="M243" s="752">
        <f>(AllocationPrice!$H$36/100)*EthanolRecovery!AC20*(Unitflowchart!$S$312/Unitflowchart!$S$383)</f>
        <v>0</v>
      </c>
      <c r="N243" s="727">
        <f>E243+(GlobalWarmingPotentials!$B$11*H243)+(GlobalWarmingPotentials!$C$11*K243)</f>
        <v>0.29483632941176474</v>
      </c>
      <c r="O243" s="26">
        <f>(N243/N$383)*100</f>
        <v>3.307896418847317E-2</v>
      </c>
      <c r="P243" s="760">
        <f>SQRT((G243^2)+((GlobalWarmingPotentials!$B$11*J243)^2)+((GlobalWarmingPotentials!$C$11*M243)^2))</f>
        <v>0</v>
      </c>
      <c r="Q243" s="30"/>
    </row>
    <row r="244" spans="1:17" x14ac:dyDescent="0.25">
      <c r="B244" s="728"/>
      <c r="D244" s="735"/>
      <c r="E244" s="728"/>
      <c r="G244" s="735"/>
      <c r="H244" s="31"/>
      <c r="J244" s="724"/>
      <c r="K244" s="31"/>
      <c r="M244" s="724"/>
      <c r="N244" s="728"/>
      <c r="P244" s="735"/>
      <c r="Q244" s="30"/>
    </row>
    <row r="245" spans="1:17" x14ac:dyDescent="0.25">
      <c r="A245" s="218" t="s">
        <v>1825</v>
      </c>
      <c r="B245" s="730">
        <f>(AllocationPrice!$H$36/100)*EthanolRecovery!J22*(Unitflowchart!$S$312/Unitflowchart!$S$383)</f>
        <v>0</v>
      </c>
      <c r="C245" s="15">
        <f>(B245/B$383)*100</f>
        <v>0</v>
      </c>
      <c r="D245" s="740">
        <f>(AllocationPrice!$H$36/100)*EthanolRecovery!K22*(Unitflowchart!$S$312/Unitflowchart!$S$383)</f>
        <v>0</v>
      </c>
      <c r="E245" s="730">
        <f>(AllocationPrice!$H$36/100)*EthanolRecovery!P22*(Unitflowchart!$S$312/Unitflowchart!$S$383)</f>
        <v>0</v>
      </c>
      <c r="F245" s="15">
        <f>(E245/E$383)*100</f>
        <v>0</v>
      </c>
      <c r="G245" s="740">
        <f>(AllocationPrice!$H$36/100)*EthanolRecovery!Q22*(Unitflowchart!$S$312/Unitflowchart!$S$383)</f>
        <v>0</v>
      </c>
      <c r="H245" s="215">
        <f>(AllocationPrice!$H$36/100)*EthanolRecovery!V22*(Unitflowchart!$S$312/Unitflowchart!$S$383)</f>
        <v>3.1800000000000002E-2</v>
      </c>
      <c r="I245" s="15">
        <f>(H245/H$383)*100</f>
        <v>3.1810102073840776</v>
      </c>
      <c r="J245" s="216">
        <f>(AllocationPrice!$H$36/100)*EthanolRecovery!W22*(Unitflowchart!$S$312/Unitflowchart!$S$383)</f>
        <v>0</v>
      </c>
      <c r="K245" s="215">
        <f>(AllocationPrice!$H$36/100)*EthanolRecovery!AB22*(Unitflowchart!$S$312/Unitflowchart!$S$383)</f>
        <v>9.5399999999999999E-3</v>
      </c>
      <c r="L245" s="15">
        <f>(K245/K$383)*100</f>
        <v>4.4166459374939908</v>
      </c>
      <c r="M245" s="216">
        <f>(AllocationPrice!$H$36/100)*EthanolRecovery!AC22*(Unitflowchart!$S$312/Unitflowchart!$S$383)</f>
        <v>0</v>
      </c>
      <c r="N245" s="730">
        <f>E245+(GlobalWarmingPotentials!$B$11*H245)+(GlobalWarmingPotentials!$C$11*K245)</f>
        <v>3.5552400000000004</v>
      </c>
      <c r="O245" s="15">
        <f>(N245/N$383)*100</f>
        <v>0.39887776678017034</v>
      </c>
      <c r="P245" s="759">
        <f>SQRT((G245^2)+((GlobalWarmingPotentials!$B$11*J245)^2)+((GlobalWarmingPotentials!$C$11*M245)^2))</f>
        <v>0</v>
      </c>
    </row>
    <row r="246" spans="1:17" x14ac:dyDescent="0.25">
      <c r="B246" s="733"/>
      <c r="D246" s="735"/>
      <c r="E246" s="733"/>
      <c r="G246" s="735"/>
      <c r="H246" s="750"/>
      <c r="J246" s="724"/>
      <c r="K246" s="750"/>
      <c r="M246" s="724"/>
      <c r="N246" s="733"/>
      <c r="P246" s="735"/>
      <c r="Q246" s="30"/>
    </row>
    <row r="247" spans="1:17" x14ac:dyDescent="0.25">
      <c r="A247" s="2" t="s">
        <v>1721</v>
      </c>
      <c r="B247" s="728"/>
      <c r="D247" s="735"/>
      <c r="E247" s="728"/>
      <c r="G247" s="735"/>
      <c r="H247" s="31"/>
      <c r="J247" s="724"/>
      <c r="K247" s="31"/>
      <c r="M247" s="724"/>
      <c r="N247" s="728"/>
      <c r="P247" s="735"/>
      <c r="Q247" s="30"/>
    </row>
    <row r="248" spans="1:17" x14ac:dyDescent="0.25">
      <c r="B248" s="728"/>
      <c r="D248" s="735"/>
      <c r="E248" s="728"/>
      <c r="G248" s="735"/>
      <c r="H248" s="31"/>
      <c r="J248" s="724"/>
      <c r="K248" s="31"/>
      <c r="M248" s="724"/>
      <c r="N248" s="728"/>
      <c r="P248" s="735"/>
      <c r="Q248" s="30"/>
    </row>
    <row r="249" spans="1:17" x14ac:dyDescent="0.25">
      <c r="A249" t="str">
        <f>WasteSolidFilter!A19</f>
        <v>Heat Input</v>
      </c>
      <c r="B249" s="732">
        <f>(AllocationPrice!$H$39/100)*WasteSolidFilter!J19*(Unitflowchart!$S$312/Unitflowchart!$S$383)</f>
        <v>0</v>
      </c>
      <c r="C249" s="26">
        <f>(B249/B$383)*100</f>
        <v>0</v>
      </c>
      <c r="D249" s="358">
        <f>(AllocationPrice!$H$39/100)*WasteSolidFilter!K19*(Unitflowchart!$S$312/Unitflowchart!$S$383)</f>
        <v>0</v>
      </c>
      <c r="E249" s="732">
        <f>(AllocationPrice!$H$39/100)*WasteSolidFilter!P19*(Unitflowchart!$S$312/Unitflowchart!$S$383)</f>
        <v>0</v>
      </c>
      <c r="F249" s="26">
        <f>(E249/E$383)*100</f>
        <v>0</v>
      </c>
      <c r="G249" s="358">
        <f>(AllocationPrice!$H$39/100)*WasteSolidFilter!Q19*(Unitflowchart!$S$312/Unitflowchart!$S$383)</f>
        <v>0</v>
      </c>
      <c r="H249" s="749">
        <f>(AllocationPrice!$H$39/100)*WasteSolidFilter!V19*(Unitflowchart!$S$312/Unitflowchart!$S$383)</f>
        <v>0</v>
      </c>
      <c r="I249" s="26">
        <f>(H249/H$383)*100</f>
        <v>0</v>
      </c>
      <c r="J249" s="752">
        <f>(AllocationPrice!$H$39/100)*WasteSolidFilter!W19*(Unitflowchart!$S$312/Unitflowchart!$S$383)</f>
        <v>0</v>
      </c>
      <c r="K249" s="749">
        <f>(AllocationPrice!$H$39/100)*WasteSolidFilter!AB19*(Unitflowchart!$S$312/Unitflowchart!$S$383)</f>
        <v>0</v>
      </c>
      <c r="L249" s="26">
        <f>(K249/K$383)*100</f>
        <v>0</v>
      </c>
      <c r="M249" s="752">
        <f>(AllocationPrice!$H$39/100)*WasteSolidFilter!AC19*(Unitflowchart!$S$312/Unitflowchart!$S$383)</f>
        <v>0</v>
      </c>
      <c r="N249" s="727">
        <f>E249+(GlobalWarmingPotentials!$B$11*H249)+(GlobalWarmingPotentials!$C$11*K249)</f>
        <v>0</v>
      </c>
      <c r="O249" s="26">
        <f>(N249/N$383)*100</f>
        <v>0</v>
      </c>
      <c r="P249" s="760">
        <f>SQRT((G249^2)+((GlobalWarmingPotentials!$B$11*J249)^2)+((GlobalWarmingPotentials!$C$11*M249)^2))</f>
        <v>0</v>
      </c>
      <c r="Q249" s="30"/>
    </row>
    <row r="250" spans="1:17" x14ac:dyDescent="0.25">
      <c r="A250" t="str">
        <f>WasteSolidFilter!A20</f>
        <v>Electricity Input</v>
      </c>
      <c r="B250" s="732">
        <f>(AllocationPrice!$H$39/100)*WasteSolidFilter!J20*(Unitflowchart!$S$312/Unitflowchart!$S$383)</f>
        <v>0</v>
      </c>
      <c r="C250" s="26">
        <f>(B250/B$383)*100</f>
        <v>0</v>
      </c>
      <c r="D250" s="358">
        <f>(AllocationPrice!$H$39/100)*WasteSolidFilter!K20*(Unitflowchart!$S$312/Unitflowchart!$S$383)</f>
        <v>0</v>
      </c>
      <c r="E250" s="732">
        <f>(AllocationPrice!$H$39/100)*WasteSolidFilter!P20*(Unitflowchart!$S$312/Unitflowchart!$S$383)</f>
        <v>0</v>
      </c>
      <c r="F250" s="26">
        <f>(E250/E$383)*100</f>
        <v>0</v>
      </c>
      <c r="G250" s="358">
        <f>(AllocationPrice!$H$39/100)*WasteSolidFilter!Q20*(Unitflowchart!$S$312/Unitflowchart!$S$383)</f>
        <v>0</v>
      </c>
      <c r="H250" s="749">
        <f>(AllocationPrice!$H$39/100)*WasteSolidFilter!V20*(Unitflowchart!$S$312/Unitflowchart!$S$383)</f>
        <v>2.5182405314136485E-3</v>
      </c>
      <c r="I250" s="26">
        <f>(H250/H$383)*100</f>
        <v>0.25190405141745659</v>
      </c>
      <c r="J250" s="752">
        <f>(AllocationPrice!$H$39/100)*WasteSolidFilter!W20*(Unitflowchart!$S$312/Unitflowchart!$S$383)</f>
        <v>0</v>
      </c>
      <c r="K250" s="749">
        <f>(AllocationPrice!$H$39/100)*WasteSolidFilter!AB20*(Unitflowchart!$S$312/Unitflowchart!$S$383)</f>
        <v>7.5547215942409446E-4</v>
      </c>
      <c r="L250" s="26">
        <f>(K250/K$383)*100</f>
        <v>0.34975398782077982</v>
      </c>
      <c r="M250" s="752">
        <f>(AllocationPrice!$H$39/100)*WasteSolidFilter!AC20*(Unitflowchart!$S$312/Unitflowchart!$S$383)</f>
        <v>0</v>
      </c>
      <c r="N250" s="727">
        <f>E250+(GlobalWarmingPotentials!$B$11*H250)+(GlobalWarmingPotentials!$C$11*K250)</f>
        <v>0.28153929141204587</v>
      </c>
      <c r="O250" s="26">
        <f>(N250/N$383)*100</f>
        <v>3.1587111930364314E-2</v>
      </c>
      <c r="P250" s="760">
        <f>SQRT((G250^2)+((GlobalWarmingPotentials!$B$11*J250)^2)+((GlobalWarmingPotentials!$C$11*M250)^2))</f>
        <v>0</v>
      </c>
      <c r="Q250" s="30"/>
    </row>
    <row r="251" spans="1:17" x14ac:dyDescent="0.25">
      <c r="B251" s="728"/>
      <c r="D251" s="735"/>
      <c r="E251" s="728"/>
      <c r="G251" s="735"/>
      <c r="H251" s="31"/>
      <c r="J251" s="724"/>
      <c r="K251" s="31"/>
      <c r="M251" s="724"/>
      <c r="N251" s="728"/>
      <c r="P251" s="735"/>
      <c r="Q251" s="30"/>
    </row>
    <row r="252" spans="1:17" x14ac:dyDescent="0.25">
      <c r="A252" s="218" t="s">
        <v>1826</v>
      </c>
      <c r="B252" s="730">
        <f>(AllocationPrice!$H$39/100)*WasteSolidFilter!J22*(Unitflowchart!$S$312/Unitflowchart!$S$383)</f>
        <v>0</v>
      </c>
      <c r="C252" s="15">
        <f>(B252/B$383)*100</f>
        <v>0</v>
      </c>
      <c r="D252" s="740">
        <f>(AllocationPrice!$H$39/100)*WasteSolidFilter!K22*(Unitflowchart!$S$312/Unitflowchart!$S$383)</f>
        <v>0</v>
      </c>
      <c r="E252" s="730">
        <f>(AllocationPrice!$H$39/100)*WasteSolidFilter!P22*(Unitflowchart!$S$312/Unitflowchart!$S$383)</f>
        <v>0</v>
      </c>
      <c r="F252" s="15">
        <f>(E252/E$383)*100</f>
        <v>0</v>
      </c>
      <c r="G252" s="740">
        <f>(AllocationPrice!$H$39/100)*WasteSolidFilter!Q22*(Unitflowchart!$S$312/Unitflowchart!$S$383)</f>
        <v>0</v>
      </c>
      <c r="H252" s="215">
        <f>(AllocationPrice!$H$39/100)*WasteSolidFilter!V22*(Unitflowchart!$S$312/Unitflowchart!$S$383)</f>
        <v>2.5182405314136485E-3</v>
      </c>
      <c r="I252" s="15">
        <f>(H252/H$383)*100</f>
        <v>0.25190405141745659</v>
      </c>
      <c r="J252" s="216">
        <f>(AllocationPrice!$H$39/100)*WasteSolidFilter!W22*(Unitflowchart!$S$312/Unitflowchart!$S$383)</f>
        <v>0</v>
      </c>
      <c r="K252" s="215">
        <f>(AllocationPrice!$H$39/100)*WasteSolidFilter!AB22*(Unitflowchart!$S$312/Unitflowchart!$S$383)</f>
        <v>7.5547215942409446E-4</v>
      </c>
      <c r="L252" s="15">
        <f>(K252/K$383)*100</f>
        <v>0.34975398782077982</v>
      </c>
      <c r="M252" s="216">
        <f>(AllocationPrice!$H$39/100)*WasteSolidFilter!AC22*(Unitflowchart!$S$312/Unitflowchart!$S$383)</f>
        <v>0</v>
      </c>
      <c r="N252" s="730">
        <f>E252+(GlobalWarmingPotentials!$B$11*H252)+(GlobalWarmingPotentials!$C$11*K252)</f>
        <v>0.28153929141204587</v>
      </c>
      <c r="O252" s="15">
        <f>(N252/N$383)*100</f>
        <v>3.1587111930364314E-2</v>
      </c>
      <c r="P252" s="761">
        <f>SQRT((G252^2)+((GlobalWarmingPotentials!$B$11*J252)^2)+((GlobalWarmingPotentials!$C$11*M252)^2))</f>
        <v>0</v>
      </c>
      <c r="Q252" s="30"/>
    </row>
    <row r="253" spans="1:17" x14ac:dyDescent="0.25">
      <c r="B253" s="733"/>
      <c r="D253" s="735"/>
      <c r="E253" s="733"/>
      <c r="G253" s="735"/>
      <c r="H253" s="750"/>
      <c r="J253" s="724"/>
      <c r="K253" s="750"/>
      <c r="M253" s="724"/>
      <c r="N253" s="733"/>
      <c r="P253" s="735"/>
      <c r="Q253" s="30"/>
    </row>
    <row r="254" spans="1:17" x14ac:dyDescent="0.25">
      <c r="A254" s="2" t="s">
        <v>905</v>
      </c>
      <c r="B254" s="728"/>
      <c r="D254" s="735"/>
      <c r="E254" s="728"/>
      <c r="G254" s="735"/>
      <c r="H254" s="31"/>
      <c r="J254" s="724"/>
      <c r="K254" s="31"/>
      <c r="M254" s="724"/>
      <c r="N254" s="728"/>
      <c r="P254" s="735"/>
      <c r="Q254" s="30"/>
    </row>
    <row r="255" spans="1:17" x14ac:dyDescent="0.25">
      <c r="B255" s="728"/>
      <c r="D255" s="735"/>
      <c r="E255" s="728"/>
      <c r="G255" s="735"/>
      <c r="H255" s="31"/>
      <c r="J255" s="724"/>
      <c r="K255" s="31"/>
      <c r="M255" s="724"/>
      <c r="N255" s="728"/>
      <c r="P255" s="735"/>
      <c r="Q255" s="30"/>
    </row>
    <row r="256" spans="1:17" x14ac:dyDescent="0.25">
      <c r="A256" t="str">
        <f>AnaerobicDigestion!A19</f>
        <v>Electricity Input</v>
      </c>
      <c r="B256" s="732">
        <f>(AllocationPrice!$H$39/100)*AnaerobicDigestion!J19*(Unitflowchart!$S$312/Unitflowchart!$S$383)</f>
        <v>0</v>
      </c>
      <c r="C256" s="26">
        <f>(B256/B$383)*100</f>
        <v>0</v>
      </c>
      <c r="D256" s="358">
        <f>(AllocationPrice!$H$39/100)*AnaerobicDigestion!K19*(Unitflowchart!$S$312/Unitflowchart!$S$383)</f>
        <v>0</v>
      </c>
      <c r="E256" s="732">
        <f>(AllocationPrice!$H$39/100)*AnaerobicDigestion!P19*(Unitflowchart!$S$312/Unitflowchart!$S$383)</f>
        <v>0</v>
      </c>
      <c r="F256" s="26">
        <f>(E256/E$383)*100</f>
        <v>0</v>
      </c>
      <c r="G256" s="358">
        <f>(AllocationPrice!$H$39/100)*AnaerobicDigestion!Q19*(Unitflowchart!$S$312/Unitflowchart!$S$383)</f>
        <v>0</v>
      </c>
      <c r="H256" s="749">
        <f>(AllocationPrice!$H$39/100)*AnaerobicDigestion!V19*(Unitflowchart!$S$312/Unitflowchart!$S$383)</f>
        <v>6.3176470588235294E-3</v>
      </c>
      <c r="I256" s="26">
        <f>(H256/H$383)*100</f>
        <v>0.6319654019109322</v>
      </c>
      <c r="J256" s="752">
        <f>(AllocationPrice!$H$39/100)*AnaerobicDigestion!W19*(Unitflowchart!$S$312/Unitflowchart!$S$383)</f>
        <v>0</v>
      </c>
      <c r="K256" s="749">
        <f>(AllocationPrice!$H$39/100)*AnaerobicDigestion!AB19*(Unitflowchart!$S$312/Unitflowchart!$S$383)</f>
        <v>1.8952941176470584E-3</v>
      </c>
      <c r="L256" s="26">
        <f>(K256/K$383)*100</f>
        <v>0.87744686216584267</v>
      </c>
      <c r="M256" s="752">
        <f>(AllocationPrice!$H$39/100)*AnaerobicDigestion!AC19*(Unitflowchart!$S$312/Unitflowchart!$S$383)</f>
        <v>0</v>
      </c>
      <c r="N256" s="727">
        <f>E256+(GlobalWarmingPotentials!$B$11*H256)+(GlobalWarmingPotentials!$C$11*K256)</f>
        <v>0.70631294117647048</v>
      </c>
      <c r="O256" s="26">
        <f>(N256/N$383)*100</f>
        <v>7.9244306607825152E-2</v>
      </c>
      <c r="P256" s="760">
        <f>SQRT((G256^2)+((GlobalWarmingPotentials!$B$11*J256)^2)+((GlobalWarmingPotentials!$C$11*M256)^2))</f>
        <v>0</v>
      </c>
      <c r="Q256" s="30"/>
    </row>
    <row r="257" spans="1:17" x14ac:dyDescent="0.25">
      <c r="A257" t="str">
        <f>AnaerobicDigestion!A20</f>
        <v>Caustic Soda Input</v>
      </c>
      <c r="B257" s="732">
        <f>(AllocationPrice!$H$39/100)*AnaerobicDigestion!J20*(Unitflowchart!$S$312/Unitflowchart!$S$383)</f>
        <v>1274.9999999999998</v>
      </c>
      <c r="C257" s="26">
        <f>(B257/B$383)*100</f>
        <v>9.8498329964429594</v>
      </c>
      <c r="D257" s="358">
        <f>(AllocationPrice!$H$39/100)*AnaerobicDigestion!K20*(Unitflowchart!$S$312/Unitflowchart!$S$383)</f>
        <v>191.24999999999997</v>
      </c>
      <c r="E257" s="732">
        <f>(AllocationPrice!$H$39/100)*AnaerobicDigestion!P20*(Unitflowchart!$S$312/Unitflowchart!$S$383)</f>
        <v>71.400000000000006</v>
      </c>
      <c r="F257" s="26">
        <f>(E257/E$383)*100</f>
        <v>8.8763834909268571</v>
      </c>
      <c r="G257" s="358">
        <f>(AllocationPrice!$H$39/100)*AnaerobicDigestion!Q20*(Unitflowchart!$S$312/Unitflowchart!$S$383)</f>
        <v>10.8375</v>
      </c>
      <c r="H257" s="749">
        <f>(AllocationPrice!$H$39/100)*AnaerobicDigestion!V20*(Unitflowchart!$S$312/Unitflowchart!$S$383)</f>
        <v>0.20718749999999997</v>
      </c>
      <c r="I257" s="26">
        <f>(H257/H$383)*100</f>
        <v>20.725331834666303</v>
      </c>
      <c r="J257" s="752">
        <f>(AllocationPrice!$H$39/100)*AnaerobicDigestion!W20*(Unitflowchart!$S$312/Unitflowchart!$S$383)</f>
        <v>3.1237499999999994E-2</v>
      </c>
      <c r="K257" s="749">
        <f>(AllocationPrice!$H$39/100)*AnaerobicDigestion!AB20*(Unitflowchart!$S$312/Unitflowchart!$S$383)</f>
        <v>0</v>
      </c>
      <c r="L257" s="26">
        <f>(K257/K$383)*100</f>
        <v>0</v>
      </c>
      <c r="M257" s="752">
        <f>(AllocationPrice!$H$39/100)*AnaerobicDigestion!AC20*(Unitflowchart!$S$312/Unitflowchart!$S$383)</f>
        <v>0</v>
      </c>
      <c r="N257" s="727">
        <f>E257+(GlobalWarmingPotentials!$B$11*H257)+(GlobalWarmingPotentials!$C$11*K257)</f>
        <v>76.165312499999999</v>
      </c>
      <c r="O257" s="26">
        <f>(N257/N$383)*100</f>
        <v>8.5453161407144922</v>
      </c>
      <c r="P257" s="760">
        <f>SQRT((G257^2)+((GlobalWarmingPotentials!$B$11*J257)^2)+((GlobalWarmingPotentials!$C$11*M257)^2))</f>
        <v>10.861288809985041</v>
      </c>
      <c r="Q257" s="30"/>
    </row>
    <row r="258" spans="1:17" x14ac:dyDescent="0.25">
      <c r="B258" s="728"/>
      <c r="D258" s="735"/>
      <c r="E258" s="728"/>
      <c r="G258" s="735"/>
      <c r="H258" s="31"/>
      <c r="J258" s="724"/>
      <c r="K258" s="31"/>
      <c r="M258" s="724"/>
      <c r="N258" s="728"/>
      <c r="P258" s="739"/>
      <c r="Q258" s="30"/>
    </row>
    <row r="259" spans="1:17" x14ac:dyDescent="0.25">
      <c r="A259" s="218" t="s">
        <v>914</v>
      </c>
      <c r="B259" s="730">
        <f>(AllocationPrice!$H$39/100)*AnaerobicDigestion!J22*(Unitflowchart!$S$312/Unitflowchart!$S$383)</f>
        <v>1274.9999999999998</v>
      </c>
      <c r="C259" s="15">
        <f>(B259/B$383)*100</f>
        <v>9.8498329964429594</v>
      </c>
      <c r="D259" s="740">
        <f>(AllocationPrice!$H$39/100)*AnaerobicDigestion!K22*(Unitflowchart!$S$312/Unitflowchart!$S$383)</f>
        <v>191.24999999999997</v>
      </c>
      <c r="E259" s="730">
        <f>(AllocationPrice!$H$39/100)*AnaerobicDigestion!P22*(Unitflowchart!$S$312/Unitflowchart!$S$383)</f>
        <v>71.400000000000006</v>
      </c>
      <c r="F259" s="15">
        <f>(E259/E$383)*100</f>
        <v>8.8763834909268571</v>
      </c>
      <c r="G259" s="740">
        <f>(AllocationPrice!$H$39/100)*AnaerobicDigestion!Q22*(Unitflowchart!$S$312/Unitflowchart!$S$383)</f>
        <v>10.8375</v>
      </c>
      <c r="H259" s="215">
        <f>(AllocationPrice!$H$39/100)*AnaerobicDigestion!V22*(Unitflowchart!$S$312/Unitflowchart!$S$383)</f>
        <v>0.21350514705882351</v>
      </c>
      <c r="I259" s="15">
        <f>(H259/H$383)*100</f>
        <v>21.357297236577235</v>
      </c>
      <c r="J259" s="216">
        <f>(AllocationPrice!$H$39/100)*AnaerobicDigestion!W22*(Unitflowchart!$S$312/Unitflowchart!$S$383)</f>
        <v>3.1237499999999994E-2</v>
      </c>
      <c r="K259" s="215">
        <f>(AllocationPrice!$H$39/100)*AnaerobicDigestion!AB22*(Unitflowchart!$S$312/Unitflowchart!$S$383)</f>
        <v>1.8952941176470584E-3</v>
      </c>
      <c r="L259" s="15">
        <f>(K259/K$383)*100</f>
        <v>0.87744686216584267</v>
      </c>
      <c r="M259" s="216">
        <f>(AllocationPrice!$H$39/100)*AnaerobicDigestion!AC22*(Unitflowchart!$S$312/Unitflowchart!$S$383)</f>
        <v>0</v>
      </c>
      <c r="N259" s="730">
        <f>E259+(GlobalWarmingPotentials!$B$11*H259)+(GlobalWarmingPotentials!$C$11*K259)</f>
        <v>76.871625441176477</v>
      </c>
      <c r="O259" s="15">
        <f>(N259/N$383)*100</f>
        <v>8.6245604473223167</v>
      </c>
      <c r="P259" s="761">
        <f>SQRT((G259^2)+((GlobalWarmingPotentials!$B$11*J259)^2)+((GlobalWarmingPotentials!$C$11*M259)^2))</f>
        <v>10.861288809985041</v>
      </c>
      <c r="Q259" s="30"/>
    </row>
    <row r="260" spans="1:17" x14ac:dyDescent="0.25">
      <c r="B260" s="733"/>
      <c r="D260" s="735"/>
      <c r="E260" s="733"/>
      <c r="G260" s="735"/>
      <c r="H260" s="750"/>
      <c r="J260" s="724"/>
      <c r="K260" s="750"/>
      <c r="M260" s="724"/>
      <c r="N260" s="733"/>
      <c r="P260" s="735"/>
      <c r="Q260" s="30"/>
    </row>
    <row r="261" spans="1:17" x14ac:dyDescent="0.25">
      <c r="A261" s="2" t="s">
        <v>1719</v>
      </c>
      <c r="B261" s="728"/>
      <c r="D261" s="735"/>
      <c r="E261" s="728"/>
      <c r="G261" s="735"/>
      <c r="H261" s="31"/>
      <c r="J261" s="724"/>
      <c r="K261" s="31"/>
      <c r="M261" s="724"/>
      <c r="N261" s="728"/>
      <c r="P261" s="735"/>
      <c r="Q261" s="30"/>
    </row>
    <row r="262" spans="1:17" x14ac:dyDescent="0.25">
      <c r="B262" s="728"/>
      <c r="D262" s="735"/>
      <c r="E262" s="728"/>
      <c r="G262" s="735"/>
      <c r="H262" s="31"/>
      <c r="J262" s="724"/>
      <c r="K262" s="31"/>
      <c r="M262" s="724"/>
      <c r="N262" s="728"/>
      <c r="P262" s="735"/>
      <c r="Q262" s="30"/>
    </row>
    <row r="263" spans="1:17" x14ac:dyDescent="0.25">
      <c r="A263" t="str">
        <f>Utilities!A18</f>
        <v>Electricity Input</v>
      </c>
      <c r="B263" s="732">
        <f>(AllocationPrice!$H$39/100)*Utilities!J18*(Unitflowchart!$S$312/Unitflowchart!$S$383)</f>
        <v>0</v>
      </c>
      <c r="C263" s="26">
        <f>(B263/B$383)*100</f>
        <v>0</v>
      </c>
      <c r="D263" s="744">
        <f>(AllocationPrice!$H$39/100)*Utilities!K18*(Unitflowchart!$S$312/Unitflowchart!$S$383)</f>
        <v>0</v>
      </c>
      <c r="E263" s="726">
        <f>(AllocationPrice!$H$39/100)*Utilities!M18*(Unitflowchart!$S$312/Unitflowchart!$S$383)</f>
        <v>0</v>
      </c>
      <c r="F263" s="25">
        <f t="shared" ref="F263:F265" si="50">(E263/E$383)*100</f>
        <v>0</v>
      </c>
      <c r="G263" s="744">
        <f>(AllocationPrice!$H$39/100)*Utilities!N18*(Unitflowchart!$S$312/Unitflowchart!$S$383)</f>
        <v>0</v>
      </c>
      <c r="H263" s="723">
        <f>(AllocationPrice!$H$39/100)*Utilities!P18*(Unitflowchart!$S$312/Unitflowchart!$S$383)</f>
        <v>0</v>
      </c>
      <c r="I263" s="25">
        <f t="shared" ref="I263:I265" si="51">(H263/H$383)*100</f>
        <v>0</v>
      </c>
      <c r="J263" s="725">
        <f>(AllocationPrice!$H$39/100)*Utilities!Q18*(Unitflowchart!$S$312/Unitflowchart!$S$383)</f>
        <v>0</v>
      </c>
      <c r="K263" s="723">
        <f>(AllocationPrice!$H$39/100)*Utilities!S18*(Unitflowchart!$S$312/Unitflowchart!$S$383)</f>
        <v>2.8235294117647067E-5</v>
      </c>
      <c r="L263" s="25">
        <f t="shared" ref="L263:L265" si="52">(K263/K$383)*100</f>
        <v>1.3071834073234161E-2</v>
      </c>
      <c r="M263" s="725">
        <f>(AllocationPrice!$H$39/100)*Utilities!T18*(Unitflowchart!$S$312/Unitflowchart!$S$383)</f>
        <v>0</v>
      </c>
      <c r="N263" s="727">
        <f>E263+(GlobalWarmingPotentials!$B$11*H263)+(GlobalWarmingPotentials!$C$11*K263)</f>
        <v>8.3576470588235321E-3</v>
      </c>
      <c r="O263" s="26">
        <f>(N263/N$383)*100</f>
        <v>9.3768060506755919E-4</v>
      </c>
      <c r="P263" s="760">
        <f>SQRT((G263^2)+((GlobalWarmingPotentials!$B$11*J263)^2)+((GlobalWarmingPotentials!$C$11*M263)^2))</f>
        <v>0</v>
      </c>
      <c r="Q263" s="30"/>
    </row>
    <row r="264" spans="1:17" x14ac:dyDescent="0.25">
      <c r="B264" s="728"/>
      <c r="D264" s="735"/>
      <c r="E264" s="728"/>
      <c r="G264" s="735"/>
      <c r="H264" s="31"/>
      <c r="J264" s="724"/>
      <c r="K264" s="31"/>
      <c r="M264" s="724"/>
      <c r="N264" s="728"/>
      <c r="P264" s="735"/>
      <c r="Q264" s="30"/>
    </row>
    <row r="265" spans="1:17" x14ac:dyDescent="0.25">
      <c r="A265" s="218" t="s">
        <v>1834</v>
      </c>
      <c r="B265" s="734">
        <f>(AllocationPrice!$H$39/100)*Utilities!J20*(Unitflowchart!$S$312/Unitflowchart!$S$383)</f>
        <v>0</v>
      </c>
      <c r="C265" s="721">
        <f>(B265/B$383)*100</f>
        <v>0</v>
      </c>
      <c r="D265" s="745">
        <f>(AllocationPrice!$H$39/100)*Utilities!K20*(Unitflowchart!$S$312/Unitflowchart!$S$383)</f>
        <v>0</v>
      </c>
      <c r="E265" s="734">
        <f>(AllocationPrice!$H$39/100)*Utilities!M20*(Unitflowchart!$S$312/Unitflowchart!$S$383)</f>
        <v>0</v>
      </c>
      <c r="F265" s="721">
        <f t="shared" si="50"/>
        <v>0</v>
      </c>
      <c r="G265" s="745">
        <f>(AllocationPrice!$H$39/100)*Utilities!N20*(Unitflowchart!$S$312/Unitflowchart!$S$383)</f>
        <v>0</v>
      </c>
      <c r="H265" s="722">
        <f>(AllocationPrice!$H$39/100)*Utilities!P20*(Unitflowchart!$S$312/Unitflowchart!$S$383)</f>
        <v>0</v>
      </c>
      <c r="I265" s="721">
        <f t="shared" si="51"/>
        <v>0</v>
      </c>
      <c r="J265" s="720">
        <f>(AllocationPrice!$H$39/100)*Utilities!Q20*(Unitflowchart!$S$312/Unitflowchart!$S$383)</f>
        <v>0</v>
      </c>
      <c r="K265" s="722">
        <f>(AllocationPrice!$H$39/100)*Utilities!S20*(Unitflowchart!$S$312/Unitflowchart!$S$383)</f>
        <v>0</v>
      </c>
      <c r="L265" s="721">
        <f t="shared" si="52"/>
        <v>0</v>
      </c>
      <c r="M265" s="720">
        <f>(AllocationPrice!$H$39/100)*Utilities!T20*(Unitflowchart!$S$312/Unitflowchart!$S$383)</f>
        <v>0</v>
      </c>
      <c r="N265" s="734">
        <f>E265+(GlobalWarmingPotentials!$B$11*H265)+(GlobalWarmingPotentials!$C$11*K265)</f>
        <v>0</v>
      </c>
      <c r="O265" s="721">
        <f>(N265/N$383)*100</f>
        <v>0</v>
      </c>
      <c r="P265" s="743">
        <f>SQRT((G265^2)+((GlobalWarmingPotentials!$B$11*J265)^2)+((GlobalWarmingPotentials!$C$11*M265)^2))</f>
        <v>0</v>
      </c>
      <c r="Q265" s="30"/>
    </row>
    <row r="266" spans="1:17" x14ac:dyDescent="0.25">
      <c r="B266" s="728"/>
      <c r="D266" s="735"/>
      <c r="E266" s="728"/>
      <c r="G266" s="735"/>
      <c r="H266" s="31"/>
      <c r="J266" s="724"/>
      <c r="K266" s="31"/>
      <c r="M266" s="724"/>
      <c r="N266" s="728"/>
      <c r="P266" s="735"/>
      <c r="Q266" s="30"/>
    </row>
    <row r="267" spans="1:17" x14ac:dyDescent="0.25">
      <c r="A267" s="2" t="s">
        <v>906</v>
      </c>
      <c r="B267" s="728"/>
      <c r="D267" s="735"/>
      <c r="E267" s="728"/>
      <c r="G267" s="735"/>
      <c r="H267" s="31"/>
      <c r="J267" s="724"/>
      <c r="K267" s="31"/>
      <c r="M267" s="724"/>
      <c r="N267" s="728"/>
      <c r="P267" s="735"/>
      <c r="Q267" s="30"/>
    </row>
    <row r="268" spans="1:17" x14ac:dyDescent="0.25">
      <c r="B268" s="728"/>
      <c r="D268" s="735"/>
      <c r="E268" s="728"/>
      <c r="G268" s="735"/>
      <c r="H268" s="31"/>
      <c r="J268" s="724"/>
      <c r="K268" s="31"/>
      <c r="M268" s="724"/>
      <c r="N268" s="728"/>
      <c r="P268" s="735"/>
      <c r="Q268" s="30"/>
    </row>
    <row r="269" spans="1:17" x14ac:dyDescent="0.25">
      <c r="A269" t="str">
        <f>ElectricitySales!A15</f>
        <v>Electricity Credit</v>
      </c>
      <c r="B269" s="732">
        <f>Unitflowchart!$S$312*(AllocationPrice!$H$39/100)/Unitflowchart!$S$383*(ElectricitySales!J15)</f>
        <v>0</v>
      </c>
      <c r="C269" s="26">
        <f>(B269/B$383)*100</f>
        <v>0</v>
      </c>
      <c r="D269" s="358">
        <f>Unitflowchart!S312*(AllocationPrice!$H$39/100)/Unitflowchart!$S$383*(ElectricitySales!K15)</f>
        <v>0</v>
      </c>
      <c r="E269" s="732">
        <f>Unitflowchart!$S$312*(AllocationPrice!$H$39/100)/Unitflowchart!$S$383*(ElectricitySales!P15)</f>
        <v>0</v>
      </c>
      <c r="F269" s="26">
        <f>(E269/E$383)*100</f>
        <v>0</v>
      </c>
      <c r="G269" s="358">
        <f>Unitflowchart!S312*(AllocationPrice!$H$39/100)/Unitflowchart!$S$383*(ElectricitySales!Q15)</f>
        <v>0</v>
      </c>
      <c r="H269" s="749">
        <f>Unitflowchart!$S$312*(AllocationPrice!$H$39/100)/Unitflowchart!$S$383*(ElectricitySales!V15)</f>
        <v>-7.4146129819083251E-2</v>
      </c>
      <c r="I269" s="26">
        <f>(H269/H$383)*100</f>
        <v>-7.4169684211487024</v>
      </c>
      <c r="J269" s="752">
        <f>Unitflowchart!S312*(AllocationPrice!$H$39/100)/Unitflowchart!$S$383*(ElectricitySales!W15)</f>
        <v>0</v>
      </c>
      <c r="K269" s="749">
        <f>Unitflowchart!$S$312*(AllocationPrice!$H$39/100)/Unitflowchart!$S$383*(ElectricitySales!AB15)</f>
        <v>-2.2243838945724972E-2</v>
      </c>
      <c r="L269" s="26">
        <f>(K269/K$383)*100</f>
        <v>-10.298025253030065</v>
      </c>
      <c r="M269" s="752">
        <f>Unitflowchart!S312*(AllocationPrice!$H$39/100)/Unitflowchart!$S$383*(ElectricitySales!AC15)</f>
        <v>0</v>
      </c>
      <c r="N269" s="727">
        <f>E269+(GlobalWarmingPotentials!$B$11*H269)+(GlobalWarmingPotentials!$C$11*K269)</f>
        <v>-8.289537313773506</v>
      </c>
      <c r="O269" s="26">
        <f>(N269/N$383)*100</f>
        <v>-0.93003907791284635</v>
      </c>
      <c r="P269" s="760">
        <f>SQRT((G269^2)+((GlobalWarmingPotentials!$B$11*J269)^2)+((GlobalWarmingPotentials!$C$11*M269)^2))</f>
        <v>0</v>
      </c>
      <c r="Q269" s="30"/>
    </row>
    <row r="270" spans="1:17" x14ac:dyDescent="0.25">
      <c r="B270" s="728"/>
      <c r="D270" s="735"/>
      <c r="E270" s="728"/>
      <c r="G270" s="735"/>
      <c r="H270" s="31"/>
      <c r="J270" s="748"/>
      <c r="K270" s="31"/>
      <c r="M270" s="724"/>
      <c r="N270" s="728"/>
      <c r="P270" s="735"/>
      <c r="Q270" s="30"/>
    </row>
    <row r="271" spans="1:17" x14ac:dyDescent="0.25">
      <c r="A271" s="218" t="s">
        <v>915</v>
      </c>
      <c r="B271" s="730">
        <f>Unitflowchart!$S$312*(AllocationPrice!$H$39/100)/Unitflowchart!$S$383*(ElectricitySales!J17)</f>
        <v>0</v>
      </c>
      <c r="C271" s="15">
        <f>(B271/B$383)*100</f>
        <v>0</v>
      </c>
      <c r="D271" s="740">
        <f>Unitflowchart!S312*(AllocationPrice!$H$39/100)/Unitflowchart!$S$383*(ElectricitySales!K17)</f>
        <v>0</v>
      </c>
      <c r="E271" s="730">
        <f>Unitflowchart!$S$312*(AllocationPrice!$H$39/100)/Unitflowchart!$S$383*(ElectricitySales!P17)</f>
        <v>0</v>
      </c>
      <c r="F271" s="15">
        <f>(E271/E$383)*100</f>
        <v>0</v>
      </c>
      <c r="G271" s="740">
        <f>Unitflowchart!S312*(AllocationPrice!$H$39/100)/Unitflowchart!$S$383*(ElectricitySales!Q17)</f>
        <v>0</v>
      </c>
      <c r="H271" s="215">
        <f>Unitflowchart!$S$312*(AllocationPrice!$H$39/100)/Unitflowchart!$S$383*(ElectricitySales!V17)</f>
        <v>-7.4146129819083251E-2</v>
      </c>
      <c r="I271" s="15">
        <f>(H271/H$383)*100</f>
        <v>-7.4169684211487024</v>
      </c>
      <c r="J271" s="216">
        <f>Unitflowchart!S312*(AllocationPrice!$H$39/100)/Unitflowchart!$S$383*(ElectricitySales!W17)</f>
        <v>0</v>
      </c>
      <c r="K271" s="215">
        <f>Unitflowchart!$S$312*(AllocationPrice!$H$39/100)/Unitflowchart!$S$383*(ElectricitySales!AB17)</f>
        <v>-2.2243838945724972E-2</v>
      </c>
      <c r="L271" s="15">
        <f>(K271/K$383)*100</f>
        <v>-10.298025253030065</v>
      </c>
      <c r="M271" s="216">
        <f>Unitflowchart!S312*(AllocationPrice!$H$39/100)/Unitflowchart!$S$383*(ElectricitySales!AC17)</f>
        <v>0</v>
      </c>
      <c r="N271" s="730">
        <f>E271+(GlobalWarmingPotentials!$B$11*H271)+(GlobalWarmingPotentials!$C$11*K271)</f>
        <v>-8.289537313773506</v>
      </c>
      <c r="O271" s="15">
        <f>(N271/N$383)*100</f>
        <v>-0.93003907791284635</v>
      </c>
      <c r="P271" s="761">
        <f>SQRT((G271^2)+((GlobalWarmingPotentials!$B$11*J271)^2)+((GlobalWarmingPotentials!$C$11*M271)^2))</f>
        <v>0</v>
      </c>
      <c r="Q271" s="30"/>
    </row>
    <row r="272" spans="1:17" x14ac:dyDescent="0.25">
      <c r="B272" s="733"/>
      <c r="D272" s="735"/>
      <c r="E272" s="733"/>
      <c r="G272" s="735"/>
      <c r="H272" s="750"/>
      <c r="J272" s="724"/>
      <c r="K272" s="750"/>
      <c r="M272" s="724"/>
      <c r="N272" s="733"/>
      <c r="P272" s="735"/>
      <c r="Q272" s="30"/>
    </row>
    <row r="273" spans="1:17" x14ac:dyDescent="0.25">
      <c r="A273" s="387" t="s">
        <v>422</v>
      </c>
      <c r="B273" s="728"/>
      <c r="D273" s="735"/>
      <c r="E273" s="728"/>
      <c r="G273" s="735"/>
      <c r="H273" s="31"/>
      <c r="J273" s="724"/>
      <c r="K273" s="31"/>
      <c r="M273" s="724"/>
      <c r="N273" s="728"/>
      <c r="P273" s="735"/>
      <c r="Q273" s="30"/>
    </row>
    <row r="274" spans="1:17" x14ac:dyDescent="0.25">
      <c r="B274" s="728"/>
      <c r="D274" s="735"/>
      <c r="E274" s="728"/>
      <c r="G274" s="735"/>
      <c r="H274" s="31"/>
      <c r="J274" s="724"/>
      <c r="K274" s="31"/>
      <c r="M274" s="724"/>
      <c r="N274" s="728"/>
      <c r="P274" s="735"/>
      <c r="Q274" s="30"/>
    </row>
    <row r="275" spans="1:17" x14ac:dyDescent="0.25">
      <c r="A275" t="str">
        <f>RoadTransportEthanolStage1!A42</f>
        <v xml:space="preserve"> - Diesel Fuel</v>
      </c>
      <c r="B275" s="732">
        <f>(Unitflowchart!$S$320/Unitflowchart!$S$383)*RoadTransportEthanolStage1!J42*Unitflowchart!$S$329</f>
        <v>517.88672232212184</v>
      </c>
      <c r="C275" s="26">
        <f>(B275/B$383)*100</f>
        <v>4.0008609615279447</v>
      </c>
      <c r="D275" s="491">
        <f>(Unitflowchart!$S$320/Unitflowchart!$S$383)*RoadTransportEthanolStage1!K42*Unitflowchart!$S$329</f>
        <v>24.34067594913973</v>
      </c>
      <c r="E275" s="732">
        <f>(Unitflowchart!$S$320/Unitflowchart!$S$383)*RoadTransportEthanolStage1!P42*Unitflowchart!$S$329</f>
        <v>37.164284826471004</v>
      </c>
      <c r="F275" s="26">
        <f>(E275/E$383)*100</f>
        <v>4.6202303121259201</v>
      </c>
      <c r="G275" s="358">
        <f>(Unitflowchart!$S$320/Unitflowchart!$S$383)*RoadTransportEthanolStage1!Q42*Unitflowchart!$S$329</f>
        <v>1.7467213868441371</v>
      </c>
      <c r="H275" s="749">
        <f>(Unitflowchart!$S$320/Unitflowchart!$S$383)*RoadTransportEthanolStage1!V42*Unitflowchart!$S$329</f>
        <v>7.7224487951108563E-3</v>
      </c>
      <c r="I275" s="26">
        <f>(H275/H$383)*100</f>
        <v>0.77249020261787749</v>
      </c>
      <c r="J275" s="752">
        <f>(Unitflowchart!$S$320/Unitflowchart!$S$383)*RoadTransportEthanolStage1!W42*Unitflowchart!$S$329</f>
        <v>3.6295509337021026E-4</v>
      </c>
      <c r="K275" s="749">
        <f>(Unitflowchart!$S$320/Unitflowchart!$S$383)*RoadTransportEthanolStage1!AB42*Unitflowchart!$S$329</f>
        <v>1.0039183433644116E-2</v>
      </c>
      <c r="L275" s="26">
        <f>(K275/K$383)*100</f>
        <v>4.6477482943355612</v>
      </c>
      <c r="M275" s="752">
        <f>(Unitflowchart!$S$320/Unitflowchart!$S$383)*RoadTransportEthanolStage1!AC42*Unitflowchart!$S$329</f>
        <v>4.7184162138127345E-4</v>
      </c>
      <c r="N275" s="727">
        <f>E275+(GlobalWarmingPotentials!$B$11*H275)+(GlobalWarmingPotentials!$C$11*K275)</f>
        <v>40.313499445117209</v>
      </c>
      <c r="O275" s="26">
        <f>(N275/N$383)*100</f>
        <v>4.5229460260803735</v>
      </c>
      <c r="P275" s="760">
        <f>SQRT((G275^2)+((GlobalWarmingPotentials!$B$11*J275)^2)+((GlobalWarmingPotentials!$C$11*M275)^2))</f>
        <v>1.7523160780917761</v>
      </c>
      <c r="Q275" s="30"/>
    </row>
    <row r="276" spans="1:17" x14ac:dyDescent="0.25">
      <c r="A276" t="str">
        <f>RoadTransportEthanolStage1!A43</f>
        <v xml:space="preserve"> - Vehicle </v>
      </c>
      <c r="B276" s="732">
        <f>(Unitflowchart!$S$320/Unitflowchart!$S$383)*RoadTransportEthanolStage1!J43*Unitflowchart!$S$329</f>
        <v>0</v>
      </c>
      <c r="C276" s="26">
        <f>(B276/B$383)*100</f>
        <v>0</v>
      </c>
      <c r="D276" s="491">
        <f>(Unitflowchart!$S$320/Unitflowchart!$S$383)*RoadTransportEthanolStage1!K43*Unitflowchart!$S$329</f>
        <v>0</v>
      </c>
      <c r="E276" s="732">
        <f>(Unitflowchart!$S$320/Unitflowchart!$S$383)*RoadTransportEthanolStage1!P43*Unitflowchart!$S$329</f>
        <v>0</v>
      </c>
      <c r="F276" s="26">
        <f>(E276/E$383)*100</f>
        <v>0</v>
      </c>
      <c r="G276" s="358">
        <f>(Unitflowchart!$S$320/Unitflowchart!$S$383)*RoadTransportEthanolStage1!Q43*Unitflowchart!$S$329</f>
        <v>0</v>
      </c>
      <c r="H276" s="749">
        <f>(Unitflowchart!$S$320/Unitflowchart!$S$383)*RoadTransportEthanolStage1!V43*Unitflowchart!$S$329</f>
        <v>0</v>
      </c>
      <c r="I276" s="26">
        <f>(H276/H$383)*100</f>
        <v>0</v>
      </c>
      <c r="J276" s="752">
        <f>(Unitflowchart!$S$320/Unitflowchart!$S$383)*RoadTransportEthanolStage1!W43*Unitflowchart!$S$329</f>
        <v>0</v>
      </c>
      <c r="K276" s="749">
        <f>(Unitflowchart!$S$320/Unitflowchart!$S$383)*RoadTransportEthanolStage1!AB43*Unitflowchart!$S$329</f>
        <v>0</v>
      </c>
      <c r="L276" s="26">
        <f>(K276/K$383)*100</f>
        <v>0</v>
      </c>
      <c r="M276" s="752">
        <f>(Unitflowchart!$S$320/Unitflowchart!$S$383)*RoadTransportEthanolStage1!AC43*Unitflowchart!$S$329</f>
        <v>0</v>
      </c>
      <c r="N276" s="727">
        <f>E276+(GlobalWarmingPotentials!$B$11*H276)+(GlobalWarmingPotentials!$C$11*K276)</f>
        <v>0</v>
      </c>
      <c r="O276" s="26">
        <f>(N276/N$383)*100</f>
        <v>0</v>
      </c>
      <c r="P276" s="760">
        <f>SQRT((G276^2)+((GlobalWarmingPotentials!$B$11*J276)^2)+((GlobalWarmingPotentials!$C$11*M276)^2))</f>
        <v>0</v>
      </c>
      <c r="Q276" s="30"/>
    </row>
    <row r="277" spans="1:17" x14ac:dyDescent="0.25">
      <c r="A277" t="str">
        <f>RoadTransportEthanolStage1!A44</f>
        <v xml:space="preserve"> - Maintenance</v>
      </c>
      <c r="B277" s="732">
        <f>(Unitflowchart!$S$320/Unitflowchart!$S$383)*RoadTransportEthanolStage1!J44*Unitflowchart!$S$329</f>
        <v>0</v>
      </c>
      <c r="C277" s="26">
        <f>(B277/B$383)*100</f>
        <v>0</v>
      </c>
      <c r="D277" s="491">
        <f>(Unitflowchart!$S$320/Unitflowchart!$S$383)*RoadTransportEthanolStage1!K44*Unitflowchart!$S$329</f>
        <v>0</v>
      </c>
      <c r="E277" s="732">
        <f>(Unitflowchart!$S$320/Unitflowchart!$S$383)*RoadTransportEthanolStage1!P44*Unitflowchart!$S$329</f>
        <v>0</v>
      </c>
      <c r="F277" s="26">
        <f>(E277/E$383)*100</f>
        <v>0</v>
      </c>
      <c r="G277" s="358">
        <f>(Unitflowchart!$S$320/Unitflowchart!$S$383)*RoadTransportEthanolStage1!Q44*Unitflowchart!$S$329</f>
        <v>0</v>
      </c>
      <c r="H277" s="749">
        <f>(Unitflowchart!$S$320/Unitflowchart!$S$383)*RoadTransportEthanolStage1!V44*Unitflowchart!$S$329</f>
        <v>0</v>
      </c>
      <c r="I277" s="26">
        <f>(H277/H$383)*100</f>
        <v>0</v>
      </c>
      <c r="J277" s="752">
        <f>(Unitflowchart!$S$320/Unitflowchart!$S$383)*RoadTransportEthanolStage1!W44*Unitflowchart!$S$329</f>
        <v>0</v>
      </c>
      <c r="K277" s="749">
        <f>(Unitflowchart!$S$320/Unitflowchart!$S$383)*RoadTransportEthanolStage1!AB44*Unitflowchart!$S$329</f>
        <v>0</v>
      </c>
      <c r="L277" s="26">
        <f>(K277/K$383)*100</f>
        <v>0</v>
      </c>
      <c r="M277" s="752">
        <f>(Unitflowchart!$S$320/Unitflowchart!$S$383)*RoadTransportEthanolStage1!AC44*Unitflowchart!$S$329</f>
        <v>0</v>
      </c>
      <c r="N277" s="727">
        <f>E277+(GlobalWarmingPotentials!$B$11*H277)+(GlobalWarmingPotentials!$C$11*K277)</f>
        <v>0</v>
      </c>
      <c r="O277" s="26">
        <f>(N277/N$383)*100</f>
        <v>0</v>
      </c>
      <c r="P277" s="760">
        <f>SQRT((G277^2)+((GlobalWarmingPotentials!$B$11*J277)^2)+((GlobalWarmingPotentials!$C$11*M277)^2))</f>
        <v>0</v>
      </c>
      <c r="Q277" s="30"/>
    </row>
    <row r="278" spans="1:17" s="43" customFormat="1" x14ac:dyDescent="0.25">
      <c r="B278" s="766"/>
      <c r="C278" s="992"/>
      <c r="D278" s="779"/>
      <c r="E278" s="766"/>
      <c r="F278" s="992"/>
      <c r="G278" s="827"/>
      <c r="H278" s="783"/>
      <c r="I278" s="992"/>
      <c r="J278" s="828"/>
      <c r="K278" s="783"/>
      <c r="L278" s="992"/>
      <c r="M278" s="828"/>
      <c r="N278" s="1064"/>
      <c r="O278" s="1060"/>
      <c r="P278" s="1065"/>
      <c r="Q278" s="852"/>
    </row>
    <row r="279" spans="1:17" x14ac:dyDescent="0.25">
      <c r="A279" s="218" t="s">
        <v>866</v>
      </c>
      <c r="B279" s="730">
        <f>(Unitflowchart!$S$320/Unitflowchart!$S$383)*RoadTransportEthanolStage1!J46*Unitflowchart!$S$329</f>
        <v>517.88672232212184</v>
      </c>
      <c r="C279" s="15">
        <f>(B279/B$383)*100</f>
        <v>4.0008609615279447</v>
      </c>
      <c r="D279" s="740">
        <f>(Unitflowchart!$S$320/Unitflowchart!$S$383)*RoadTransportEthanolStage1!K46*Unitflowchart!$S$329</f>
        <v>24.34067594913973</v>
      </c>
      <c r="E279" s="730">
        <f>(Unitflowchart!$S$320/Unitflowchart!$S$383)*RoadTransportEthanolStage1!P46*Unitflowchart!$S$329</f>
        <v>37.164284826471004</v>
      </c>
      <c r="F279" s="15">
        <f>(E279/E$383)*100</f>
        <v>4.6202303121259201</v>
      </c>
      <c r="G279" s="737">
        <f>(Unitflowchart!$S$320/Unitflowchart!$S$383)*RoadTransportEthanolStage1!Q46*Unitflowchart!$S$329</f>
        <v>1.7467213868441371</v>
      </c>
      <c r="H279" s="215">
        <f>(Unitflowchart!$S$320/Unitflowchart!$S$383)*RoadTransportEthanolStage1!V46*Unitflowchart!$S$329</f>
        <v>7.7224487951108563E-3</v>
      </c>
      <c r="I279" s="15">
        <f>(H279/H$383)*100</f>
        <v>0.77249020261787749</v>
      </c>
      <c r="J279" s="747">
        <f>(Unitflowchart!$S$320/Unitflowchart!$S$383)*RoadTransportEthanolStage1!W46*Unitflowchart!$S$329</f>
        <v>3.6295509337021026E-4</v>
      </c>
      <c r="K279" s="215">
        <f>(Unitflowchart!$S$320/Unitflowchart!$S$383)*RoadTransportEthanolStage1!AB46*Unitflowchart!$S$329</f>
        <v>1.0039183433644116E-2</v>
      </c>
      <c r="L279" s="15">
        <f>(K279/K$383)*100</f>
        <v>4.6477482943355612</v>
      </c>
      <c r="M279" s="216">
        <f>(Unitflowchart!$S$320/Unitflowchart!$S$383)*RoadTransportEthanolStage1!AC46*Unitflowchart!$S$329</f>
        <v>4.7184162138127345E-4</v>
      </c>
      <c r="N279" s="730">
        <f>E279+(GlobalWarmingPotentials!$B$11*H279)+(GlobalWarmingPotentials!$C$11*K279)</f>
        <v>40.313499445117209</v>
      </c>
      <c r="O279" s="15">
        <f>(N279/N$383)*100</f>
        <v>4.5229460260803735</v>
      </c>
      <c r="P279" s="761">
        <f>SQRT((G279^2)+((GlobalWarmingPotentials!$B$11*J279)^2)+((GlobalWarmingPotentials!$C$11*M279)^2))</f>
        <v>1.7523160780917761</v>
      </c>
      <c r="Q279" s="30"/>
    </row>
    <row r="280" spans="1:17" x14ac:dyDescent="0.25">
      <c r="B280" s="728"/>
      <c r="D280" s="735"/>
      <c r="E280" s="728"/>
      <c r="G280" s="735"/>
      <c r="H280" s="31"/>
      <c r="J280" s="724"/>
      <c r="K280" s="31"/>
      <c r="M280" s="724"/>
      <c r="N280" s="733"/>
      <c r="P280" s="735"/>
      <c r="Q280" s="30"/>
    </row>
    <row r="281" spans="1:17" x14ac:dyDescent="0.25">
      <c r="A281" s="387" t="s">
        <v>917</v>
      </c>
      <c r="B281" s="728"/>
      <c r="D281" s="735"/>
      <c r="E281" s="728"/>
      <c r="G281" s="735"/>
      <c r="H281" s="31"/>
      <c r="J281" s="724"/>
      <c r="K281" s="31"/>
      <c r="M281" s="724"/>
      <c r="N281" s="728"/>
      <c r="P281" s="735"/>
      <c r="Q281" s="30"/>
    </row>
    <row r="282" spans="1:17" x14ac:dyDescent="0.25">
      <c r="B282" s="728"/>
      <c r="D282" s="735"/>
      <c r="E282" s="728"/>
      <c r="G282" s="735"/>
      <c r="H282" s="31"/>
      <c r="J282" s="724"/>
      <c r="K282" s="31"/>
      <c r="M282" s="724"/>
      <c r="N282" s="728"/>
      <c r="P282" s="735"/>
      <c r="Q282" s="30"/>
    </row>
    <row r="283" spans="1:17" x14ac:dyDescent="0.25">
      <c r="A283" t="str">
        <f>RailTransport!A11</f>
        <v xml:space="preserve"> - Gas Oil</v>
      </c>
      <c r="B283" s="726">
        <f>(Unitflowchart!$S$320/Unitflowchart!$S$383)*RailTransport!J11*Unitflowchart!$S$331</f>
        <v>0</v>
      </c>
      <c r="C283" s="25">
        <f>(B283/B$383)*100</f>
        <v>0</v>
      </c>
      <c r="D283" s="744">
        <f>(Unitflowchart!$S$320/Unitflowchart!$S$383)*RailTransport!K11*Unitflowchart!$S$331</f>
        <v>0</v>
      </c>
      <c r="E283" s="726">
        <f>(Unitflowchart!$S$320/Unitflowchart!$S$383)*RailTransport!P11*Unitflowchart!$S$331</f>
        <v>0</v>
      </c>
      <c r="F283" s="25">
        <f>(E283/E$383)*100</f>
        <v>0</v>
      </c>
      <c r="G283" s="744">
        <f>(Unitflowchart!$S$320/Unitflowchart!$S$383)*RailTransport!Q11*Unitflowchart!$S$331</f>
        <v>0</v>
      </c>
      <c r="H283" s="723">
        <f>(Unitflowchart!$S$320/Unitflowchart!$S$383)*RailTransport!V11*Unitflowchart!$S$331</f>
        <v>0</v>
      </c>
      <c r="I283" s="25">
        <f>(H283/H$383)*100</f>
        <v>0</v>
      </c>
      <c r="J283" s="725">
        <f>(Unitflowchart!$S$320/Unitflowchart!$S$383)*RailTransport!W11*Unitflowchart!$S$331</f>
        <v>0</v>
      </c>
      <c r="K283" s="723">
        <f>(Unitflowchart!$S$320/Unitflowchart!$S$383)*RailTransport!AB11*Unitflowchart!$S$331</f>
        <v>0</v>
      </c>
      <c r="L283" s="25">
        <f>(K283/K$383)*100</f>
        <v>0</v>
      </c>
      <c r="M283" s="725">
        <f>(Unitflowchart!$S$320/Unitflowchart!$S$383)*RailTransport!AC11*Unitflowchart!$S$331</f>
        <v>0</v>
      </c>
      <c r="N283" s="726">
        <f>E283+(GlobalWarmingPotentials!$B$11*H283)+(GlobalWarmingPotentials!$C$11*K283)</f>
        <v>0</v>
      </c>
      <c r="O283" s="25">
        <f>(N283/N$383)*100</f>
        <v>0</v>
      </c>
      <c r="P283" s="744">
        <f>SQRT((G283^2)+((GlobalWarmingPotentials!$B$11*J283)^2)+((GlobalWarmingPotentials!$C$11*M283)^2))</f>
        <v>0</v>
      </c>
      <c r="Q283" s="30"/>
    </row>
    <row r="284" spans="1:17" x14ac:dyDescent="0.25">
      <c r="A284" t="str">
        <f>RailTransport!A12</f>
        <v xml:space="preserve"> - Capital Equipment</v>
      </c>
      <c r="B284" s="726">
        <f>(Unitflowchart!$S$320/Unitflowchart!$S$383)*RailTransport!J12*Unitflowchart!$S$331</f>
        <v>0</v>
      </c>
      <c r="C284" s="25">
        <f>(B284/B$383)*100</f>
        <v>0</v>
      </c>
      <c r="D284" s="744">
        <f>(Unitflowchart!$S$320/Unitflowchart!$S$383)*RailTransport!K12*Unitflowchart!$S$331</f>
        <v>0</v>
      </c>
      <c r="E284" s="726">
        <f>(Unitflowchart!$S$320/Unitflowchart!$S$383)*RailTransport!P12*Unitflowchart!$S$331</f>
        <v>0</v>
      </c>
      <c r="F284" s="25">
        <f>(E284/E$383)*100</f>
        <v>0</v>
      </c>
      <c r="G284" s="744">
        <f>(Unitflowchart!$S$320/Unitflowchart!$S$383)*RailTransport!Q12*Unitflowchart!$S$331</f>
        <v>0</v>
      </c>
      <c r="H284" s="723">
        <f>(Unitflowchart!$S$320/Unitflowchart!$S$383)*RailTransport!V12*Unitflowchart!$S$331</f>
        <v>0</v>
      </c>
      <c r="I284" s="25">
        <f>(H284/H$383)*100</f>
        <v>0</v>
      </c>
      <c r="J284" s="725">
        <f>(Unitflowchart!$S$320/Unitflowchart!$S$383)*RailTransport!W12*Unitflowchart!$S$331</f>
        <v>0</v>
      </c>
      <c r="K284" s="723">
        <f>(Unitflowchart!$S$320/Unitflowchart!$S$383)*RailTransport!AB12*Unitflowchart!$S$331</f>
        <v>0</v>
      </c>
      <c r="L284" s="25">
        <f>(K284/K$383)*100</f>
        <v>0</v>
      </c>
      <c r="M284" s="725">
        <f>(Unitflowchart!$S$320/Unitflowchart!$S$383)*RailTransport!AC12*Unitflowchart!$S$331</f>
        <v>0</v>
      </c>
      <c r="N284" s="726">
        <f>E284+(GlobalWarmingPotentials!$B$11*H284)+(GlobalWarmingPotentials!$C$11*K284)</f>
        <v>0</v>
      </c>
      <c r="O284" s="25">
        <f>(N284/N$383)*100</f>
        <v>0</v>
      </c>
      <c r="P284" s="744">
        <f>SQRT((G284^2)+((GlobalWarmingPotentials!$B$11*J284)^2)+((GlobalWarmingPotentials!$C$11*M284)^2))</f>
        <v>0</v>
      </c>
      <c r="Q284" s="30"/>
    </row>
    <row r="285" spans="1:17" x14ac:dyDescent="0.25">
      <c r="A285" t="str">
        <f>RailTransport!A13</f>
        <v xml:space="preserve"> - Maintenance</v>
      </c>
      <c r="B285" s="726">
        <f>(Unitflowchart!$S$320/Unitflowchart!$S$383)*RailTransport!J13*Unitflowchart!$S$331</f>
        <v>0</v>
      </c>
      <c r="C285" s="25">
        <f>(B285/B$383)*100</f>
        <v>0</v>
      </c>
      <c r="D285" s="744">
        <f>(Unitflowchart!$S$320/Unitflowchart!$S$383)*RailTransport!K13*Unitflowchart!$S$331</f>
        <v>0</v>
      </c>
      <c r="E285" s="726">
        <f>(Unitflowchart!$S$320/Unitflowchart!$S$383)*RailTransport!P13*Unitflowchart!$S$331</f>
        <v>0</v>
      </c>
      <c r="F285" s="25">
        <f>(E285/E$383)*100</f>
        <v>0</v>
      </c>
      <c r="G285" s="744">
        <f>(Unitflowchart!$S$320/Unitflowchart!$S$383)*RailTransport!Q13*Unitflowchart!$S$331</f>
        <v>0</v>
      </c>
      <c r="H285" s="723">
        <f>(Unitflowchart!$S$320/Unitflowchart!$S$383)*RailTransport!V13*Unitflowchart!$S$331</f>
        <v>0</v>
      </c>
      <c r="I285" s="25">
        <f>(H285/H$383)*100</f>
        <v>0</v>
      </c>
      <c r="J285" s="725">
        <f>(Unitflowchart!$S$320/Unitflowchart!$S$383)*RailTransport!W13*Unitflowchart!$S$331</f>
        <v>0</v>
      </c>
      <c r="K285" s="723">
        <f>(Unitflowchart!$S$320/Unitflowchart!$S$383)*RailTransport!AB13*Unitflowchart!$S$331</f>
        <v>0</v>
      </c>
      <c r="L285" s="25">
        <f>(K285/K$383)*100</f>
        <v>0</v>
      </c>
      <c r="M285" s="725">
        <f>(Unitflowchart!$S$320/Unitflowchart!$S$383)*RailTransport!AC13*Unitflowchart!$S$331</f>
        <v>0</v>
      </c>
      <c r="N285" s="726">
        <f>E285+(GlobalWarmingPotentials!$B$11*H285)+(GlobalWarmingPotentials!$C$11*K285)</f>
        <v>0</v>
      </c>
      <c r="O285" s="25">
        <f>(N285/N$383)*100</f>
        <v>0</v>
      </c>
      <c r="P285" s="744">
        <f>SQRT((G285^2)+((GlobalWarmingPotentials!$B$11*J285)^2)+((GlobalWarmingPotentials!$C$11*M285)^2))</f>
        <v>0</v>
      </c>
      <c r="Q285" s="30"/>
    </row>
    <row r="286" spans="1:17" x14ac:dyDescent="0.25">
      <c r="B286" s="728"/>
      <c r="C286" s="25"/>
      <c r="D286" s="735"/>
      <c r="E286" s="728"/>
      <c r="F286" s="25"/>
      <c r="G286" s="735"/>
      <c r="H286" s="31"/>
      <c r="I286" s="25"/>
      <c r="J286" s="724"/>
      <c r="K286" s="31"/>
      <c r="L286" s="25"/>
      <c r="M286" s="724"/>
      <c r="N286" s="728"/>
      <c r="O286" s="25"/>
      <c r="P286" s="735"/>
      <c r="Q286" s="30"/>
    </row>
    <row r="287" spans="1:17" x14ac:dyDescent="0.25">
      <c r="A287" s="218" t="s">
        <v>867</v>
      </c>
      <c r="B287" s="734">
        <f>(Unitflowchart!$S$320/Unitflowchart!$S$383)*RailTransport!J15*Unitflowchart!$S$331</f>
        <v>0</v>
      </c>
      <c r="C287" s="721">
        <f>(B287/B$383)*100</f>
        <v>0</v>
      </c>
      <c r="D287" s="745">
        <f>(Unitflowchart!$S$320/Unitflowchart!$S$383)*RailTransport!K15*Unitflowchart!$S$331</f>
        <v>0</v>
      </c>
      <c r="E287" s="734">
        <f>(Unitflowchart!$S$320/Unitflowchart!$S$383)*RailTransport!P15*Unitflowchart!$S$331</f>
        <v>0</v>
      </c>
      <c r="F287" s="721">
        <f>(E287/E$383)*100</f>
        <v>0</v>
      </c>
      <c r="G287" s="745">
        <f>(Unitflowchart!$S$320/Unitflowchart!$S$383)*RailTransport!Q15*Unitflowchart!$S$331</f>
        <v>0</v>
      </c>
      <c r="H287" s="722">
        <f>(Unitflowchart!$S$320/Unitflowchart!$S$383)*RailTransport!V15*Unitflowchart!$S$331</f>
        <v>0</v>
      </c>
      <c r="I287" s="721">
        <f>(H287/H$383)*100</f>
        <v>0</v>
      </c>
      <c r="J287" s="720">
        <f>(Unitflowchart!$S$320/Unitflowchart!$S$383)*RailTransport!W15*Unitflowchart!$S$331</f>
        <v>0</v>
      </c>
      <c r="K287" s="722">
        <f>(Unitflowchart!$S$320/Unitflowchart!$S$383)*RailTransport!AB15*Unitflowchart!$S$331</f>
        <v>0</v>
      </c>
      <c r="L287" s="721">
        <f>(K287/K$383)*100</f>
        <v>0</v>
      </c>
      <c r="M287" s="720">
        <f>(Unitflowchart!$S$320/Unitflowchart!$S$383)*RailTransport!AC15*Unitflowchart!$S$331</f>
        <v>0</v>
      </c>
      <c r="N287" s="734">
        <f>E287+(GlobalWarmingPotentials!$B$11*H287)+(GlobalWarmingPotentials!$C$11*K287)</f>
        <v>0</v>
      </c>
      <c r="O287" s="721">
        <f>(N287/N$383)*100</f>
        <v>0</v>
      </c>
      <c r="P287" s="743">
        <f>SQRT((G287^2)+((GlobalWarmingPotentials!$B$11*J287)^2)+((GlobalWarmingPotentials!$C$11*M287)^2))</f>
        <v>0</v>
      </c>
      <c r="Q287" s="30"/>
    </row>
    <row r="288" spans="1:17" x14ac:dyDescent="0.25">
      <c r="B288" s="728"/>
      <c r="C288" s="25"/>
      <c r="D288" s="735"/>
      <c r="E288" s="728"/>
      <c r="F288" s="25"/>
      <c r="G288" s="735"/>
      <c r="H288" s="31"/>
      <c r="I288" s="25"/>
      <c r="J288" s="724"/>
      <c r="K288" s="31"/>
      <c r="L288" s="25"/>
      <c r="M288" s="724"/>
      <c r="N288" s="728"/>
      <c r="O288" s="25"/>
      <c r="P288" s="735"/>
      <c r="Q288" s="30"/>
    </row>
    <row r="289" spans="1:17" x14ac:dyDescent="0.25">
      <c r="A289" s="387" t="s">
        <v>918</v>
      </c>
      <c r="B289" s="728"/>
      <c r="C289" s="25"/>
      <c r="D289" s="735"/>
      <c r="E289" s="728"/>
      <c r="F289" s="25"/>
      <c r="G289" s="735"/>
      <c r="H289" s="31"/>
      <c r="I289" s="25"/>
      <c r="J289" s="724"/>
      <c r="K289" s="31"/>
      <c r="L289" s="25"/>
      <c r="M289" s="724"/>
      <c r="N289" s="728"/>
      <c r="O289" s="25"/>
      <c r="P289" s="735"/>
      <c r="Q289" s="30"/>
    </row>
    <row r="290" spans="1:17" x14ac:dyDescent="0.25">
      <c r="B290" s="728"/>
      <c r="C290" s="25"/>
      <c r="D290" s="735"/>
      <c r="E290" s="728"/>
      <c r="F290" s="25"/>
      <c r="G290" s="735"/>
      <c r="H290" s="31"/>
      <c r="I290" s="25"/>
      <c r="J290" s="724"/>
      <c r="K290" s="31"/>
      <c r="L290" s="25"/>
      <c r="M290" s="724"/>
      <c r="N290" s="728"/>
      <c r="O290" s="25"/>
      <c r="P290" s="735"/>
      <c r="Q290" s="30"/>
    </row>
    <row r="291" spans="1:17" x14ac:dyDescent="0.25">
      <c r="A291" t="str">
        <f>BargeTransport!A11</f>
        <v xml:space="preserve"> - Marine Diesel</v>
      </c>
      <c r="B291" s="726">
        <f>(Unitflowchart!$S$320/Unitflowchart!$S$383)*BargeTransport!J11*Unitflowchart!$S$333</f>
        <v>0</v>
      </c>
      <c r="C291" s="25">
        <f>(B291/B$383)*100</f>
        <v>0</v>
      </c>
      <c r="D291" s="744">
        <f>(Unitflowchart!$S$320/Unitflowchart!$S$383)*BargeTransport!K11*Unitflowchart!$S$333</f>
        <v>0</v>
      </c>
      <c r="E291" s="726">
        <f>(Unitflowchart!$S$320/Unitflowchart!$S$383)*BargeTransport!P11*Unitflowchart!$S$333</f>
        <v>0</v>
      </c>
      <c r="F291" s="25">
        <f>(E291/E$383)*100</f>
        <v>0</v>
      </c>
      <c r="G291" s="744">
        <f>(Unitflowchart!$S$320/Unitflowchart!$S$383)*BargeTransport!Q11*Unitflowchart!$S$333</f>
        <v>0</v>
      </c>
      <c r="H291" s="723">
        <f>(Unitflowchart!$S$320/Unitflowchart!$S$383)*BargeTransport!V11*Unitflowchart!$S$333</f>
        <v>0</v>
      </c>
      <c r="I291" s="25">
        <f>(H291/H$383)*100</f>
        <v>0</v>
      </c>
      <c r="J291" s="725">
        <f>(Unitflowchart!$S$320/Unitflowchart!$S$383)*BargeTransport!W11*Unitflowchart!$S$333</f>
        <v>0</v>
      </c>
      <c r="K291" s="723">
        <f>(Unitflowchart!$S$320/Unitflowchart!$S$383)*BargeTransport!AB11*Unitflowchart!$S$333</f>
        <v>0</v>
      </c>
      <c r="L291" s="25">
        <f>(K291/K$383)*100</f>
        <v>0</v>
      </c>
      <c r="M291" s="725">
        <f>(Unitflowchart!$S$320/Unitflowchart!$S$383)*BargeTransport!AC11*Unitflowchart!$S$333</f>
        <v>0</v>
      </c>
      <c r="N291" s="726">
        <f>E291+(GlobalWarmingPotentials!$B$11*H291)+(GlobalWarmingPotentials!$C$11*K291)</f>
        <v>0</v>
      </c>
      <c r="O291" s="25">
        <f>(N291/N$383)*100</f>
        <v>0</v>
      </c>
      <c r="P291" s="744">
        <f>SQRT((G291^2)+((GlobalWarmingPotentials!$B$11*J291)^2)+((GlobalWarmingPotentials!$C$11*M291)^2))</f>
        <v>0</v>
      </c>
      <c r="Q291" s="30"/>
    </row>
    <row r="292" spans="1:17" x14ac:dyDescent="0.25">
      <c r="A292" t="str">
        <f>BargeTransport!A12</f>
        <v xml:space="preserve"> - Barge Construction</v>
      </c>
      <c r="B292" s="726">
        <f>(Unitflowchart!$S$320/Unitflowchart!$S$383)*BargeTransport!J12*Unitflowchart!$S$333</f>
        <v>0</v>
      </c>
      <c r="C292" s="25">
        <f>(B292/B$383)*100</f>
        <v>0</v>
      </c>
      <c r="D292" s="744">
        <f>(Unitflowchart!$S$320/Unitflowchart!$S$383)*BargeTransport!K12*Unitflowchart!$S$333</f>
        <v>0</v>
      </c>
      <c r="E292" s="726">
        <f>(Unitflowchart!$S$320/Unitflowchart!$S$383)*BargeTransport!P12*Unitflowchart!$S$333</f>
        <v>0</v>
      </c>
      <c r="F292" s="25">
        <f>(E292/E$383)*100</f>
        <v>0</v>
      </c>
      <c r="G292" s="744">
        <f>(Unitflowchart!$S$320/Unitflowchart!$S$383)*BargeTransport!Q12*Unitflowchart!$S$333</f>
        <v>0</v>
      </c>
      <c r="H292" s="723">
        <f>(Unitflowchart!$S$320/Unitflowchart!$S$383)*BargeTransport!V12*Unitflowchart!$S$333</f>
        <v>0</v>
      </c>
      <c r="I292" s="25">
        <f>(H292/H$383)*100</f>
        <v>0</v>
      </c>
      <c r="J292" s="725">
        <f>(Unitflowchart!$S$320/Unitflowchart!$S$383)*BargeTransport!W12*Unitflowchart!$S$333</f>
        <v>0</v>
      </c>
      <c r="K292" s="723">
        <f>(Unitflowchart!$S$320/Unitflowchart!$S$383)*BargeTransport!AB12*Unitflowchart!$S$333</f>
        <v>0</v>
      </c>
      <c r="L292" s="25">
        <f>(K292/K$383)*100</f>
        <v>0</v>
      </c>
      <c r="M292" s="725">
        <f>(Unitflowchart!$S$320/Unitflowchart!$S$383)*BargeTransport!AC12*Unitflowchart!$S$333</f>
        <v>0</v>
      </c>
      <c r="N292" s="726">
        <f>E292+(GlobalWarmingPotentials!$B$11*H292)+(GlobalWarmingPotentials!$C$11*K292)</f>
        <v>0</v>
      </c>
      <c r="O292" s="25">
        <f>(N292/N$383)*100</f>
        <v>0</v>
      </c>
      <c r="P292" s="744">
        <f>SQRT((G292^2)+((GlobalWarmingPotentials!$B$11*J292)^2)+((GlobalWarmingPotentials!$C$11*M292)^2))</f>
        <v>0</v>
      </c>
      <c r="Q292" s="30"/>
    </row>
    <row r="293" spans="1:17" x14ac:dyDescent="0.25">
      <c r="A293" t="str">
        <f>BargeTransport!A13</f>
        <v xml:space="preserve"> - Barge Maintenance</v>
      </c>
      <c r="B293" s="726">
        <f>(Unitflowchart!$S$320/Unitflowchart!$S$383)*BargeTransport!J13*Unitflowchart!$S$333</f>
        <v>0</v>
      </c>
      <c r="C293" s="25">
        <f>(B293/B$383)*100</f>
        <v>0</v>
      </c>
      <c r="D293" s="744">
        <f>(Unitflowchart!$S$320/Unitflowchart!$S$383)*BargeTransport!K13*Unitflowchart!$S$333</f>
        <v>0</v>
      </c>
      <c r="E293" s="726">
        <f>(Unitflowchart!$S$320/Unitflowchart!$S$383)*BargeTransport!P13*Unitflowchart!$S$333</f>
        <v>0</v>
      </c>
      <c r="F293" s="25">
        <f>(E293/E$383)*100</f>
        <v>0</v>
      </c>
      <c r="G293" s="744">
        <f>(Unitflowchart!$S$320/Unitflowchart!$S$383)*BargeTransport!Q13*Unitflowchart!$S$333</f>
        <v>0</v>
      </c>
      <c r="H293" s="723">
        <f>(Unitflowchart!$S$320/Unitflowchart!$S$383)*BargeTransport!V13*Unitflowchart!$S$333</f>
        <v>0</v>
      </c>
      <c r="I293" s="25">
        <f>(H293/H$383)*100</f>
        <v>0</v>
      </c>
      <c r="J293" s="725">
        <f>(Unitflowchart!$S$320/Unitflowchart!$S$383)*BargeTransport!W13*Unitflowchart!$S$333</f>
        <v>0</v>
      </c>
      <c r="K293" s="723">
        <f>(Unitflowchart!$S$320/Unitflowchart!$S$383)*BargeTransport!AB13*Unitflowchart!$S$333</f>
        <v>0</v>
      </c>
      <c r="L293" s="25">
        <f>(K293/K$383)*100</f>
        <v>0</v>
      </c>
      <c r="M293" s="725">
        <f>(Unitflowchart!$S$320/Unitflowchart!$S$383)*BargeTransport!AC13*Unitflowchart!$S$333</f>
        <v>0</v>
      </c>
      <c r="N293" s="726">
        <f>E293+(GlobalWarmingPotentials!$B$11*H293)+(GlobalWarmingPotentials!$C$11*K293)</f>
        <v>0</v>
      </c>
      <c r="O293" s="25">
        <f>(N293/N$383)*100</f>
        <v>0</v>
      </c>
      <c r="P293" s="744">
        <f>SQRT((G293^2)+((GlobalWarmingPotentials!$B$11*J293)^2)+((GlobalWarmingPotentials!$C$11*M293)^2))</f>
        <v>0</v>
      </c>
      <c r="Q293" s="30"/>
    </row>
    <row r="294" spans="1:17" x14ac:dyDescent="0.25">
      <c r="B294" s="728"/>
      <c r="C294" s="25"/>
      <c r="D294" s="735"/>
      <c r="E294" s="728"/>
      <c r="F294" s="25"/>
      <c r="G294" s="735"/>
      <c r="H294" s="31"/>
      <c r="I294" s="25"/>
      <c r="J294" s="724"/>
      <c r="K294" s="31"/>
      <c r="L294" s="25"/>
      <c r="M294" s="724"/>
      <c r="N294" s="728"/>
      <c r="O294" s="25"/>
      <c r="P294" s="735"/>
      <c r="Q294" s="30"/>
    </row>
    <row r="295" spans="1:17" x14ac:dyDescent="0.25">
      <c r="A295" s="218" t="s">
        <v>871</v>
      </c>
      <c r="B295" s="734">
        <f>(Unitflowchart!$S$320/Unitflowchart!$S$383)*BargeTransport!J15*Unitflowchart!$S$333</f>
        <v>0</v>
      </c>
      <c r="C295" s="721">
        <f>(B295/B$383)*100</f>
        <v>0</v>
      </c>
      <c r="D295" s="745">
        <f>(Unitflowchart!$S$320/Unitflowchart!$S$383)*BargeTransport!K15*Unitflowchart!$S$333</f>
        <v>0</v>
      </c>
      <c r="E295" s="734">
        <f>(Unitflowchart!$S$320/Unitflowchart!$S$383)*BargeTransport!P15*Unitflowchart!$S$333</f>
        <v>0</v>
      </c>
      <c r="F295" s="721">
        <f>(E295/E$383)*100</f>
        <v>0</v>
      </c>
      <c r="G295" s="745">
        <f>(Unitflowchart!$S$320/Unitflowchart!$S$383)*BargeTransport!Q15*Unitflowchart!$S$333</f>
        <v>0</v>
      </c>
      <c r="H295" s="722">
        <f>(Unitflowchart!$S$320/Unitflowchart!$S$383)*BargeTransport!V15*Unitflowchart!$S$333</f>
        <v>0</v>
      </c>
      <c r="I295" s="721">
        <f>(H295/H$383)*100</f>
        <v>0</v>
      </c>
      <c r="J295" s="720">
        <f>(Unitflowchart!$S$320/Unitflowchart!$S$383)*BargeTransport!W15*Unitflowchart!$S$333</f>
        <v>0</v>
      </c>
      <c r="K295" s="722">
        <f>(Unitflowchart!$S$320/Unitflowchart!$S$383)*BargeTransport!AB15*Unitflowchart!$S$333</f>
        <v>0</v>
      </c>
      <c r="L295" s="721">
        <f>(K295/K$383)*100</f>
        <v>0</v>
      </c>
      <c r="M295" s="720">
        <f>(Unitflowchart!$S$320/Unitflowchart!$S$383)*BargeTransport!AC15*Unitflowchart!$S$333</f>
        <v>0</v>
      </c>
      <c r="N295" s="734">
        <f>E295+(GlobalWarmingPotentials!$B$11*H295)+(GlobalWarmingPotentials!$C$11*K295)</f>
        <v>0</v>
      </c>
      <c r="O295" s="721">
        <f>(N295/N$383)*100</f>
        <v>0</v>
      </c>
      <c r="P295" s="743">
        <f>SQRT((G295^2)+((GlobalWarmingPotentials!$B$11*J295)^2)+((GlobalWarmingPotentials!$C$11*M295)^2))</f>
        <v>0</v>
      </c>
      <c r="Q295" s="30"/>
    </row>
    <row r="296" spans="1:17" x14ac:dyDescent="0.25">
      <c r="B296" s="728"/>
      <c r="C296" s="25"/>
      <c r="D296" s="735"/>
      <c r="E296" s="728"/>
      <c r="F296" s="25"/>
      <c r="G296" s="735"/>
      <c r="H296" s="31"/>
      <c r="I296" s="25"/>
      <c r="J296" s="724"/>
      <c r="K296" s="31"/>
      <c r="L296" s="25"/>
      <c r="M296" s="724"/>
      <c r="N296" s="728"/>
      <c r="O296" s="25"/>
      <c r="P296" s="735"/>
      <c r="Q296" s="30"/>
    </row>
    <row r="297" spans="1:17" x14ac:dyDescent="0.25">
      <c r="A297" s="387" t="s">
        <v>919</v>
      </c>
      <c r="B297" s="728"/>
      <c r="C297" s="25"/>
      <c r="D297" s="735"/>
      <c r="E297" s="728"/>
      <c r="F297" s="25"/>
      <c r="G297" s="735"/>
      <c r="H297" s="31"/>
      <c r="I297" s="25"/>
      <c r="J297" s="724"/>
      <c r="K297" s="31"/>
      <c r="L297" s="25"/>
      <c r="M297" s="724"/>
      <c r="N297" s="728"/>
      <c r="O297" s="25"/>
      <c r="P297" s="735"/>
      <c r="Q297" s="30"/>
    </row>
    <row r="298" spans="1:17" x14ac:dyDescent="0.25">
      <c r="B298" s="728"/>
      <c r="C298" s="25"/>
      <c r="D298" s="735"/>
      <c r="E298" s="728"/>
      <c r="F298" s="25"/>
      <c r="G298" s="735"/>
      <c r="H298" s="31"/>
      <c r="I298" s="25"/>
      <c r="J298" s="724"/>
      <c r="K298" s="31"/>
      <c r="L298" s="25"/>
      <c r="M298" s="724"/>
      <c r="N298" s="728"/>
      <c r="O298" s="25"/>
      <c r="P298" s="735"/>
      <c r="Q298" s="30"/>
    </row>
    <row r="299" spans="1:17" x14ac:dyDescent="0.25">
      <c r="A299" t="str">
        <f>ShipTransport!A11</f>
        <v xml:space="preserve"> - Marine Diesel</v>
      </c>
      <c r="B299" s="726">
        <f>(Unitflowchart!$S$320/Unitflowchart!$S$383)*ShipTransport!J11*Unitflowchart!$S$335</f>
        <v>0</v>
      </c>
      <c r="C299" s="25">
        <f>(B299/B$383)*100</f>
        <v>0</v>
      </c>
      <c r="D299" s="744">
        <f>(Unitflowchart!$S$320/Unitflowchart!$S$383)*ShipTransport!K11*Unitflowchart!$S$335</f>
        <v>0</v>
      </c>
      <c r="E299" s="726">
        <f>(Unitflowchart!$S$320/Unitflowchart!$S$383)*ShipTransport!P11*Unitflowchart!$S$335</f>
        <v>0</v>
      </c>
      <c r="F299" s="25">
        <f>(E299/E$383)*100</f>
        <v>0</v>
      </c>
      <c r="G299" s="744">
        <f>(Unitflowchart!$S$320/Unitflowchart!$S$383)*ShipTransport!Q11*Unitflowchart!$S$335</f>
        <v>0</v>
      </c>
      <c r="H299" s="723">
        <f>(Unitflowchart!$S$320/Unitflowchart!$S$383)*ShipTransport!V11*Unitflowchart!$S$335</f>
        <v>0</v>
      </c>
      <c r="I299" s="25">
        <f>(H299/H$383)*100</f>
        <v>0</v>
      </c>
      <c r="J299" s="725">
        <f>(Unitflowchart!$S$320/Unitflowchart!$S$383)*ShipTransport!W11*Unitflowchart!$S$335</f>
        <v>0</v>
      </c>
      <c r="K299" s="723">
        <f>(Unitflowchart!$S$320/Unitflowchart!$S$383)*ShipTransport!AB11*Unitflowchart!$S$335</f>
        <v>0</v>
      </c>
      <c r="L299" s="25">
        <f>(K299/K$383)*100</f>
        <v>0</v>
      </c>
      <c r="M299" s="725">
        <f>(Unitflowchart!$S$320/Unitflowchart!$S$383)*ShipTransport!AC11*Unitflowchart!$S$335</f>
        <v>0</v>
      </c>
      <c r="N299" s="726">
        <f>E299+(GlobalWarmingPotentials!$B$11*H299)+(GlobalWarmingPotentials!$C$11*K299)</f>
        <v>0</v>
      </c>
      <c r="O299" s="25">
        <f>(N299/N$383)*100</f>
        <v>0</v>
      </c>
      <c r="P299" s="744">
        <f>SQRT((G299^2)+((GlobalWarmingPotentials!$B$11*J299)^2)+((GlobalWarmingPotentials!$C$11*M299)^2))</f>
        <v>0</v>
      </c>
      <c r="Q299" s="30"/>
    </row>
    <row r="300" spans="1:17" x14ac:dyDescent="0.25">
      <c r="A300" t="str">
        <f>ShipTransport!A12</f>
        <v xml:space="preserve"> - Ship Construction</v>
      </c>
      <c r="B300" s="726">
        <f>(Unitflowchart!$S$320/Unitflowchart!$S$383)*ShipTransport!J12*Unitflowchart!$S$335</f>
        <v>0</v>
      </c>
      <c r="C300" s="25">
        <f>(B300/B$383)*100</f>
        <v>0</v>
      </c>
      <c r="D300" s="744">
        <f>(Unitflowchart!$S$320/Unitflowchart!$S$383)*ShipTransport!K12*Unitflowchart!$S$335</f>
        <v>0</v>
      </c>
      <c r="E300" s="726">
        <f>(Unitflowchart!$S$320/Unitflowchart!$S$383)*ShipTransport!P12*Unitflowchart!$S$335</f>
        <v>0</v>
      </c>
      <c r="F300" s="25">
        <f>(E300/E$383)*100</f>
        <v>0</v>
      </c>
      <c r="G300" s="744">
        <f>(Unitflowchart!$S$320/Unitflowchart!$S$383)*ShipTransport!Q12*Unitflowchart!$S$335</f>
        <v>0</v>
      </c>
      <c r="H300" s="723">
        <f>(Unitflowchart!$S$320/Unitflowchart!$S$383)*ShipTransport!V12*Unitflowchart!$S$335</f>
        <v>0</v>
      </c>
      <c r="I300" s="25">
        <f>(H300/H$383)*100</f>
        <v>0</v>
      </c>
      <c r="J300" s="725">
        <f>(Unitflowchart!$S$320/Unitflowchart!$S$383)*ShipTransport!W12*Unitflowchart!$S$335</f>
        <v>0</v>
      </c>
      <c r="K300" s="723">
        <f>(Unitflowchart!$S$320/Unitflowchart!$S$383)*ShipTransport!AB12*Unitflowchart!$S$335</f>
        <v>0</v>
      </c>
      <c r="L300" s="25">
        <f>(K300/K$383)*100</f>
        <v>0</v>
      </c>
      <c r="M300" s="725">
        <f>(Unitflowchart!$S$320/Unitflowchart!$S$383)*ShipTransport!AC12*Unitflowchart!$S$335</f>
        <v>0</v>
      </c>
      <c r="N300" s="726">
        <f>E300+(GlobalWarmingPotentials!$B$11*H300)+(GlobalWarmingPotentials!$C$11*K300)</f>
        <v>0</v>
      </c>
      <c r="O300" s="25">
        <f>(N300/N$383)*100</f>
        <v>0</v>
      </c>
      <c r="P300" s="744">
        <f>SQRT((G300^2)+((GlobalWarmingPotentials!$B$11*J300)^2)+((GlobalWarmingPotentials!$C$11*M300)^2))</f>
        <v>0</v>
      </c>
      <c r="Q300" s="30"/>
    </row>
    <row r="301" spans="1:17" x14ac:dyDescent="0.25">
      <c r="A301" t="str">
        <f>ShipTransport!A13</f>
        <v xml:space="preserve"> - Ship Maintenance</v>
      </c>
      <c r="B301" s="726">
        <f>(Unitflowchart!$S$320/Unitflowchart!$S$383)*ShipTransport!J13*Unitflowchart!$S$335</f>
        <v>0</v>
      </c>
      <c r="C301" s="25">
        <f>(B301/B$383)*100</f>
        <v>0</v>
      </c>
      <c r="D301" s="744">
        <f>(Unitflowchart!$S$320/Unitflowchart!$S$383)*ShipTransport!K13*Unitflowchart!$S$335</f>
        <v>0</v>
      </c>
      <c r="E301" s="726">
        <f>(Unitflowchart!$S$320/Unitflowchart!$S$383)*ShipTransport!P13*Unitflowchart!$S$335</f>
        <v>0</v>
      </c>
      <c r="F301" s="25">
        <f>(E301/E$383)*100</f>
        <v>0</v>
      </c>
      <c r="G301" s="744">
        <f>(Unitflowchart!$S$320/Unitflowchart!$S$383)*ShipTransport!Q13*Unitflowchart!$S$335</f>
        <v>0</v>
      </c>
      <c r="H301" s="723">
        <f>(Unitflowchart!$S$320/Unitflowchart!$S$383)*ShipTransport!V13*Unitflowchart!$S$335</f>
        <v>0</v>
      </c>
      <c r="I301" s="25">
        <f>(H301/H$383)*100</f>
        <v>0</v>
      </c>
      <c r="J301" s="725">
        <f>(Unitflowchart!$S$320/Unitflowchart!$S$383)*ShipTransport!W13*Unitflowchart!$S$335</f>
        <v>0</v>
      </c>
      <c r="K301" s="723">
        <f>(Unitflowchart!$S$320/Unitflowchart!$S$383)*ShipTransport!AB13*Unitflowchart!$S$335</f>
        <v>0</v>
      </c>
      <c r="L301" s="25">
        <f>(K301/K$383)*100</f>
        <v>0</v>
      </c>
      <c r="M301" s="725">
        <f>(Unitflowchart!$S$320/Unitflowchart!$S$383)*ShipTransport!AC13*Unitflowchart!$S$335</f>
        <v>0</v>
      </c>
      <c r="N301" s="726">
        <f>E301+(GlobalWarmingPotentials!$B$11*H301)+(GlobalWarmingPotentials!$C$11*K301)</f>
        <v>0</v>
      </c>
      <c r="O301" s="25">
        <f>(N301/N$383)*100</f>
        <v>0</v>
      </c>
      <c r="P301" s="744">
        <f>SQRT((G301^2)+((GlobalWarmingPotentials!$B$11*J301)^2)+((GlobalWarmingPotentials!$C$11*M301)^2))</f>
        <v>0</v>
      </c>
      <c r="Q301" s="30"/>
    </row>
    <row r="302" spans="1:17" x14ac:dyDescent="0.25">
      <c r="B302" s="728"/>
      <c r="C302" s="25"/>
      <c r="D302" s="735"/>
      <c r="E302" s="728"/>
      <c r="F302" s="25"/>
      <c r="G302" s="735"/>
      <c r="H302" s="31"/>
      <c r="I302" s="25"/>
      <c r="J302" s="724"/>
      <c r="K302" s="31"/>
      <c r="L302" s="25"/>
      <c r="M302" s="724"/>
      <c r="N302" s="728"/>
      <c r="O302" s="25"/>
      <c r="P302" s="735"/>
      <c r="Q302" s="30"/>
    </row>
    <row r="303" spans="1:17" x14ac:dyDescent="0.25">
      <c r="A303" s="218" t="s">
        <v>873</v>
      </c>
      <c r="B303" s="734">
        <f>(Unitflowchart!$S$320/Unitflowchart!$S$383)*ShipTransport!J15*Unitflowchart!$S$335</f>
        <v>0</v>
      </c>
      <c r="C303" s="721">
        <f>(B303/B$383)*100</f>
        <v>0</v>
      </c>
      <c r="D303" s="745">
        <f>(Unitflowchart!$S$320/Unitflowchart!$S$383)*ShipTransport!K15*Unitflowchart!$S$335</f>
        <v>0</v>
      </c>
      <c r="E303" s="734">
        <f>(Unitflowchart!$S$320/Unitflowchart!$S$383)*ShipTransport!P15*Unitflowchart!$S$335</f>
        <v>0</v>
      </c>
      <c r="F303" s="721">
        <f>(E303/E$383)*100</f>
        <v>0</v>
      </c>
      <c r="G303" s="745">
        <f>(Unitflowchart!$S$320/Unitflowchart!$S$383)*ShipTransport!Q15*Unitflowchart!$S$335</f>
        <v>0</v>
      </c>
      <c r="H303" s="722">
        <f>(Unitflowchart!$S$320/Unitflowchart!$S$383)*ShipTransport!V15*Unitflowchart!$S$335</f>
        <v>0</v>
      </c>
      <c r="I303" s="721">
        <f>(H303/H$383)*100</f>
        <v>0</v>
      </c>
      <c r="J303" s="720">
        <f>(Unitflowchart!$S$320/Unitflowchart!$S$383)*ShipTransport!W15*Unitflowchart!$S$335</f>
        <v>0</v>
      </c>
      <c r="K303" s="722">
        <f>(Unitflowchart!$S$320/Unitflowchart!$S$383)*ShipTransport!AB15*Unitflowchart!$S$335</f>
        <v>0</v>
      </c>
      <c r="L303" s="721">
        <f>(K303/K$383)*100</f>
        <v>0</v>
      </c>
      <c r="M303" s="720">
        <f>(Unitflowchart!$S$320/Unitflowchart!$S$383)*ShipTransport!AC15*Unitflowchart!$S$335</f>
        <v>0</v>
      </c>
      <c r="N303" s="734">
        <f>E303+(GlobalWarmingPotentials!$B$11*H303)+(GlobalWarmingPotentials!$C$11*K303)</f>
        <v>0</v>
      </c>
      <c r="O303" s="721">
        <f>(N303/N$383)*100</f>
        <v>0</v>
      </c>
      <c r="P303" s="743">
        <f>SQRT((G303^2)+((GlobalWarmingPotentials!$B$11*J303)^2)+((GlobalWarmingPotentials!$C$11*M303)^2))</f>
        <v>0</v>
      </c>
      <c r="Q303" s="30"/>
    </row>
    <row r="304" spans="1:17" x14ac:dyDescent="0.25">
      <c r="B304" s="728"/>
      <c r="D304" s="735"/>
      <c r="E304" s="728"/>
      <c r="F304" s="25"/>
      <c r="G304" s="735"/>
      <c r="H304" s="31"/>
      <c r="I304" s="25"/>
      <c r="J304" s="724"/>
      <c r="K304" s="31"/>
      <c r="L304" s="25"/>
      <c r="M304" s="724"/>
      <c r="N304" s="728"/>
      <c r="O304" s="25"/>
      <c r="P304" s="735"/>
      <c r="Q304" s="30"/>
    </row>
    <row r="305" spans="1:17" x14ac:dyDescent="0.25">
      <c r="A305" s="715" t="s">
        <v>910</v>
      </c>
      <c r="B305" s="734">
        <f>B279+B287+B295+B303</f>
        <v>517.88672232212184</v>
      </c>
      <c r="C305" s="721">
        <f>(B305/B$383)*100</f>
        <v>4.0008609615279447</v>
      </c>
      <c r="D305" s="745">
        <f>SQRT((D279^2)+(D287^2)+(D295^2)+(D303^2))</f>
        <v>24.34067594913973</v>
      </c>
      <c r="E305" s="734">
        <f t="shared" ref="E305" si="53">E279+E287+E295+E303</f>
        <v>37.164284826471004</v>
      </c>
      <c r="F305" s="721">
        <f t="shared" ref="F305" si="54">(E305/E$383)*100</f>
        <v>4.6202303121259201</v>
      </c>
      <c r="G305" s="745">
        <f t="shared" ref="G305" si="55">SQRT((G279^2)+(G287^2)+(G295^2)+(G303^2))</f>
        <v>1.7467213868441371</v>
      </c>
      <c r="H305" s="722">
        <f t="shared" ref="H305" si="56">H279+H287+H295+H303</f>
        <v>7.7224487951108563E-3</v>
      </c>
      <c r="I305" s="721">
        <f t="shared" ref="I305" si="57">(H305/H$383)*100</f>
        <v>0.77249020261787749</v>
      </c>
      <c r="J305" s="720">
        <f t="shared" ref="J305" si="58">SQRT((J279^2)+(J287^2)+(J295^2)+(J303^2))</f>
        <v>3.6295509337021026E-4</v>
      </c>
      <c r="K305" s="722">
        <f t="shared" ref="K305" si="59">K279+K287+K295+K303</f>
        <v>1.0039183433644116E-2</v>
      </c>
      <c r="L305" s="721">
        <f t="shared" ref="L305" si="60">(K305/K$383)*100</f>
        <v>4.6477482943355612</v>
      </c>
      <c r="M305" s="720">
        <f t="shared" ref="M305" si="61">SQRT((M279^2)+(M287^2)+(M295^2)+(M303^2))</f>
        <v>4.7184162138127345E-4</v>
      </c>
      <c r="N305" s="734">
        <f t="shared" ref="N305" si="62">N279+N287+N295+N303</f>
        <v>40.313499445117209</v>
      </c>
      <c r="O305" s="721">
        <f t="shared" ref="O305" si="63">(N305/N$383)*100</f>
        <v>4.5229460260803735</v>
      </c>
      <c r="P305" s="743">
        <f t="shared" ref="P305" si="64">SQRT((P279^2)+(P287^2)+(P295^2)+(P303^2))</f>
        <v>1.7523160780917761</v>
      </c>
      <c r="Q305" s="30"/>
    </row>
    <row r="306" spans="1:17" x14ac:dyDescent="0.25">
      <c r="B306" s="728"/>
      <c r="D306" s="735"/>
      <c r="E306" s="728"/>
      <c r="G306" s="735"/>
      <c r="H306" s="31"/>
      <c r="J306" s="724"/>
      <c r="K306" s="31"/>
      <c r="M306" s="724"/>
      <c r="N306" s="728"/>
      <c r="P306" s="735"/>
      <c r="Q306" s="30"/>
    </row>
    <row r="307" spans="1:17" x14ac:dyDescent="0.25">
      <c r="A307" s="387" t="s">
        <v>423</v>
      </c>
      <c r="B307" s="728"/>
      <c r="D307" s="735"/>
      <c r="E307" s="728"/>
      <c r="G307" s="735"/>
      <c r="H307" s="31"/>
      <c r="J307" s="724"/>
      <c r="K307" s="31"/>
      <c r="M307" s="724"/>
      <c r="N307" s="728"/>
      <c r="P307" s="735"/>
      <c r="Q307" s="30"/>
    </row>
    <row r="308" spans="1:17" x14ac:dyDescent="0.25">
      <c r="B308" s="728"/>
      <c r="D308" s="735"/>
      <c r="E308" s="728"/>
      <c r="G308" s="735"/>
      <c r="H308" s="31"/>
      <c r="J308" s="724"/>
      <c r="K308" s="31"/>
      <c r="M308" s="724"/>
      <c r="N308" s="728"/>
      <c r="P308" s="735"/>
      <c r="Q308" s="30"/>
    </row>
    <row r="309" spans="1:17" x14ac:dyDescent="0.25">
      <c r="A309" t="str">
        <f>RoadTransportEthanolStage2!A42</f>
        <v xml:space="preserve"> - Diesel Fuel</v>
      </c>
      <c r="B309" s="732">
        <f>(Unitflowchart!$S$341/Unitflowchart!$S$383)*RoadTransportEthanolStage2!J42*Unitflowchart!$S$350</f>
        <v>0</v>
      </c>
      <c r="C309" s="26">
        <f>(B309/B$383)*100</f>
        <v>0</v>
      </c>
      <c r="D309" s="491">
        <f>(Unitflowchart!$S$341/Unitflowchart!$S$383)*RoadTransportEthanolStage2!K42*Unitflowchart!$S$350</f>
        <v>0</v>
      </c>
      <c r="E309" s="732">
        <f>(Unitflowchart!$S$341/Unitflowchart!$S$383)*RoadTransportEthanolStage2!P42*Unitflowchart!$S$350</f>
        <v>0</v>
      </c>
      <c r="F309" s="26">
        <f>(E309/E$383)*100</f>
        <v>0</v>
      </c>
      <c r="G309" s="491">
        <f>(Unitflowchart!$S$341/Unitflowchart!$S$383)*RoadTransportEthanolStage2!Q42*Unitflowchart!$S$350</f>
        <v>0</v>
      </c>
      <c r="H309" s="749">
        <f>(Unitflowchart!$S$341/Unitflowchart!$S$383)*RoadTransportEthanolStage2!V42*Unitflowchart!$S$350</f>
        <v>0</v>
      </c>
      <c r="I309" s="26">
        <f>(H309/H$383)*100</f>
        <v>0</v>
      </c>
      <c r="J309" s="752">
        <f>(Unitflowchart!$S$341/Unitflowchart!$S$383)*RoadTransportEthanolStage2!W42*Unitflowchart!$S$350</f>
        <v>0</v>
      </c>
      <c r="K309" s="749">
        <f>(Unitflowchart!$S$341/Unitflowchart!$S$383)*RoadTransportEthanolStage2!AB42*Unitflowchart!$S$350</f>
        <v>0</v>
      </c>
      <c r="L309" s="26">
        <f>(K309/K$383)*100</f>
        <v>0</v>
      </c>
      <c r="M309" s="751">
        <f>(Unitflowchart!$S$341/Unitflowchart!$S$383)*RoadTransportEthanolStage2!AC42*Unitflowchart!$S$350</f>
        <v>0</v>
      </c>
      <c r="N309" s="727">
        <f>E309+(GlobalWarmingPotentials!$B$11*H309)+(GlobalWarmingPotentials!$C$11*K309)</f>
        <v>0</v>
      </c>
      <c r="O309" s="26">
        <f>(N309/N$383)*100</f>
        <v>0</v>
      </c>
      <c r="P309" s="760">
        <f>SQRT((G309^2)+((GlobalWarmingPotentials!$B$11*J309)^2)+((GlobalWarmingPotentials!$C$11*M309)^2))</f>
        <v>0</v>
      </c>
      <c r="Q309" s="30"/>
    </row>
    <row r="310" spans="1:17" x14ac:dyDescent="0.25">
      <c r="A310" t="str">
        <f>RoadTransportEthanolStage2!A43</f>
        <v xml:space="preserve"> - Vehicle </v>
      </c>
      <c r="B310" s="732">
        <f>(Unitflowchart!$S$341/Unitflowchart!$S$383)*RoadTransportEthanolStage2!J43*Unitflowchart!$S$350</f>
        <v>0</v>
      </c>
      <c r="C310" s="26">
        <f>(B310/B$383)*100</f>
        <v>0</v>
      </c>
      <c r="D310" s="491">
        <f>(Unitflowchart!$S$341/Unitflowchart!$S$383)*RoadTransportEthanolStage2!K43*Unitflowchart!$S$350</f>
        <v>0</v>
      </c>
      <c r="E310" s="732">
        <f>(Unitflowchart!$S$341/Unitflowchart!$S$383)*RoadTransportEthanolStage2!P43*Unitflowchart!$S$350</f>
        <v>0</v>
      </c>
      <c r="F310" s="26">
        <f>(E310/E$383)*100</f>
        <v>0</v>
      </c>
      <c r="G310" s="491">
        <f>(Unitflowchart!$S$341/Unitflowchart!$S$383)*RoadTransportEthanolStage2!Q43*Unitflowchart!$S$350</f>
        <v>0</v>
      </c>
      <c r="H310" s="749">
        <f>(Unitflowchart!$S$341/Unitflowchart!$S$383)*RoadTransportEthanolStage2!V43*Unitflowchart!$S$350</f>
        <v>0</v>
      </c>
      <c r="I310" s="26">
        <f>(H310/H$383)*100</f>
        <v>0</v>
      </c>
      <c r="J310" s="752">
        <f>(Unitflowchart!$S$341/Unitflowchart!$S$383)*RoadTransportEthanolStage2!W43*Unitflowchart!$S$350</f>
        <v>0</v>
      </c>
      <c r="K310" s="749">
        <f>(Unitflowchart!$S$341/Unitflowchart!$S$383)*RoadTransportEthanolStage2!AB43*Unitflowchart!$S$350</f>
        <v>0</v>
      </c>
      <c r="L310" s="26">
        <f>(K310/K$383)*100</f>
        <v>0</v>
      </c>
      <c r="M310" s="751">
        <f>(Unitflowchart!$S$341/Unitflowchart!$S$383)*RoadTransportEthanolStage2!AC43*Unitflowchart!$S$350</f>
        <v>0</v>
      </c>
      <c r="N310" s="727">
        <f>E310+(GlobalWarmingPotentials!$B$11*H310)+(GlobalWarmingPotentials!$C$11*K310)</f>
        <v>0</v>
      </c>
      <c r="O310" s="26">
        <f>(N310/N$383)*100</f>
        <v>0</v>
      </c>
      <c r="P310" s="760">
        <f>SQRT((G310^2)+((GlobalWarmingPotentials!$B$11*J310)^2)+((GlobalWarmingPotentials!$C$11*M310)^2))</f>
        <v>0</v>
      </c>
      <c r="Q310" s="30"/>
    </row>
    <row r="311" spans="1:17" x14ac:dyDescent="0.25">
      <c r="A311" t="str">
        <f>RoadTransportEthanolStage2!A44</f>
        <v xml:space="preserve"> - Maintenance</v>
      </c>
      <c r="B311" s="732">
        <f>(Unitflowchart!$S$341/Unitflowchart!$S$383)*RoadTransportEthanolStage2!J44*Unitflowchart!$S$350</f>
        <v>0</v>
      </c>
      <c r="C311" s="26">
        <f>(B311/B$383)*100</f>
        <v>0</v>
      </c>
      <c r="D311" s="491">
        <f>(Unitflowchart!$S$341/Unitflowchart!$S$383)*RoadTransportEthanolStage2!K44*Unitflowchart!$S$350</f>
        <v>0</v>
      </c>
      <c r="E311" s="732">
        <f>(Unitflowchart!$S$341/Unitflowchart!$S$383)*RoadTransportEthanolStage2!P44*Unitflowchart!$S$350</f>
        <v>0</v>
      </c>
      <c r="F311" s="26">
        <f>(E311/E$383)*100</f>
        <v>0</v>
      </c>
      <c r="G311" s="491">
        <f>(Unitflowchart!$S$341/Unitflowchart!$S$383)*RoadTransportEthanolStage2!Q44*Unitflowchart!$S$350</f>
        <v>0</v>
      </c>
      <c r="H311" s="749">
        <f>(Unitflowchart!$S$341/Unitflowchart!$S$383)*RoadTransportEthanolStage2!V44*Unitflowchart!$S$350</f>
        <v>0</v>
      </c>
      <c r="I311" s="26">
        <f>(H311/H$383)*100</f>
        <v>0</v>
      </c>
      <c r="J311" s="752">
        <f>(Unitflowchart!$S$341/Unitflowchart!$S$383)*RoadTransportEthanolStage2!W44*Unitflowchart!$S$350</f>
        <v>0</v>
      </c>
      <c r="K311" s="749">
        <f>(Unitflowchart!$S$341/Unitflowchart!$S$383)*RoadTransportEthanolStage2!AB44*Unitflowchart!$S$350</f>
        <v>0</v>
      </c>
      <c r="L311" s="26">
        <f>(K311/K$383)*100</f>
        <v>0</v>
      </c>
      <c r="M311" s="751">
        <f>(Unitflowchart!$S$341/Unitflowchart!$S$383)*RoadTransportEthanolStage2!AC44*Unitflowchart!$S$350</f>
        <v>0</v>
      </c>
      <c r="N311" s="727">
        <f>E311+(GlobalWarmingPotentials!$B$11*H311)+(GlobalWarmingPotentials!$C$11*K311)</f>
        <v>0</v>
      </c>
      <c r="O311" s="26">
        <f>(N311/N$383)*100</f>
        <v>0</v>
      </c>
      <c r="P311" s="760">
        <f>SQRT((G311^2)+((GlobalWarmingPotentials!$B$11*J311)^2)+((GlobalWarmingPotentials!$C$11*M311)^2))</f>
        <v>0</v>
      </c>
      <c r="Q311" s="30"/>
    </row>
    <row r="312" spans="1:17" s="43" customFormat="1" x14ac:dyDescent="0.25">
      <c r="B312" s="766"/>
      <c r="C312" s="992"/>
      <c r="D312" s="779"/>
      <c r="E312" s="766"/>
      <c r="F312" s="992"/>
      <c r="G312" s="779"/>
      <c r="H312" s="783"/>
      <c r="I312" s="992"/>
      <c r="J312" s="828"/>
      <c r="K312" s="783"/>
      <c r="L312" s="992"/>
      <c r="M312" s="784"/>
      <c r="N312" s="729"/>
      <c r="O312" s="1060"/>
      <c r="P312" s="213"/>
      <c r="Q312" s="852"/>
    </row>
    <row r="313" spans="1:17" x14ac:dyDescent="0.25">
      <c r="A313" s="218" t="s">
        <v>868</v>
      </c>
      <c r="B313" s="730">
        <f>(Unitflowchart!$S$341/Unitflowchart!$S$383)*RoadTransportEthanolStage2!J46*Unitflowchart!$S$350</f>
        <v>0</v>
      </c>
      <c r="C313" s="15">
        <f>(B313/B$383)*100</f>
        <v>0</v>
      </c>
      <c r="D313" s="740">
        <f>(Unitflowchart!$S$341/Unitflowchart!$S$383)*RoadTransportEthanolStage2!K46*Unitflowchart!$S$350</f>
        <v>0</v>
      </c>
      <c r="E313" s="730">
        <f>(Unitflowchart!$S$341/Unitflowchart!$S$383)*RoadTransportEthanolStage2!P46*Unitflowchart!$S$350</f>
        <v>0</v>
      </c>
      <c r="F313" s="15">
        <f>(E313/E$383)*100</f>
        <v>0</v>
      </c>
      <c r="G313" s="740">
        <f>(Unitflowchart!$S$341/Unitflowchart!$S$383)*RoadTransportEthanolStage2!Q46*Unitflowchart!$S$350</f>
        <v>0</v>
      </c>
      <c r="H313" s="215">
        <f>(Unitflowchart!$S$341/Unitflowchart!$S$383)*RoadTransportEthanolStage2!V46*Unitflowchart!$S$350</f>
        <v>0</v>
      </c>
      <c r="I313" s="15">
        <f>(H313/H$383)*100</f>
        <v>0</v>
      </c>
      <c r="J313" s="747">
        <f>(Unitflowchart!$S$341/Unitflowchart!$S$383)*RoadTransportEthanolStage2!W46*Unitflowchart!$S$350</f>
        <v>0</v>
      </c>
      <c r="K313" s="215">
        <f>(Unitflowchart!$S$341/Unitflowchart!$S$383)*RoadTransportEthanolStage2!AB46*Unitflowchart!$S$350</f>
        <v>0</v>
      </c>
      <c r="L313" s="15">
        <f>(K313/K$383)*100</f>
        <v>0</v>
      </c>
      <c r="M313" s="216">
        <f>(Unitflowchart!$S$341/Unitflowchart!$S$383)*RoadTransportEthanolStage2!AC46*Unitflowchart!$S$350</f>
        <v>0</v>
      </c>
      <c r="N313" s="730">
        <f>E313+(GlobalWarmingPotentials!$B$11*H313)+(GlobalWarmingPotentials!$C$11*K313)</f>
        <v>0</v>
      </c>
      <c r="O313" s="15">
        <f>(N313/N$383)*100</f>
        <v>0</v>
      </c>
      <c r="P313" s="761">
        <f>SQRT((G313^2)+((GlobalWarmingPotentials!$B$11*J313)^2)+((GlobalWarmingPotentials!$C$11*M313)^2))</f>
        <v>0</v>
      </c>
      <c r="Q313" s="30"/>
    </row>
    <row r="314" spans="1:17" x14ac:dyDescent="0.25">
      <c r="B314" s="728"/>
      <c r="D314" s="735"/>
      <c r="E314" s="728"/>
      <c r="G314" s="735"/>
      <c r="H314" s="31"/>
      <c r="J314" s="724"/>
      <c r="K314" s="31"/>
      <c r="M314" s="724"/>
      <c r="N314" s="733"/>
      <c r="P314" s="735"/>
      <c r="Q314" s="30"/>
    </row>
    <row r="315" spans="1:17" x14ac:dyDescent="0.25">
      <c r="A315" s="387" t="s">
        <v>921</v>
      </c>
      <c r="B315" s="728"/>
      <c r="D315" s="735"/>
      <c r="E315" s="728"/>
      <c r="G315" s="735"/>
      <c r="H315" s="31"/>
      <c r="J315" s="724"/>
      <c r="K315" s="31"/>
      <c r="M315" s="724"/>
      <c r="N315" s="728"/>
      <c r="P315" s="735"/>
      <c r="Q315" s="30"/>
    </row>
    <row r="316" spans="1:17" x14ac:dyDescent="0.25">
      <c r="B316" s="728"/>
      <c r="D316" s="735"/>
      <c r="E316" s="728"/>
      <c r="G316" s="735"/>
      <c r="H316" s="31"/>
      <c r="J316" s="724"/>
      <c r="K316" s="31"/>
      <c r="M316" s="724"/>
      <c r="N316" s="728"/>
      <c r="P316" s="735"/>
      <c r="Q316" s="30"/>
    </row>
    <row r="317" spans="1:17" x14ac:dyDescent="0.25">
      <c r="A317" t="str">
        <f>RailTransport!A11</f>
        <v xml:space="preserve"> - Gas Oil</v>
      </c>
      <c r="B317" s="726">
        <f>(Unitflowchart!$S$341/Unitflowchart!$S$383)*RailTransport!J11*Unitflowchart!$S$352</f>
        <v>0</v>
      </c>
      <c r="C317" s="25">
        <f>(B317/B$383)*100</f>
        <v>0</v>
      </c>
      <c r="D317" s="744">
        <f>(Unitflowchart!$S$341/Unitflowchart!$S$383)*RailTransport!K11*Unitflowchart!$S$352</f>
        <v>0</v>
      </c>
      <c r="E317" s="726">
        <f>(Unitflowchart!$S$341/Unitflowchart!$S$383)*RailTransport!P11*Unitflowchart!$S$352</f>
        <v>0</v>
      </c>
      <c r="F317" s="25">
        <f>(E317/E$383)*100</f>
        <v>0</v>
      </c>
      <c r="G317" s="744">
        <f>(Unitflowchart!$S$341/Unitflowchart!$S$383)*RailTransport!Q11*Unitflowchart!$S$352</f>
        <v>0</v>
      </c>
      <c r="H317" s="723">
        <f>(Unitflowchart!$S$341/Unitflowchart!$S$383)*RailTransport!V11*Unitflowchart!$S$352</f>
        <v>0</v>
      </c>
      <c r="I317" s="25">
        <f>(H317/H$383)*100</f>
        <v>0</v>
      </c>
      <c r="J317" s="725">
        <f>(Unitflowchart!$S$341/Unitflowchart!$S$383)*RailTransport!W11*Unitflowchart!$S$352</f>
        <v>0</v>
      </c>
      <c r="K317" s="723">
        <f>(Unitflowchart!$S$341/Unitflowchart!$S$383)*RailTransport!AB11*Unitflowchart!$S$352</f>
        <v>0</v>
      </c>
      <c r="L317" s="25">
        <f>(K317/K$383)*100</f>
        <v>0</v>
      </c>
      <c r="M317" s="725">
        <f>(Unitflowchart!$S$341/Unitflowchart!$S$383)*RailTransport!AC11*Unitflowchart!$S$352</f>
        <v>0</v>
      </c>
      <c r="N317" s="726">
        <f>E317+(GlobalWarmingPotentials!$B$11*H317)+(GlobalWarmingPotentials!$C$11*K317)</f>
        <v>0</v>
      </c>
      <c r="O317" s="25">
        <f>(N317/N$383)*100</f>
        <v>0</v>
      </c>
      <c r="P317" s="744">
        <f>SQRT((G317^2)+((GlobalWarmingPotentials!$B$11*J317)^2)+((GlobalWarmingPotentials!$C$11*M317)^2))</f>
        <v>0</v>
      </c>
      <c r="Q317" s="30"/>
    </row>
    <row r="318" spans="1:17" x14ac:dyDescent="0.25">
      <c r="A318" t="str">
        <f>RailTransport!A12</f>
        <v xml:space="preserve"> - Capital Equipment</v>
      </c>
      <c r="B318" s="726">
        <f>(Unitflowchart!$S$341/Unitflowchart!$S$383)*RailTransport!J12*Unitflowchart!$S$352</f>
        <v>0</v>
      </c>
      <c r="C318" s="25">
        <f>(B318/B$383)*100</f>
        <v>0</v>
      </c>
      <c r="D318" s="744">
        <f>(Unitflowchart!$S$341/Unitflowchart!$S$383)*RailTransport!K12*Unitflowchart!$S$352</f>
        <v>0</v>
      </c>
      <c r="E318" s="726">
        <f>(Unitflowchart!$S$341/Unitflowchart!$S$383)*RailTransport!P12*Unitflowchart!$S$352</f>
        <v>0</v>
      </c>
      <c r="F318" s="25">
        <f>(E318/E$383)*100</f>
        <v>0</v>
      </c>
      <c r="G318" s="744">
        <f>(Unitflowchart!$S$341/Unitflowchart!$S$383)*RailTransport!Q12*Unitflowchart!$S$352</f>
        <v>0</v>
      </c>
      <c r="H318" s="723">
        <f>(Unitflowchart!$S$341/Unitflowchart!$S$383)*RailTransport!V12*Unitflowchart!$S$352</f>
        <v>0</v>
      </c>
      <c r="I318" s="25">
        <f>(H318/H$383)*100</f>
        <v>0</v>
      </c>
      <c r="J318" s="725">
        <f>(Unitflowchart!$S$341/Unitflowchart!$S$383)*RailTransport!W12*Unitflowchart!$S$352</f>
        <v>0</v>
      </c>
      <c r="K318" s="723">
        <f>(Unitflowchart!$S$341/Unitflowchart!$S$383)*RailTransport!AB12*Unitflowchart!$S$352</f>
        <v>0</v>
      </c>
      <c r="L318" s="25">
        <f>(K318/K$383)*100</f>
        <v>0</v>
      </c>
      <c r="M318" s="725">
        <f>(Unitflowchart!$S$341/Unitflowchart!$S$383)*RailTransport!AC12*Unitflowchart!$S$352</f>
        <v>0</v>
      </c>
      <c r="N318" s="726">
        <f>E318+(GlobalWarmingPotentials!$B$11*H318)+(GlobalWarmingPotentials!$C$11*K318)</f>
        <v>0</v>
      </c>
      <c r="O318" s="25">
        <f>(N318/N$383)*100</f>
        <v>0</v>
      </c>
      <c r="P318" s="744">
        <f>SQRT((G318^2)+((GlobalWarmingPotentials!$B$11*J318)^2)+((GlobalWarmingPotentials!$C$11*M318)^2))</f>
        <v>0</v>
      </c>
      <c r="Q318" s="30"/>
    </row>
    <row r="319" spans="1:17" x14ac:dyDescent="0.25">
      <c r="A319" t="str">
        <f>RailTransport!A13</f>
        <v xml:space="preserve"> - Maintenance</v>
      </c>
      <c r="B319" s="726">
        <f>(Unitflowchart!$S$341/Unitflowchart!$S$383)*RailTransport!J13*Unitflowchart!$S$352</f>
        <v>0</v>
      </c>
      <c r="C319" s="25">
        <f>(B319/B$383)*100</f>
        <v>0</v>
      </c>
      <c r="D319" s="744">
        <f>(Unitflowchart!$S$341/Unitflowchart!$S$383)*RailTransport!K13*Unitflowchart!$S$352</f>
        <v>0</v>
      </c>
      <c r="E319" s="726">
        <f>(Unitflowchart!$S$341/Unitflowchart!$S$383)*RailTransport!P13*Unitflowchart!$S$352</f>
        <v>0</v>
      </c>
      <c r="F319" s="25">
        <f>(E319/E$383)*100</f>
        <v>0</v>
      </c>
      <c r="G319" s="744">
        <f>(Unitflowchart!$S$341/Unitflowchart!$S$383)*RailTransport!Q13*Unitflowchart!$S$352</f>
        <v>0</v>
      </c>
      <c r="H319" s="723">
        <f>(Unitflowchart!$S$341/Unitflowchart!$S$383)*RailTransport!V13*Unitflowchart!$S$352</f>
        <v>0</v>
      </c>
      <c r="I319" s="25">
        <f>(H319/H$383)*100</f>
        <v>0</v>
      </c>
      <c r="J319" s="725">
        <f>(Unitflowchart!$S$341/Unitflowchart!$S$383)*RailTransport!W13*Unitflowchart!$S$352</f>
        <v>0</v>
      </c>
      <c r="K319" s="723">
        <f>(Unitflowchart!$S$341/Unitflowchart!$S$383)*RailTransport!AB13*Unitflowchart!$S$352</f>
        <v>0</v>
      </c>
      <c r="L319" s="25">
        <f>(K319/K$383)*100</f>
        <v>0</v>
      </c>
      <c r="M319" s="725">
        <f>(Unitflowchart!$S$341/Unitflowchart!$S$383)*RailTransport!AC13*Unitflowchart!$S$352</f>
        <v>0</v>
      </c>
      <c r="N319" s="726">
        <f>E319+(GlobalWarmingPotentials!$B$11*H319)+(GlobalWarmingPotentials!$C$11*K319)</f>
        <v>0</v>
      </c>
      <c r="O319" s="25">
        <f>(N319/N$383)*100</f>
        <v>0</v>
      </c>
      <c r="P319" s="744">
        <f>SQRT((G319^2)+((GlobalWarmingPotentials!$B$11*J319)^2)+((GlobalWarmingPotentials!$C$11*M319)^2))</f>
        <v>0</v>
      </c>
      <c r="Q319" s="30"/>
    </row>
    <row r="320" spans="1:17" x14ac:dyDescent="0.25">
      <c r="B320" s="728"/>
      <c r="C320" s="25"/>
      <c r="D320" s="735"/>
      <c r="E320" s="728"/>
      <c r="F320" s="25"/>
      <c r="G320" s="735"/>
      <c r="H320" s="31"/>
      <c r="I320" s="25"/>
      <c r="J320" s="724"/>
      <c r="K320" s="31"/>
      <c r="L320" s="25"/>
      <c r="M320" s="724"/>
      <c r="N320" s="728"/>
      <c r="O320" s="25"/>
      <c r="P320" s="735"/>
      <c r="Q320" s="30"/>
    </row>
    <row r="321" spans="1:17" x14ac:dyDescent="0.25">
      <c r="A321" s="218" t="s">
        <v>891</v>
      </c>
      <c r="B321" s="734">
        <f>(Unitflowchart!$S$341/Unitflowchart!$S$383)*RailTransport!J15*Unitflowchart!$S$352</f>
        <v>0</v>
      </c>
      <c r="C321" s="721">
        <f>(B321/B$383)*100</f>
        <v>0</v>
      </c>
      <c r="D321" s="745">
        <f>(Unitflowchart!$S$341/Unitflowchart!$S$383)*RailTransport!K15*Unitflowchart!$S$352</f>
        <v>0</v>
      </c>
      <c r="E321" s="734">
        <f>(Unitflowchart!$S$341/Unitflowchart!$S$383)*RailTransport!P15*Unitflowchart!$S$352</f>
        <v>0</v>
      </c>
      <c r="F321" s="721">
        <f>(E321/E$383)*100</f>
        <v>0</v>
      </c>
      <c r="G321" s="745">
        <f>(Unitflowchart!$S$341/Unitflowchart!$S$383)*RailTransport!Q15*Unitflowchart!$S$352</f>
        <v>0</v>
      </c>
      <c r="H321" s="722">
        <f>(Unitflowchart!$S$341/Unitflowchart!$S$383)*RailTransport!V15*Unitflowchart!$S$352</f>
        <v>0</v>
      </c>
      <c r="I321" s="721">
        <f>(H321/H$383)*100</f>
        <v>0</v>
      </c>
      <c r="J321" s="720">
        <f>(Unitflowchart!$S$341/Unitflowchart!$S$383)*RailTransport!W15*Unitflowchart!$S$352</f>
        <v>0</v>
      </c>
      <c r="K321" s="722">
        <f>(Unitflowchart!$S$341/Unitflowchart!$S$383)*RailTransport!AB15*Unitflowchart!$S$352</f>
        <v>0</v>
      </c>
      <c r="L321" s="721">
        <f>(K321/K$383)*100</f>
        <v>0</v>
      </c>
      <c r="M321" s="720">
        <f>(Unitflowchart!$S$341/Unitflowchart!$S$383)*RailTransport!AC15*Unitflowchart!$S$352</f>
        <v>0</v>
      </c>
      <c r="N321" s="734">
        <f>E321+(GlobalWarmingPotentials!$B$11*H321)+(GlobalWarmingPotentials!$C$11*K321)</f>
        <v>0</v>
      </c>
      <c r="O321" s="721">
        <f>(N321/N$383)*100</f>
        <v>0</v>
      </c>
      <c r="P321" s="743">
        <f>SQRT((G321^2)+((GlobalWarmingPotentials!$B$11*J321)^2)+((GlobalWarmingPotentials!$C$11*M321)^2))</f>
        <v>0</v>
      </c>
      <c r="Q321" s="30"/>
    </row>
    <row r="322" spans="1:17" x14ac:dyDescent="0.25">
      <c r="B322" s="728"/>
      <c r="D322" s="735"/>
      <c r="E322" s="728"/>
      <c r="G322" s="735"/>
      <c r="H322" s="31"/>
      <c r="J322" s="724"/>
      <c r="K322" s="31"/>
      <c r="M322" s="724"/>
      <c r="N322" s="728"/>
      <c r="P322" s="735"/>
      <c r="Q322" s="30"/>
    </row>
    <row r="323" spans="1:17" x14ac:dyDescent="0.25">
      <c r="A323" s="387" t="s">
        <v>922</v>
      </c>
      <c r="B323" s="728"/>
      <c r="D323" s="735"/>
      <c r="E323" s="728"/>
      <c r="G323" s="735"/>
      <c r="H323" s="31"/>
      <c r="J323" s="724"/>
      <c r="K323" s="31"/>
      <c r="M323" s="724"/>
      <c r="N323" s="728"/>
      <c r="P323" s="735"/>
      <c r="Q323" s="30"/>
    </row>
    <row r="324" spans="1:17" x14ac:dyDescent="0.25">
      <c r="B324" s="728"/>
      <c r="D324" s="735"/>
      <c r="E324" s="728"/>
      <c r="G324" s="735"/>
      <c r="H324" s="31"/>
      <c r="J324" s="724"/>
      <c r="K324" s="31"/>
      <c r="M324" s="724"/>
      <c r="N324" s="728"/>
      <c r="P324" s="735"/>
      <c r="Q324" s="30"/>
    </row>
    <row r="325" spans="1:17" x14ac:dyDescent="0.25">
      <c r="A325" t="str">
        <f>BargeTransport!A11</f>
        <v xml:space="preserve"> - Marine Diesel</v>
      </c>
      <c r="B325" s="726">
        <f>(Unitflowchart!$S$341/Unitflowchart!$S$383)*BargeTransport!J11*Unitflowchart!$S$354</f>
        <v>0</v>
      </c>
      <c r="C325" s="25">
        <f>(B325/B$383)*100</f>
        <v>0</v>
      </c>
      <c r="D325" s="744">
        <f>(Unitflowchart!$S$341/Unitflowchart!$S$383)*BargeTransport!K11*Unitflowchart!$S$354</f>
        <v>0</v>
      </c>
      <c r="E325" s="726">
        <f>(Unitflowchart!$S$341/Unitflowchart!$S$383)*BargeTransport!P11*Unitflowchart!$S$354</f>
        <v>0</v>
      </c>
      <c r="F325" s="25">
        <f>(E325/E$383)*100</f>
        <v>0</v>
      </c>
      <c r="G325" s="744">
        <f>(Unitflowchart!$S$341/Unitflowchart!$S$383)*BargeTransport!Q11*Unitflowchart!$S$354</f>
        <v>0</v>
      </c>
      <c r="H325" s="723">
        <f>(Unitflowchart!$S$341/Unitflowchart!$S$383)*BargeTransport!V11*Unitflowchart!$S$354</f>
        <v>0</v>
      </c>
      <c r="I325" s="25">
        <f>(H325/H$383)*100</f>
        <v>0</v>
      </c>
      <c r="J325" s="725">
        <f>(Unitflowchart!$S$341/Unitflowchart!$S$383)*BargeTransport!W11*Unitflowchart!$S$354</f>
        <v>0</v>
      </c>
      <c r="K325" s="723">
        <f>(Unitflowchart!$S$341/Unitflowchart!$S$383)*BargeTransport!AB11*Unitflowchart!$S$354</f>
        <v>0</v>
      </c>
      <c r="L325" s="25">
        <f>(K325/K$383)*100</f>
        <v>0</v>
      </c>
      <c r="M325" s="725">
        <f>(Unitflowchart!$S$341/Unitflowchart!$S$383)*BargeTransport!AC11*Unitflowchart!$S$354</f>
        <v>0</v>
      </c>
      <c r="N325" s="726">
        <f>E325+(GlobalWarmingPotentials!$B$11*H325)+(GlobalWarmingPotentials!$C$11*K325)</f>
        <v>0</v>
      </c>
      <c r="O325" s="25">
        <f>(N325/N$383)*100</f>
        <v>0</v>
      </c>
      <c r="P325" s="744">
        <f>SQRT((G325^2)+((GlobalWarmingPotentials!$B$11*J325)^2)+((GlobalWarmingPotentials!$C$11*M325)^2))</f>
        <v>0</v>
      </c>
      <c r="Q325" s="30"/>
    </row>
    <row r="326" spans="1:17" x14ac:dyDescent="0.25">
      <c r="A326" t="str">
        <f>BargeTransport!A12</f>
        <v xml:space="preserve"> - Barge Construction</v>
      </c>
      <c r="B326" s="726">
        <f>(Unitflowchart!$S$341/Unitflowchart!$S$383)*BargeTransport!J12*Unitflowchart!$S$354</f>
        <v>0</v>
      </c>
      <c r="C326" s="25">
        <f>(B326/B$383)*100</f>
        <v>0</v>
      </c>
      <c r="D326" s="744">
        <f>(Unitflowchart!$S$341/Unitflowchart!$S$383)*BargeTransport!K12*Unitflowchart!$S$354</f>
        <v>0</v>
      </c>
      <c r="E326" s="726">
        <f>(Unitflowchart!$S$341/Unitflowchart!$S$383)*BargeTransport!P12*Unitflowchart!$S$354</f>
        <v>0</v>
      </c>
      <c r="F326" s="25">
        <f>(E326/E$383)*100</f>
        <v>0</v>
      </c>
      <c r="G326" s="744">
        <f>(Unitflowchart!$S$341/Unitflowchart!$S$383)*BargeTransport!Q12*Unitflowchart!$S$354</f>
        <v>0</v>
      </c>
      <c r="H326" s="723">
        <f>(Unitflowchart!$S$341/Unitflowchart!$S$383)*BargeTransport!V12*Unitflowchart!$S$354</f>
        <v>0</v>
      </c>
      <c r="I326" s="25">
        <f>(H326/H$383)*100</f>
        <v>0</v>
      </c>
      <c r="J326" s="725">
        <f>(Unitflowchart!$S$341/Unitflowchart!$S$383)*BargeTransport!W12*Unitflowchart!$S$354</f>
        <v>0</v>
      </c>
      <c r="K326" s="723">
        <f>(Unitflowchart!$S$341/Unitflowchart!$S$383)*BargeTransport!AB12*Unitflowchart!$S$354</f>
        <v>0</v>
      </c>
      <c r="L326" s="25">
        <f>(K326/K$383)*100</f>
        <v>0</v>
      </c>
      <c r="M326" s="725">
        <f>(Unitflowchart!$S$341/Unitflowchart!$S$383)*BargeTransport!AC12*Unitflowchart!$S$354</f>
        <v>0</v>
      </c>
      <c r="N326" s="726">
        <f>E326+(GlobalWarmingPotentials!$B$11*H326)+(GlobalWarmingPotentials!$C$11*K326)</f>
        <v>0</v>
      </c>
      <c r="O326" s="25">
        <f>(N326/N$383)*100</f>
        <v>0</v>
      </c>
      <c r="P326" s="744">
        <f>SQRT((G326^2)+((GlobalWarmingPotentials!$B$11*J326)^2)+((GlobalWarmingPotentials!$C$11*M326)^2))</f>
        <v>0</v>
      </c>
      <c r="Q326" s="30"/>
    </row>
    <row r="327" spans="1:17" x14ac:dyDescent="0.25">
      <c r="A327" t="str">
        <f>BargeTransport!A13</f>
        <v xml:space="preserve"> - Barge Maintenance</v>
      </c>
      <c r="B327" s="726">
        <f>(Unitflowchart!$S$341/Unitflowchart!$S$383)*BargeTransport!J13*Unitflowchart!$S$354</f>
        <v>0</v>
      </c>
      <c r="C327" s="25">
        <f>(B327/B$383)*100</f>
        <v>0</v>
      </c>
      <c r="D327" s="744">
        <f>(Unitflowchart!$S$341/Unitflowchart!$S$383)*BargeTransport!K13*Unitflowchart!$S$354</f>
        <v>0</v>
      </c>
      <c r="E327" s="726">
        <f>(Unitflowchart!$S$341/Unitflowchart!$S$383)*BargeTransport!P13*Unitflowchart!$S$354</f>
        <v>0</v>
      </c>
      <c r="F327" s="25">
        <f>(E327/E$383)*100</f>
        <v>0</v>
      </c>
      <c r="G327" s="744">
        <f>(Unitflowchart!$S$341/Unitflowchart!$S$383)*BargeTransport!Q13*Unitflowchart!$S$354</f>
        <v>0</v>
      </c>
      <c r="H327" s="723">
        <f>(Unitflowchart!$S$341/Unitflowchart!$S$383)*BargeTransport!V13*Unitflowchart!$S$354</f>
        <v>0</v>
      </c>
      <c r="I327" s="25">
        <f>(H327/H$383)*100</f>
        <v>0</v>
      </c>
      <c r="J327" s="725">
        <f>(Unitflowchart!$S$341/Unitflowchart!$S$383)*BargeTransport!W13*Unitflowchart!$S$354</f>
        <v>0</v>
      </c>
      <c r="K327" s="723">
        <f>(Unitflowchart!$S$341/Unitflowchart!$S$383)*BargeTransport!AB13*Unitflowchart!$S$354</f>
        <v>0</v>
      </c>
      <c r="L327" s="25">
        <f>(K327/K$383)*100</f>
        <v>0</v>
      </c>
      <c r="M327" s="725">
        <f>(Unitflowchart!$S$341/Unitflowchart!$S$383)*BargeTransport!AC13*Unitflowchart!$S$354</f>
        <v>0</v>
      </c>
      <c r="N327" s="726">
        <f>E327+(GlobalWarmingPotentials!$B$11*H327)+(GlobalWarmingPotentials!$C$11*K327)</f>
        <v>0</v>
      </c>
      <c r="O327" s="25">
        <f>(N327/N$383)*100</f>
        <v>0</v>
      </c>
      <c r="P327" s="744">
        <f>SQRT((G327^2)+((GlobalWarmingPotentials!$B$11*J327)^2)+((GlobalWarmingPotentials!$C$11*M327)^2))</f>
        <v>0</v>
      </c>
      <c r="Q327" s="30"/>
    </row>
    <row r="328" spans="1:17" x14ac:dyDescent="0.25">
      <c r="B328" s="728"/>
      <c r="C328" s="25"/>
      <c r="D328" s="735"/>
      <c r="E328" s="728"/>
      <c r="F328" s="25"/>
      <c r="G328" s="735"/>
      <c r="H328" s="31"/>
      <c r="I328" s="25"/>
      <c r="J328" s="724"/>
      <c r="K328" s="31"/>
      <c r="L328" s="25"/>
      <c r="M328" s="724"/>
      <c r="N328" s="728"/>
      <c r="O328" s="25"/>
      <c r="P328" s="735"/>
      <c r="Q328" s="30"/>
    </row>
    <row r="329" spans="1:17" x14ac:dyDescent="0.25">
      <c r="A329" s="218" t="s">
        <v>893</v>
      </c>
      <c r="B329" s="734">
        <f>(Unitflowchart!$S$341/Unitflowchart!$S$383)*BargeTransport!J15*Unitflowchart!$S$354</f>
        <v>0</v>
      </c>
      <c r="C329" s="721">
        <f>(B329/B$383)*100</f>
        <v>0</v>
      </c>
      <c r="D329" s="745">
        <f>(Unitflowchart!$S$341/Unitflowchart!$S$383)*BargeTransport!K15*Unitflowchart!$S$354</f>
        <v>0</v>
      </c>
      <c r="E329" s="734">
        <f>(Unitflowchart!$S$341/Unitflowchart!$S$383)*BargeTransport!P15*Unitflowchart!$S$354</f>
        <v>0</v>
      </c>
      <c r="F329" s="721">
        <f>(E329/E$383)*100</f>
        <v>0</v>
      </c>
      <c r="G329" s="745">
        <f>(Unitflowchart!$S$341/Unitflowchart!$S$383)*BargeTransport!Q15*Unitflowchart!$S$354</f>
        <v>0</v>
      </c>
      <c r="H329" s="722">
        <f>(Unitflowchart!$S$341/Unitflowchart!$S$383)*BargeTransport!V15*Unitflowchart!$S$354</f>
        <v>0</v>
      </c>
      <c r="I329" s="721">
        <f>(H329/H$383)*100</f>
        <v>0</v>
      </c>
      <c r="J329" s="720">
        <f>(Unitflowchart!$S$341/Unitflowchart!$S$383)*BargeTransport!W15*Unitflowchart!$S$354</f>
        <v>0</v>
      </c>
      <c r="K329" s="722">
        <f>(Unitflowchart!$S$341/Unitflowchart!$S$383)*BargeTransport!AB15*Unitflowchart!$S$354</f>
        <v>0</v>
      </c>
      <c r="L329" s="721">
        <f>(K329/K$383)*100</f>
        <v>0</v>
      </c>
      <c r="M329" s="720">
        <f>(Unitflowchart!$S$341/Unitflowchart!$S$383)*BargeTransport!AC15*Unitflowchart!$S$354</f>
        <v>0</v>
      </c>
      <c r="N329" s="734">
        <f>E329+(GlobalWarmingPotentials!$B$11*H329)+(GlobalWarmingPotentials!$C$11*K329)</f>
        <v>0</v>
      </c>
      <c r="O329" s="721">
        <f>(N329/N$383)*100</f>
        <v>0</v>
      </c>
      <c r="P329" s="743">
        <f>SQRT((G329^2)+((GlobalWarmingPotentials!$B$11*J329)^2)+((GlobalWarmingPotentials!$C$11*M329)^2))</f>
        <v>0</v>
      </c>
      <c r="Q329" s="30"/>
    </row>
    <row r="330" spans="1:17" x14ac:dyDescent="0.25">
      <c r="B330" s="728"/>
      <c r="D330" s="735"/>
      <c r="E330" s="728"/>
      <c r="G330" s="735"/>
      <c r="H330" s="31"/>
      <c r="J330" s="724"/>
      <c r="K330" s="31"/>
      <c r="M330" s="724"/>
      <c r="N330" s="728"/>
      <c r="P330" s="735"/>
      <c r="Q330" s="30"/>
    </row>
    <row r="331" spans="1:17" x14ac:dyDescent="0.25">
      <c r="A331" s="387" t="s">
        <v>923</v>
      </c>
      <c r="B331" s="728"/>
      <c r="D331" s="735"/>
      <c r="E331" s="728"/>
      <c r="G331" s="735"/>
      <c r="H331" s="31"/>
      <c r="J331" s="724"/>
      <c r="K331" s="31"/>
      <c r="M331" s="724"/>
      <c r="N331" s="728"/>
      <c r="P331" s="735"/>
      <c r="Q331" s="30"/>
    </row>
    <row r="332" spans="1:17" x14ac:dyDescent="0.25">
      <c r="B332" s="728"/>
      <c r="D332" s="735"/>
      <c r="E332" s="728"/>
      <c r="G332" s="735"/>
      <c r="H332" s="31"/>
      <c r="J332" s="724"/>
      <c r="K332" s="31"/>
      <c r="M332" s="724"/>
      <c r="N332" s="728"/>
      <c r="P332" s="735"/>
      <c r="Q332" s="30"/>
    </row>
    <row r="333" spans="1:17" x14ac:dyDescent="0.25">
      <c r="A333" t="str">
        <f>ShipTransport!A11</f>
        <v xml:space="preserve"> - Marine Diesel</v>
      </c>
      <c r="B333" s="726">
        <f>(Unitflowchart!$S$341/Unitflowchart!$S$383)*ShipTransport!J11*Unitflowchart!$S$356</f>
        <v>0</v>
      </c>
      <c r="C333" s="25">
        <f>(B333/B$383)*100</f>
        <v>0</v>
      </c>
      <c r="D333" s="744">
        <f>(Unitflowchart!$S$341/Unitflowchart!$S$383)*ShipTransport!K11*Unitflowchart!$S$356</f>
        <v>0</v>
      </c>
      <c r="E333" s="726">
        <f>(Unitflowchart!$S$341/Unitflowchart!$S$383)*ShipTransport!P11*Unitflowchart!$S$356</f>
        <v>0</v>
      </c>
      <c r="F333" s="25">
        <f>(E333/E$383)*100</f>
        <v>0</v>
      </c>
      <c r="G333" s="744">
        <f>(Unitflowchart!$S$341/Unitflowchart!$S$383)*ShipTransport!Q11*Unitflowchart!$S$356</f>
        <v>0</v>
      </c>
      <c r="H333" s="723">
        <f>(Unitflowchart!$S$341/Unitflowchart!$S$383)*ShipTransport!V11*Unitflowchart!$S$356</f>
        <v>0</v>
      </c>
      <c r="I333" s="25">
        <f>(H333/H$383)*100</f>
        <v>0</v>
      </c>
      <c r="J333" s="725">
        <f>(Unitflowchart!$S$341/Unitflowchart!$S$383)*ShipTransport!W11*Unitflowchart!$S$356</f>
        <v>0</v>
      </c>
      <c r="K333" s="723">
        <f>(Unitflowchart!$S$341/Unitflowchart!$S$383)*ShipTransport!AB11*Unitflowchart!$S$356</f>
        <v>0</v>
      </c>
      <c r="L333" s="25">
        <f>(K333/K$383)*100</f>
        <v>0</v>
      </c>
      <c r="M333" s="725">
        <f>(Unitflowchart!$S$341/Unitflowchart!$S$383)*ShipTransport!AC19*Unitflowchart!$S$354</f>
        <v>0</v>
      </c>
      <c r="N333" s="726">
        <f>E333+(GlobalWarmingPotentials!$B$11*H333)+(GlobalWarmingPotentials!$C$11*K333)</f>
        <v>0</v>
      </c>
      <c r="O333" s="25">
        <f>(N333/N$383)*100</f>
        <v>0</v>
      </c>
      <c r="P333" s="744">
        <f>SQRT((G333^2)+((GlobalWarmingPotentials!$B$11*J333)^2)+((GlobalWarmingPotentials!$C$11*M333)^2))</f>
        <v>0</v>
      </c>
      <c r="Q333" s="30"/>
    </row>
    <row r="334" spans="1:17" x14ac:dyDescent="0.25">
      <c r="A334" t="str">
        <f>ShipTransport!A12</f>
        <v xml:space="preserve"> - Ship Construction</v>
      </c>
      <c r="B334" s="726">
        <f>(Unitflowchart!$S$341/Unitflowchart!$S$383)*ShipTransport!J12*Unitflowchart!$S$356</f>
        <v>0</v>
      </c>
      <c r="C334" s="25">
        <f t="shared" ref="C334:C335" si="65">(B334/B$383)*100</f>
        <v>0</v>
      </c>
      <c r="D334" s="744">
        <f>(Unitflowchart!$S$341/Unitflowchart!$S$383)*ShipTransport!K12*Unitflowchart!$S$356</f>
        <v>0</v>
      </c>
      <c r="E334" s="726">
        <f>(Unitflowchart!$S$341/Unitflowchart!$S$383)*ShipTransport!P12*Unitflowchart!$S$356</f>
        <v>0</v>
      </c>
      <c r="F334" s="25">
        <f t="shared" ref="F334:F335" si="66">(E334/E$383)*100</f>
        <v>0</v>
      </c>
      <c r="G334" s="744">
        <f>(Unitflowchart!$S$341/Unitflowchart!$S$383)*ShipTransport!Q12*Unitflowchart!$S$356</f>
        <v>0</v>
      </c>
      <c r="H334" s="723">
        <f>(Unitflowchart!$S$341/Unitflowchart!$S$383)*ShipTransport!V12*Unitflowchart!$S$356</f>
        <v>0</v>
      </c>
      <c r="I334" s="25">
        <f t="shared" ref="I334:I335" si="67">(H334/H$383)*100</f>
        <v>0</v>
      </c>
      <c r="J334" s="725">
        <f>(Unitflowchart!$S$341/Unitflowchart!$S$383)*ShipTransport!W12*Unitflowchart!$S$356</f>
        <v>0</v>
      </c>
      <c r="K334" s="723">
        <f>(Unitflowchart!$S$341/Unitflowchart!$S$383)*ShipTransport!AB12*Unitflowchart!$S$356</f>
        <v>0</v>
      </c>
      <c r="L334" s="25">
        <f t="shared" ref="L334:L335" si="68">(K334/K$383)*100</f>
        <v>0</v>
      </c>
      <c r="M334" s="725">
        <f>(Unitflowchart!$S$341/Unitflowchart!$S$383)*ShipTransport!AC20*Unitflowchart!$S$354</f>
        <v>0</v>
      </c>
      <c r="N334" s="726">
        <f>E334+(GlobalWarmingPotentials!$B$11*H334)+(GlobalWarmingPotentials!$C$11*K334)</f>
        <v>0</v>
      </c>
      <c r="O334" s="25">
        <f t="shared" ref="O334:O335" si="69">(N334/N$383)*100</f>
        <v>0</v>
      </c>
      <c r="P334" s="744">
        <f>SQRT((G334^2)+((GlobalWarmingPotentials!$B$11*J334)^2)+((GlobalWarmingPotentials!$C$11*M334)^2))</f>
        <v>0</v>
      </c>
      <c r="Q334" s="30"/>
    </row>
    <row r="335" spans="1:17" x14ac:dyDescent="0.25">
      <c r="A335" t="str">
        <f>ShipTransport!A13</f>
        <v xml:space="preserve"> - Ship Maintenance</v>
      </c>
      <c r="B335" s="726">
        <f>(Unitflowchart!$S$341/Unitflowchart!$S$383)*ShipTransport!J13*Unitflowchart!$S$356</f>
        <v>0</v>
      </c>
      <c r="C335" s="25">
        <f t="shared" si="65"/>
        <v>0</v>
      </c>
      <c r="D335" s="744">
        <f>(Unitflowchart!$S$341/Unitflowchart!$S$383)*ShipTransport!K13*Unitflowchart!$S$356</f>
        <v>0</v>
      </c>
      <c r="E335" s="726">
        <f>(Unitflowchart!$S$341/Unitflowchart!$S$383)*ShipTransport!P13*Unitflowchart!$S$356</f>
        <v>0</v>
      </c>
      <c r="F335" s="25">
        <f t="shared" si="66"/>
        <v>0</v>
      </c>
      <c r="G335" s="744">
        <f>(Unitflowchart!$S$341/Unitflowchart!$S$383)*ShipTransport!Q13*Unitflowchart!$S$356</f>
        <v>0</v>
      </c>
      <c r="H335" s="723">
        <f>(Unitflowchart!$S$341/Unitflowchart!$S$383)*ShipTransport!V13*Unitflowchart!$S$356</f>
        <v>0</v>
      </c>
      <c r="I335" s="25">
        <f t="shared" si="67"/>
        <v>0</v>
      </c>
      <c r="J335" s="725">
        <f>(Unitflowchart!$S$341/Unitflowchart!$S$383)*ShipTransport!W13*Unitflowchart!$S$356</f>
        <v>0</v>
      </c>
      <c r="K335" s="723">
        <f>(Unitflowchart!$S$341/Unitflowchart!$S$383)*ShipTransport!AB13*Unitflowchart!$S$356</f>
        <v>0</v>
      </c>
      <c r="L335" s="25">
        <f t="shared" si="68"/>
        <v>0</v>
      </c>
      <c r="M335" s="725">
        <f>(Unitflowchart!$S$341/Unitflowchart!$S$383)*ShipTransport!AC21*Unitflowchart!$S$354</f>
        <v>0</v>
      </c>
      <c r="N335" s="726">
        <f>E335+(GlobalWarmingPotentials!$B$11*H335)+(GlobalWarmingPotentials!$C$11*K335)</f>
        <v>0</v>
      </c>
      <c r="O335" s="25">
        <f t="shared" si="69"/>
        <v>0</v>
      </c>
      <c r="P335" s="744">
        <f>SQRT((G335^2)+((GlobalWarmingPotentials!$B$11*J335)^2)+((GlobalWarmingPotentials!$C$11*M335)^2))</f>
        <v>0</v>
      </c>
      <c r="Q335" s="30"/>
    </row>
    <row r="336" spans="1:17" x14ac:dyDescent="0.25">
      <c r="B336" s="728"/>
      <c r="D336" s="735"/>
      <c r="E336" s="728"/>
      <c r="F336" s="25"/>
      <c r="G336" s="735"/>
      <c r="H336" s="31"/>
      <c r="I336" s="25"/>
      <c r="J336" s="724"/>
      <c r="K336" s="31"/>
      <c r="L336" s="25"/>
      <c r="M336" s="724"/>
      <c r="N336" s="728"/>
      <c r="O336" s="25"/>
      <c r="P336" s="735"/>
      <c r="Q336" s="30"/>
    </row>
    <row r="337" spans="1:17" x14ac:dyDescent="0.25">
      <c r="A337" s="218" t="s">
        <v>895</v>
      </c>
      <c r="B337" s="734">
        <f>(Unitflowchart!$S$341/Unitflowchart!$S$383)*ShipTransport!J15*Unitflowchart!$S$356</f>
        <v>0</v>
      </c>
      <c r="C337" s="721">
        <f>(B337/B$383)*100</f>
        <v>0</v>
      </c>
      <c r="D337" s="745">
        <f>(Unitflowchart!$S$341/Unitflowchart!$S$383)*ShipTransport!K15*Unitflowchart!$S$356</f>
        <v>0</v>
      </c>
      <c r="E337" s="734">
        <f>(Unitflowchart!$S$341/Unitflowchart!$S$383)*ShipTransport!P15*Unitflowchart!$S$356</f>
        <v>0</v>
      </c>
      <c r="F337" s="721">
        <f>(E337/E$383)*100</f>
        <v>0</v>
      </c>
      <c r="G337" s="745">
        <f>(Unitflowchart!$S$341/Unitflowchart!$S$383)*ShipTransport!Q15*Unitflowchart!$S$356</f>
        <v>0</v>
      </c>
      <c r="H337" s="722">
        <f>(Unitflowchart!$S$341/Unitflowchart!$S$383)*ShipTransport!V15*Unitflowchart!$S$356</f>
        <v>0</v>
      </c>
      <c r="I337" s="721">
        <f>(H337/H$383)*100</f>
        <v>0</v>
      </c>
      <c r="J337" s="720">
        <f>(Unitflowchart!$S$341/Unitflowchart!$S$383)*ShipTransport!W15*Unitflowchart!$S$356</f>
        <v>0</v>
      </c>
      <c r="K337" s="722">
        <f>(Unitflowchart!$S$341/Unitflowchart!$S$383)*ShipTransport!AB15*Unitflowchart!$S$356</f>
        <v>0</v>
      </c>
      <c r="L337" s="721">
        <f>(K337/K$383)*100</f>
        <v>0</v>
      </c>
      <c r="M337" s="720">
        <f>(Unitflowchart!$S$341/Unitflowchart!$S$383)*ShipTransport!AC23*Unitflowchart!$S$354</f>
        <v>0</v>
      </c>
      <c r="N337" s="734">
        <f>E337+(GlobalWarmingPotentials!$B$11*H337)+(GlobalWarmingPotentials!$C$11*K337)</f>
        <v>0</v>
      </c>
      <c r="O337" s="721">
        <f>(N337/N$383)*100</f>
        <v>0</v>
      </c>
      <c r="P337" s="743">
        <f>SQRT((G337^2)+((GlobalWarmingPotentials!$B$11*J337)^2)+((GlobalWarmingPotentials!$C$11*M337)^2))</f>
        <v>0</v>
      </c>
      <c r="Q337" s="30"/>
    </row>
    <row r="338" spans="1:17" x14ac:dyDescent="0.25">
      <c r="B338" s="728"/>
      <c r="D338" s="735"/>
      <c r="E338" s="728"/>
      <c r="G338" s="735"/>
      <c r="H338" s="31"/>
      <c r="J338" s="724"/>
      <c r="K338" s="31"/>
      <c r="M338" s="724"/>
      <c r="N338" s="728"/>
      <c r="P338" s="735"/>
      <c r="Q338" s="30"/>
    </row>
    <row r="339" spans="1:17" x14ac:dyDescent="0.25">
      <c r="A339" s="218" t="s">
        <v>932</v>
      </c>
      <c r="B339" s="730">
        <f>B313+B321+B329+B337</f>
        <v>0</v>
      </c>
      <c r="C339" s="15">
        <f>(B339/B$383)*100</f>
        <v>0</v>
      </c>
      <c r="D339" s="740">
        <f>SQRT((D313^2)+(D321^2)+(D329^2)+(D337^2))</f>
        <v>0</v>
      </c>
      <c r="E339" s="730">
        <f t="shared" ref="E339" si="70">E313+E321+E329+E337</f>
        <v>0</v>
      </c>
      <c r="F339" s="15">
        <f t="shared" ref="F339" si="71">(E339/E$383)*100</f>
        <v>0</v>
      </c>
      <c r="G339" s="740">
        <f t="shared" ref="G339" si="72">SQRT((G313^2)+(G321^2)+(G329^2)+(G337^2))</f>
        <v>0</v>
      </c>
      <c r="H339" s="215">
        <f t="shared" ref="H339" si="73">H313+H321+H329+H337</f>
        <v>0</v>
      </c>
      <c r="I339" s="15">
        <f t="shared" ref="I339" si="74">(H339/H$383)*100</f>
        <v>0</v>
      </c>
      <c r="J339" s="216">
        <f t="shared" ref="J339" si="75">SQRT((J313^2)+(J321^2)+(J329^2)+(J337^2))</f>
        <v>0</v>
      </c>
      <c r="K339" s="215">
        <f t="shared" ref="K339" si="76">K313+K321+K329+K337</f>
        <v>0</v>
      </c>
      <c r="L339" s="15">
        <f t="shared" ref="L339" si="77">(K339/K$383)*100</f>
        <v>0</v>
      </c>
      <c r="M339" s="216">
        <f t="shared" ref="M339" si="78">SQRT((M313^2)+(M321^2)+(M329^2)+(M337^2))</f>
        <v>0</v>
      </c>
      <c r="N339" s="730">
        <f t="shared" ref="N339" si="79">N313+N321+N329+N337</f>
        <v>0</v>
      </c>
      <c r="O339" s="15">
        <f t="shared" ref="O339" si="80">(N339/N$383)*100</f>
        <v>0</v>
      </c>
      <c r="P339" s="740">
        <f t="shared" ref="P339" si="81">SQRT((P313^2)+(P321^2)+(P329^2)+(P337^2))</f>
        <v>0</v>
      </c>
      <c r="Q339" s="30"/>
    </row>
    <row r="340" spans="1:17" x14ac:dyDescent="0.25">
      <c r="B340" s="728"/>
      <c r="D340" s="735"/>
      <c r="E340" s="728"/>
      <c r="G340" s="735"/>
      <c r="H340" s="31"/>
      <c r="J340" s="724"/>
      <c r="K340" s="31"/>
      <c r="M340" s="724"/>
      <c r="N340" s="728"/>
      <c r="P340" s="735"/>
      <c r="Q340" s="30"/>
    </row>
    <row r="341" spans="1:17" x14ac:dyDescent="0.25">
      <c r="A341" s="387" t="s">
        <v>924</v>
      </c>
      <c r="B341" s="728"/>
      <c r="D341" s="735"/>
      <c r="E341" s="728"/>
      <c r="G341" s="735"/>
      <c r="H341" s="31"/>
      <c r="J341" s="724"/>
      <c r="K341" s="31"/>
      <c r="M341" s="724"/>
      <c r="N341" s="728"/>
      <c r="P341" s="735"/>
      <c r="Q341" s="30"/>
    </row>
    <row r="342" spans="1:17" x14ac:dyDescent="0.25">
      <c r="B342" s="728"/>
      <c r="D342" s="735"/>
      <c r="E342" s="728"/>
      <c r="G342" s="735"/>
      <c r="H342" s="31"/>
      <c r="J342" s="724"/>
      <c r="K342" s="31"/>
      <c r="M342" s="724"/>
      <c r="N342" s="728"/>
      <c r="P342" s="735"/>
      <c r="Q342" s="30"/>
    </row>
    <row r="343" spans="1:17" x14ac:dyDescent="0.25">
      <c r="A343" s="14" t="str">
        <f>RoadTransportEthanolStage3!A42</f>
        <v xml:space="preserve"> - Diesel Fuel</v>
      </c>
      <c r="B343" s="732">
        <f>(Unitflowchart!$S$362/Unitflowchart!$S$383)*RoadTransportEthanolStage3!J42*Unitflowchart!$S$371</f>
        <v>0</v>
      </c>
      <c r="C343" s="26">
        <f>(B343/B$383)*100</f>
        <v>0</v>
      </c>
      <c r="D343" s="491">
        <f>(Unitflowchart!$S$362/Unitflowchart!$S$383)*RoadTransportEthanolStage3!K42*Unitflowchart!$S$371</f>
        <v>0</v>
      </c>
      <c r="E343" s="732">
        <f>(Unitflowchart!$S$362/Unitflowchart!$S$383)*RoadTransportEthanolStage3!P42*Unitflowchart!$S$371</f>
        <v>0</v>
      </c>
      <c r="F343" s="26">
        <f>(E343/E$383)*100</f>
        <v>0</v>
      </c>
      <c r="G343" s="491">
        <f>(Unitflowchart!$S$362/Unitflowchart!$S$383)*RoadTransportEthanolStage3!Q42*Unitflowchart!$S$371</f>
        <v>0</v>
      </c>
      <c r="H343" s="749">
        <f>(Unitflowchart!$S$362/Unitflowchart!$S$383)*RoadTransportEthanolStage3!V42*Unitflowchart!$S$371</f>
        <v>0</v>
      </c>
      <c r="I343" s="26">
        <f>(H343/H$383)*100</f>
        <v>0</v>
      </c>
      <c r="J343" s="752">
        <f>(Unitflowchart!$S$362/Unitflowchart!$S$383)*RoadTransportEthanolStage3!W42*Unitflowchart!$S$371</f>
        <v>0</v>
      </c>
      <c r="K343" s="749">
        <f>(Unitflowchart!$S$362/Unitflowchart!$S$383)*RoadTransportEthanolStage3!AB42*Unitflowchart!$S$371</f>
        <v>0</v>
      </c>
      <c r="L343" s="26">
        <f>(K343/K$383)*100</f>
        <v>0</v>
      </c>
      <c r="M343" s="751">
        <f>(Unitflowchart!$S$362/Unitflowchart!$S$383)*RoadTransportEthanolStage3!AC42*Unitflowchart!$S$371</f>
        <v>0</v>
      </c>
      <c r="N343" s="727">
        <f>E343+(GlobalWarmingPotentials!$B$11*H343)+(GlobalWarmingPotentials!$C$11*K343)</f>
        <v>0</v>
      </c>
      <c r="O343" s="26">
        <f>(N343/N$383)*100</f>
        <v>0</v>
      </c>
      <c r="P343" s="760">
        <f>SQRT((G343^2)+((GlobalWarmingPotentials!$B$11*J343)^2)+((GlobalWarmingPotentials!$C$11*M343)^2))</f>
        <v>0</v>
      </c>
      <c r="Q343" s="30"/>
    </row>
    <row r="344" spans="1:17" x14ac:dyDescent="0.25">
      <c r="A344" s="14" t="str">
        <f>RoadTransportEthanolStage3!A43</f>
        <v xml:space="preserve"> - Vehicle</v>
      </c>
      <c r="B344" s="732">
        <f>(Unitflowchart!$S$362/Unitflowchart!$S$383)*RoadTransportEthanolStage3!J43*Unitflowchart!$S$371</f>
        <v>0</v>
      </c>
      <c r="C344" s="26">
        <f>(B344/B$383)*100</f>
        <v>0</v>
      </c>
      <c r="D344" s="491">
        <f>(Unitflowchart!$S$362/Unitflowchart!$S$383)*RoadTransportEthanolStage3!K43*Unitflowchart!$S$371</f>
        <v>0</v>
      </c>
      <c r="E344" s="732">
        <f>(Unitflowchart!$S$362/Unitflowchart!$S$383)*RoadTransportEthanolStage3!P43*Unitflowchart!$S$371</f>
        <v>0</v>
      </c>
      <c r="F344" s="26">
        <f>(E344/E$383)*100</f>
        <v>0</v>
      </c>
      <c r="G344" s="491">
        <f>(Unitflowchart!$S$362/Unitflowchart!$S$383)*RoadTransportEthanolStage3!Q43*Unitflowchart!$S$371</f>
        <v>0</v>
      </c>
      <c r="H344" s="749">
        <f>(Unitflowchart!$S$362/Unitflowchart!$S$383)*RoadTransportEthanolStage3!V43*Unitflowchart!$S$371</f>
        <v>0</v>
      </c>
      <c r="I344" s="26">
        <f>(H344/H$383)*100</f>
        <v>0</v>
      </c>
      <c r="J344" s="752">
        <f>(Unitflowchart!$S$362/Unitflowchart!$S$383)*RoadTransportEthanolStage3!W43*Unitflowchart!$S$371</f>
        <v>0</v>
      </c>
      <c r="K344" s="749">
        <f>(Unitflowchart!$S$362/Unitflowchart!$S$383)*RoadTransportEthanolStage3!AB43*Unitflowchart!$S$371</f>
        <v>0</v>
      </c>
      <c r="L344" s="26">
        <f>(K344/K$383)*100</f>
        <v>0</v>
      </c>
      <c r="M344" s="751">
        <f>(Unitflowchart!$S$362/Unitflowchart!$S$383)*RoadTransportEthanolStage3!AC43*Unitflowchart!$S$371</f>
        <v>0</v>
      </c>
      <c r="N344" s="727">
        <f>E344+(GlobalWarmingPotentials!$B$11*H344)+(GlobalWarmingPotentials!$C$11*K344)</f>
        <v>0</v>
      </c>
      <c r="O344" s="26">
        <f t="shared" ref="O344:O345" si="82">(N344/N$383)*100</f>
        <v>0</v>
      </c>
      <c r="P344" s="760">
        <f>SQRT((G344^2)+((GlobalWarmingPotentials!$B$11*J344)^2)+((GlobalWarmingPotentials!$C$11*M344)^2))</f>
        <v>0</v>
      </c>
      <c r="Q344" s="30"/>
    </row>
    <row r="345" spans="1:17" x14ac:dyDescent="0.25">
      <c r="A345" s="14" t="str">
        <f>RoadTransportEthanolStage3!A44</f>
        <v xml:space="preserve"> - Maintenance</v>
      </c>
      <c r="B345" s="732">
        <f>(Unitflowchart!$S$362/Unitflowchart!$S$383)*RoadTransportEthanolStage3!J44*Unitflowchart!$S$371</f>
        <v>0</v>
      </c>
      <c r="C345" s="26">
        <f>(B345/B$383)*100</f>
        <v>0</v>
      </c>
      <c r="D345" s="491">
        <f>(Unitflowchart!$S$362/Unitflowchart!$S$383)*RoadTransportEthanolStage3!K44*Unitflowchart!$S$371</f>
        <v>0</v>
      </c>
      <c r="E345" s="732">
        <f>(Unitflowchart!$S$362/Unitflowchart!$S$383)*RoadTransportEthanolStage3!P44*Unitflowchart!$S$371</f>
        <v>0</v>
      </c>
      <c r="F345" s="26">
        <f>(E345/E$383)*100</f>
        <v>0</v>
      </c>
      <c r="G345" s="491">
        <f>(Unitflowchart!$S$362/Unitflowchart!$S$383)*RoadTransportEthanolStage3!Q44*Unitflowchart!$S$371</f>
        <v>0</v>
      </c>
      <c r="H345" s="749">
        <f>(Unitflowchart!$S$362/Unitflowchart!$S$383)*RoadTransportEthanolStage3!V44*Unitflowchart!$S$371</f>
        <v>0</v>
      </c>
      <c r="I345" s="26">
        <f>(H345/H$383)*100</f>
        <v>0</v>
      </c>
      <c r="J345" s="752">
        <f>(Unitflowchart!$S$362/Unitflowchart!$S$383)*RoadTransportEthanolStage3!W44*Unitflowchart!$S$371</f>
        <v>0</v>
      </c>
      <c r="K345" s="749">
        <f>(Unitflowchart!$S$362/Unitflowchart!$S$383)*RoadTransportEthanolStage3!AB44*Unitflowchart!$S$371</f>
        <v>0</v>
      </c>
      <c r="L345" s="26">
        <f>(K345/K$383)*100</f>
        <v>0</v>
      </c>
      <c r="M345" s="751">
        <f>(Unitflowchart!$S$362/Unitflowchart!$S$383)*RoadTransportEthanolStage3!AC44*Unitflowchart!$S$371</f>
        <v>0</v>
      </c>
      <c r="N345" s="727">
        <f>E345+(GlobalWarmingPotentials!$B$11*H345)+(GlobalWarmingPotentials!$C$11*K345)</f>
        <v>0</v>
      </c>
      <c r="O345" s="26">
        <f t="shared" si="82"/>
        <v>0</v>
      </c>
      <c r="P345" s="760">
        <f>SQRT((G345^2)+((GlobalWarmingPotentials!$B$11*J345)^2)+((GlobalWarmingPotentials!$C$11*M345)^2))</f>
        <v>0</v>
      </c>
      <c r="Q345" s="30"/>
    </row>
    <row r="346" spans="1:17" s="43" customFormat="1" x14ac:dyDescent="0.25">
      <c r="B346" s="766"/>
      <c r="C346" s="992"/>
      <c r="D346" s="779"/>
      <c r="E346" s="766"/>
      <c r="F346" s="992"/>
      <c r="G346" s="779"/>
      <c r="H346" s="783"/>
      <c r="I346" s="992"/>
      <c r="J346" s="828"/>
      <c r="K346" s="783"/>
      <c r="L346" s="992"/>
      <c r="M346" s="784"/>
      <c r="N346" s="729"/>
      <c r="O346" s="155"/>
      <c r="P346" s="213"/>
      <c r="Q346" s="852"/>
    </row>
    <row r="347" spans="1:17" x14ac:dyDescent="0.25">
      <c r="A347" s="218" t="s">
        <v>927</v>
      </c>
      <c r="B347" s="730">
        <f>(Unitflowchart!$S$362/Unitflowchart!$S$383)*RoadTransportEthanolStage3!J46*Unitflowchart!$S$371</f>
        <v>0</v>
      </c>
      <c r="C347" s="15">
        <f>(B347/B$383)*100</f>
        <v>0</v>
      </c>
      <c r="D347" s="740">
        <f>(Unitflowchart!$S$362/Unitflowchart!$S$383)*RoadTransportEthanolStage3!K46*Unitflowchart!$S$371</f>
        <v>0</v>
      </c>
      <c r="E347" s="730">
        <f>(Unitflowchart!$S$362/Unitflowchart!$S$383)*RoadTransportEthanolStage3!P46*Unitflowchart!$S$371</f>
        <v>0</v>
      </c>
      <c r="F347" s="15">
        <f>(E347/E$383)*100</f>
        <v>0</v>
      </c>
      <c r="G347" s="740">
        <f>(Unitflowchart!$S$362/Unitflowchart!$S$383)*RoadTransportEthanolStage3!Q46*Unitflowchart!$S$371</f>
        <v>0</v>
      </c>
      <c r="H347" s="215">
        <f>(Unitflowchart!$S$362/Unitflowchart!$S$383)*RoadTransportEthanolStage3!V46*Unitflowchart!$S$371</f>
        <v>0</v>
      </c>
      <c r="I347" s="15">
        <f>(H347/H$383)*100</f>
        <v>0</v>
      </c>
      <c r="J347" s="747">
        <f>(Unitflowchart!$S$362/Unitflowchart!$S$383)*RoadTransportEthanolStage3!W46*Unitflowchart!$S$371</f>
        <v>0</v>
      </c>
      <c r="K347" s="215">
        <f>(Unitflowchart!$S$362/Unitflowchart!$S$383)*RoadTransportEthanolStage3!AB46*Unitflowchart!$S$371</f>
        <v>0</v>
      </c>
      <c r="L347" s="15">
        <f>(K347/K$383)*100</f>
        <v>0</v>
      </c>
      <c r="M347" s="216">
        <f>(Unitflowchart!$S$362/Unitflowchart!$S$383)*RoadTransportEthanolStage3!AC46*Unitflowchart!$S$371</f>
        <v>0</v>
      </c>
      <c r="N347" s="734">
        <f>E347+(GlobalWarmingPotentials!$B$11*H347)+(GlobalWarmingPotentials!$C$11*K347)</f>
        <v>0</v>
      </c>
      <c r="O347" s="218">
        <f>(N347/N$383)*100</f>
        <v>0</v>
      </c>
      <c r="P347" s="743">
        <f>SQRT((G347^2)+((GlobalWarmingPotentials!$B$11*J347)^2)+((GlobalWarmingPotentials!$C$11*M347)^2))</f>
        <v>0</v>
      </c>
      <c r="Q347" s="30"/>
    </row>
    <row r="348" spans="1:17" x14ac:dyDescent="0.25">
      <c r="B348" s="728"/>
      <c r="D348" s="735"/>
      <c r="E348" s="728"/>
      <c r="G348" s="735"/>
      <c r="H348" s="31"/>
      <c r="J348" s="724"/>
      <c r="K348" s="31"/>
      <c r="M348" s="724"/>
      <c r="N348" s="728"/>
      <c r="P348" s="735"/>
      <c r="Q348" s="30"/>
    </row>
    <row r="349" spans="1:17" x14ac:dyDescent="0.25">
      <c r="A349" s="387" t="s">
        <v>925</v>
      </c>
      <c r="B349" s="728"/>
      <c r="D349" s="735"/>
      <c r="E349" s="728"/>
      <c r="G349" s="735"/>
      <c r="H349" s="31"/>
      <c r="J349" s="724"/>
      <c r="K349" s="31"/>
      <c r="M349" s="724"/>
      <c r="N349" s="728"/>
      <c r="P349" s="735"/>
      <c r="Q349" s="30"/>
    </row>
    <row r="350" spans="1:17" x14ac:dyDescent="0.25">
      <c r="B350" s="728"/>
      <c r="D350" s="735"/>
      <c r="E350" s="728"/>
      <c r="G350" s="735"/>
      <c r="H350" s="31"/>
      <c r="J350" s="724"/>
      <c r="K350" s="31"/>
      <c r="M350" s="724"/>
      <c r="N350" s="728"/>
      <c r="P350" s="735"/>
      <c r="Q350" s="30"/>
    </row>
    <row r="351" spans="1:17" x14ac:dyDescent="0.25">
      <c r="A351" s="14" t="str">
        <f>RailTransport!A11</f>
        <v xml:space="preserve"> - Gas Oil</v>
      </c>
      <c r="B351" s="726">
        <f>(Unitflowchart!$S$362/Unitflowchart!$S$383)*RailTransport!J11*Unitflowchart!$S$373</f>
        <v>0</v>
      </c>
      <c r="C351" s="25">
        <f>(B351/B$383)*100</f>
        <v>0</v>
      </c>
      <c r="D351" s="744">
        <f>(Unitflowchart!$S$362/Unitflowchart!$S$383)*RailTransport!K11*Unitflowchart!$S$373</f>
        <v>0</v>
      </c>
      <c r="E351" s="726">
        <f>(Unitflowchart!$S$362/Unitflowchart!$S$383)*RailTransport!P11*Unitflowchart!$S$373</f>
        <v>0</v>
      </c>
      <c r="F351" s="25">
        <f>(E351/E$383)*100</f>
        <v>0</v>
      </c>
      <c r="G351" s="744">
        <f>(Unitflowchart!$S$362/Unitflowchart!$S$383)*RailTransport!Q11*Unitflowchart!$S$373</f>
        <v>0</v>
      </c>
      <c r="H351" s="723">
        <f>(Unitflowchart!$S$362/Unitflowchart!$S$383)*RailTransport!V11*Unitflowchart!$S$373</f>
        <v>0</v>
      </c>
      <c r="I351" s="25">
        <f>(H351/H$383)*100</f>
        <v>0</v>
      </c>
      <c r="J351" s="725">
        <f>(Unitflowchart!$S$362/Unitflowchart!$S$383)*RailTransport!W11*Unitflowchart!$S$373</f>
        <v>0</v>
      </c>
      <c r="K351" s="723">
        <f>(Unitflowchart!$S$362/Unitflowchart!$S$383)*RailTransport!AB11*Unitflowchart!$S$373</f>
        <v>0</v>
      </c>
      <c r="L351" s="25">
        <f>(K351/K$383)*100</f>
        <v>0</v>
      </c>
      <c r="M351" s="725">
        <f>(Unitflowchart!$S$362/Unitflowchart!$S$383)*RailTransport!AC11*Unitflowchart!$S$373</f>
        <v>0</v>
      </c>
      <c r="N351" s="726">
        <f>E351+(GlobalWarmingPotentials!$B$11*H351)+(GlobalWarmingPotentials!$C$11*K351)</f>
        <v>0</v>
      </c>
      <c r="O351" s="25">
        <f>(N351/N$383)*100</f>
        <v>0</v>
      </c>
      <c r="P351" s="744">
        <f>SQRT((G351^2)+((GlobalWarmingPotentials!$B$11*J351)^2)+((GlobalWarmingPotentials!$C$11*M351)^2))</f>
        <v>0</v>
      </c>
      <c r="Q351" s="30"/>
    </row>
    <row r="352" spans="1:17" x14ac:dyDescent="0.25">
      <c r="A352" s="14" t="str">
        <f>RailTransport!A12</f>
        <v xml:space="preserve"> - Capital Equipment</v>
      </c>
      <c r="B352" s="726">
        <f>(Unitflowchart!$S$362/Unitflowchart!$S$383)*RailTransport!J12*Unitflowchart!$S$373</f>
        <v>0</v>
      </c>
      <c r="C352" s="25">
        <f t="shared" ref="C352:C353" si="83">(B352/B$383)*100</f>
        <v>0</v>
      </c>
      <c r="D352" s="744">
        <f>(Unitflowchart!$S$362/Unitflowchart!$S$383)*RailTransport!K12*Unitflowchart!$S$373</f>
        <v>0</v>
      </c>
      <c r="E352" s="726">
        <f>(Unitflowchart!$S$362/Unitflowchart!$S$383)*RailTransport!P12*Unitflowchart!$S$373</f>
        <v>0</v>
      </c>
      <c r="F352" s="25">
        <f t="shared" ref="F352:F353" si="84">(E352/E$383)*100</f>
        <v>0</v>
      </c>
      <c r="G352" s="744">
        <f>(Unitflowchart!$S$362/Unitflowchart!$S$383)*RailTransport!Q12*Unitflowchart!$S$373</f>
        <v>0</v>
      </c>
      <c r="H352" s="723">
        <f>(Unitflowchart!$S$362/Unitflowchart!$S$383)*RailTransport!V12*Unitflowchart!$S$373</f>
        <v>0</v>
      </c>
      <c r="I352" s="25">
        <f t="shared" ref="I352:I353" si="85">(H352/H$383)*100</f>
        <v>0</v>
      </c>
      <c r="J352" s="725">
        <f>(Unitflowchart!$S$362/Unitflowchart!$S$383)*RailTransport!W12*Unitflowchart!$S$373</f>
        <v>0</v>
      </c>
      <c r="K352" s="723">
        <f>(Unitflowchart!$S$362/Unitflowchart!$S$383)*RailTransport!AB12*Unitflowchart!$S$373</f>
        <v>0</v>
      </c>
      <c r="L352" s="25">
        <f t="shared" ref="L352:L353" si="86">(K352/K$383)*100</f>
        <v>0</v>
      </c>
      <c r="M352" s="725">
        <f>(Unitflowchart!$S$362/Unitflowchart!$S$383)*RailTransport!AC12*Unitflowchart!$S$373</f>
        <v>0</v>
      </c>
      <c r="N352" s="726">
        <f>E352+(GlobalWarmingPotentials!$B$11*H352)+(GlobalWarmingPotentials!$C$11*K352)</f>
        <v>0</v>
      </c>
      <c r="O352" s="25">
        <f t="shared" ref="O352:O353" si="87">(N352/N$383)*100</f>
        <v>0</v>
      </c>
      <c r="P352" s="744">
        <f>SQRT((G352^2)+((GlobalWarmingPotentials!$B$11*J352)^2)+((GlobalWarmingPotentials!$C$11*M352)^2))</f>
        <v>0</v>
      </c>
      <c r="Q352" s="30"/>
    </row>
    <row r="353" spans="1:17" x14ac:dyDescent="0.25">
      <c r="A353" s="14" t="str">
        <f>RailTransport!A13</f>
        <v xml:space="preserve"> - Maintenance</v>
      </c>
      <c r="B353" s="726">
        <f>(Unitflowchart!$S$362/Unitflowchart!$S$383)*RailTransport!J13*Unitflowchart!$S$373</f>
        <v>0</v>
      </c>
      <c r="C353" s="25">
        <f t="shared" si="83"/>
        <v>0</v>
      </c>
      <c r="D353" s="744">
        <f>(Unitflowchart!$S$362/Unitflowchart!$S$383)*RailTransport!K13*Unitflowchart!$S$373</f>
        <v>0</v>
      </c>
      <c r="E353" s="726">
        <f>(Unitflowchart!$S$362/Unitflowchart!$S$383)*RailTransport!P13*Unitflowchart!$S$373</f>
        <v>0</v>
      </c>
      <c r="F353" s="25">
        <f t="shared" si="84"/>
        <v>0</v>
      </c>
      <c r="G353" s="744">
        <f>(Unitflowchart!$S$362/Unitflowchart!$S$383)*RailTransport!Q13*Unitflowchart!$S$373</f>
        <v>0</v>
      </c>
      <c r="H353" s="723">
        <f>(Unitflowchart!$S$362/Unitflowchart!$S$383)*RailTransport!V13*Unitflowchart!$S$373</f>
        <v>0</v>
      </c>
      <c r="I353" s="25">
        <f t="shared" si="85"/>
        <v>0</v>
      </c>
      <c r="J353" s="725">
        <f>(Unitflowchart!$S$362/Unitflowchart!$S$383)*RailTransport!W13*Unitflowchart!$S$373</f>
        <v>0</v>
      </c>
      <c r="K353" s="723">
        <f>(Unitflowchart!$S$362/Unitflowchart!$S$383)*RailTransport!AB13*Unitflowchart!$S$373</f>
        <v>0</v>
      </c>
      <c r="L353" s="25">
        <f t="shared" si="86"/>
        <v>0</v>
      </c>
      <c r="M353" s="725">
        <f>(Unitflowchart!$S$362/Unitflowchart!$S$383)*RailTransport!AC13*Unitflowchart!$S$373</f>
        <v>0</v>
      </c>
      <c r="N353" s="726">
        <f>E353+(GlobalWarmingPotentials!$B$11*H353)+(GlobalWarmingPotentials!$C$11*K353)</f>
        <v>0</v>
      </c>
      <c r="O353" s="25">
        <f t="shared" si="87"/>
        <v>0</v>
      </c>
      <c r="P353" s="744">
        <f>SQRT((G353^2)+((GlobalWarmingPotentials!$B$11*J353)^2)+((GlobalWarmingPotentials!$C$11*M353)^2))</f>
        <v>0</v>
      </c>
      <c r="Q353" s="30"/>
    </row>
    <row r="354" spans="1:17" x14ac:dyDescent="0.25">
      <c r="B354" s="728"/>
      <c r="C354" s="25"/>
      <c r="D354" s="735"/>
      <c r="E354" s="728"/>
      <c r="F354" s="25"/>
      <c r="G354" s="735"/>
      <c r="H354" s="31"/>
      <c r="I354" s="25"/>
      <c r="J354" s="724"/>
      <c r="K354" s="31"/>
      <c r="L354" s="25"/>
      <c r="M354" s="724"/>
      <c r="N354" s="728"/>
      <c r="O354" s="25"/>
      <c r="P354" s="735"/>
      <c r="Q354" s="30"/>
    </row>
    <row r="355" spans="1:17" x14ac:dyDescent="0.25">
      <c r="A355" s="218" t="s">
        <v>926</v>
      </c>
      <c r="B355" s="734">
        <f>(Unitflowchart!$S$362/Unitflowchart!$S$383)*RailTransport!J15*Unitflowchart!$S$373</f>
        <v>0</v>
      </c>
      <c r="C355" s="721">
        <f>(B355/B$383)*100</f>
        <v>0</v>
      </c>
      <c r="D355" s="745">
        <f>(Unitflowchart!$S$362/Unitflowchart!$S$383)*RailTransport!K15*Unitflowchart!$S$373</f>
        <v>0</v>
      </c>
      <c r="E355" s="734">
        <f>(Unitflowchart!$S$362/Unitflowchart!$S$383)*RailTransport!P15*Unitflowchart!$S$373</f>
        <v>0</v>
      </c>
      <c r="F355" s="721">
        <f>(E355/E$383)*100</f>
        <v>0</v>
      </c>
      <c r="G355" s="745">
        <f>(Unitflowchart!$S$362/Unitflowchart!$S$383)*RailTransport!Q15*Unitflowchart!$S$373</f>
        <v>0</v>
      </c>
      <c r="H355" s="722">
        <f>(Unitflowchart!$S$362/Unitflowchart!$S$383)*RailTransport!V15*Unitflowchart!$S$373</f>
        <v>0</v>
      </c>
      <c r="I355" s="721">
        <f>(H355/H$383)*100</f>
        <v>0</v>
      </c>
      <c r="J355" s="720">
        <f>(Unitflowchart!$S$362/Unitflowchart!$S$383)*RailTransport!W15*Unitflowchart!$S$373</f>
        <v>0</v>
      </c>
      <c r="K355" s="722">
        <f>(Unitflowchart!$S$362/Unitflowchart!$S$383)*RailTransport!AB15*Unitflowchart!$S$373</f>
        <v>0</v>
      </c>
      <c r="L355" s="721">
        <f>(K355/K$383)*100</f>
        <v>0</v>
      </c>
      <c r="M355" s="720">
        <f>(Unitflowchart!$S$362/Unitflowchart!$S$383)*RailTransport!AC15*Unitflowchart!$S$373</f>
        <v>0</v>
      </c>
      <c r="N355" s="734">
        <f>E355+(GlobalWarmingPotentials!$B$11*H355)+(GlobalWarmingPotentials!$C$11*K355)</f>
        <v>0</v>
      </c>
      <c r="O355" s="721">
        <f>(N355/N$383)*100</f>
        <v>0</v>
      </c>
      <c r="P355" s="743">
        <f>SQRT((G355^2)+((GlobalWarmingPotentials!$B$11*J355)^2)+((GlobalWarmingPotentials!$C$11*M355)^2))</f>
        <v>0</v>
      </c>
      <c r="Q355" s="30"/>
    </row>
    <row r="356" spans="1:17" x14ac:dyDescent="0.25">
      <c r="B356" s="728"/>
      <c r="D356" s="735"/>
      <c r="E356" s="728"/>
      <c r="G356" s="735"/>
      <c r="H356" s="31"/>
      <c r="J356" s="724"/>
      <c r="K356" s="31"/>
      <c r="M356" s="724"/>
      <c r="N356" s="728"/>
      <c r="P356" s="735"/>
      <c r="Q356" s="30"/>
    </row>
    <row r="357" spans="1:17" x14ac:dyDescent="0.25">
      <c r="A357" s="387" t="s">
        <v>928</v>
      </c>
      <c r="B357" s="728"/>
      <c r="D357" s="735"/>
      <c r="E357" s="728"/>
      <c r="G357" s="735"/>
      <c r="H357" s="31"/>
      <c r="J357" s="724"/>
      <c r="K357" s="31"/>
      <c r="M357" s="724"/>
      <c r="N357" s="728"/>
      <c r="P357" s="735"/>
      <c r="Q357" s="30"/>
    </row>
    <row r="358" spans="1:17" x14ac:dyDescent="0.25">
      <c r="B358" s="728"/>
      <c r="D358" s="735"/>
      <c r="E358" s="728"/>
      <c r="G358" s="735"/>
      <c r="H358" s="31"/>
      <c r="J358" s="724"/>
      <c r="K358" s="31"/>
      <c r="M358" s="724"/>
      <c r="N358" s="728"/>
      <c r="P358" s="735"/>
      <c r="Q358" s="30"/>
    </row>
    <row r="359" spans="1:17" x14ac:dyDescent="0.25">
      <c r="A359" s="14" t="str">
        <f>BargeTransport!A11</f>
        <v xml:space="preserve"> - Marine Diesel</v>
      </c>
      <c r="B359" s="726">
        <f>(Unitflowchart!$S$362/Unitflowchart!$S$383)*BargeTransport!J11*Unitflowchart!$S$375</f>
        <v>0</v>
      </c>
      <c r="C359" s="25">
        <f>(B359/B$383)*100</f>
        <v>0</v>
      </c>
      <c r="D359" s="744">
        <f>(Unitflowchart!$S$362/Unitflowchart!$S$383)*BargeTransport!K11*Unitflowchart!$S$375</f>
        <v>0</v>
      </c>
      <c r="E359" s="726">
        <f>(Unitflowchart!$S$362/Unitflowchart!$S$383)*BargeTransport!P11*Unitflowchart!$S$375</f>
        <v>0</v>
      </c>
      <c r="F359" s="25">
        <f>(E359/E$383)*100</f>
        <v>0</v>
      </c>
      <c r="G359" s="744">
        <f>(Unitflowchart!$S$362/Unitflowchart!$S$383)*BargeTransport!Q11*Unitflowchart!$S$375</f>
        <v>0</v>
      </c>
      <c r="H359" s="723">
        <f>(Unitflowchart!$S$362/Unitflowchart!$S$383)*BargeTransport!V11*Unitflowchart!$S$375</f>
        <v>0</v>
      </c>
      <c r="I359" s="25">
        <f>(H359/H$383)*100</f>
        <v>0</v>
      </c>
      <c r="J359" s="725">
        <f>(Unitflowchart!$S$362/Unitflowchart!$S$383)*BargeTransport!W11*Unitflowchart!$S$375</f>
        <v>0</v>
      </c>
      <c r="K359" s="723">
        <f>(Unitflowchart!$S$362/Unitflowchart!$S$383)*BargeTransport!AB11*Unitflowchart!$S$375</f>
        <v>0</v>
      </c>
      <c r="L359" s="25">
        <f>(K359/K$383)*100</f>
        <v>0</v>
      </c>
      <c r="M359" s="725">
        <f>(Unitflowchart!$S$362/Unitflowchart!$S$383)*BargeTransport!AC11*Unitflowchart!$S$375</f>
        <v>0</v>
      </c>
      <c r="N359" s="726">
        <f>E359+(GlobalWarmingPotentials!$B$11*H359)+(GlobalWarmingPotentials!$C$11*K359)</f>
        <v>0</v>
      </c>
      <c r="O359" s="25">
        <f>(N359/N$383)*100</f>
        <v>0</v>
      </c>
      <c r="P359" s="744">
        <f>SQRT((G359^2)+((GlobalWarmingPotentials!$B$11*J359)^2)+((GlobalWarmingPotentials!$C$11*M359)^2))</f>
        <v>0</v>
      </c>
      <c r="Q359" s="30"/>
    </row>
    <row r="360" spans="1:17" x14ac:dyDescent="0.25">
      <c r="A360" s="14" t="str">
        <f>BargeTransport!A12</f>
        <v xml:space="preserve"> - Barge Construction</v>
      </c>
      <c r="B360" s="726">
        <f>(Unitflowchart!$S$362/Unitflowchart!$S$383)*BargeTransport!J12*Unitflowchart!$S$375</f>
        <v>0</v>
      </c>
      <c r="C360" s="25">
        <f t="shared" ref="C360:C361" si="88">(B360/B$383)*100</f>
        <v>0</v>
      </c>
      <c r="D360" s="744">
        <f>(Unitflowchart!$S$362/Unitflowchart!$S$383)*BargeTransport!K12*Unitflowchart!$S$375</f>
        <v>0</v>
      </c>
      <c r="E360" s="726">
        <f>(Unitflowchart!$S$362/Unitflowchart!$S$383)*BargeTransport!P12*Unitflowchart!$S$375</f>
        <v>0</v>
      </c>
      <c r="F360" s="25">
        <f t="shared" ref="F360:F361" si="89">(E360/E$383)*100</f>
        <v>0</v>
      </c>
      <c r="G360" s="744">
        <f>(Unitflowchart!$S$362/Unitflowchart!$S$383)*BargeTransport!Q12*Unitflowchart!$S$375</f>
        <v>0</v>
      </c>
      <c r="H360" s="723">
        <f>(Unitflowchart!$S$362/Unitflowchart!$S$383)*BargeTransport!V12*Unitflowchart!$S$375</f>
        <v>0</v>
      </c>
      <c r="I360" s="25">
        <f t="shared" ref="I360:I361" si="90">(H360/H$383)*100</f>
        <v>0</v>
      </c>
      <c r="J360" s="725">
        <f>(Unitflowchart!$S$362/Unitflowchart!$S$383)*BargeTransport!W12*Unitflowchart!$S$375</f>
        <v>0</v>
      </c>
      <c r="K360" s="723">
        <f>(Unitflowchart!$S$362/Unitflowchart!$S$383)*BargeTransport!AB12*Unitflowchart!$S$375</f>
        <v>0</v>
      </c>
      <c r="L360" s="25">
        <f t="shared" ref="L360:L361" si="91">(K360/K$383)*100</f>
        <v>0</v>
      </c>
      <c r="M360" s="725">
        <f>(Unitflowchart!$S$362/Unitflowchart!$S$383)*BargeTransport!AC12*Unitflowchart!$S$375</f>
        <v>0</v>
      </c>
      <c r="N360" s="726">
        <f>E360+(GlobalWarmingPotentials!$B$11*H360)+(GlobalWarmingPotentials!$C$11*K360)</f>
        <v>0</v>
      </c>
      <c r="O360" s="25">
        <f t="shared" ref="O360:O361" si="92">(N360/N$383)*100</f>
        <v>0</v>
      </c>
      <c r="P360" s="744">
        <f>SQRT((G360^2)+((GlobalWarmingPotentials!$B$11*J360)^2)+((GlobalWarmingPotentials!$C$11*M360)^2))</f>
        <v>0</v>
      </c>
      <c r="Q360" s="30"/>
    </row>
    <row r="361" spans="1:17" x14ac:dyDescent="0.25">
      <c r="A361" s="14" t="str">
        <f>BargeTransport!A13</f>
        <v xml:space="preserve"> - Barge Maintenance</v>
      </c>
      <c r="B361" s="726">
        <f>(Unitflowchart!$S$362/Unitflowchart!$S$383)*BargeTransport!J13*Unitflowchart!$S$375</f>
        <v>0</v>
      </c>
      <c r="C361" s="25">
        <f t="shared" si="88"/>
        <v>0</v>
      </c>
      <c r="D361" s="744">
        <f>(Unitflowchart!$S$362/Unitflowchart!$S$383)*BargeTransport!K13*Unitflowchart!$S$375</f>
        <v>0</v>
      </c>
      <c r="E361" s="726">
        <f>(Unitflowchart!$S$362/Unitflowchart!$S$383)*BargeTransport!P13*Unitflowchart!$S$375</f>
        <v>0</v>
      </c>
      <c r="F361" s="25">
        <f t="shared" si="89"/>
        <v>0</v>
      </c>
      <c r="G361" s="744">
        <f>(Unitflowchart!$S$362/Unitflowchart!$S$383)*BargeTransport!Q13*Unitflowchart!$S$375</f>
        <v>0</v>
      </c>
      <c r="H361" s="723">
        <f>(Unitflowchart!$S$362/Unitflowchart!$S$383)*BargeTransport!V13*Unitflowchart!$S$375</f>
        <v>0</v>
      </c>
      <c r="I361" s="25">
        <f t="shared" si="90"/>
        <v>0</v>
      </c>
      <c r="J361" s="725">
        <f>(Unitflowchart!$S$362/Unitflowchart!$S$383)*BargeTransport!W13*Unitflowchart!$S$375</f>
        <v>0</v>
      </c>
      <c r="K361" s="723">
        <f>(Unitflowchart!$S$362/Unitflowchart!$S$383)*BargeTransport!AB13*Unitflowchart!$S$375</f>
        <v>0</v>
      </c>
      <c r="L361" s="25">
        <f t="shared" si="91"/>
        <v>0</v>
      </c>
      <c r="M361" s="725">
        <f>(Unitflowchart!$S$362/Unitflowchart!$S$383)*BargeTransport!AC13*Unitflowchart!$S$375</f>
        <v>0</v>
      </c>
      <c r="N361" s="726">
        <f>E361+(GlobalWarmingPotentials!$B$11*H361)+(GlobalWarmingPotentials!$C$11*K361)</f>
        <v>0</v>
      </c>
      <c r="O361" s="25">
        <f t="shared" si="92"/>
        <v>0</v>
      </c>
      <c r="P361" s="744">
        <f>SQRT((G361^2)+((GlobalWarmingPotentials!$B$11*J361)^2)+((GlobalWarmingPotentials!$C$11*M361)^2))</f>
        <v>0</v>
      </c>
      <c r="Q361" s="30"/>
    </row>
    <row r="362" spans="1:17" x14ac:dyDescent="0.25">
      <c r="B362" s="728"/>
      <c r="D362" s="735"/>
      <c r="E362" s="728"/>
      <c r="G362" s="735"/>
      <c r="H362" s="31"/>
      <c r="J362" s="724"/>
      <c r="K362" s="31"/>
      <c r="M362" s="724"/>
      <c r="N362" s="728"/>
      <c r="P362" s="735"/>
      <c r="Q362" s="30"/>
    </row>
    <row r="363" spans="1:17" x14ac:dyDescent="0.25">
      <c r="A363" s="218" t="s">
        <v>929</v>
      </c>
      <c r="B363" s="734">
        <f>(Unitflowchart!$S$362/Unitflowchart!$S$383)*BargeTransport!J15*Unitflowchart!$S$375</f>
        <v>0</v>
      </c>
      <c r="C363" s="721">
        <f>(B363/B$383)*100</f>
        <v>0</v>
      </c>
      <c r="D363" s="745">
        <f>(Unitflowchart!$S$362/Unitflowchart!$S$383)*BargeTransport!K15*Unitflowchart!$S$375</f>
        <v>0</v>
      </c>
      <c r="E363" s="734">
        <f>(Unitflowchart!$S$362/Unitflowchart!$S$383)*BargeTransport!P15*Unitflowchart!$S$375</f>
        <v>0</v>
      </c>
      <c r="F363" s="721">
        <f>(E363/E$383)*100</f>
        <v>0</v>
      </c>
      <c r="G363" s="745">
        <f>(Unitflowchart!$S$362/Unitflowchart!$S$383)*BargeTransport!Q15*Unitflowchart!$S$375</f>
        <v>0</v>
      </c>
      <c r="H363" s="722">
        <f>(Unitflowchart!$S$362/Unitflowchart!$S$383)*BargeTransport!V15*Unitflowchart!$S$375</f>
        <v>0</v>
      </c>
      <c r="I363" s="721">
        <f>(H363/H$383)*100</f>
        <v>0</v>
      </c>
      <c r="J363" s="720">
        <f>(Unitflowchart!$S$362/Unitflowchart!$S$383)*BargeTransport!W15*Unitflowchart!$S$375</f>
        <v>0</v>
      </c>
      <c r="K363" s="722">
        <f>(Unitflowchart!$S$362/Unitflowchart!$S$383)*BargeTransport!AB15*Unitflowchart!$S$375</f>
        <v>0</v>
      </c>
      <c r="L363" s="721">
        <f>(K363/K$383)*100</f>
        <v>0</v>
      </c>
      <c r="M363" s="720">
        <f>(Unitflowchart!$S$362/Unitflowchart!$S$383)*BargeTransport!AC15*Unitflowchart!$S$375</f>
        <v>0</v>
      </c>
      <c r="N363" s="734">
        <f>E363+(GlobalWarmingPotentials!$B$11*H363)+(GlobalWarmingPotentials!$C$11*K363)</f>
        <v>0</v>
      </c>
      <c r="O363" s="721">
        <f>(N363/N$383)*100</f>
        <v>0</v>
      </c>
      <c r="P363" s="743">
        <f>SQRT((G363^2)+((GlobalWarmingPotentials!$B$11*J363)^2)+((GlobalWarmingPotentials!$C$11*M363)^2))</f>
        <v>0</v>
      </c>
      <c r="Q363" s="30"/>
    </row>
    <row r="364" spans="1:17" x14ac:dyDescent="0.25">
      <c r="B364" s="728"/>
      <c r="D364" s="735"/>
      <c r="E364" s="728"/>
      <c r="G364" s="735"/>
      <c r="H364" s="31"/>
      <c r="J364" s="724"/>
      <c r="K364" s="31"/>
      <c r="M364" s="724"/>
      <c r="N364" s="728"/>
      <c r="P364" s="735"/>
      <c r="Q364" s="30"/>
    </row>
    <row r="365" spans="1:17" x14ac:dyDescent="0.25">
      <c r="A365" s="387" t="s">
        <v>930</v>
      </c>
      <c r="B365" s="728"/>
      <c r="D365" s="735"/>
      <c r="E365" s="728"/>
      <c r="G365" s="735"/>
      <c r="H365" s="31"/>
      <c r="J365" s="724"/>
      <c r="K365" s="31"/>
      <c r="M365" s="724"/>
      <c r="N365" s="728"/>
      <c r="P365" s="735"/>
      <c r="Q365" s="30"/>
    </row>
    <row r="366" spans="1:17" x14ac:dyDescent="0.25">
      <c r="B366" s="728"/>
      <c r="D366" s="735"/>
      <c r="E366" s="728"/>
      <c r="G366" s="735"/>
      <c r="H366" s="31"/>
      <c r="J366" s="724"/>
      <c r="K366" s="31"/>
      <c r="M366" s="724"/>
      <c r="N366" s="728"/>
      <c r="P366" s="735"/>
      <c r="Q366" s="30"/>
    </row>
    <row r="367" spans="1:17" x14ac:dyDescent="0.25">
      <c r="A367" s="14" t="str">
        <f>ShipTransport!A11</f>
        <v xml:space="preserve"> - Marine Diesel</v>
      </c>
      <c r="B367" s="726">
        <f>(Unitflowchart!$S$362/Unitflowchart!$S$383)*ShipTransport!J11*Unitflowchart!$S$377</f>
        <v>0</v>
      </c>
      <c r="C367" s="25">
        <f>(B367/B$383)*100</f>
        <v>0</v>
      </c>
      <c r="D367" s="744">
        <f>(Unitflowchart!$S$362/Unitflowchart!$S$383)*ShipTransport!K11*Unitflowchart!$S$377</f>
        <v>0</v>
      </c>
      <c r="E367" s="726">
        <f>(Unitflowchart!$S$362/Unitflowchart!$S$383)*ShipTransport!P11*Unitflowchart!$S$377</f>
        <v>0</v>
      </c>
      <c r="F367" s="25">
        <f>(E367/E$383)*100</f>
        <v>0</v>
      </c>
      <c r="G367" s="744">
        <f>(Unitflowchart!$S$362/Unitflowchart!$S$383)*ShipTransport!Q11*Unitflowchart!$S$377</f>
        <v>0</v>
      </c>
      <c r="H367" s="723">
        <f>(Unitflowchart!$S$362/Unitflowchart!$S$383)*ShipTransport!V11*Unitflowchart!$S$377</f>
        <v>0</v>
      </c>
      <c r="I367" s="25">
        <f>(H367/H$383)*100</f>
        <v>0</v>
      </c>
      <c r="J367" s="725">
        <f>(Unitflowchart!$S$362/Unitflowchart!$S$383)*ShipTransport!W11*Unitflowchart!$S$377</f>
        <v>0</v>
      </c>
      <c r="K367" s="723">
        <f>(Unitflowchart!$S$362/Unitflowchart!$S$383)*ShipTransport!AB11*Unitflowchart!$S$377</f>
        <v>0</v>
      </c>
      <c r="L367" s="25">
        <f>(K367/K$383)*100</f>
        <v>0</v>
      </c>
      <c r="M367" s="725">
        <f>(Unitflowchart!$S$362/Unitflowchart!$S$383)*ShipTransport!AC11*Unitflowchart!$S$377</f>
        <v>0</v>
      </c>
      <c r="N367" s="726">
        <f>E367+(GlobalWarmingPotentials!$B$11*H367)+(GlobalWarmingPotentials!$C$11*K367)</f>
        <v>0</v>
      </c>
      <c r="O367" s="25">
        <f>(N367/N$383)*100</f>
        <v>0</v>
      </c>
      <c r="P367" s="744">
        <f>SQRT((G367^2)+((GlobalWarmingPotentials!$B$11*J367)^2)+((GlobalWarmingPotentials!$C$11*M367)^2))</f>
        <v>0</v>
      </c>
      <c r="Q367" s="30"/>
    </row>
    <row r="368" spans="1:17" x14ac:dyDescent="0.25">
      <c r="A368" s="14" t="str">
        <f>ShipTransport!A12</f>
        <v xml:space="preserve"> - Ship Construction</v>
      </c>
      <c r="B368" s="726">
        <f>(Unitflowchart!$S$362/Unitflowchart!$S$383)*ShipTransport!J12*Unitflowchart!$S$377</f>
        <v>0</v>
      </c>
      <c r="C368" s="25">
        <f t="shared" ref="C368:C369" si="93">(B368/B$383)*100</f>
        <v>0</v>
      </c>
      <c r="D368" s="744">
        <f>(Unitflowchart!$S$362/Unitflowchart!$S$383)*ShipTransport!K12*Unitflowchart!$S$377</f>
        <v>0</v>
      </c>
      <c r="E368" s="726">
        <f>(Unitflowchart!$S$362/Unitflowchart!$S$383)*ShipTransport!P12*Unitflowchart!$S$377</f>
        <v>0</v>
      </c>
      <c r="F368" s="25">
        <f t="shared" ref="F368:F369" si="94">(E368/E$383)*100</f>
        <v>0</v>
      </c>
      <c r="G368" s="744">
        <f>(Unitflowchart!$S$362/Unitflowchart!$S$383)*ShipTransport!Q12*Unitflowchart!$S$377</f>
        <v>0</v>
      </c>
      <c r="H368" s="723">
        <f>(Unitflowchart!$S$362/Unitflowchart!$S$383)*ShipTransport!V12*Unitflowchart!$S$377</f>
        <v>0</v>
      </c>
      <c r="I368" s="25">
        <f t="shared" ref="I368:I369" si="95">(H368/H$383)*100</f>
        <v>0</v>
      </c>
      <c r="J368" s="725">
        <f>(Unitflowchart!$S$362/Unitflowchart!$S$383)*ShipTransport!W12*Unitflowchart!$S$377</f>
        <v>0</v>
      </c>
      <c r="K368" s="723">
        <f>(Unitflowchart!$S$362/Unitflowchart!$S$383)*ShipTransport!AB12*Unitflowchart!$S$377</f>
        <v>0</v>
      </c>
      <c r="L368" s="25">
        <f t="shared" ref="L368:L369" si="96">(K368/K$383)*100</f>
        <v>0</v>
      </c>
      <c r="M368" s="725">
        <f>(Unitflowchart!$S$362/Unitflowchart!$S$383)*ShipTransport!AC12*Unitflowchart!$S$377</f>
        <v>0</v>
      </c>
      <c r="N368" s="726">
        <f>E368+(GlobalWarmingPotentials!$B$11*H368)+(GlobalWarmingPotentials!$C$11*K368)</f>
        <v>0</v>
      </c>
      <c r="O368" s="25">
        <f t="shared" ref="O368:O369" si="97">(N368/N$383)*100</f>
        <v>0</v>
      </c>
      <c r="P368" s="744">
        <f>SQRT((G368^2)+((GlobalWarmingPotentials!$B$11*J368)^2)+((GlobalWarmingPotentials!$C$11*M368)^2))</f>
        <v>0</v>
      </c>
      <c r="Q368" s="30"/>
    </row>
    <row r="369" spans="1:17" x14ac:dyDescent="0.25">
      <c r="A369" s="14" t="str">
        <f>ShipTransport!A13</f>
        <v xml:space="preserve"> - Ship Maintenance</v>
      </c>
      <c r="B369" s="726">
        <f>(Unitflowchart!$S$362/Unitflowchart!$S$383)*ShipTransport!J13*Unitflowchart!$S$377</f>
        <v>0</v>
      </c>
      <c r="C369" s="25">
        <f t="shared" si="93"/>
        <v>0</v>
      </c>
      <c r="D369" s="744">
        <f>(Unitflowchart!$S$362/Unitflowchart!$S$383)*ShipTransport!K13*Unitflowchart!$S$377</f>
        <v>0</v>
      </c>
      <c r="E369" s="726">
        <f>(Unitflowchart!$S$362/Unitflowchart!$S$383)*ShipTransport!P13*Unitflowchart!$S$377</f>
        <v>0</v>
      </c>
      <c r="F369" s="25">
        <f t="shared" si="94"/>
        <v>0</v>
      </c>
      <c r="G369" s="744">
        <f>(Unitflowchart!$S$362/Unitflowchart!$S$383)*ShipTransport!Q13*Unitflowchart!$S$377</f>
        <v>0</v>
      </c>
      <c r="H369" s="723">
        <f>(Unitflowchart!$S$362/Unitflowchart!$S$383)*ShipTransport!V13*Unitflowchart!$S$377</f>
        <v>0</v>
      </c>
      <c r="I369" s="25">
        <f t="shared" si="95"/>
        <v>0</v>
      </c>
      <c r="J369" s="725">
        <f>(Unitflowchart!$S$362/Unitflowchart!$S$383)*ShipTransport!W13*Unitflowchart!$S$377</f>
        <v>0</v>
      </c>
      <c r="K369" s="723">
        <f>(Unitflowchart!$S$362/Unitflowchart!$S$383)*ShipTransport!AB13*Unitflowchart!$S$377</f>
        <v>0</v>
      </c>
      <c r="L369" s="25">
        <f t="shared" si="96"/>
        <v>0</v>
      </c>
      <c r="M369" s="725">
        <f>(Unitflowchart!$S$362/Unitflowchart!$S$383)*ShipTransport!AC13*Unitflowchart!$S$377</f>
        <v>0</v>
      </c>
      <c r="N369" s="726">
        <f>E369+(GlobalWarmingPotentials!$B$11*H369)+(GlobalWarmingPotentials!$C$11*K369)</f>
        <v>0</v>
      </c>
      <c r="O369" s="25">
        <f t="shared" si="97"/>
        <v>0</v>
      </c>
      <c r="P369" s="744">
        <f>SQRT((G369^2)+((GlobalWarmingPotentials!$B$11*J369)^2)+((GlobalWarmingPotentials!$C$11*M369)^2))</f>
        <v>0</v>
      </c>
      <c r="Q369" s="30"/>
    </row>
    <row r="370" spans="1:17" x14ac:dyDescent="0.25">
      <c r="B370" s="728"/>
      <c r="C370" s="25"/>
      <c r="D370" s="735"/>
      <c r="E370" s="728"/>
      <c r="F370" s="25"/>
      <c r="G370" s="735"/>
      <c r="H370" s="31"/>
      <c r="I370" s="25"/>
      <c r="J370" s="724"/>
      <c r="K370" s="31"/>
      <c r="L370" s="25"/>
      <c r="M370" s="724"/>
      <c r="N370" s="728"/>
      <c r="O370" s="25"/>
      <c r="P370" s="735"/>
      <c r="Q370" s="30"/>
    </row>
    <row r="371" spans="1:17" x14ac:dyDescent="0.25">
      <c r="A371" s="218" t="s">
        <v>931</v>
      </c>
      <c r="B371" s="734">
        <f>(Unitflowchart!$S$362/Unitflowchart!$S$383)*ShipTransport!J15*Unitflowchart!$S$377</f>
        <v>0</v>
      </c>
      <c r="C371" s="721">
        <f>(B371/B$383)*100</f>
        <v>0</v>
      </c>
      <c r="D371" s="745">
        <f>(Unitflowchart!$S$362/Unitflowchart!$S$383)*ShipTransport!K15*Unitflowchart!$S$377</f>
        <v>0</v>
      </c>
      <c r="E371" s="734">
        <f>(Unitflowchart!$S$362/Unitflowchart!$S$383)*ShipTransport!P15*Unitflowchart!$S$377</f>
        <v>0</v>
      </c>
      <c r="F371" s="721">
        <f>(E371/E$383)*100</f>
        <v>0</v>
      </c>
      <c r="G371" s="745">
        <f>(Unitflowchart!$S$362/Unitflowchart!$S$383)*ShipTransport!Q15*Unitflowchart!$S$377</f>
        <v>0</v>
      </c>
      <c r="H371" s="722">
        <f>(Unitflowchart!$S$362/Unitflowchart!$S$383)*ShipTransport!V15*Unitflowchart!$S$377</f>
        <v>0</v>
      </c>
      <c r="I371" s="721">
        <f>(H371/H$383)*100</f>
        <v>0</v>
      </c>
      <c r="J371" s="720">
        <f>(Unitflowchart!$S$362/Unitflowchart!$S$383)*ShipTransport!W15*Unitflowchart!$S$377</f>
        <v>0</v>
      </c>
      <c r="K371" s="722">
        <f>(Unitflowchart!$S$362/Unitflowchart!$S$383)*ShipTransport!AB15*Unitflowchart!$S$377</f>
        <v>0</v>
      </c>
      <c r="L371" s="721">
        <f>(K371/K$383)*100</f>
        <v>0</v>
      </c>
      <c r="M371" s="720">
        <f>(Unitflowchart!$S$362/Unitflowchart!$S$383)*ShipTransport!AC15*Unitflowchart!$S$377</f>
        <v>0</v>
      </c>
      <c r="N371" s="734">
        <f>E371+(GlobalWarmingPotentials!$B$11*H371)+(GlobalWarmingPotentials!$C$11*K371)</f>
        <v>0</v>
      </c>
      <c r="O371" s="721">
        <f>(N371/N$383)*100</f>
        <v>0</v>
      </c>
      <c r="P371" s="743">
        <f>SQRT((G371^2)+((GlobalWarmingPotentials!$B$11*J371)^2)+((GlobalWarmingPotentials!$C$11*M371)^2))</f>
        <v>0</v>
      </c>
      <c r="Q371" s="30"/>
    </row>
    <row r="372" spans="1:17" x14ac:dyDescent="0.25">
      <c r="A372" s="23"/>
      <c r="B372" s="728"/>
      <c r="D372" s="735"/>
      <c r="E372" s="728"/>
      <c r="G372" s="735"/>
      <c r="H372" s="31"/>
      <c r="J372" s="724"/>
      <c r="K372" s="31"/>
      <c r="M372" s="724"/>
      <c r="N372" s="728"/>
      <c r="P372" s="735"/>
      <c r="Q372" s="30"/>
    </row>
    <row r="373" spans="1:17" x14ac:dyDescent="0.25">
      <c r="A373" s="218" t="s">
        <v>920</v>
      </c>
      <c r="B373" s="734">
        <f>B347+B355+B363+B371</f>
        <v>0</v>
      </c>
      <c r="C373" s="721">
        <f>(B373/B$383)*100</f>
        <v>0</v>
      </c>
      <c r="D373" s="745">
        <f>SQRT((D347^2)+(D355^2)+(D363^2)+(D371^2))</f>
        <v>0</v>
      </c>
      <c r="E373" s="734">
        <f t="shared" ref="E373" si="98">E347+E355+E363+E371</f>
        <v>0</v>
      </c>
      <c r="F373" s="721">
        <f t="shared" ref="F373" si="99">(E373/E$383)*100</f>
        <v>0</v>
      </c>
      <c r="G373" s="745">
        <f t="shared" ref="G373" si="100">SQRT((G347^2)+(G355^2)+(G363^2)+(G371^2))</f>
        <v>0</v>
      </c>
      <c r="H373" s="722">
        <f t="shared" ref="H373" si="101">H347+H355+H363+H371</f>
        <v>0</v>
      </c>
      <c r="I373" s="721">
        <f t="shared" ref="I373" si="102">(H373/H$383)*100</f>
        <v>0</v>
      </c>
      <c r="J373" s="720">
        <f t="shared" ref="J373" si="103">SQRT((J347^2)+(J355^2)+(J363^2)+(J371^2))</f>
        <v>0</v>
      </c>
      <c r="K373" s="722">
        <f t="shared" ref="K373" si="104">K347+K355+K363+K371</f>
        <v>0</v>
      </c>
      <c r="L373" s="721">
        <f t="shared" ref="L373" si="105">(K373/K$383)*100</f>
        <v>0</v>
      </c>
      <c r="M373" s="720">
        <f t="shared" ref="M373" si="106">SQRT((M347^2)+(M355^2)+(M363^2)+(M371^2))</f>
        <v>0</v>
      </c>
      <c r="N373" s="734">
        <f t="shared" ref="N373" si="107">N347+N355+N363+N371</f>
        <v>0</v>
      </c>
      <c r="O373" s="721">
        <f t="shared" ref="O373" si="108">(N373/N$383)*100</f>
        <v>0</v>
      </c>
      <c r="P373" s="743">
        <f t="shared" ref="P373" si="109">SQRT((P347^2)+(P355^2)+(P363^2)+(P371^2))</f>
        <v>0</v>
      </c>
      <c r="Q373" s="30"/>
    </row>
    <row r="374" spans="1:17" x14ac:dyDescent="0.25">
      <c r="B374" s="728"/>
      <c r="D374" s="735"/>
      <c r="E374" s="728"/>
      <c r="G374" s="735"/>
      <c r="H374" s="31"/>
      <c r="J374" s="724"/>
      <c r="K374" s="31"/>
      <c r="M374" s="724"/>
      <c r="N374" s="728"/>
      <c r="P374" s="735"/>
      <c r="Q374" s="30"/>
    </row>
    <row r="375" spans="1:17" x14ac:dyDescent="0.25">
      <c r="A375" s="387" t="s">
        <v>878</v>
      </c>
      <c r="B375" s="728"/>
      <c r="D375" s="735"/>
      <c r="E375" s="728"/>
      <c r="G375" s="735"/>
      <c r="H375" s="31"/>
      <c r="J375" s="724"/>
      <c r="K375" s="31"/>
      <c r="M375" s="724"/>
      <c r="N375" s="728"/>
      <c r="P375" s="735"/>
      <c r="Q375" s="30"/>
    </row>
    <row r="376" spans="1:17" x14ac:dyDescent="0.25">
      <c r="B376" s="728"/>
      <c r="D376" s="735"/>
      <c r="E376" s="728"/>
      <c r="G376" s="735"/>
      <c r="H376" s="31"/>
      <c r="J376" s="724"/>
      <c r="K376" s="31"/>
      <c r="M376" s="724"/>
      <c r="N376" s="728"/>
      <c r="P376" s="735"/>
      <c r="Q376" s="30"/>
    </row>
    <row r="377" spans="1:17" x14ac:dyDescent="0.25">
      <c r="A377" t="str">
        <f>Biorefinery!A16</f>
        <v xml:space="preserve"> - Plant Construction</v>
      </c>
      <c r="B377" s="732">
        <f>Unitflowchart!$S$312*(AllocationPrice!$H$39/100)/Unitflowchart!$S$383*(Biorefinery!J16)</f>
        <v>0</v>
      </c>
      <c r="C377" s="26">
        <f t="shared" ref="C377:C379" si="110">(B377/B$383)*100</f>
        <v>0</v>
      </c>
      <c r="D377" s="358">
        <f>Unitflowchart!$S$312*(AllocationPrice!$H$39/100)/Unitflowchart!$S$383*(Biorefinery!K16)</f>
        <v>0</v>
      </c>
      <c r="E377" s="732">
        <f>Unitflowchart!$S$312*(AllocationPrice!$H$39/100)/Unitflowchart!$S$383*(Biorefinery!P16)</f>
        <v>0</v>
      </c>
      <c r="F377" s="26">
        <f t="shared" ref="F377:F379" si="111">(E377/E$383)*100</f>
        <v>0</v>
      </c>
      <c r="G377" s="358">
        <f>Unitflowchart!$S$312*(AllocationPrice!$H$39/100)/Unitflowchart!$S$383*(Biorefinery!Q16)</f>
        <v>0</v>
      </c>
      <c r="H377" s="749">
        <f>Unitflowchart!$S$312*(AllocationPrice!$H$39/100)/Unitflowchart!$S$383*(Biorefinery!V16)</f>
        <v>0</v>
      </c>
      <c r="I377" s="26">
        <f t="shared" ref="I377:I379" si="112">(H377/H$383)*100</f>
        <v>0</v>
      </c>
      <c r="J377" s="752">
        <f>Unitflowchart!$S$312*(AllocationPrice!$H$39/100)/Unitflowchart!$S$383*(Biorefinery!W16)</f>
        <v>0</v>
      </c>
      <c r="K377" s="749">
        <f>Unitflowchart!$S$312*(AllocationPrice!$H$39/100)/Unitflowchart!$S$383*(Biorefinery!AB16)</f>
        <v>0</v>
      </c>
      <c r="L377" s="26">
        <f t="shared" ref="L377:L379" si="113">(K377/K$383)*100</f>
        <v>0</v>
      </c>
      <c r="M377" s="752">
        <f>Unitflowchart!$S$312*(AllocationPrice!$H$39/100)/Unitflowchart!$S$383*(Biorefinery!AC16)</f>
        <v>0</v>
      </c>
      <c r="N377" s="727">
        <f>E377+(GlobalWarmingPotentials!$B$11*H377)+(GlobalWarmingPotentials!$C$11*K377)</f>
        <v>0</v>
      </c>
      <c r="O377" s="26">
        <f t="shared" ref="O377:O379" si="114">(N377/N$383)*100</f>
        <v>0</v>
      </c>
      <c r="P377" s="760">
        <f>SQRT((G377^2)+((GlobalWarmingPotentials!$B$11*J377)^2)+((GlobalWarmingPotentials!$C$11*M377)^2))</f>
        <v>0</v>
      </c>
      <c r="Q377" s="30"/>
    </row>
    <row r="378" spans="1:17" x14ac:dyDescent="0.25">
      <c r="A378" t="str">
        <f>Biorefinery!A17</f>
        <v xml:space="preserve"> - Plant Maintenance</v>
      </c>
      <c r="B378" s="732">
        <f>Unitflowchart!$S$312*(AllocationPrice!$H$39/100)/Unitflowchart!$S$383*(Biorefinery!J17)</f>
        <v>0</v>
      </c>
      <c r="C378" s="26">
        <f t="shared" si="110"/>
        <v>0</v>
      </c>
      <c r="D378" s="358">
        <f>Unitflowchart!$S$312*(AllocationPrice!$H$39/100)/Unitflowchart!$S$383*(Biorefinery!K17)</f>
        <v>0</v>
      </c>
      <c r="E378" s="732">
        <f>Unitflowchart!$S$312*(AllocationPrice!$H$39/100)/Unitflowchart!$S$383*(Biorefinery!P17)</f>
        <v>0</v>
      </c>
      <c r="F378" s="26">
        <f t="shared" si="111"/>
        <v>0</v>
      </c>
      <c r="G378" s="358">
        <f>Unitflowchart!$S$312*(AllocationPrice!$H$39/100)/Unitflowchart!$S$383*(Biorefinery!Q17)</f>
        <v>0</v>
      </c>
      <c r="H378" s="749">
        <f>Unitflowchart!$S$312*(AllocationPrice!$H$39/100)/Unitflowchart!$S$383*(Biorefinery!V17)</f>
        <v>0</v>
      </c>
      <c r="I378" s="26">
        <f t="shared" si="112"/>
        <v>0</v>
      </c>
      <c r="J378" s="752">
        <f>Unitflowchart!$S$312*(AllocationPrice!$H$39/100)/Unitflowchart!$S$383*(Biorefinery!W17)</f>
        <v>0</v>
      </c>
      <c r="K378" s="749">
        <f>Unitflowchart!$S$312*(AllocationPrice!$H$39/100)/Unitflowchart!$S$383*(Biorefinery!AB17)</f>
        <v>0</v>
      </c>
      <c r="L378" s="26">
        <f t="shared" si="113"/>
        <v>0</v>
      </c>
      <c r="M378" s="752">
        <f>Unitflowchart!$S$312*(AllocationPrice!$H$39/100)/Unitflowchart!$S$383*(Biorefinery!AC17)</f>
        <v>0</v>
      </c>
      <c r="N378" s="727">
        <f>E378+(GlobalWarmingPotentials!$B$11*H378)+(GlobalWarmingPotentials!$C$11*K378)</f>
        <v>0</v>
      </c>
      <c r="O378" s="26">
        <f t="shared" si="114"/>
        <v>0</v>
      </c>
      <c r="P378" s="760">
        <f>SQRT((G378^2)+((GlobalWarmingPotentials!$B$11*J378)^2)+((GlobalWarmingPotentials!$C$11*M378)^2))</f>
        <v>0</v>
      </c>
      <c r="Q378" s="30"/>
    </row>
    <row r="379" spans="1:17" x14ac:dyDescent="0.25">
      <c r="A379" t="str">
        <f>Biorefinery!A18</f>
        <v xml:space="preserve"> - Plant Decommissioning</v>
      </c>
      <c r="B379" s="732">
        <f>Unitflowchart!$S$312*(AllocationPrice!$H$39/100)/Unitflowchart!$S$383*(Biorefinery!J18)</f>
        <v>0</v>
      </c>
      <c r="C379" s="26">
        <f t="shared" si="110"/>
        <v>0</v>
      </c>
      <c r="D379" s="358">
        <f>Unitflowchart!$S$312*(AllocationPrice!$H$39/100)/Unitflowchart!$S$383*(Biorefinery!K18)</f>
        <v>0</v>
      </c>
      <c r="E379" s="732">
        <f>Unitflowchart!$S$312*(AllocationPrice!$H$39/100)/Unitflowchart!$S$383*(Biorefinery!P18)</f>
        <v>0</v>
      </c>
      <c r="F379" s="26">
        <f t="shared" si="111"/>
        <v>0</v>
      </c>
      <c r="G379" s="358">
        <f>Unitflowchart!$S$312*(AllocationPrice!$H$39/100)/Unitflowchart!$S$383*(Biorefinery!Q18)</f>
        <v>0</v>
      </c>
      <c r="H379" s="749">
        <f>Unitflowchart!$S$312*(AllocationPrice!$H$39/100)/Unitflowchart!$S$383*(Biorefinery!V18)</f>
        <v>0</v>
      </c>
      <c r="I379" s="26">
        <f t="shared" si="112"/>
        <v>0</v>
      </c>
      <c r="J379" s="752">
        <f>Unitflowchart!$S$312*(AllocationPrice!$H$39/100)/Unitflowchart!$S$383*(Biorefinery!W18)</f>
        <v>0</v>
      </c>
      <c r="K379" s="749">
        <f>Unitflowchart!$S$312*(AllocationPrice!$H$39/100)/Unitflowchart!$S$383*(Biorefinery!AB18)</f>
        <v>0</v>
      </c>
      <c r="L379" s="26">
        <f t="shared" si="113"/>
        <v>0</v>
      </c>
      <c r="M379" s="752">
        <f>Unitflowchart!$S$312*(AllocationPrice!$H$39/100)/Unitflowchart!$S$383*(Biorefinery!AC18)</f>
        <v>0</v>
      </c>
      <c r="N379" s="727">
        <f>E379+(GlobalWarmingPotentials!$B$11*H379)+(GlobalWarmingPotentials!$C$11*K379)</f>
        <v>0</v>
      </c>
      <c r="O379" s="26">
        <f t="shared" si="114"/>
        <v>0</v>
      </c>
      <c r="P379" s="760">
        <f>SQRT((G379^2)+((GlobalWarmingPotentials!$B$11*J379)^2)+((GlobalWarmingPotentials!$C$11*M379)^2))</f>
        <v>0</v>
      </c>
      <c r="Q379" s="30"/>
    </row>
    <row r="380" spans="1:17" x14ac:dyDescent="0.25">
      <c r="B380" s="728"/>
      <c r="C380" s="156"/>
      <c r="D380" s="735"/>
      <c r="E380" s="728"/>
      <c r="F380" s="156"/>
      <c r="G380" s="735"/>
      <c r="H380" s="31"/>
      <c r="I380" s="156"/>
      <c r="J380" s="724"/>
      <c r="K380" s="31"/>
      <c r="L380" s="156"/>
      <c r="M380" s="724"/>
      <c r="N380" s="728"/>
      <c r="O380" s="156"/>
      <c r="P380" s="735"/>
      <c r="Q380" s="30"/>
    </row>
    <row r="381" spans="1:17" x14ac:dyDescent="0.25">
      <c r="A381" s="218" t="s">
        <v>916</v>
      </c>
      <c r="B381" s="730">
        <f>Unitflowchart!$S$312*(AllocationPrice!$H$39/100)/Unitflowchart!$S$383*(Biorefinery!J20)</f>
        <v>0</v>
      </c>
      <c r="C381" s="15">
        <f>(B381/B$383)*100</f>
        <v>0</v>
      </c>
      <c r="D381" s="740">
        <f>Unitflowchart!$S$312*(AllocationPrice!$H$39/100)/Unitflowchart!$S$383*(Biorefinery!K20)</f>
        <v>0</v>
      </c>
      <c r="E381" s="730">
        <f>Unitflowchart!$S$312*(AllocationPrice!$H$39/100)/Unitflowchart!$S$383*(Biorefinery!P20)</f>
        <v>0</v>
      </c>
      <c r="F381" s="15">
        <f>(E381/E$383)*100</f>
        <v>0</v>
      </c>
      <c r="G381" s="740">
        <f>Unitflowchart!$S$312*(AllocationPrice!$H$39/100)/Unitflowchart!$S$383*(Biorefinery!Q20)</f>
        <v>0</v>
      </c>
      <c r="H381" s="215">
        <f>Unitflowchart!$S$312*(AllocationPrice!$H$39/100)/Unitflowchart!$S$383*(Biorefinery!V20)</f>
        <v>0</v>
      </c>
      <c r="I381" s="15">
        <f>(H381/H$383)*100</f>
        <v>0</v>
      </c>
      <c r="J381" s="747">
        <f>Unitflowchart!$S$312*(AllocationPrice!$H$39/100)/Unitflowchart!$S$383*(Biorefinery!W20)</f>
        <v>0</v>
      </c>
      <c r="K381" s="215">
        <f>Unitflowchart!$S$312*(AllocationPrice!$H$39/100)/Unitflowchart!$S$383*(Biorefinery!AB20)</f>
        <v>0</v>
      </c>
      <c r="L381" s="15">
        <f>(K381/K$383)*100</f>
        <v>0</v>
      </c>
      <c r="M381" s="216">
        <f>Unitflowchart!$S$312*(AllocationPrice!$H$39/100)/Unitflowchart!$S$383*(Biorefinery!AC20)</f>
        <v>0</v>
      </c>
      <c r="N381" s="730">
        <f>E381+(GlobalWarmingPotentials!$B$11*H381)+(GlobalWarmingPotentials!$C$11*K381)</f>
        <v>0</v>
      </c>
      <c r="O381" s="15">
        <f>(N381/N$383)*100</f>
        <v>0</v>
      </c>
      <c r="P381" s="761">
        <f>SQRT((G381^2)+((GlobalWarmingPotentials!$B$11*J381)^2)+((GlobalWarmingPotentials!$C$11*M381)^2))</f>
        <v>0</v>
      </c>
      <c r="Q381" s="30"/>
    </row>
    <row r="382" spans="1:17" x14ac:dyDescent="0.25">
      <c r="B382" s="728"/>
      <c r="D382" s="735"/>
      <c r="E382" s="728"/>
      <c r="G382" s="735"/>
      <c r="H382" s="31"/>
      <c r="J382" s="724"/>
      <c r="K382" s="750"/>
      <c r="M382" s="754"/>
      <c r="N382" s="735"/>
      <c r="P382" s="735"/>
      <c r="Q382" s="30"/>
    </row>
    <row r="383" spans="1:17" x14ac:dyDescent="0.25">
      <c r="A383" s="218" t="s">
        <v>424</v>
      </c>
      <c r="B383" s="734">
        <f>B113+B140+B174+B208+B214+B238+B245+B252+B265+B231+B259+B271+B305+B339+B373+B381</f>
        <v>12944.38190434738</v>
      </c>
      <c r="C383" s="15">
        <f>(B383/B$383)*100</f>
        <v>100</v>
      </c>
      <c r="D383" s="745">
        <f>SQRT((D113^2)+(D140^2)+(D174^2)+(D208^2)+(D214^2)+(D238^2)+(D245^2)+(D252^2)+(D265^2)+(D231^2)+(D259^2)+(D271^2)+(D305^2)+(D339^2)+(D373^2)+(D381^2))</f>
        <v>827.39839929050697</v>
      </c>
      <c r="E383" s="734">
        <f t="shared" ref="E383" si="115">E113+E140+E174+E208+E214+E238+E245+E252+E265+E231+E259+E271+E305+E339+E373+E381</f>
        <v>804.38165017298661</v>
      </c>
      <c r="F383" s="15">
        <f t="shared" ref="F383" si="116">(E383/E$383)*100</f>
        <v>100</v>
      </c>
      <c r="G383" s="745">
        <f t="shared" ref="G383" si="117">SQRT((G113^2)+(G140^2)+(G174^2)+(G208^2)+(G214^2)+(G238^2)+(G245^2)+(G252^2)+(G265^2)+(G231^2)+(G259^2)+(G271^2)+(G305^2)+(G339^2)+(G373^2)+(G381^2))</f>
        <v>51.560977474000268</v>
      </c>
      <c r="H383" s="722">
        <f t="shared" ref="H383" si="118">H113+H140+H174+H208+H214+H238+H245+H252+H265+H231+H259+H271+H305+H339+H373+H381</f>
        <v>0.99968242560752163</v>
      </c>
      <c r="I383" s="15">
        <f t="shared" ref="I383" si="119">(H383/H$383)*100</f>
        <v>100</v>
      </c>
      <c r="J383" s="720">
        <f t="shared" ref="J383" si="120">SQRT((J113^2)+(J140^2)+(J174^2)+(J208^2)+(J214^2)+(J238^2)+(J245^2)+(J252^2)+(J265^2)+(J231^2)+(J259^2)+(J271^2)+(J305^2)+(J339^2)+(J373^2)+(J381^2))</f>
        <v>8.2467606777242131E-2</v>
      </c>
      <c r="K383" s="722">
        <f t="shared" ref="K383" si="121">K113+K140+K174+K208+K214+K238+K245+K252+K265+K231+K259+K271+K305+K339+K373+K381</f>
        <v>0.21600101377863684</v>
      </c>
      <c r="L383" s="15">
        <f t="shared" ref="L383" si="122">(K383/K$383)*100</f>
        <v>100</v>
      </c>
      <c r="M383" s="720">
        <f t="shared" ref="M383" si="123">SQRT((M113^2)+(M140^2)+(M174^2)+(M208^2)+(M214^2)+(M238^2)+(M245^2)+(M252^2)+(M265^2)+(M231^2)+(M259^2)+(M271^2)+(M305^2)+(M339^2)+(M373^2)+(M381^2))</f>
        <v>8.6893338480532965E-4</v>
      </c>
      <c r="N383" s="734">
        <f t="shared" ref="N383" si="124">N113+N140+N174+N208+N214+N238+N245+N252+N265+N231+N259+N271+N305+N339+N373+N381</f>
        <v>891.31064604043615</v>
      </c>
      <c r="O383" s="15">
        <f t="shared" ref="O383" si="125">(N383/N$383)*100</f>
        <v>100</v>
      </c>
      <c r="P383" s="745">
        <f t="shared" ref="P383" si="126">SQRT((P113^2)+(P140^2)+(P174^2)+(P208^2)+(P214^2)+(P238^2)+(P245^2)+(P252^2)+(P265^2)+(P231^2)+(P259^2)+(P271^2)+(P305^2)+(P339^2)+(P373^2)+(P381^2))</f>
        <v>51.596494371998119</v>
      </c>
      <c r="Q383" s="30"/>
    </row>
    <row r="384" spans="1:17" x14ac:dyDescent="0.25">
      <c r="A384" s="354"/>
      <c r="B384" s="354"/>
      <c r="D384" s="354"/>
      <c r="E384" s="354"/>
      <c r="G384" s="354"/>
      <c r="H384" s="354"/>
      <c r="J384" s="354"/>
      <c r="K384" s="354"/>
      <c r="M384" s="354"/>
      <c r="N384" s="354"/>
      <c r="P384" s="354"/>
      <c r="Q384" s="24"/>
    </row>
    <row r="385" spans="2:16" x14ac:dyDescent="0.25">
      <c r="B385" s="24"/>
      <c r="E385" s="24"/>
      <c r="G385" s="24"/>
      <c r="H385" s="24"/>
      <c r="J385" s="24"/>
      <c r="K385" s="24"/>
      <c r="M385" s="24"/>
      <c r="N385" s="24"/>
      <c r="P385" s="24"/>
    </row>
    <row r="386" spans="2:16" x14ac:dyDescent="0.25">
      <c r="B386" s="24"/>
      <c r="E386" s="24"/>
      <c r="G386" s="24"/>
      <c r="H386" s="24"/>
      <c r="J386" s="24"/>
      <c r="K386" s="24"/>
      <c r="M386" s="24"/>
      <c r="N386" s="24"/>
      <c r="P386" s="24"/>
    </row>
    <row r="387" spans="2:16" x14ac:dyDescent="0.25">
      <c r="B387" s="24"/>
      <c r="E387" s="24"/>
      <c r="G387" s="24"/>
      <c r="H387" s="24"/>
      <c r="J387" s="24"/>
      <c r="K387" s="24"/>
      <c r="M387" s="24"/>
      <c r="N387" s="24"/>
      <c r="P387" s="24"/>
    </row>
    <row r="388" spans="2:16" x14ac:dyDescent="0.25">
      <c r="B388" s="24"/>
      <c r="E388" s="24"/>
      <c r="G388" s="24"/>
      <c r="H388" s="24"/>
      <c r="J388" s="24"/>
      <c r="K388" s="24"/>
      <c r="M388" s="24"/>
      <c r="N388" s="24"/>
      <c r="P388" s="24"/>
    </row>
    <row r="389" spans="2:16" x14ac:dyDescent="0.25">
      <c r="B389" s="24"/>
      <c r="E389" s="24"/>
      <c r="G389" s="24"/>
      <c r="H389" s="24"/>
      <c r="J389" s="24"/>
      <c r="K389" s="24"/>
      <c r="M389" s="24"/>
      <c r="N389" s="24"/>
      <c r="P389" s="24"/>
    </row>
    <row r="390" spans="2:16" x14ac:dyDescent="0.25">
      <c r="B390" s="24"/>
      <c r="E390" s="24"/>
      <c r="G390" s="24"/>
      <c r="H390" s="24"/>
      <c r="J390" s="24"/>
      <c r="K390" s="24"/>
      <c r="M390" s="24"/>
      <c r="N390" s="24"/>
      <c r="P390" s="24"/>
    </row>
    <row r="391" spans="2:16" x14ac:dyDescent="0.25">
      <c r="B391" s="24"/>
      <c r="E391" s="24"/>
      <c r="G391" s="24"/>
      <c r="H391" s="24"/>
      <c r="J391" s="24"/>
      <c r="K391" s="24"/>
      <c r="M391" s="24"/>
      <c r="N391" s="24"/>
      <c r="P391" s="24"/>
    </row>
    <row r="392" spans="2:16" x14ac:dyDescent="0.25">
      <c r="B392" s="24"/>
      <c r="E392" s="24"/>
      <c r="G392" s="24"/>
      <c r="H392" s="24"/>
      <c r="J392" s="24"/>
      <c r="K392" s="24"/>
      <c r="M392" s="24"/>
      <c r="N392" s="24"/>
      <c r="P392" s="24"/>
    </row>
    <row r="393" spans="2:16" x14ac:dyDescent="0.25">
      <c r="B393" s="24"/>
      <c r="E393" s="24"/>
      <c r="G393" s="24"/>
      <c r="H393" s="24"/>
      <c r="J393" s="24"/>
      <c r="K393" s="24"/>
      <c r="M393" s="24"/>
      <c r="N393" s="24"/>
      <c r="P393" s="24"/>
    </row>
    <row r="394" spans="2:16" x14ac:dyDescent="0.25">
      <c r="B394" s="24"/>
      <c r="E394" s="24"/>
      <c r="G394" s="24"/>
      <c r="H394" s="24"/>
      <c r="J394" s="24"/>
      <c r="K394" s="24"/>
      <c r="M394" s="24"/>
      <c r="N394" s="24"/>
      <c r="P394" s="24"/>
    </row>
    <row r="395" spans="2:16" x14ac:dyDescent="0.25">
      <c r="B395" s="24"/>
      <c r="E395" s="24"/>
      <c r="G395" s="24"/>
      <c r="H395" s="24"/>
      <c r="J395" s="24"/>
      <c r="K395" s="24"/>
      <c r="M395" s="24"/>
      <c r="N395" s="24"/>
      <c r="P395" s="24"/>
    </row>
    <row r="396" spans="2:16" x14ac:dyDescent="0.25">
      <c r="B396" s="24"/>
      <c r="E396" s="24"/>
      <c r="G396" s="24"/>
      <c r="H396" s="24"/>
      <c r="J396" s="24"/>
      <c r="K396" s="24"/>
      <c r="M396" s="24"/>
      <c r="N396" s="24"/>
      <c r="P396" s="24"/>
    </row>
    <row r="397" spans="2:16" x14ac:dyDescent="0.25">
      <c r="B397" s="24"/>
      <c r="E397" s="24"/>
      <c r="G397" s="24"/>
      <c r="H397" s="24"/>
      <c r="J397" s="24"/>
      <c r="K397" s="24"/>
      <c r="M397" s="24"/>
      <c r="N397" s="24"/>
      <c r="P397" s="24"/>
    </row>
    <row r="398" spans="2:16" x14ac:dyDescent="0.25">
      <c r="B398" s="24"/>
      <c r="E398" s="24"/>
      <c r="G398" s="24"/>
      <c r="H398" s="24"/>
      <c r="J398" s="24"/>
      <c r="K398" s="24"/>
      <c r="M398" s="24"/>
      <c r="N398" s="24"/>
      <c r="P398" s="24"/>
    </row>
    <row r="399" spans="2:16" x14ac:dyDescent="0.25">
      <c r="B399" s="24"/>
      <c r="E399" s="24"/>
      <c r="G399" s="24"/>
      <c r="H399" s="24"/>
      <c r="J399" s="24"/>
      <c r="K399" s="24"/>
      <c r="M399" s="24"/>
      <c r="N399" s="24"/>
      <c r="P399" s="24"/>
    </row>
    <row r="400" spans="2:16" x14ac:dyDescent="0.25">
      <c r="B400" s="24"/>
      <c r="E400" s="24"/>
      <c r="G400" s="24"/>
      <c r="H400" s="24"/>
      <c r="J400" s="24"/>
      <c r="K400" s="24"/>
      <c r="M400" s="24"/>
      <c r="N400" s="24"/>
      <c r="P400" s="24"/>
    </row>
    <row r="401" spans="2:16" x14ac:dyDescent="0.25">
      <c r="B401" s="24"/>
      <c r="E401" s="24"/>
      <c r="G401" s="24"/>
      <c r="H401" s="24"/>
      <c r="J401" s="24"/>
      <c r="K401" s="24"/>
      <c r="M401" s="24"/>
      <c r="N401" s="24"/>
      <c r="P401" s="24"/>
    </row>
    <row r="402" spans="2:16" x14ac:dyDescent="0.25">
      <c r="B402" s="24"/>
      <c r="E402" s="24"/>
      <c r="G402" s="24"/>
      <c r="H402" s="24"/>
      <c r="J402" s="24"/>
      <c r="K402" s="24"/>
      <c r="M402" s="24"/>
      <c r="N402" s="24"/>
      <c r="P402" s="24"/>
    </row>
    <row r="403" spans="2:16" x14ac:dyDescent="0.25">
      <c r="B403" s="24"/>
      <c r="E403" s="24"/>
      <c r="G403" s="24"/>
      <c r="H403" s="24"/>
      <c r="J403" s="24"/>
      <c r="K403" s="24"/>
      <c r="M403" s="24"/>
      <c r="N403" s="24"/>
      <c r="P403" s="24"/>
    </row>
    <row r="404" spans="2:16" x14ac:dyDescent="0.25">
      <c r="B404" s="24"/>
      <c r="E404" s="24"/>
      <c r="G404" s="24"/>
      <c r="H404" s="24"/>
      <c r="J404" s="24"/>
      <c r="K404" s="24"/>
      <c r="M404" s="24"/>
      <c r="N404" s="24"/>
      <c r="P404" s="24"/>
    </row>
    <row r="405" spans="2:16" x14ac:dyDescent="0.25">
      <c r="B405" s="24"/>
      <c r="E405" s="24"/>
      <c r="G405" s="24"/>
      <c r="H405" s="24"/>
      <c r="J405" s="24"/>
      <c r="K405" s="24"/>
      <c r="M405" s="24"/>
      <c r="N405" s="24"/>
      <c r="P405" s="24"/>
    </row>
    <row r="406" spans="2:16" x14ac:dyDescent="0.25">
      <c r="B406" s="24"/>
      <c r="E406" s="24"/>
      <c r="G406" s="24"/>
      <c r="H406" s="24"/>
      <c r="J406" s="24"/>
      <c r="K406" s="24"/>
      <c r="M406" s="24"/>
      <c r="N406" s="24"/>
      <c r="P406" s="24"/>
    </row>
    <row r="407" spans="2:16" x14ac:dyDescent="0.25">
      <c r="B407" s="24"/>
      <c r="E407" s="24"/>
      <c r="G407" s="24"/>
      <c r="H407" s="24"/>
      <c r="J407" s="24"/>
      <c r="K407" s="24"/>
      <c r="M407" s="24"/>
      <c r="N407" s="24"/>
      <c r="P407" s="24"/>
    </row>
    <row r="408" spans="2:16" x14ac:dyDescent="0.25">
      <c r="B408" s="24"/>
      <c r="E408" s="24"/>
      <c r="G408" s="24"/>
      <c r="H408" s="24"/>
      <c r="J408" s="24"/>
      <c r="K408" s="24"/>
      <c r="M408" s="24"/>
      <c r="N408" s="24"/>
      <c r="P408" s="24"/>
    </row>
    <row r="409" spans="2:16" x14ac:dyDescent="0.25">
      <c r="B409" s="24"/>
      <c r="E409" s="24"/>
      <c r="G409" s="24"/>
      <c r="H409" s="24"/>
      <c r="J409" s="24"/>
      <c r="K409" s="24"/>
      <c r="M409" s="24"/>
      <c r="N409" s="24"/>
      <c r="P409" s="24"/>
    </row>
    <row r="410" spans="2:16" x14ac:dyDescent="0.25">
      <c r="B410" s="24"/>
      <c r="E410" s="24"/>
      <c r="G410" s="24"/>
      <c r="H410" s="24"/>
      <c r="J410" s="24"/>
      <c r="K410" s="24"/>
      <c r="M410" s="24"/>
      <c r="N410" s="24"/>
      <c r="P410" s="24"/>
    </row>
    <row r="411" spans="2:16" x14ac:dyDescent="0.25">
      <c r="B411" s="24"/>
      <c r="E411" s="24"/>
      <c r="G411" s="24"/>
      <c r="H411" s="24"/>
      <c r="J411" s="24"/>
      <c r="K411" s="24"/>
      <c r="M411" s="24"/>
      <c r="N411" s="24"/>
      <c r="P411" s="24"/>
    </row>
    <row r="412" spans="2:16" x14ac:dyDescent="0.25">
      <c r="B412" s="24"/>
      <c r="E412" s="24"/>
      <c r="G412" s="24"/>
      <c r="H412" s="24"/>
      <c r="J412" s="24"/>
      <c r="K412" s="24"/>
      <c r="M412" s="24"/>
      <c r="N412" s="24"/>
      <c r="P412" s="24"/>
    </row>
    <row r="413" spans="2:16" x14ac:dyDescent="0.25">
      <c r="B413" s="24"/>
      <c r="E413" s="24"/>
      <c r="G413" s="24"/>
      <c r="H413" s="24"/>
      <c r="J413" s="24"/>
      <c r="K413" s="24"/>
      <c r="M413" s="24"/>
      <c r="N413" s="24"/>
      <c r="P413" s="24"/>
    </row>
    <row r="414" spans="2:16" x14ac:dyDescent="0.25">
      <c r="B414" s="24"/>
      <c r="E414" s="24"/>
      <c r="G414" s="24"/>
      <c r="H414" s="24"/>
      <c r="J414" s="24"/>
      <c r="K414" s="24"/>
      <c r="M414" s="24"/>
      <c r="N414" s="24"/>
      <c r="P414" s="24"/>
    </row>
    <row r="415" spans="2:16" x14ac:dyDescent="0.25">
      <c r="B415" s="24"/>
      <c r="E415" s="24"/>
      <c r="G415" s="24"/>
      <c r="H415" s="24"/>
      <c r="J415" s="24"/>
      <c r="K415" s="24"/>
      <c r="M415" s="24"/>
      <c r="N415" s="24"/>
      <c r="P415" s="24"/>
    </row>
    <row r="416" spans="2:16" x14ac:dyDescent="0.25">
      <c r="B416" s="24"/>
      <c r="E416" s="24"/>
      <c r="G416" s="24"/>
      <c r="H416" s="24"/>
      <c r="J416" s="24"/>
      <c r="K416" s="24"/>
      <c r="M416" s="24"/>
      <c r="N416" s="24"/>
      <c r="P416" s="24"/>
    </row>
    <row r="417" spans="2:16" x14ac:dyDescent="0.25">
      <c r="B417" s="24"/>
      <c r="E417" s="24"/>
      <c r="G417" s="24"/>
      <c r="H417" s="24"/>
      <c r="J417" s="24"/>
      <c r="K417" s="24"/>
      <c r="M417" s="24"/>
      <c r="N417" s="24"/>
      <c r="P417" s="24"/>
    </row>
    <row r="418" spans="2:16" x14ac:dyDescent="0.25">
      <c r="B418" s="24"/>
      <c r="E418" s="24"/>
      <c r="G418" s="24"/>
      <c r="H418" s="24"/>
      <c r="J418" s="24"/>
      <c r="K418" s="24"/>
      <c r="M418" s="24"/>
      <c r="N418" s="24"/>
      <c r="P418" s="24"/>
    </row>
    <row r="419" spans="2:16" x14ac:dyDescent="0.25">
      <c r="B419" s="24"/>
      <c r="E419" s="24"/>
      <c r="G419" s="24"/>
      <c r="H419" s="24"/>
      <c r="J419" s="24"/>
      <c r="K419" s="24"/>
      <c r="M419" s="24"/>
      <c r="N419" s="24"/>
      <c r="P419" s="24"/>
    </row>
    <row r="420" spans="2:16" x14ac:dyDescent="0.25">
      <c r="B420" s="24"/>
      <c r="E420" s="24"/>
      <c r="G420" s="24"/>
      <c r="H420" s="24"/>
      <c r="J420" s="24"/>
      <c r="K420" s="24"/>
      <c r="M420" s="24"/>
      <c r="N420" s="24"/>
      <c r="P420" s="24"/>
    </row>
    <row r="421" spans="2:16" x14ac:dyDescent="0.25">
      <c r="B421" s="24"/>
      <c r="E421" s="24"/>
      <c r="G421" s="24"/>
      <c r="H421" s="24"/>
      <c r="J421" s="24"/>
      <c r="K421" s="24"/>
      <c r="M421" s="24"/>
      <c r="N421" s="24"/>
      <c r="P421" s="24"/>
    </row>
    <row r="422" spans="2:16" x14ac:dyDescent="0.25">
      <c r="B422" s="24"/>
      <c r="E422" s="24"/>
      <c r="G422" s="24"/>
      <c r="H422" s="24"/>
      <c r="J422" s="24"/>
      <c r="K422" s="24"/>
      <c r="M422" s="24"/>
      <c r="N422" s="24"/>
      <c r="P422" s="24"/>
    </row>
    <row r="423" spans="2:16" x14ac:dyDescent="0.25">
      <c r="B423" s="24"/>
      <c r="E423" s="24"/>
      <c r="G423" s="24"/>
      <c r="H423" s="24"/>
      <c r="J423" s="24"/>
      <c r="K423" s="24"/>
      <c r="M423" s="24"/>
      <c r="N423" s="24"/>
      <c r="P423" s="24"/>
    </row>
    <row r="424" spans="2:16" x14ac:dyDescent="0.25">
      <c r="B424" s="24"/>
      <c r="E424" s="24"/>
      <c r="G424" s="24"/>
      <c r="H424" s="24"/>
      <c r="J424" s="24"/>
      <c r="K424" s="24"/>
      <c r="M424" s="24"/>
      <c r="N424" s="24"/>
      <c r="P424" s="24"/>
    </row>
    <row r="425" spans="2:16" x14ac:dyDescent="0.25">
      <c r="B425" s="24"/>
      <c r="E425" s="24"/>
      <c r="G425" s="24"/>
      <c r="H425" s="24"/>
      <c r="J425" s="24"/>
      <c r="K425" s="24"/>
      <c r="M425" s="24"/>
      <c r="N425" s="24"/>
      <c r="P425" s="24"/>
    </row>
    <row r="426" spans="2:16" x14ac:dyDescent="0.25">
      <c r="B426" s="24"/>
      <c r="E426" s="24"/>
      <c r="G426" s="24"/>
      <c r="H426" s="24"/>
      <c r="J426" s="24"/>
      <c r="K426" s="24"/>
      <c r="M426" s="24"/>
      <c r="N426" s="24"/>
      <c r="P426" s="24"/>
    </row>
    <row r="427" spans="2:16" x14ac:dyDescent="0.25">
      <c r="B427" s="24"/>
      <c r="E427" s="24"/>
      <c r="G427" s="24"/>
      <c r="H427" s="24"/>
      <c r="J427" s="24"/>
      <c r="K427" s="24"/>
      <c r="M427" s="24"/>
      <c r="N427" s="24"/>
      <c r="P427" s="24"/>
    </row>
    <row r="428" spans="2:16" x14ac:dyDescent="0.25">
      <c r="B428" s="24"/>
      <c r="E428" s="24"/>
      <c r="G428" s="24"/>
      <c r="H428" s="24"/>
      <c r="J428" s="24"/>
      <c r="K428" s="24"/>
      <c r="M428" s="24"/>
      <c r="N428" s="24"/>
      <c r="P428" s="24"/>
    </row>
    <row r="429" spans="2:16" x14ac:dyDescent="0.25">
      <c r="B429" s="24"/>
      <c r="E429" s="24"/>
      <c r="G429" s="24"/>
      <c r="H429" s="24"/>
      <c r="J429" s="24"/>
      <c r="K429" s="24"/>
      <c r="M429" s="24"/>
      <c r="N429" s="24"/>
      <c r="P429" s="24"/>
    </row>
    <row r="430" spans="2:16" x14ac:dyDescent="0.25">
      <c r="B430" s="24"/>
      <c r="E430" s="24"/>
      <c r="G430" s="24"/>
      <c r="H430" s="24"/>
      <c r="J430" s="24"/>
      <c r="K430" s="24"/>
      <c r="M430" s="24"/>
      <c r="N430" s="24"/>
      <c r="P430" s="24"/>
    </row>
    <row r="431" spans="2:16" x14ac:dyDescent="0.25">
      <c r="B431" s="24"/>
      <c r="E431" s="24"/>
      <c r="G431" s="24"/>
      <c r="H431" s="24"/>
      <c r="J431" s="24"/>
      <c r="K431" s="24"/>
      <c r="M431" s="24"/>
      <c r="N431" s="24"/>
      <c r="P431" s="24"/>
    </row>
    <row r="432" spans="2:16" x14ac:dyDescent="0.25">
      <c r="B432" s="24"/>
      <c r="E432" s="24"/>
      <c r="G432" s="24"/>
      <c r="H432" s="24"/>
      <c r="J432" s="24"/>
      <c r="K432" s="24"/>
      <c r="M432" s="24"/>
      <c r="N432" s="24"/>
      <c r="P432" s="24"/>
    </row>
    <row r="433" spans="2:16" x14ac:dyDescent="0.25">
      <c r="B433" s="24"/>
      <c r="E433" s="24"/>
      <c r="G433" s="24"/>
      <c r="H433" s="24"/>
      <c r="J433" s="24"/>
      <c r="K433" s="24"/>
      <c r="M433" s="24"/>
      <c r="N433" s="24"/>
      <c r="P433" s="24"/>
    </row>
    <row r="434" spans="2:16" x14ac:dyDescent="0.25">
      <c r="B434" s="24"/>
      <c r="E434" s="24"/>
      <c r="G434" s="24"/>
      <c r="H434" s="24"/>
      <c r="J434" s="24"/>
      <c r="K434" s="24"/>
      <c r="M434" s="24"/>
      <c r="N434" s="24"/>
      <c r="P434" s="24"/>
    </row>
    <row r="435" spans="2:16" x14ac:dyDescent="0.25">
      <c r="B435" s="24"/>
      <c r="E435" s="24"/>
      <c r="G435" s="24"/>
      <c r="H435" s="24"/>
      <c r="J435" s="24"/>
      <c r="K435" s="24"/>
      <c r="M435" s="24"/>
      <c r="N435" s="24"/>
      <c r="P435" s="24"/>
    </row>
    <row r="436" spans="2:16" x14ac:dyDescent="0.25">
      <c r="B436" s="24"/>
      <c r="E436" s="24"/>
      <c r="G436" s="24"/>
      <c r="H436" s="24"/>
      <c r="J436" s="24"/>
      <c r="K436" s="24"/>
      <c r="M436" s="24"/>
      <c r="N436" s="24"/>
      <c r="P436" s="24"/>
    </row>
    <row r="437" spans="2:16" x14ac:dyDescent="0.25">
      <c r="B437" s="24"/>
      <c r="E437" s="24"/>
      <c r="G437" s="24"/>
      <c r="H437" s="24"/>
      <c r="J437" s="24"/>
      <c r="K437" s="24"/>
      <c r="M437" s="24"/>
      <c r="N437" s="24"/>
      <c r="P437" s="24"/>
    </row>
    <row r="438" spans="2:16" x14ac:dyDescent="0.25">
      <c r="B438" s="24"/>
      <c r="E438" s="24"/>
      <c r="G438" s="24"/>
      <c r="H438" s="24"/>
      <c r="J438" s="24"/>
      <c r="K438" s="24"/>
      <c r="M438" s="24"/>
      <c r="N438" s="24"/>
      <c r="P438" s="24"/>
    </row>
    <row r="439" spans="2:16" x14ac:dyDescent="0.25">
      <c r="B439" s="24"/>
      <c r="E439" s="24"/>
      <c r="G439" s="24"/>
      <c r="H439" s="24"/>
      <c r="J439" s="24"/>
      <c r="K439" s="24"/>
      <c r="M439" s="24"/>
      <c r="N439" s="24"/>
      <c r="P439" s="24"/>
    </row>
    <row r="440" spans="2:16" x14ac:dyDescent="0.25">
      <c r="B440" s="24"/>
      <c r="E440" s="24"/>
      <c r="G440" s="24"/>
      <c r="H440" s="24"/>
      <c r="J440" s="24"/>
      <c r="K440" s="24"/>
      <c r="M440" s="24"/>
      <c r="N440" s="24"/>
      <c r="P440" s="24"/>
    </row>
    <row r="441" spans="2:16" x14ac:dyDescent="0.25">
      <c r="B441" s="24"/>
      <c r="E441" s="24"/>
      <c r="G441" s="24"/>
      <c r="H441" s="24"/>
      <c r="J441" s="24"/>
      <c r="K441" s="24"/>
      <c r="M441" s="24"/>
      <c r="N441" s="24"/>
      <c r="P441" s="24"/>
    </row>
    <row r="442" spans="2:16" x14ac:dyDescent="0.25">
      <c r="B442" s="24"/>
      <c r="E442" s="24"/>
      <c r="G442" s="24"/>
      <c r="H442" s="24"/>
      <c r="J442" s="24"/>
      <c r="K442" s="24"/>
      <c r="M442" s="24"/>
      <c r="N442" s="24"/>
      <c r="P442" s="24"/>
    </row>
    <row r="443" spans="2:16" x14ac:dyDescent="0.25">
      <c r="B443" s="24"/>
      <c r="E443" s="24"/>
      <c r="G443" s="24"/>
      <c r="H443" s="24"/>
      <c r="J443" s="24"/>
      <c r="K443" s="24"/>
      <c r="M443" s="24"/>
      <c r="N443" s="24"/>
      <c r="P443" s="24"/>
    </row>
    <row r="444" spans="2:16" x14ac:dyDescent="0.25">
      <c r="B444" s="24"/>
      <c r="E444" s="24"/>
      <c r="G444" s="24"/>
      <c r="H444" s="24"/>
      <c r="J444" s="24"/>
      <c r="K444" s="24"/>
      <c r="M444" s="24"/>
      <c r="N444" s="24"/>
      <c r="P444" s="24"/>
    </row>
    <row r="445" spans="2:16" x14ac:dyDescent="0.25">
      <c r="B445" s="24"/>
      <c r="E445" s="24"/>
      <c r="G445" s="24"/>
      <c r="H445" s="24"/>
      <c r="J445" s="24"/>
      <c r="K445" s="24"/>
      <c r="M445" s="24"/>
      <c r="N445" s="24"/>
      <c r="P445" s="24"/>
    </row>
    <row r="446" spans="2:16" x14ac:dyDescent="0.25">
      <c r="B446" s="24"/>
      <c r="E446" s="24"/>
      <c r="G446" s="24"/>
      <c r="H446" s="24"/>
      <c r="J446" s="24"/>
      <c r="K446" s="24"/>
      <c r="M446" s="24"/>
      <c r="N446" s="24"/>
      <c r="P446" s="24"/>
    </row>
    <row r="447" spans="2:16" x14ac:dyDescent="0.25">
      <c r="B447" s="24"/>
      <c r="E447" s="24"/>
      <c r="G447" s="24"/>
      <c r="H447" s="24"/>
      <c r="J447" s="24"/>
      <c r="K447" s="24"/>
      <c r="M447" s="24"/>
      <c r="N447" s="24"/>
      <c r="P447" s="24"/>
    </row>
    <row r="448" spans="2:16" x14ac:dyDescent="0.25">
      <c r="B448" s="24"/>
      <c r="E448" s="24"/>
      <c r="G448" s="24"/>
      <c r="H448" s="24"/>
      <c r="J448" s="24"/>
      <c r="K448" s="24"/>
      <c r="M448" s="24"/>
      <c r="N448" s="24"/>
      <c r="P448" s="24"/>
    </row>
    <row r="449" spans="2:16" x14ac:dyDescent="0.25">
      <c r="B449" s="24"/>
      <c r="E449" s="24"/>
      <c r="G449" s="24"/>
      <c r="H449" s="24"/>
      <c r="J449" s="24"/>
      <c r="K449" s="24"/>
      <c r="M449" s="24"/>
      <c r="N449" s="24"/>
      <c r="P449" s="24"/>
    </row>
    <row r="450" spans="2:16" x14ac:dyDescent="0.25">
      <c r="B450" s="24"/>
      <c r="E450" s="24"/>
      <c r="G450" s="24"/>
      <c r="H450" s="24"/>
      <c r="J450" s="24"/>
      <c r="K450" s="24"/>
      <c r="M450" s="24"/>
      <c r="N450" s="24"/>
      <c r="P450" s="24"/>
    </row>
    <row r="451" spans="2:16" x14ac:dyDescent="0.25">
      <c r="B451" s="24"/>
      <c r="E451" s="24"/>
      <c r="G451" s="24"/>
      <c r="H451" s="24"/>
      <c r="J451" s="24"/>
      <c r="K451" s="24"/>
      <c r="M451" s="24"/>
      <c r="N451" s="24"/>
      <c r="P451" s="24"/>
    </row>
    <row r="452" spans="2:16" x14ac:dyDescent="0.25">
      <c r="B452" s="24"/>
      <c r="E452" s="24"/>
      <c r="G452" s="24"/>
      <c r="H452" s="24"/>
      <c r="J452" s="24"/>
      <c r="K452" s="24"/>
      <c r="M452" s="24"/>
      <c r="N452" s="24"/>
      <c r="P452" s="24"/>
    </row>
    <row r="453" spans="2:16" x14ac:dyDescent="0.25">
      <c r="B453" s="24"/>
      <c r="E453" s="24"/>
      <c r="G453" s="24"/>
      <c r="H453" s="24"/>
      <c r="J453" s="24"/>
      <c r="K453" s="24"/>
      <c r="M453" s="24"/>
      <c r="N453" s="24"/>
      <c r="P453" s="24"/>
    </row>
    <row r="454" spans="2:16" x14ac:dyDescent="0.25">
      <c r="B454" s="24"/>
      <c r="E454" s="24"/>
      <c r="G454" s="24"/>
      <c r="H454" s="24"/>
      <c r="J454" s="24"/>
      <c r="K454" s="24"/>
      <c r="M454" s="24"/>
      <c r="N454" s="24"/>
      <c r="P454" s="24"/>
    </row>
    <row r="455" spans="2:16" x14ac:dyDescent="0.25">
      <c r="B455" s="24"/>
      <c r="E455" s="24"/>
      <c r="G455" s="24"/>
      <c r="H455" s="24"/>
      <c r="J455" s="24"/>
      <c r="K455" s="24"/>
      <c r="M455" s="24"/>
      <c r="N455" s="24"/>
      <c r="P455" s="24"/>
    </row>
    <row r="456" spans="2:16" x14ac:dyDescent="0.25">
      <c r="B456" s="24"/>
      <c r="E456" s="24"/>
      <c r="G456" s="24"/>
      <c r="H456" s="24"/>
      <c r="J456" s="24"/>
      <c r="K456" s="24"/>
      <c r="M456" s="24"/>
      <c r="N456" s="24"/>
      <c r="P456" s="24"/>
    </row>
    <row r="457" spans="2:16" x14ac:dyDescent="0.25">
      <c r="B457" s="24"/>
      <c r="E457" s="24"/>
      <c r="G457" s="24"/>
      <c r="H457" s="24"/>
      <c r="J457" s="24"/>
      <c r="K457" s="24"/>
      <c r="M457" s="24"/>
      <c r="N457" s="24"/>
      <c r="P457" s="24"/>
    </row>
    <row r="458" spans="2:16" x14ac:dyDescent="0.25">
      <c r="B458" s="24"/>
      <c r="E458" s="24"/>
      <c r="G458" s="24"/>
      <c r="H458" s="24"/>
      <c r="J458" s="24"/>
      <c r="K458" s="24"/>
      <c r="M458" s="24"/>
      <c r="N458" s="24"/>
      <c r="P458" s="24"/>
    </row>
    <row r="459" spans="2:16" x14ac:dyDescent="0.25">
      <c r="B459" s="24"/>
      <c r="E459" s="24"/>
      <c r="G459" s="24"/>
      <c r="H459" s="24"/>
      <c r="J459" s="24"/>
      <c r="K459" s="24"/>
      <c r="M459" s="24"/>
      <c r="N459" s="24"/>
      <c r="P459" s="24"/>
    </row>
    <row r="460" spans="2:16" x14ac:dyDescent="0.25">
      <c r="B460" s="24"/>
      <c r="E460" s="24"/>
      <c r="G460" s="24"/>
      <c r="H460" s="24"/>
      <c r="J460" s="24"/>
      <c r="K460" s="24"/>
      <c r="M460" s="24"/>
      <c r="N460" s="24"/>
      <c r="P460" s="24"/>
    </row>
    <row r="461" spans="2:16" x14ac:dyDescent="0.25">
      <c r="B461" s="24"/>
      <c r="E461" s="24"/>
      <c r="G461" s="24"/>
      <c r="H461" s="24"/>
      <c r="J461" s="24"/>
      <c r="K461" s="24"/>
      <c r="M461" s="24"/>
      <c r="N461" s="24"/>
      <c r="P461" s="24"/>
    </row>
    <row r="462" spans="2:16" x14ac:dyDescent="0.25">
      <c r="B462" s="24"/>
      <c r="E462" s="24"/>
      <c r="G462" s="24"/>
      <c r="H462" s="24"/>
      <c r="J462" s="24"/>
      <c r="K462" s="24"/>
      <c r="M462" s="24"/>
      <c r="N462" s="24"/>
      <c r="P462" s="24"/>
    </row>
    <row r="463" spans="2:16" x14ac:dyDescent="0.25">
      <c r="B463" s="24"/>
      <c r="E463" s="24"/>
      <c r="G463" s="24"/>
      <c r="H463" s="24"/>
      <c r="J463" s="24"/>
      <c r="K463" s="24"/>
      <c r="M463" s="24"/>
      <c r="N463" s="24"/>
      <c r="P463" s="24"/>
    </row>
    <row r="464" spans="2:16" x14ac:dyDescent="0.25">
      <c r="B464" s="24"/>
      <c r="E464" s="24"/>
      <c r="G464" s="24"/>
      <c r="H464" s="24"/>
      <c r="J464" s="24"/>
      <c r="K464" s="24"/>
      <c r="M464" s="24"/>
      <c r="N464" s="24"/>
      <c r="P464" s="24"/>
    </row>
    <row r="465" spans="2:16" x14ac:dyDescent="0.25">
      <c r="B465" s="24"/>
      <c r="E465" s="24"/>
      <c r="G465" s="24"/>
      <c r="H465" s="24"/>
      <c r="J465" s="24"/>
      <c r="K465" s="24"/>
      <c r="M465" s="24"/>
      <c r="N465" s="24"/>
      <c r="P465" s="24"/>
    </row>
    <row r="466" spans="2:16" x14ac:dyDescent="0.25">
      <c r="B466" s="24"/>
      <c r="E466" s="24"/>
      <c r="G466" s="24"/>
      <c r="H466" s="24"/>
      <c r="J466" s="24"/>
      <c r="K466" s="24"/>
      <c r="M466" s="24"/>
      <c r="N466" s="24"/>
      <c r="P466" s="24"/>
    </row>
    <row r="467" spans="2:16" x14ac:dyDescent="0.25">
      <c r="B467" s="24"/>
      <c r="E467" s="24"/>
      <c r="G467" s="24"/>
      <c r="H467" s="24"/>
      <c r="J467" s="24"/>
      <c r="K467" s="24"/>
      <c r="M467" s="24"/>
      <c r="N467" s="24"/>
      <c r="P467" s="24"/>
    </row>
    <row r="468" spans="2:16" x14ac:dyDescent="0.25">
      <c r="B468" s="24"/>
      <c r="E468" s="24"/>
      <c r="G468" s="24"/>
      <c r="H468" s="24"/>
      <c r="J468" s="24"/>
      <c r="K468" s="24"/>
      <c r="M468" s="24"/>
      <c r="N468" s="24"/>
      <c r="P468" s="24"/>
    </row>
    <row r="469" spans="2:16" x14ac:dyDescent="0.25">
      <c r="B469" s="24"/>
      <c r="E469" s="24"/>
      <c r="G469" s="24"/>
      <c r="H469" s="24"/>
      <c r="J469" s="24"/>
      <c r="K469" s="24"/>
      <c r="M469" s="24"/>
      <c r="N469" s="24"/>
      <c r="P469" s="24"/>
    </row>
    <row r="470" spans="2:16" x14ac:dyDescent="0.25">
      <c r="B470" s="24"/>
      <c r="E470" s="24"/>
      <c r="G470" s="24"/>
      <c r="H470" s="24"/>
      <c r="J470" s="24"/>
      <c r="K470" s="24"/>
      <c r="M470" s="24"/>
      <c r="N470" s="24"/>
      <c r="P470" s="24"/>
    </row>
    <row r="471" spans="2:16" x14ac:dyDescent="0.25">
      <c r="B471" s="24"/>
      <c r="E471" s="24"/>
      <c r="G471" s="24"/>
      <c r="H471" s="24"/>
      <c r="J471" s="24"/>
      <c r="K471" s="24"/>
      <c r="M471" s="24"/>
      <c r="N471" s="24"/>
      <c r="P471" s="24"/>
    </row>
    <row r="472" spans="2:16" x14ac:dyDescent="0.25">
      <c r="B472" s="24"/>
      <c r="E472" s="24"/>
      <c r="G472" s="24"/>
      <c r="H472" s="24"/>
      <c r="J472" s="24"/>
      <c r="K472" s="24"/>
      <c r="M472" s="24"/>
      <c r="N472" s="24"/>
      <c r="P472" s="24"/>
    </row>
    <row r="473" spans="2:16" x14ac:dyDescent="0.25">
      <c r="B473" s="24"/>
      <c r="E473" s="24"/>
      <c r="G473" s="24"/>
      <c r="H473" s="24"/>
      <c r="J473" s="24"/>
      <c r="K473" s="24"/>
      <c r="M473" s="24"/>
      <c r="N473" s="24"/>
      <c r="P473" s="24"/>
    </row>
    <row r="474" spans="2:16" x14ac:dyDescent="0.25">
      <c r="B474" s="24"/>
      <c r="E474" s="24"/>
      <c r="G474" s="24"/>
      <c r="H474" s="24"/>
      <c r="J474" s="24"/>
      <c r="K474" s="24"/>
      <c r="M474" s="24"/>
      <c r="N474" s="24"/>
      <c r="P474" s="24"/>
    </row>
    <row r="475" spans="2:16" x14ac:dyDescent="0.25">
      <c r="B475" s="24"/>
      <c r="E475" s="24"/>
      <c r="G475" s="24"/>
      <c r="H475" s="24"/>
      <c r="J475" s="24"/>
      <c r="K475" s="24"/>
      <c r="M475" s="24"/>
      <c r="N475" s="24"/>
      <c r="P475" s="24"/>
    </row>
    <row r="476" spans="2:16" x14ac:dyDescent="0.25">
      <c r="B476" s="24"/>
      <c r="E476" s="24"/>
      <c r="G476" s="24"/>
      <c r="H476" s="24"/>
      <c r="J476" s="24"/>
      <c r="K476" s="24"/>
      <c r="M476" s="24"/>
      <c r="N476" s="24"/>
      <c r="P476" s="24"/>
    </row>
    <row r="477" spans="2:16" x14ac:dyDescent="0.25">
      <c r="B477" s="24"/>
      <c r="E477" s="24"/>
      <c r="G477" s="24"/>
      <c r="H477" s="24"/>
      <c r="J477" s="24"/>
      <c r="K477" s="24"/>
      <c r="M477" s="24"/>
      <c r="N477" s="24"/>
      <c r="P477" s="24"/>
    </row>
    <row r="478" spans="2:16" x14ac:dyDescent="0.25">
      <c r="B478" s="24"/>
      <c r="E478" s="24"/>
      <c r="G478" s="24"/>
      <c r="H478" s="24"/>
      <c r="J478" s="24"/>
      <c r="K478" s="24"/>
      <c r="M478" s="24"/>
      <c r="N478" s="24"/>
      <c r="P478" s="24"/>
    </row>
    <row r="479" spans="2:16" x14ac:dyDescent="0.25">
      <c r="B479" s="24"/>
      <c r="E479" s="24"/>
      <c r="G479" s="24"/>
      <c r="H479" s="24"/>
      <c r="J479" s="24"/>
      <c r="K479" s="24"/>
      <c r="M479" s="24"/>
      <c r="N479" s="24"/>
      <c r="P479" s="24"/>
    </row>
    <row r="480" spans="2:16" x14ac:dyDescent="0.25">
      <c r="B480" s="24"/>
      <c r="E480" s="24"/>
      <c r="G480" s="24"/>
      <c r="H480" s="24"/>
      <c r="J480" s="24"/>
      <c r="K480" s="24"/>
      <c r="M480" s="24"/>
      <c r="N480" s="24"/>
      <c r="P480" s="24"/>
    </row>
    <row r="481" spans="2:16" x14ac:dyDescent="0.25">
      <c r="B481" s="24"/>
      <c r="E481" s="24"/>
      <c r="G481" s="24"/>
      <c r="H481" s="24"/>
      <c r="J481" s="24"/>
      <c r="K481" s="24"/>
      <c r="M481" s="24"/>
      <c r="N481" s="24"/>
      <c r="P481" s="24"/>
    </row>
    <row r="482" spans="2:16" x14ac:dyDescent="0.25">
      <c r="B482" s="24"/>
      <c r="E482" s="24"/>
      <c r="G482" s="24"/>
      <c r="H482" s="24"/>
      <c r="J482" s="24"/>
      <c r="K482" s="24"/>
      <c r="M482" s="24"/>
      <c r="N482" s="24"/>
      <c r="P482" s="24"/>
    </row>
    <row r="483" spans="2:16" x14ac:dyDescent="0.25">
      <c r="B483" s="24"/>
      <c r="E483" s="24"/>
      <c r="G483" s="24"/>
      <c r="H483" s="24"/>
      <c r="J483" s="24"/>
      <c r="K483" s="24"/>
      <c r="M483" s="24"/>
      <c r="N483" s="24"/>
      <c r="P483" s="24"/>
    </row>
    <row r="484" spans="2:16" x14ac:dyDescent="0.25">
      <c r="B484" s="24"/>
      <c r="E484" s="24"/>
      <c r="G484" s="24"/>
      <c r="H484" s="24"/>
      <c r="J484" s="24"/>
      <c r="K484" s="24"/>
      <c r="M484" s="24"/>
      <c r="N484" s="24"/>
      <c r="P484" s="24"/>
    </row>
    <row r="485" spans="2:16" x14ac:dyDescent="0.25">
      <c r="B485" s="24"/>
      <c r="E485" s="24"/>
      <c r="G485" s="24"/>
      <c r="H485" s="24"/>
      <c r="J485" s="24"/>
      <c r="K485" s="24"/>
      <c r="M485" s="24"/>
      <c r="N485" s="24"/>
      <c r="P485" s="24"/>
    </row>
    <row r="486" spans="2:16" x14ac:dyDescent="0.25">
      <c r="B486" s="24"/>
      <c r="E486" s="24"/>
      <c r="G486" s="24"/>
      <c r="H486" s="24"/>
      <c r="J486" s="24"/>
      <c r="K486" s="24"/>
      <c r="M486" s="24"/>
      <c r="N486" s="24"/>
      <c r="P486" s="24"/>
    </row>
    <row r="487" spans="2:16" x14ac:dyDescent="0.25">
      <c r="B487" s="24"/>
      <c r="E487" s="24"/>
      <c r="G487" s="24"/>
      <c r="H487" s="24"/>
      <c r="J487" s="24"/>
      <c r="K487" s="24"/>
      <c r="M487" s="24"/>
      <c r="N487" s="24"/>
      <c r="P487" s="24"/>
    </row>
    <row r="488" spans="2:16" x14ac:dyDescent="0.25">
      <c r="B488" s="24"/>
      <c r="E488" s="24"/>
      <c r="G488" s="24"/>
      <c r="H488" s="24"/>
      <c r="J488" s="24"/>
      <c r="K488" s="24"/>
      <c r="M488" s="24"/>
      <c r="N488" s="24"/>
      <c r="P488" s="24"/>
    </row>
    <row r="489" spans="2:16" x14ac:dyDescent="0.25">
      <c r="B489" s="24"/>
      <c r="E489" s="24"/>
      <c r="G489" s="24"/>
      <c r="H489" s="24"/>
      <c r="J489" s="24"/>
      <c r="K489" s="24"/>
      <c r="M489" s="24"/>
      <c r="N489" s="24"/>
      <c r="P489" s="24"/>
    </row>
    <row r="490" spans="2:16" x14ac:dyDescent="0.25">
      <c r="B490" s="24"/>
      <c r="E490" s="24"/>
      <c r="G490" s="24"/>
      <c r="H490" s="24"/>
      <c r="J490" s="24"/>
      <c r="K490" s="24"/>
      <c r="M490" s="24"/>
      <c r="N490" s="24"/>
      <c r="P490" s="24"/>
    </row>
    <row r="491" spans="2:16" x14ac:dyDescent="0.25">
      <c r="B491" s="24"/>
      <c r="E491" s="24"/>
      <c r="G491" s="24"/>
      <c r="H491" s="24"/>
      <c r="J491" s="24"/>
      <c r="K491" s="24"/>
      <c r="M491" s="24"/>
      <c r="N491" s="24"/>
      <c r="P491" s="24"/>
    </row>
    <row r="492" spans="2:16" x14ac:dyDescent="0.25">
      <c r="B492" s="24"/>
      <c r="E492" s="24"/>
      <c r="G492" s="24"/>
      <c r="H492" s="24"/>
      <c r="J492" s="24"/>
      <c r="K492" s="24"/>
      <c r="M492" s="24"/>
      <c r="N492" s="24"/>
      <c r="P492" s="24"/>
    </row>
    <row r="493" spans="2:16" x14ac:dyDescent="0.25">
      <c r="B493" s="24"/>
      <c r="E493" s="24"/>
      <c r="G493" s="24"/>
      <c r="H493" s="24"/>
      <c r="J493" s="24"/>
      <c r="K493" s="24"/>
      <c r="M493" s="24"/>
      <c r="N493" s="24"/>
      <c r="P493" s="24"/>
    </row>
    <row r="494" spans="2:16" x14ac:dyDescent="0.25">
      <c r="B494" s="24"/>
      <c r="E494" s="24"/>
      <c r="G494" s="24"/>
      <c r="H494" s="24"/>
      <c r="J494" s="24"/>
      <c r="K494" s="24"/>
      <c r="M494" s="24"/>
      <c r="N494" s="24"/>
      <c r="P494" s="24"/>
    </row>
    <row r="495" spans="2:16" x14ac:dyDescent="0.25">
      <c r="B495" s="24"/>
      <c r="E495" s="24"/>
      <c r="G495" s="24"/>
      <c r="H495" s="24"/>
      <c r="J495" s="24"/>
      <c r="K495" s="24"/>
      <c r="M495" s="24"/>
      <c r="N495" s="24"/>
      <c r="P495" s="24"/>
    </row>
    <row r="496" spans="2:16" x14ac:dyDescent="0.25">
      <c r="B496" s="24"/>
      <c r="E496" s="24"/>
      <c r="G496" s="24"/>
      <c r="H496" s="24"/>
      <c r="J496" s="24"/>
      <c r="K496" s="24"/>
      <c r="M496" s="24"/>
      <c r="N496" s="24"/>
      <c r="P496" s="24"/>
    </row>
    <row r="497" spans="2:16" x14ac:dyDescent="0.25">
      <c r="B497" s="24"/>
      <c r="E497" s="24"/>
      <c r="G497" s="24"/>
      <c r="H497" s="24"/>
      <c r="J497" s="24"/>
      <c r="K497" s="24"/>
      <c r="M497" s="24"/>
      <c r="N497" s="24"/>
      <c r="P497" s="24"/>
    </row>
    <row r="498" spans="2:16" x14ac:dyDescent="0.25">
      <c r="B498" s="24"/>
      <c r="E498" s="24"/>
      <c r="G498" s="24"/>
      <c r="H498" s="24"/>
      <c r="J498" s="24"/>
      <c r="K498" s="24"/>
      <c r="M498" s="24"/>
      <c r="N498" s="24"/>
      <c r="P498" s="24"/>
    </row>
    <row r="499" spans="2:16" x14ac:dyDescent="0.25">
      <c r="B499" s="24"/>
      <c r="E499" s="24"/>
      <c r="G499" s="24"/>
      <c r="H499" s="24"/>
      <c r="J499" s="24"/>
      <c r="K499" s="24"/>
      <c r="M499" s="24"/>
      <c r="N499" s="24"/>
      <c r="P499" s="24"/>
    </row>
    <row r="500" spans="2:16" x14ac:dyDescent="0.25">
      <c r="B500" s="24"/>
      <c r="E500" s="24"/>
      <c r="G500" s="24"/>
      <c r="H500" s="24"/>
      <c r="J500" s="24"/>
      <c r="K500" s="24"/>
      <c r="M500" s="24"/>
      <c r="N500" s="24"/>
      <c r="P500" s="24"/>
    </row>
    <row r="501" spans="2:16" x14ac:dyDescent="0.25">
      <c r="B501" s="24"/>
      <c r="E501" s="24"/>
      <c r="G501" s="24"/>
      <c r="H501" s="24"/>
      <c r="J501" s="24"/>
      <c r="K501" s="24"/>
      <c r="M501" s="24"/>
      <c r="N501" s="24"/>
      <c r="P501" s="24"/>
    </row>
    <row r="502" spans="2:16" x14ac:dyDescent="0.25">
      <c r="B502" s="24"/>
      <c r="E502" s="24"/>
      <c r="G502" s="24"/>
      <c r="H502" s="24"/>
      <c r="J502" s="24"/>
      <c r="K502" s="24"/>
      <c r="M502" s="24"/>
      <c r="N502" s="24"/>
      <c r="P502" s="24"/>
    </row>
    <row r="503" spans="2:16" x14ac:dyDescent="0.25">
      <c r="B503" s="24"/>
      <c r="E503" s="24"/>
      <c r="G503" s="24"/>
      <c r="H503" s="24"/>
      <c r="J503" s="24"/>
      <c r="K503" s="24"/>
      <c r="M503" s="24"/>
      <c r="N503" s="24"/>
      <c r="P503" s="24"/>
    </row>
    <row r="504" spans="2:16" x14ac:dyDescent="0.25">
      <c r="B504" s="24"/>
      <c r="E504" s="24"/>
      <c r="G504" s="24"/>
      <c r="H504" s="24"/>
      <c r="J504" s="24"/>
      <c r="K504" s="24"/>
      <c r="M504" s="24"/>
      <c r="N504" s="24"/>
      <c r="P504" s="24"/>
    </row>
    <row r="505" spans="2:16" x14ac:dyDescent="0.25">
      <c r="B505" s="24"/>
      <c r="E505" s="24"/>
      <c r="G505" s="24"/>
      <c r="H505" s="24"/>
      <c r="J505" s="24"/>
      <c r="K505" s="24"/>
      <c r="M505" s="24"/>
      <c r="N505" s="24"/>
      <c r="P505" s="24"/>
    </row>
    <row r="506" spans="2:16" x14ac:dyDescent="0.25">
      <c r="B506" s="24"/>
      <c r="E506" s="24"/>
      <c r="G506" s="24"/>
      <c r="H506" s="24"/>
      <c r="J506" s="24"/>
      <c r="K506" s="24"/>
      <c r="M506" s="24"/>
      <c r="N506" s="24"/>
      <c r="P506" s="24"/>
    </row>
    <row r="507" spans="2:16" x14ac:dyDescent="0.25">
      <c r="B507" s="24"/>
      <c r="E507" s="24"/>
      <c r="G507" s="24"/>
      <c r="H507" s="24"/>
      <c r="J507" s="24"/>
      <c r="K507" s="24"/>
      <c r="M507" s="24"/>
      <c r="N507" s="24"/>
      <c r="P507" s="24"/>
    </row>
    <row r="508" spans="2:16" x14ac:dyDescent="0.25">
      <c r="B508" s="24"/>
      <c r="E508" s="24"/>
      <c r="G508" s="24"/>
      <c r="H508" s="24"/>
      <c r="J508" s="24"/>
      <c r="K508" s="24"/>
      <c r="M508" s="24"/>
      <c r="N508" s="24"/>
      <c r="P508" s="24"/>
    </row>
    <row r="509" spans="2:16" x14ac:dyDescent="0.25">
      <c r="B509" s="24"/>
      <c r="E509" s="24"/>
      <c r="G509" s="24"/>
      <c r="H509" s="24"/>
      <c r="J509" s="24"/>
      <c r="K509" s="24"/>
      <c r="M509" s="24"/>
      <c r="N509" s="24"/>
      <c r="P509" s="24"/>
    </row>
    <row r="510" spans="2:16" x14ac:dyDescent="0.25">
      <c r="B510" s="24"/>
      <c r="E510" s="24"/>
      <c r="G510" s="24"/>
      <c r="H510" s="24"/>
      <c r="J510" s="24"/>
      <c r="K510" s="24"/>
      <c r="M510" s="24"/>
      <c r="N510" s="24"/>
      <c r="P510" s="24"/>
    </row>
    <row r="511" spans="2:16" x14ac:dyDescent="0.25">
      <c r="B511" s="24"/>
      <c r="E511" s="24"/>
      <c r="G511" s="24"/>
      <c r="H511" s="24"/>
      <c r="J511" s="24"/>
      <c r="K511" s="24"/>
      <c r="M511" s="24"/>
      <c r="N511" s="24"/>
      <c r="P511" s="24"/>
    </row>
    <row r="512" spans="2:16" x14ac:dyDescent="0.25">
      <c r="B512" s="24"/>
      <c r="E512" s="24"/>
      <c r="G512" s="24"/>
      <c r="H512" s="24"/>
      <c r="J512" s="24"/>
      <c r="K512" s="24"/>
      <c r="M512" s="24"/>
      <c r="N512" s="24"/>
      <c r="P512" s="24"/>
    </row>
    <row r="513" spans="2:16" x14ac:dyDescent="0.25">
      <c r="B513" s="24"/>
      <c r="E513" s="24"/>
      <c r="G513" s="24"/>
      <c r="H513" s="24"/>
      <c r="J513" s="24"/>
      <c r="K513" s="24"/>
      <c r="M513" s="24"/>
      <c r="N513" s="24"/>
      <c r="P513" s="24"/>
    </row>
    <row r="514" spans="2:16" x14ac:dyDescent="0.25">
      <c r="B514" s="24"/>
      <c r="E514" s="24"/>
      <c r="G514" s="24"/>
      <c r="H514" s="24"/>
      <c r="J514" s="24"/>
      <c r="K514" s="24"/>
      <c r="M514" s="24"/>
      <c r="N514" s="24"/>
      <c r="P514" s="24"/>
    </row>
    <row r="515" spans="2:16" x14ac:dyDescent="0.25">
      <c r="B515" s="24"/>
      <c r="E515" s="24"/>
      <c r="G515" s="24"/>
      <c r="H515" s="24"/>
      <c r="J515" s="24"/>
      <c r="K515" s="24"/>
      <c r="M515" s="24"/>
      <c r="N515" s="24"/>
      <c r="P515" s="24"/>
    </row>
    <row r="516" spans="2:16" x14ac:dyDescent="0.25">
      <c r="B516" s="24"/>
      <c r="E516" s="24"/>
      <c r="G516" s="24"/>
      <c r="H516" s="24"/>
      <c r="J516" s="24"/>
      <c r="K516" s="24"/>
      <c r="M516" s="24"/>
      <c r="N516" s="24"/>
      <c r="P516" s="24"/>
    </row>
    <row r="517" spans="2:16" x14ac:dyDescent="0.25">
      <c r="B517" s="24"/>
      <c r="E517" s="24"/>
      <c r="G517" s="24"/>
      <c r="H517" s="24"/>
      <c r="J517" s="24"/>
      <c r="K517" s="24"/>
      <c r="M517" s="24"/>
      <c r="N517" s="24"/>
      <c r="P517" s="24"/>
    </row>
    <row r="518" spans="2:16" x14ac:dyDescent="0.25">
      <c r="B518" s="24"/>
      <c r="E518" s="24"/>
      <c r="G518" s="24"/>
      <c r="H518" s="24"/>
      <c r="J518" s="24"/>
      <c r="K518" s="24"/>
      <c r="M518" s="24"/>
      <c r="N518" s="24"/>
      <c r="P518" s="24"/>
    </row>
    <row r="519" spans="2:16" x14ac:dyDescent="0.25">
      <c r="B519" s="24"/>
      <c r="E519" s="24"/>
      <c r="G519" s="24"/>
      <c r="H519" s="24"/>
      <c r="J519" s="24"/>
      <c r="K519" s="24"/>
      <c r="M519" s="24"/>
      <c r="N519" s="24"/>
      <c r="P519" s="24"/>
    </row>
    <row r="520" spans="2:16" x14ac:dyDescent="0.25">
      <c r="B520" s="24"/>
      <c r="E520" s="24"/>
      <c r="G520" s="24"/>
      <c r="H520" s="24"/>
      <c r="J520" s="24"/>
      <c r="K520" s="24"/>
      <c r="M520" s="24"/>
      <c r="N520" s="24"/>
      <c r="P520" s="24"/>
    </row>
    <row r="521" spans="2:16" x14ac:dyDescent="0.25">
      <c r="B521" s="24"/>
      <c r="E521" s="24"/>
      <c r="G521" s="24"/>
      <c r="H521" s="24"/>
      <c r="J521" s="24"/>
      <c r="K521" s="24"/>
      <c r="M521" s="24"/>
      <c r="N521" s="24"/>
      <c r="P521" s="24"/>
    </row>
    <row r="522" spans="2:16" x14ac:dyDescent="0.25">
      <c r="B522" s="24"/>
      <c r="E522" s="24"/>
      <c r="G522" s="24"/>
      <c r="H522" s="24"/>
      <c r="J522" s="24"/>
      <c r="K522" s="24"/>
      <c r="M522" s="24"/>
      <c r="N522" s="24"/>
      <c r="P522" s="24"/>
    </row>
    <row r="523" spans="2:16" x14ac:dyDescent="0.25">
      <c r="B523" s="24"/>
      <c r="E523" s="24"/>
      <c r="G523" s="24"/>
      <c r="H523" s="24"/>
      <c r="J523" s="24"/>
      <c r="K523" s="24"/>
      <c r="M523" s="24"/>
      <c r="N523" s="24"/>
      <c r="P523" s="24"/>
    </row>
    <row r="524" spans="2:16" x14ac:dyDescent="0.25">
      <c r="B524" s="24"/>
      <c r="E524" s="24"/>
      <c r="G524" s="24"/>
      <c r="H524" s="24"/>
      <c r="J524" s="24"/>
      <c r="K524" s="24"/>
      <c r="M524" s="24"/>
      <c r="N524" s="24"/>
      <c r="P524" s="24"/>
    </row>
    <row r="525" spans="2:16" x14ac:dyDescent="0.25">
      <c r="B525" s="24"/>
      <c r="E525" s="24"/>
      <c r="G525" s="24"/>
      <c r="H525" s="24"/>
      <c r="J525" s="24"/>
      <c r="K525" s="24"/>
      <c r="M525" s="24"/>
      <c r="N525" s="24"/>
      <c r="P525" s="24"/>
    </row>
    <row r="526" spans="2:16" x14ac:dyDescent="0.25">
      <c r="B526" s="24"/>
      <c r="E526" s="24"/>
      <c r="G526" s="24"/>
      <c r="H526" s="24"/>
      <c r="J526" s="24"/>
      <c r="K526" s="24"/>
      <c r="M526" s="24"/>
      <c r="N526" s="24"/>
      <c r="P526" s="24"/>
    </row>
    <row r="527" spans="2:16" x14ac:dyDescent="0.25">
      <c r="B527" s="24"/>
      <c r="E527" s="24"/>
      <c r="G527" s="24"/>
      <c r="H527" s="24"/>
      <c r="J527" s="24"/>
      <c r="K527" s="24"/>
      <c r="M527" s="24"/>
      <c r="N527" s="24"/>
      <c r="P527" s="24"/>
    </row>
    <row r="528" spans="2:16" x14ac:dyDescent="0.25">
      <c r="B528" s="24"/>
      <c r="E528" s="24"/>
      <c r="G528" s="24"/>
      <c r="H528" s="24"/>
      <c r="J528" s="24"/>
      <c r="K528" s="24"/>
      <c r="M528" s="24"/>
      <c r="N528" s="24"/>
      <c r="P528" s="24"/>
    </row>
    <row r="529" spans="2:16" x14ac:dyDescent="0.25">
      <c r="B529" s="24"/>
      <c r="E529" s="24"/>
      <c r="G529" s="24"/>
      <c r="H529" s="24"/>
      <c r="J529" s="24"/>
      <c r="K529" s="24"/>
      <c r="M529" s="24"/>
      <c r="N529" s="24"/>
      <c r="P529" s="24"/>
    </row>
    <row r="530" spans="2:16" x14ac:dyDescent="0.25">
      <c r="B530" s="24"/>
      <c r="E530" s="24"/>
      <c r="G530" s="24"/>
      <c r="H530" s="24"/>
      <c r="J530" s="24"/>
      <c r="K530" s="24"/>
      <c r="M530" s="24"/>
      <c r="N530" s="24"/>
      <c r="P530" s="24"/>
    </row>
    <row r="531" spans="2:16" x14ac:dyDescent="0.25">
      <c r="B531" s="24"/>
      <c r="E531" s="24"/>
      <c r="G531" s="24"/>
      <c r="H531" s="24"/>
      <c r="J531" s="24"/>
      <c r="K531" s="24"/>
      <c r="M531" s="24"/>
      <c r="N531" s="24"/>
      <c r="P531" s="24"/>
    </row>
    <row r="532" spans="2:16" x14ac:dyDescent="0.25">
      <c r="B532" s="24"/>
      <c r="E532" s="24"/>
      <c r="G532" s="24"/>
      <c r="H532" s="24"/>
      <c r="J532" s="24"/>
      <c r="K532" s="24"/>
      <c r="M532" s="24"/>
      <c r="N532" s="24"/>
      <c r="P532" s="24"/>
    </row>
    <row r="533" spans="2:16" x14ac:dyDescent="0.25">
      <c r="B533" s="24"/>
      <c r="E533" s="24"/>
      <c r="G533" s="24"/>
      <c r="H533" s="24"/>
      <c r="J533" s="24"/>
      <c r="K533" s="24"/>
      <c r="M533" s="24"/>
      <c r="N533" s="24"/>
      <c r="P533" s="24"/>
    </row>
    <row r="534" spans="2:16" x14ac:dyDescent="0.25">
      <c r="B534" s="24"/>
      <c r="E534" s="24"/>
      <c r="G534" s="24"/>
      <c r="H534" s="24"/>
      <c r="J534" s="24"/>
      <c r="K534" s="24"/>
      <c r="M534" s="24"/>
      <c r="N534" s="24"/>
      <c r="P534" s="24"/>
    </row>
    <row r="535" spans="2:16" x14ac:dyDescent="0.25">
      <c r="B535" s="24"/>
      <c r="E535" s="24"/>
      <c r="G535" s="24"/>
      <c r="H535" s="24"/>
      <c r="J535" s="24"/>
      <c r="K535" s="24"/>
      <c r="M535" s="24"/>
      <c r="N535" s="24"/>
      <c r="P535" s="24"/>
    </row>
    <row r="536" spans="2:16" x14ac:dyDescent="0.25">
      <c r="B536" s="24"/>
      <c r="E536" s="24"/>
      <c r="G536" s="24"/>
      <c r="H536" s="24"/>
      <c r="J536" s="24"/>
      <c r="K536" s="24"/>
      <c r="M536" s="24"/>
      <c r="N536" s="24"/>
      <c r="P536" s="24"/>
    </row>
    <row r="537" spans="2:16" x14ac:dyDescent="0.25">
      <c r="B537" s="24"/>
      <c r="E537" s="24"/>
      <c r="G537" s="24"/>
      <c r="H537" s="24"/>
      <c r="J537" s="24"/>
      <c r="K537" s="24"/>
      <c r="M537" s="24"/>
      <c r="N537" s="24"/>
      <c r="P537" s="24"/>
    </row>
    <row r="538" spans="2:16" x14ac:dyDescent="0.25">
      <c r="B538" s="24"/>
      <c r="E538" s="24"/>
      <c r="G538" s="24"/>
      <c r="H538" s="24"/>
      <c r="J538" s="24"/>
      <c r="K538" s="24"/>
      <c r="M538" s="24"/>
      <c r="N538" s="24"/>
      <c r="P538" s="24"/>
    </row>
    <row r="539" spans="2:16" x14ac:dyDescent="0.25">
      <c r="B539" s="24"/>
      <c r="E539" s="24"/>
      <c r="G539" s="24"/>
      <c r="H539" s="24"/>
      <c r="J539" s="24"/>
      <c r="K539" s="24"/>
      <c r="M539" s="24"/>
      <c r="N539" s="24"/>
      <c r="P539" s="24"/>
    </row>
    <row r="540" spans="2:16" x14ac:dyDescent="0.25">
      <c r="B540" s="24"/>
      <c r="E540" s="24"/>
      <c r="G540" s="24"/>
      <c r="H540" s="24"/>
      <c r="J540" s="24"/>
      <c r="K540" s="24"/>
      <c r="M540" s="24"/>
      <c r="N540" s="24"/>
      <c r="P540" s="24"/>
    </row>
    <row r="541" spans="2:16" x14ac:dyDescent="0.25">
      <c r="B541" s="24"/>
      <c r="E541" s="24"/>
      <c r="G541" s="24"/>
      <c r="H541" s="24"/>
      <c r="J541" s="24"/>
      <c r="K541" s="24"/>
      <c r="M541" s="24"/>
      <c r="N541" s="24"/>
      <c r="P541" s="24"/>
    </row>
    <row r="542" spans="2:16" x14ac:dyDescent="0.25">
      <c r="B542" s="24"/>
      <c r="E542" s="24"/>
      <c r="G542" s="24"/>
      <c r="H542" s="24"/>
      <c r="J542" s="24"/>
      <c r="K542" s="24"/>
      <c r="M542" s="24"/>
      <c r="N542" s="24"/>
      <c r="P542" s="24"/>
    </row>
    <row r="543" spans="2:16" x14ac:dyDescent="0.25">
      <c r="B543" s="24"/>
      <c r="E543" s="24"/>
      <c r="G543" s="24"/>
      <c r="H543" s="24"/>
      <c r="J543" s="24"/>
      <c r="K543" s="24"/>
      <c r="M543" s="24"/>
      <c r="N543" s="24"/>
      <c r="P543" s="24"/>
    </row>
    <row r="544" spans="2:16" x14ac:dyDescent="0.25">
      <c r="B544" s="24"/>
      <c r="E544" s="24"/>
      <c r="G544" s="24"/>
      <c r="H544" s="24"/>
      <c r="J544" s="24"/>
      <c r="K544" s="24"/>
      <c r="M544" s="24"/>
      <c r="N544" s="24"/>
      <c r="P544" s="24"/>
    </row>
    <row r="545" spans="2:16" x14ac:dyDescent="0.25">
      <c r="B545" s="24"/>
      <c r="E545" s="24"/>
      <c r="G545" s="24"/>
      <c r="H545" s="24"/>
      <c r="J545" s="24"/>
      <c r="K545" s="24"/>
      <c r="M545" s="24"/>
      <c r="N545" s="24"/>
      <c r="P545" s="24"/>
    </row>
    <row r="546" spans="2:16" x14ac:dyDescent="0.25">
      <c r="B546" s="24"/>
      <c r="E546" s="24"/>
      <c r="G546" s="24"/>
      <c r="H546" s="24"/>
      <c r="J546" s="24"/>
      <c r="K546" s="24"/>
      <c r="M546" s="24"/>
      <c r="N546" s="24"/>
      <c r="P546" s="24"/>
    </row>
    <row r="547" spans="2:16" x14ac:dyDescent="0.25">
      <c r="B547" s="24"/>
      <c r="E547" s="24"/>
      <c r="G547" s="24"/>
      <c r="H547" s="24"/>
      <c r="J547" s="24"/>
      <c r="K547" s="24"/>
      <c r="M547" s="24"/>
      <c r="N547" s="24"/>
      <c r="P547" s="24"/>
    </row>
    <row r="548" spans="2:16" x14ac:dyDescent="0.25">
      <c r="B548" s="24"/>
      <c r="E548" s="24"/>
      <c r="G548" s="24"/>
      <c r="H548" s="24"/>
      <c r="J548" s="24"/>
      <c r="K548" s="24"/>
      <c r="M548" s="24"/>
      <c r="N548" s="24"/>
      <c r="P548" s="24"/>
    </row>
    <row r="549" spans="2:16" x14ac:dyDescent="0.25">
      <c r="B549" s="24"/>
      <c r="E549" s="24"/>
      <c r="G549" s="24"/>
      <c r="H549" s="24"/>
      <c r="J549" s="24"/>
      <c r="K549" s="24"/>
      <c r="M549" s="24"/>
      <c r="N549" s="24"/>
      <c r="P549" s="24"/>
    </row>
    <row r="550" spans="2:16" x14ac:dyDescent="0.25">
      <c r="B550" s="24"/>
      <c r="E550" s="24"/>
      <c r="G550" s="24"/>
      <c r="H550" s="24"/>
      <c r="J550" s="24"/>
      <c r="K550" s="24"/>
      <c r="M550" s="24"/>
      <c r="N550" s="24"/>
      <c r="P550" s="24"/>
    </row>
    <row r="551" spans="2:16" x14ac:dyDescent="0.25">
      <c r="B551" s="24"/>
      <c r="E551" s="24"/>
      <c r="G551" s="24"/>
      <c r="H551" s="24"/>
      <c r="J551" s="24"/>
      <c r="K551" s="24"/>
      <c r="M551" s="24"/>
      <c r="N551" s="24"/>
      <c r="P551" s="24"/>
    </row>
    <row r="552" spans="2:16" x14ac:dyDescent="0.25">
      <c r="B552" s="24"/>
      <c r="E552" s="24"/>
      <c r="G552" s="24"/>
      <c r="H552" s="24"/>
      <c r="J552" s="24"/>
      <c r="K552" s="24"/>
      <c r="M552" s="24"/>
      <c r="N552" s="24"/>
      <c r="P552" s="24"/>
    </row>
    <row r="553" spans="2:16" x14ac:dyDescent="0.25">
      <c r="B553" s="24"/>
      <c r="E553" s="24"/>
      <c r="G553" s="24"/>
      <c r="H553" s="24"/>
      <c r="J553" s="24"/>
      <c r="K553" s="24"/>
      <c r="M553" s="24"/>
      <c r="N553" s="24"/>
      <c r="P553" s="24"/>
    </row>
    <row r="554" spans="2:16" x14ac:dyDescent="0.25">
      <c r="B554" s="24"/>
      <c r="E554" s="24"/>
      <c r="G554" s="24"/>
      <c r="H554" s="24"/>
      <c r="J554" s="24"/>
      <c r="K554" s="24"/>
      <c r="M554" s="24"/>
      <c r="N554" s="24"/>
      <c r="P554" s="24"/>
    </row>
    <row r="555" spans="2:16" x14ac:dyDescent="0.25">
      <c r="B555" s="24"/>
      <c r="E555" s="24"/>
      <c r="G555" s="24"/>
      <c r="H555" s="24"/>
      <c r="J555" s="24"/>
      <c r="K555" s="24"/>
      <c r="M555" s="24"/>
      <c r="N555" s="24"/>
      <c r="P555" s="24"/>
    </row>
    <row r="556" spans="2:16" x14ac:dyDescent="0.25">
      <c r="B556" s="24"/>
      <c r="E556" s="24"/>
      <c r="G556" s="24"/>
      <c r="H556" s="24"/>
      <c r="J556" s="24"/>
      <c r="K556" s="24"/>
      <c r="M556" s="24"/>
      <c r="N556" s="24"/>
      <c r="P556" s="24"/>
    </row>
    <row r="557" spans="2:16" x14ac:dyDescent="0.25">
      <c r="B557" s="24"/>
      <c r="E557" s="24"/>
      <c r="G557" s="24"/>
      <c r="H557" s="24"/>
      <c r="J557" s="24"/>
      <c r="K557" s="24"/>
      <c r="M557" s="24"/>
      <c r="N557" s="24"/>
      <c r="P557" s="24"/>
    </row>
    <row r="558" spans="2:16" x14ac:dyDescent="0.25">
      <c r="B558" s="24"/>
      <c r="E558" s="24"/>
      <c r="G558" s="24"/>
      <c r="H558" s="24"/>
      <c r="J558" s="24"/>
      <c r="K558" s="24"/>
      <c r="M558" s="24"/>
      <c r="N558" s="24"/>
      <c r="P558" s="24"/>
    </row>
    <row r="559" spans="2:16" x14ac:dyDescent="0.25">
      <c r="B559" s="24"/>
      <c r="E559" s="24"/>
      <c r="G559" s="24"/>
      <c r="H559" s="24"/>
      <c r="J559" s="24"/>
      <c r="K559" s="24"/>
      <c r="M559" s="24"/>
      <c r="N559" s="24"/>
      <c r="P559" s="24"/>
    </row>
    <row r="560" spans="2:16" x14ac:dyDescent="0.25">
      <c r="B560" s="24"/>
      <c r="E560" s="24"/>
      <c r="G560" s="24"/>
      <c r="H560" s="24"/>
      <c r="J560" s="24"/>
      <c r="K560" s="24"/>
      <c r="M560" s="24"/>
      <c r="N560" s="24"/>
      <c r="P560" s="24"/>
    </row>
    <row r="561" spans="2:16" x14ac:dyDescent="0.25">
      <c r="B561" s="24"/>
      <c r="E561" s="24"/>
      <c r="G561" s="24"/>
      <c r="H561" s="24"/>
      <c r="J561" s="24"/>
      <c r="K561" s="24"/>
      <c r="M561" s="24"/>
      <c r="N561" s="24"/>
      <c r="P561" s="24"/>
    </row>
    <row r="562" spans="2:16" x14ac:dyDescent="0.25">
      <c r="B562" s="24"/>
      <c r="E562" s="24"/>
      <c r="G562" s="24"/>
      <c r="H562" s="24"/>
      <c r="J562" s="24"/>
      <c r="K562" s="24"/>
      <c r="M562" s="24"/>
      <c r="N562" s="24"/>
      <c r="P562" s="24"/>
    </row>
    <row r="563" spans="2:16" x14ac:dyDescent="0.25">
      <c r="B563" s="24"/>
      <c r="E563" s="24"/>
      <c r="G563" s="24"/>
      <c r="H563" s="24"/>
      <c r="J563" s="24"/>
      <c r="K563" s="24"/>
      <c r="M563" s="24"/>
      <c r="N563" s="24"/>
      <c r="P563" s="24"/>
    </row>
    <row r="564" spans="2:16" x14ac:dyDescent="0.25">
      <c r="B564" s="24"/>
      <c r="E564" s="24"/>
      <c r="G564" s="24"/>
      <c r="H564" s="24"/>
      <c r="J564" s="24"/>
      <c r="K564" s="24"/>
      <c r="M564" s="24"/>
      <c r="N564" s="24"/>
      <c r="P564" s="24"/>
    </row>
    <row r="565" spans="2:16" x14ac:dyDescent="0.25">
      <c r="B565" s="24"/>
      <c r="E565" s="24"/>
      <c r="G565" s="24"/>
      <c r="H565" s="24"/>
      <c r="J565" s="24"/>
      <c r="K565" s="24"/>
      <c r="M565" s="24"/>
      <c r="N565" s="24"/>
      <c r="P565" s="24"/>
    </row>
    <row r="566" spans="2:16" x14ac:dyDescent="0.25">
      <c r="B566" s="24"/>
      <c r="E566" s="24"/>
      <c r="G566" s="24"/>
      <c r="H566" s="24"/>
      <c r="J566" s="24"/>
      <c r="K566" s="24"/>
      <c r="M566" s="24"/>
      <c r="N566" s="24"/>
      <c r="P566" s="24"/>
    </row>
    <row r="567" spans="2:16" x14ac:dyDescent="0.25">
      <c r="B567" s="24"/>
      <c r="E567" s="24"/>
      <c r="G567" s="24"/>
      <c r="H567" s="24"/>
      <c r="J567" s="24"/>
      <c r="K567" s="24"/>
      <c r="M567" s="24"/>
      <c r="N567" s="24"/>
      <c r="P567" s="24"/>
    </row>
    <row r="568" spans="2:16" x14ac:dyDescent="0.25">
      <c r="B568" s="24"/>
      <c r="E568" s="24"/>
      <c r="G568" s="24"/>
      <c r="H568" s="24"/>
      <c r="J568" s="24"/>
      <c r="K568" s="24"/>
      <c r="M568" s="24"/>
      <c r="N568" s="24"/>
      <c r="P568" s="24"/>
    </row>
    <row r="569" spans="2:16" x14ac:dyDescent="0.25">
      <c r="B569" s="24"/>
      <c r="E569" s="24"/>
      <c r="G569" s="24"/>
      <c r="H569" s="24"/>
      <c r="J569" s="24"/>
      <c r="K569" s="24"/>
      <c r="M569" s="24"/>
      <c r="N569" s="24"/>
      <c r="P569" s="24"/>
    </row>
    <row r="570" spans="2:16" x14ac:dyDescent="0.25">
      <c r="B570" s="24"/>
      <c r="E570" s="24"/>
      <c r="G570" s="24"/>
      <c r="H570" s="24"/>
      <c r="J570" s="24"/>
      <c r="K570" s="24"/>
      <c r="M570" s="24"/>
      <c r="N570" s="24"/>
      <c r="P570" s="24"/>
    </row>
    <row r="571" spans="2:16" x14ac:dyDescent="0.25">
      <c r="B571" s="24"/>
      <c r="E571" s="24"/>
      <c r="G571" s="24"/>
      <c r="H571" s="24"/>
      <c r="J571" s="24"/>
      <c r="K571" s="24"/>
      <c r="M571" s="24"/>
      <c r="N571" s="24"/>
      <c r="P571" s="24"/>
    </row>
    <row r="572" spans="2:16" x14ac:dyDescent="0.25">
      <c r="B572" s="24"/>
      <c r="E572" s="24"/>
      <c r="G572" s="24"/>
      <c r="H572" s="24"/>
      <c r="J572" s="24"/>
      <c r="K572" s="24"/>
      <c r="M572" s="24"/>
      <c r="N572" s="24"/>
      <c r="P572" s="24"/>
    </row>
    <row r="573" spans="2:16" x14ac:dyDescent="0.25">
      <c r="B573" s="24"/>
      <c r="E573" s="24"/>
      <c r="G573" s="24"/>
      <c r="H573" s="24"/>
      <c r="J573" s="24"/>
      <c r="K573" s="24"/>
      <c r="M573" s="24"/>
      <c r="N573" s="24"/>
      <c r="P573" s="24"/>
    </row>
    <row r="574" spans="2:16" x14ac:dyDescent="0.25">
      <c r="B574" s="24"/>
      <c r="E574" s="24"/>
      <c r="G574" s="24"/>
      <c r="H574" s="24"/>
      <c r="J574" s="24"/>
      <c r="K574" s="24"/>
      <c r="M574" s="24"/>
      <c r="N574" s="24"/>
      <c r="P574" s="24"/>
    </row>
    <row r="575" spans="2:16" x14ac:dyDescent="0.25">
      <c r="B575" s="24"/>
      <c r="E575" s="24"/>
      <c r="G575" s="24"/>
      <c r="H575" s="24"/>
      <c r="J575" s="24"/>
      <c r="K575" s="24"/>
      <c r="M575" s="24"/>
      <c r="N575" s="24"/>
      <c r="P575" s="24"/>
    </row>
    <row r="576" spans="2:16" x14ac:dyDescent="0.25">
      <c r="B576" s="24"/>
      <c r="E576" s="24"/>
      <c r="G576" s="24"/>
      <c r="H576" s="24"/>
      <c r="J576" s="24"/>
      <c r="K576" s="24"/>
      <c r="M576" s="24"/>
      <c r="N576" s="24"/>
      <c r="P576" s="24"/>
    </row>
    <row r="577" spans="2:16" x14ac:dyDescent="0.25">
      <c r="B577" s="24"/>
      <c r="E577" s="24"/>
      <c r="G577" s="24"/>
      <c r="H577" s="24"/>
      <c r="J577" s="24"/>
      <c r="K577" s="24"/>
      <c r="M577" s="24"/>
      <c r="N577" s="24"/>
      <c r="P577" s="24"/>
    </row>
    <row r="578" spans="2:16" x14ac:dyDescent="0.25">
      <c r="B578" s="24"/>
      <c r="E578" s="24"/>
      <c r="G578" s="24"/>
      <c r="H578" s="24"/>
      <c r="J578" s="24"/>
      <c r="K578" s="24"/>
      <c r="M578" s="24"/>
      <c r="N578" s="24"/>
      <c r="P578" s="24"/>
    </row>
    <row r="579" spans="2:16" x14ac:dyDescent="0.25">
      <c r="B579" s="24"/>
      <c r="E579" s="24"/>
      <c r="G579" s="24"/>
      <c r="H579" s="24"/>
      <c r="J579" s="24"/>
      <c r="K579" s="24"/>
      <c r="M579" s="24"/>
      <c r="N579" s="24"/>
      <c r="P579" s="24"/>
    </row>
    <row r="580" spans="2:16" x14ac:dyDescent="0.25">
      <c r="B580" s="24"/>
      <c r="E580" s="24"/>
      <c r="G580" s="24"/>
      <c r="H580" s="24"/>
      <c r="J580" s="24"/>
      <c r="K580" s="24"/>
      <c r="M580" s="24"/>
      <c r="N580" s="24"/>
      <c r="P580" s="24"/>
    </row>
    <row r="581" spans="2:16" x14ac:dyDescent="0.25">
      <c r="B581" s="24"/>
      <c r="E581" s="24"/>
      <c r="G581" s="24"/>
      <c r="H581" s="24"/>
      <c r="J581" s="24"/>
      <c r="K581" s="24"/>
      <c r="M581" s="24"/>
      <c r="N581" s="24"/>
      <c r="P581" s="24"/>
    </row>
    <row r="582" spans="2:16" x14ac:dyDescent="0.25">
      <c r="B582" s="24"/>
      <c r="E582" s="24"/>
      <c r="G582" s="24"/>
      <c r="H582" s="24"/>
      <c r="J582" s="24"/>
      <c r="K582" s="24"/>
      <c r="M582" s="24"/>
      <c r="N582" s="24"/>
      <c r="P582" s="24"/>
    </row>
    <row r="583" spans="2:16" x14ac:dyDescent="0.25">
      <c r="B583" s="24"/>
      <c r="E583" s="24"/>
      <c r="G583" s="24"/>
      <c r="H583" s="24"/>
      <c r="J583" s="24"/>
      <c r="K583" s="24"/>
      <c r="M583" s="24"/>
      <c r="N583" s="24"/>
      <c r="P583" s="24"/>
    </row>
    <row r="584" spans="2:16" x14ac:dyDescent="0.25">
      <c r="B584" s="24"/>
      <c r="E584" s="24"/>
      <c r="G584" s="24"/>
      <c r="H584" s="24"/>
      <c r="J584" s="24"/>
      <c r="K584" s="24"/>
      <c r="M584" s="24"/>
      <c r="N584" s="24"/>
      <c r="P584" s="24"/>
    </row>
    <row r="585" spans="2:16" x14ac:dyDescent="0.25">
      <c r="B585" s="24"/>
      <c r="E585" s="24"/>
      <c r="G585" s="24"/>
      <c r="H585" s="24"/>
      <c r="J585" s="24"/>
      <c r="K585" s="24"/>
      <c r="M585" s="24"/>
      <c r="N585" s="24"/>
      <c r="P585" s="24"/>
    </row>
    <row r="586" spans="2:16" x14ac:dyDescent="0.25">
      <c r="B586" s="24"/>
      <c r="E586" s="24"/>
      <c r="G586" s="24"/>
      <c r="H586" s="24"/>
      <c r="J586" s="24"/>
      <c r="K586" s="24"/>
      <c r="M586" s="24"/>
      <c r="N586" s="24"/>
      <c r="P586" s="24"/>
    </row>
    <row r="587" spans="2:16" x14ac:dyDescent="0.25">
      <c r="B587" s="24"/>
      <c r="E587" s="24"/>
      <c r="G587" s="24"/>
      <c r="H587" s="24"/>
      <c r="J587" s="24"/>
      <c r="K587" s="24"/>
      <c r="M587" s="24"/>
      <c r="N587" s="24"/>
      <c r="P587" s="24"/>
    </row>
    <row r="588" spans="2:16" x14ac:dyDescent="0.25">
      <c r="B588" s="24"/>
      <c r="E588" s="24"/>
      <c r="G588" s="24"/>
      <c r="H588" s="24"/>
      <c r="J588" s="24"/>
      <c r="K588" s="24"/>
      <c r="M588" s="24"/>
      <c r="N588" s="24"/>
      <c r="P588" s="24"/>
    </row>
    <row r="589" spans="2:16" x14ac:dyDescent="0.25">
      <c r="B589" s="24"/>
      <c r="E589" s="24"/>
      <c r="G589" s="24"/>
      <c r="H589" s="24"/>
      <c r="J589" s="24"/>
      <c r="K589" s="24"/>
      <c r="M589" s="24"/>
      <c r="N589" s="24"/>
      <c r="P589" s="24"/>
    </row>
    <row r="590" spans="2:16" x14ac:dyDescent="0.25">
      <c r="B590" s="24"/>
      <c r="E590" s="24"/>
      <c r="G590" s="24"/>
      <c r="H590" s="24"/>
      <c r="J590" s="24"/>
      <c r="K590" s="24"/>
      <c r="M590" s="24"/>
      <c r="N590" s="24"/>
      <c r="P590" s="24"/>
    </row>
    <row r="591" spans="2:16" x14ac:dyDescent="0.25">
      <c r="B591" s="24"/>
      <c r="E591" s="24"/>
      <c r="G591" s="24"/>
      <c r="H591" s="24"/>
      <c r="J591" s="24"/>
      <c r="K591" s="24"/>
      <c r="M591" s="24"/>
      <c r="N591" s="24"/>
      <c r="P591" s="24"/>
    </row>
    <row r="592" spans="2:16" x14ac:dyDescent="0.25">
      <c r="B592" s="24"/>
      <c r="E592" s="24"/>
      <c r="G592" s="24"/>
      <c r="H592" s="24"/>
      <c r="J592" s="24"/>
      <c r="K592" s="24"/>
      <c r="M592" s="24"/>
      <c r="N592" s="24"/>
      <c r="P592" s="24"/>
    </row>
    <row r="593" spans="2:16" x14ac:dyDescent="0.25">
      <c r="B593" s="24"/>
      <c r="E593" s="24"/>
      <c r="G593" s="24"/>
      <c r="H593" s="24"/>
      <c r="J593" s="24"/>
      <c r="K593" s="24"/>
      <c r="M593" s="24"/>
      <c r="N593" s="24"/>
      <c r="P593" s="24"/>
    </row>
    <row r="594" spans="2:16" x14ac:dyDescent="0.25">
      <c r="B594" s="24"/>
      <c r="E594" s="24"/>
      <c r="G594" s="24"/>
      <c r="H594" s="24"/>
      <c r="J594" s="24"/>
      <c r="K594" s="24"/>
      <c r="M594" s="24"/>
      <c r="N594" s="24"/>
      <c r="P594" s="24"/>
    </row>
    <row r="595" spans="2:16" x14ac:dyDescent="0.25">
      <c r="B595" s="24"/>
      <c r="E595" s="24"/>
      <c r="G595" s="24"/>
      <c r="H595" s="24"/>
      <c r="J595" s="24"/>
      <c r="K595" s="24"/>
      <c r="M595" s="24"/>
      <c r="N595" s="24"/>
      <c r="P595" s="24"/>
    </row>
    <row r="596" spans="2:16" x14ac:dyDescent="0.25">
      <c r="B596" s="24"/>
      <c r="E596" s="24"/>
      <c r="G596" s="24"/>
      <c r="H596" s="24"/>
      <c r="J596" s="24"/>
      <c r="K596" s="24"/>
      <c r="M596" s="24"/>
      <c r="N596" s="24"/>
      <c r="P596" s="24"/>
    </row>
    <row r="597" spans="2:16" x14ac:dyDescent="0.25">
      <c r="B597" s="24"/>
      <c r="E597" s="24"/>
      <c r="G597" s="24"/>
      <c r="H597" s="24"/>
      <c r="J597" s="24"/>
      <c r="K597" s="24"/>
      <c r="M597" s="24"/>
      <c r="N597" s="24"/>
      <c r="P597" s="24"/>
    </row>
    <row r="598" spans="2:16" x14ac:dyDescent="0.25">
      <c r="B598" s="24"/>
      <c r="E598" s="24"/>
      <c r="G598" s="24"/>
      <c r="H598" s="24"/>
      <c r="J598" s="24"/>
      <c r="K598" s="24"/>
      <c r="M598" s="24"/>
      <c r="N598" s="24"/>
      <c r="P598" s="24"/>
    </row>
    <row r="599" spans="2:16" x14ac:dyDescent="0.25">
      <c r="B599" s="24"/>
      <c r="E599" s="24"/>
      <c r="G599" s="24"/>
      <c r="H599" s="24"/>
      <c r="J599" s="24"/>
      <c r="K599" s="24"/>
      <c r="M599" s="24"/>
      <c r="N599" s="24"/>
      <c r="P599" s="24"/>
    </row>
    <row r="600" spans="2:16" x14ac:dyDescent="0.25">
      <c r="B600" s="24"/>
      <c r="E600" s="24"/>
      <c r="G600" s="24"/>
      <c r="H600" s="24"/>
      <c r="J600" s="24"/>
      <c r="K600" s="24"/>
      <c r="M600" s="24"/>
      <c r="N600" s="24"/>
      <c r="P600" s="24"/>
    </row>
    <row r="601" spans="2:16" x14ac:dyDescent="0.25">
      <c r="B601" s="24"/>
      <c r="E601" s="24"/>
      <c r="G601" s="24"/>
      <c r="H601" s="24"/>
      <c r="J601" s="24"/>
      <c r="K601" s="24"/>
      <c r="M601" s="24"/>
      <c r="N601" s="24"/>
      <c r="P601" s="24"/>
    </row>
    <row r="602" spans="2:16" x14ac:dyDescent="0.25">
      <c r="B602" s="24"/>
      <c r="E602" s="24"/>
      <c r="G602" s="24"/>
      <c r="H602" s="24"/>
      <c r="J602" s="24"/>
      <c r="K602" s="24"/>
      <c r="M602" s="24"/>
      <c r="N602" s="24"/>
      <c r="P602" s="24"/>
    </row>
    <row r="603" spans="2:16" x14ac:dyDescent="0.25">
      <c r="B603" s="24"/>
      <c r="E603" s="24"/>
      <c r="G603" s="24"/>
      <c r="H603" s="24"/>
      <c r="J603" s="24"/>
      <c r="K603" s="24"/>
      <c r="M603" s="24"/>
      <c r="N603" s="24"/>
      <c r="P603" s="24"/>
    </row>
    <row r="604" spans="2:16" x14ac:dyDescent="0.25">
      <c r="B604" s="24"/>
      <c r="E604" s="24"/>
      <c r="G604" s="24"/>
      <c r="H604" s="24"/>
      <c r="J604" s="24"/>
      <c r="K604" s="24"/>
      <c r="M604" s="24"/>
      <c r="N604" s="24"/>
      <c r="P604" s="24"/>
    </row>
    <row r="605" spans="2:16" x14ac:dyDescent="0.25">
      <c r="B605" s="24"/>
      <c r="E605" s="24"/>
      <c r="G605" s="24"/>
      <c r="H605" s="24"/>
      <c r="J605" s="24"/>
      <c r="K605" s="24"/>
      <c r="M605" s="24"/>
      <c r="N605" s="24"/>
      <c r="P605" s="24"/>
    </row>
    <row r="606" spans="2:16" x14ac:dyDescent="0.25">
      <c r="B606" s="24"/>
      <c r="E606" s="24"/>
      <c r="G606" s="24"/>
      <c r="H606" s="24"/>
      <c r="J606" s="24"/>
      <c r="K606" s="24"/>
      <c r="M606" s="24"/>
      <c r="N606" s="24"/>
      <c r="P606" s="24"/>
    </row>
    <row r="607" spans="2:16" x14ac:dyDescent="0.25">
      <c r="B607" s="24"/>
      <c r="E607" s="24"/>
      <c r="G607" s="24"/>
      <c r="H607" s="24"/>
      <c r="J607" s="24"/>
      <c r="K607" s="24"/>
      <c r="M607" s="24"/>
      <c r="N607" s="24"/>
      <c r="P607" s="24"/>
    </row>
    <row r="608" spans="2:16" x14ac:dyDescent="0.25">
      <c r="B608" s="24"/>
      <c r="E608" s="24"/>
      <c r="G608" s="24"/>
      <c r="H608" s="24"/>
      <c r="J608" s="24"/>
      <c r="K608" s="24"/>
      <c r="M608" s="24"/>
      <c r="N608" s="24"/>
      <c r="P608" s="24"/>
    </row>
    <row r="609" spans="2:16" x14ac:dyDescent="0.25">
      <c r="B609" s="24"/>
      <c r="E609" s="24"/>
      <c r="G609" s="24"/>
      <c r="H609" s="24"/>
      <c r="J609" s="24"/>
      <c r="K609" s="24"/>
      <c r="M609" s="24"/>
      <c r="N609" s="24"/>
      <c r="P609" s="24"/>
    </row>
    <row r="610" spans="2:16" x14ac:dyDescent="0.25">
      <c r="B610" s="24"/>
      <c r="E610" s="24"/>
      <c r="G610" s="24"/>
      <c r="H610" s="24"/>
      <c r="J610" s="24"/>
      <c r="K610" s="24"/>
      <c r="M610" s="24"/>
      <c r="N610" s="24"/>
      <c r="P610" s="24"/>
    </row>
    <row r="611" spans="2:16" x14ac:dyDescent="0.25">
      <c r="B611" s="24"/>
      <c r="E611" s="24"/>
      <c r="G611" s="24"/>
      <c r="H611" s="24"/>
      <c r="J611" s="24"/>
      <c r="K611" s="24"/>
      <c r="M611" s="24"/>
      <c r="N611" s="24"/>
      <c r="P611" s="24"/>
    </row>
    <row r="612" spans="2:16" x14ac:dyDescent="0.25">
      <c r="B612" s="24"/>
      <c r="E612" s="24"/>
      <c r="G612" s="24"/>
      <c r="H612" s="24"/>
      <c r="J612" s="24"/>
      <c r="K612" s="24"/>
      <c r="M612" s="24"/>
      <c r="N612" s="24"/>
      <c r="P612" s="24"/>
    </row>
    <row r="613" spans="2:16" x14ac:dyDescent="0.25">
      <c r="B613" s="24"/>
      <c r="E613" s="24"/>
      <c r="G613" s="24"/>
      <c r="H613" s="24"/>
      <c r="J613" s="24"/>
      <c r="K613" s="24"/>
      <c r="M613" s="24"/>
      <c r="N613" s="24"/>
      <c r="P613" s="24"/>
    </row>
    <row r="614" spans="2:16" x14ac:dyDescent="0.25">
      <c r="B614" s="24"/>
      <c r="E614" s="24"/>
      <c r="G614" s="24"/>
      <c r="H614" s="24"/>
      <c r="J614" s="24"/>
      <c r="K614" s="24"/>
      <c r="M614" s="24"/>
      <c r="N614" s="24"/>
      <c r="P614" s="24"/>
    </row>
    <row r="615" spans="2:16" x14ac:dyDescent="0.25">
      <c r="B615" s="24"/>
      <c r="E615" s="24"/>
      <c r="G615" s="24"/>
      <c r="H615" s="24"/>
      <c r="J615" s="24"/>
      <c r="K615" s="24"/>
      <c r="M615" s="24"/>
      <c r="N615" s="24"/>
      <c r="P615" s="24"/>
    </row>
    <row r="616" spans="2:16" x14ac:dyDescent="0.25">
      <c r="B616" s="24"/>
      <c r="E616" s="24"/>
      <c r="G616" s="24"/>
      <c r="H616" s="24"/>
      <c r="J616" s="24"/>
      <c r="K616" s="24"/>
      <c r="M616" s="24"/>
      <c r="N616" s="24"/>
      <c r="P616" s="24"/>
    </row>
    <row r="617" spans="2:16" x14ac:dyDescent="0.25">
      <c r="B617" s="24"/>
      <c r="E617" s="24"/>
      <c r="G617" s="24"/>
      <c r="H617" s="24"/>
      <c r="J617" s="24"/>
      <c r="K617" s="24"/>
      <c r="M617" s="24"/>
      <c r="N617" s="24"/>
      <c r="P617" s="24"/>
    </row>
    <row r="618" spans="2:16" x14ac:dyDescent="0.25">
      <c r="B618" s="24"/>
      <c r="E618" s="24"/>
      <c r="G618" s="24"/>
      <c r="H618" s="24"/>
      <c r="J618" s="24"/>
      <c r="K618" s="24"/>
      <c r="M618" s="24"/>
      <c r="N618" s="24"/>
      <c r="P618" s="24"/>
    </row>
    <row r="619" spans="2:16" x14ac:dyDescent="0.25">
      <c r="B619" s="24"/>
      <c r="E619" s="24"/>
      <c r="G619" s="24"/>
      <c r="H619" s="24"/>
      <c r="J619" s="24"/>
      <c r="K619" s="24"/>
      <c r="M619" s="24"/>
      <c r="N619" s="24"/>
      <c r="P619" s="24"/>
    </row>
    <row r="620" spans="2:16" x14ac:dyDescent="0.25">
      <c r="B620" s="24"/>
      <c r="E620" s="24"/>
      <c r="G620" s="24"/>
      <c r="H620" s="24"/>
      <c r="J620" s="24"/>
      <c r="K620" s="24"/>
      <c r="M620" s="24"/>
      <c r="N620" s="24"/>
      <c r="P620" s="24"/>
    </row>
    <row r="621" spans="2:16" x14ac:dyDescent="0.25">
      <c r="B621" s="24"/>
      <c r="E621" s="24"/>
      <c r="G621" s="24"/>
      <c r="H621" s="24"/>
      <c r="J621" s="24"/>
      <c r="K621" s="24"/>
      <c r="M621" s="24"/>
      <c r="N621" s="24"/>
      <c r="P621" s="24"/>
    </row>
    <row r="622" spans="2:16" x14ac:dyDescent="0.25">
      <c r="B622" s="24"/>
      <c r="E622" s="24"/>
      <c r="G622" s="24"/>
      <c r="H622" s="24"/>
      <c r="J622" s="24"/>
      <c r="K622" s="24"/>
      <c r="M622" s="24"/>
      <c r="N622" s="24"/>
      <c r="P622" s="24"/>
    </row>
    <row r="623" spans="2:16" x14ac:dyDescent="0.25">
      <c r="B623" s="24"/>
      <c r="E623" s="24"/>
      <c r="G623" s="24"/>
      <c r="H623" s="24"/>
      <c r="J623" s="24"/>
      <c r="K623" s="24"/>
      <c r="M623" s="24"/>
      <c r="N623" s="24"/>
      <c r="P623" s="24"/>
    </row>
    <row r="624" spans="2:16" x14ac:dyDescent="0.25">
      <c r="B624" s="24"/>
      <c r="E624" s="24"/>
      <c r="G624" s="24"/>
      <c r="H624" s="24"/>
      <c r="J624" s="24"/>
      <c r="K624" s="24"/>
      <c r="M624" s="24"/>
      <c r="N624" s="24"/>
      <c r="P624" s="24"/>
    </row>
    <row r="625" spans="2:16" x14ac:dyDescent="0.25">
      <c r="B625" s="24"/>
      <c r="E625" s="24"/>
      <c r="G625" s="24"/>
      <c r="H625" s="24"/>
      <c r="J625" s="24"/>
      <c r="K625" s="24"/>
      <c r="M625" s="24"/>
      <c r="N625" s="24"/>
      <c r="P625" s="24"/>
    </row>
    <row r="626" spans="2:16" x14ac:dyDescent="0.25">
      <c r="B626" s="24"/>
      <c r="E626" s="24"/>
      <c r="G626" s="24"/>
      <c r="H626" s="24"/>
      <c r="J626" s="24"/>
      <c r="K626" s="24"/>
      <c r="M626" s="24"/>
      <c r="N626" s="24"/>
      <c r="P626" s="24"/>
    </row>
    <row r="627" spans="2:16" x14ac:dyDescent="0.25">
      <c r="B627" s="24"/>
      <c r="E627" s="24"/>
      <c r="G627" s="24"/>
      <c r="H627" s="24"/>
      <c r="J627" s="24"/>
      <c r="K627" s="24"/>
      <c r="M627" s="24"/>
      <c r="N627" s="24"/>
      <c r="P627" s="24"/>
    </row>
    <row r="628" spans="2:16" x14ac:dyDescent="0.25">
      <c r="B628" s="24"/>
      <c r="E628" s="24"/>
      <c r="G628" s="24"/>
      <c r="H628" s="24"/>
      <c r="J628" s="24"/>
      <c r="K628" s="24"/>
      <c r="M628" s="24"/>
      <c r="N628" s="24"/>
      <c r="P628" s="24"/>
    </row>
    <row r="629" spans="2:16" x14ac:dyDescent="0.25">
      <c r="B629" s="24"/>
      <c r="E629" s="24"/>
      <c r="G629" s="24"/>
      <c r="H629" s="24"/>
      <c r="J629" s="24"/>
      <c r="K629" s="24"/>
      <c r="M629" s="24"/>
      <c r="N629" s="24"/>
      <c r="P629" s="24"/>
    </row>
    <row r="630" spans="2:16" x14ac:dyDescent="0.25">
      <c r="B630" s="24"/>
      <c r="E630" s="24"/>
      <c r="G630" s="24"/>
      <c r="H630" s="24"/>
      <c r="J630" s="24"/>
      <c r="K630" s="24"/>
      <c r="M630" s="24"/>
      <c r="N630" s="24"/>
      <c r="P630" s="24"/>
    </row>
    <row r="631" spans="2:16" x14ac:dyDescent="0.25">
      <c r="B631" s="24"/>
      <c r="E631" s="24"/>
      <c r="G631" s="24"/>
      <c r="H631" s="24"/>
      <c r="J631" s="24"/>
      <c r="K631" s="24"/>
      <c r="M631" s="24"/>
      <c r="N631" s="24"/>
      <c r="P631" s="24"/>
    </row>
    <row r="632" spans="2:16" x14ac:dyDescent="0.25">
      <c r="B632" s="24"/>
      <c r="E632" s="24"/>
      <c r="G632" s="24"/>
      <c r="H632" s="24"/>
      <c r="J632" s="24"/>
      <c r="K632" s="24"/>
      <c r="M632" s="24"/>
      <c r="N632" s="24"/>
      <c r="P632" s="24"/>
    </row>
    <row r="633" spans="2:16" x14ac:dyDescent="0.25">
      <c r="B633" s="24"/>
      <c r="E633" s="24"/>
      <c r="G633" s="24"/>
      <c r="H633" s="24"/>
      <c r="J633" s="24"/>
      <c r="K633" s="24"/>
      <c r="M633" s="24"/>
      <c r="N633" s="24"/>
      <c r="P633" s="24"/>
    </row>
    <row r="634" spans="2:16" x14ac:dyDescent="0.25">
      <c r="B634" s="24"/>
      <c r="E634" s="24"/>
      <c r="G634" s="24"/>
      <c r="H634" s="24"/>
      <c r="J634" s="24"/>
      <c r="K634" s="24"/>
      <c r="M634" s="24"/>
      <c r="N634" s="24"/>
      <c r="P634" s="24"/>
    </row>
    <row r="635" spans="2:16" x14ac:dyDescent="0.25">
      <c r="B635" s="24"/>
      <c r="E635" s="24"/>
      <c r="G635" s="24"/>
      <c r="H635" s="24"/>
      <c r="J635" s="24"/>
      <c r="K635" s="24"/>
      <c r="M635" s="24"/>
      <c r="N635" s="24"/>
      <c r="P635" s="24"/>
    </row>
    <row r="636" spans="2:16" x14ac:dyDescent="0.25">
      <c r="B636" s="24"/>
      <c r="E636" s="24"/>
      <c r="G636" s="24"/>
      <c r="H636" s="24"/>
      <c r="J636" s="24"/>
      <c r="K636" s="24"/>
      <c r="M636" s="24"/>
      <c r="N636" s="24"/>
      <c r="P636" s="24"/>
    </row>
    <row r="637" spans="2:16" x14ac:dyDescent="0.25">
      <c r="B637" s="24"/>
      <c r="E637" s="24"/>
      <c r="G637" s="24"/>
      <c r="H637" s="24"/>
      <c r="J637" s="24"/>
      <c r="K637" s="24"/>
      <c r="M637" s="24"/>
      <c r="N637" s="24"/>
      <c r="P637" s="24"/>
    </row>
    <row r="638" spans="2:16" x14ac:dyDescent="0.25">
      <c r="B638" s="24"/>
      <c r="E638" s="24"/>
      <c r="G638" s="24"/>
      <c r="H638" s="24"/>
      <c r="J638" s="24"/>
      <c r="K638" s="24"/>
      <c r="M638" s="24"/>
      <c r="N638" s="24"/>
      <c r="P638" s="24"/>
    </row>
    <row r="639" spans="2:16" x14ac:dyDescent="0.25">
      <c r="B639" s="24"/>
      <c r="E639" s="24"/>
      <c r="G639" s="24"/>
      <c r="H639" s="24"/>
      <c r="J639" s="24"/>
      <c r="K639" s="24"/>
      <c r="M639" s="24"/>
      <c r="N639" s="24"/>
      <c r="P639" s="24"/>
    </row>
    <row r="640" spans="2:16" x14ac:dyDescent="0.25">
      <c r="B640" s="24"/>
      <c r="E640" s="24"/>
      <c r="G640" s="24"/>
      <c r="H640" s="24"/>
      <c r="J640" s="24"/>
      <c r="K640" s="24"/>
      <c r="M640" s="24"/>
      <c r="N640" s="24"/>
      <c r="P640" s="24"/>
    </row>
    <row r="641" spans="2:16" x14ac:dyDescent="0.25">
      <c r="B641" s="24"/>
      <c r="E641" s="24"/>
      <c r="G641" s="24"/>
      <c r="H641" s="24"/>
      <c r="J641" s="24"/>
      <c r="K641" s="24"/>
      <c r="M641" s="24"/>
      <c r="N641" s="24"/>
      <c r="P641" s="24"/>
    </row>
    <row r="642" spans="2:16" x14ac:dyDescent="0.25">
      <c r="B642" s="24"/>
      <c r="E642" s="24"/>
      <c r="G642" s="24"/>
      <c r="H642" s="24"/>
      <c r="J642" s="24"/>
      <c r="K642" s="24"/>
      <c r="M642" s="24"/>
      <c r="N642" s="24"/>
      <c r="P642" s="24"/>
    </row>
    <row r="643" spans="2:16" x14ac:dyDescent="0.25">
      <c r="B643" s="24"/>
      <c r="E643" s="24"/>
      <c r="G643" s="24"/>
      <c r="H643" s="24"/>
      <c r="J643" s="24"/>
      <c r="K643" s="24"/>
      <c r="M643" s="24"/>
      <c r="N643" s="24"/>
      <c r="P643" s="24"/>
    </row>
    <row r="644" spans="2:16" x14ac:dyDescent="0.25">
      <c r="B644" s="24"/>
      <c r="E644" s="24"/>
      <c r="G644" s="24"/>
      <c r="H644" s="24"/>
      <c r="J644" s="24"/>
      <c r="K644" s="24"/>
      <c r="M644" s="24"/>
      <c r="N644" s="24"/>
      <c r="P644" s="24"/>
    </row>
    <row r="645" spans="2:16" x14ac:dyDescent="0.25">
      <c r="B645" s="24"/>
      <c r="E645" s="24"/>
      <c r="G645" s="24"/>
      <c r="H645" s="24"/>
      <c r="J645" s="24"/>
      <c r="K645" s="24"/>
      <c r="M645" s="24"/>
      <c r="N645" s="24"/>
      <c r="P645" s="24"/>
    </row>
    <row r="646" spans="2:16" x14ac:dyDescent="0.25">
      <c r="B646" s="24"/>
      <c r="E646" s="24"/>
      <c r="G646" s="24"/>
      <c r="H646" s="24"/>
      <c r="J646" s="24"/>
      <c r="K646" s="24"/>
      <c r="M646" s="24"/>
      <c r="N646" s="24"/>
      <c r="P646" s="24"/>
    </row>
    <row r="647" spans="2:16" x14ac:dyDescent="0.25">
      <c r="B647" s="24"/>
      <c r="E647" s="24"/>
      <c r="G647" s="24"/>
      <c r="H647" s="24"/>
      <c r="J647" s="24"/>
      <c r="K647" s="24"/>
      <c r="M647" s="24"/>
      <c r="N647" s="24"/>
      <c r="P647" s="24"/>
    </row>
    <row r="648" spans="2:16" x14ac:dyDescent="0.25">
      <c r="B648" s="24"/>
      <c r="E648" s="24"/>
      <c r="G648" s="24"/>
      <c r="H648" s="24"/>
      <c r="J648" s="24"/>
      <c r="K648" s="24"/>
      <c r="M648" s="24"/>
      <c r="N648" s="24"/>
      <c r="P648" s="24"/>
    </row>
    <row r="649" spans="2:16" x14ac:dyDescent="0.25">
      <c r="B649" s="24"/>
      <c r="E649" s="24"/>
      <c r="G649" s="24"/>
      <c r="H649" s="24"/>
      <c r="J649" s="24"/>
      <c r="K649" s="24"/>
      <c r="M649" s="24"/>
      <c r="N649" s="24"/>
      <c r="P649" s="24"/>
    </row>
    <row r="650" spans="2:16" x14ac:dyDescent="0.25">
      <c r="B650" s="24"/>
      <c r="E650" s="24"/>
      <c r="G650" s="24"/>
      <c r="H650" s="24"/>
      <c r="J650" s="24"/>
      <c r="K650" s="24"/>
      <c r="M650" s="24"/>
      <c r="N650" s="24"/>
      <c r="P650" s="24"/>
    </row>
    <row r="651" spans="2:16" x14ac:dyDescent="0.25">
      <c r="B651" s="24"/>
      <c r="E651" s="24"/>
      <c r="G651" s="24"/>
      <c r="H651" s="24"/>
      <c r="J651" s="24"/>
      <c r="K651" s="24"/>
      <c r="M651" s="24"/>
      <c r="N651" s="24"/>
      <c r="P651" s="24"/>
    </row>
    <row r="652" spans="2:16" x14ac:dyDescent="0.25">
      <c r="B652" s="24"/>
      <c r="E652" s="24"/>
      <c r="G652" s="24"/>
      <c r="H652" s="24"/>
      <c r="J652" s="24"/>
      <c r="K652" s="24"/>
      <c r="M652" s="24"/>
      <c r="N652" s="24"/>
      <c r="P652" s="24"/>
    </row>
    <row r="653" spans="2:16" x14ac:dyDescent="0.25">
      <c r="B653" s="24"/>
      <c r="E653" s="24"/>
      <c r="G653" s="24"/>
      <c r="H653" s="24"/>
      <c r="J653" s="24"/>
      <c r="K653" s="24"/>
      <c r="M653" s="24"/>
      <c r="N653" s="24"/>
      <c r="P653" s="24"/>
    </row>
    <row r="654" spans="2:16" x14ac:dyDescent="0.25">
      <c r="B654" s="24"/>
      <c r="E654" s="24"/>
      <c r="G654" s="24"/>
      <c r="H654" s="24"/>
      <c r="J654" s="24"/>
      <c r="K654" s="24"/>
      <c r="M654" s="24"/>
      <c r="N654" s="24"/>
      <c r="P654" s="24"/>
    </row>
    <row r="655" spans="2:16" x14ac:dyDescent="0.25">
      <c r="B655" s="24"/>
      <c r="E655" s="24"/>
      <c r="G655" s="24"/>
      <c r="H655" s="24"/>
      <c r="J655" s="24"/>
      <c r="K655" s="24"/>
      <c r="M655" s="24"/>
      <c r="N655" s="24"/>
      <c r="P655" s="24"/>
    </row>
    <row r="656" spans="2:16" x14ac:dyDescent="0.25">
      <c r="B656" s="24"/>
      <c r="E656" s="24"/>
      <c r="G656" s="24"/>
      <c r="H656" s="24"/>
      <c r="J656" s="24"/>
      <c r="K656" s="24"/>
      <c r="M656" s="24"/>
      <c r="N656" s="24"/>
      <c r="P656" s="24"/>
    </row>
    <row r="657" spans="2:16" x14ac:dyDescent="0.25">
      <c r="B657" s="24"/>
      <c r="E657" s="24"/>
      <c r="G657" s="24"/>
      <c r="H657" s="24"/>
      <c r="J657" s="24"/>
      <c r="K657" s="24"/>
      <c r="M657" s="24"/>
      <c r="N657" s="24"/>
      <c r="P657" s="24"/>
    </row>
    <row r="658" spans="2:16" x14ac:dyDescent="0.25">
      <c r="B658" s="24"/>
      <c r="E658" s="24"/>
      <c r="G658" s="24"/>
      <c r="H658" s="24"/>
      <c r="J658" s="24"/>
      <c r="K658" s="24"/>
      <c r="M658" s="24"/>
      <c r="N658" s="24"/>
      <c r="P658" s="24"/>
    </row>
    <row r="659" spans="2:16" x14ac:dyDescent="0.25">
      <c r="B659" s="24"/>
      <c r="E659" s="24"/>
      <c r="G659" s="24"/>
      <c r="H659" s="24"/>
      <c r="J659" s="24"/>
      <c r="K659" s="24"/>
      <c r="M659" s="24"/>
      <c r="N659" s="24"/>
      <c r="P659" s="24"/>
    </row>
    <row r="660" spans="2:16" x14ac:dyDescent="0.25">
      <c r="B660" s="24"/>
      <c r="E660" s="24"/>
      <c r="G660" s="24"/>
      <c r="H660" s="24"/>
      <c r="J660" s="24"/>
      <c r="K660" s="24"/>
      <c r="M660" s="24"/>
      <c r="N660" s="24"/>
      <c r="P660" s="24"/>
    </row>
    <row r="661" spans="2:16" x14ac:dyDescent="0.25">
      <c r="B661" s="24"/>
      <c r="E661" s="24"/>
      <c r="G661" s="24"/>
      <c r="H661" s="24"/>
      <c r="J661" s="24"/>
      <c r="K661" s="24"/>
      <c r="M661" s="24"/>
      <c r="N661" s="24"/>
      <c r="P661" s="24"/>
    </row>
    <row r="662" spans="2:16" x14ac:dyDescent="0.25">
      <c r="B662" s="24"/>
      <c r="E662" s="24"/>
      <c r="G662" s="24"/>
      <c r="H662" s="24"/>
      <c r="J662" s="24"/>
      <c r="K662" s="24"/>
      <c r="M662" s="24"/>
      <c r="N662" s="24"/>
      <c r="P662" s="24"/>
    </row>
    <row r="663" spans="2:16" x14ac:dyDescent="0.25">
      <c r="B663" s="24"/>
      <c r="E663" s="24"/>
      <c r="G663" s="24"/>
      <c r="H663" s="24"/>
      <c r="J663" s="24"/>
      <c r="K663" s="24"/>
      <c r="M663" s="24"/>
      <c r="N663" s="24"/>
      <c r="P663" s="24"/>
    </row>
    <row r="664" spans="2:16" x14ac:dyDescent="0.25">
      <c r="B664" s="24"/>
      <c r="E664" s="24"/>
      <c r="G664" s="24"/>
      <c r="H664" s="24"/>
      <c r="J664" s="24"/>
      <c r="K664" s="24"/>
      <c r="M664" s="24"/>
      <c r="N664" s="24"/>
      <c r="P664" s="24"/>
    </row>
    <row r="665" spans="2:16" x14ac:dyDescent="0.25">
      <c r="B665" s="24"/>
      <c r="E665" s="24"/>
      <c r="G665" s="24"/>
      <c r="H665" s="24"/>
      <c r="J665" s="24"/>
      <c r="K665" s="24"/>
      <c r="M665" s="24"/>
      <c r="N665" s="24"/>
      <c r="P665" s="24"/>
    </row>
    <row r="666" spans="2:16" x14ac:dyDescent="0.25">
      <c r="B666" s="24"/>
      <c r="E666" s="24"/>
      <c r="G666" s="24"/>
      <c r="H666" s="24"/>
      <c r="J666" s="24"/>
      <c r="K666" s="24"/>
      <c r="M666" s="24"/>
      <c r="N666" s="24"/>
      <c r="P666" s="24"/>
    </row>
    <row r="667" spans="2:16" x14ac:dyDescent="0.25">
      <c r="B667" s="24"/>
      <c r="E667" s="24"/>
      <c r="G667" s="24"/>
      <c r="H667" s="24"/>
      <c r="J667" s="24"/>
      <c r="K667" s="24"/>
      <c r="M667" s="24"/>
      <c r="N667" s="24"/>
      <c r="P667" s="24"/>
    </row>
    <row r="668" spans="2:16" x14ac:dyDescent="0.25">
      <c r="B668" s="24"/>
      <c r="E668" s="24"/>
      <c r="G668" s="24"/>
      <c r="H668" s="24"/>
      <c r="J668" s="24"/>
      <c r="K668" s="24"/>
      <c r="M668" s="24"/>
      <c r="N668" s="24"/>
      <c r="P668" s="24"/>
    </row>
    <row r="669" spans="2:16" x14ac:dyDescent="0.25">
      <c r="B669" s="24"/>
      <c r="E669" s="24"/>
      <c r="G669" s="24"/>
      <c r="H669" s="24"/>
      <c r="J669" s="24"/>
      <c r="K669" s="24"/>
      <c r="M669" s="24"/>
      <c r="N669" s="24"/>
      <c r="P669" s="24"/>
    </row>
    <row r="670" spans="2:16" x14ac:dyDescent="0.25">
      <c r="B670" s="24"/>
      <c r="E670" s="24"/>
      <c r="G670" s="24"/>
      <c r="H670" s="24"/>
      <c r="J670" s="24"/>
      <c r="K670" s="24"/>
      <c r="M670" s="24"/>
      <c r="N670" s="24"/>
      <c r="P670" s="24"/>
    </row>
    <row r="671" spans="2:16" x14ac:dyDescent="0.25">
      <c r="B671" s="24"/>
      <c r="E671" s="24"/>
      <c r="G671" s="24"/>
      <c r="H671" s="24"/>
      <c r="J671" s="24"/>
      <c r="K671" s="24"/>
      <c r="M671" s="24"/>
      <c r="N671" s="24"/>
      <c r="P671" s="24"/>
    </row>
    <row r="672" spans="2:16" x14ac:dyDescent="0.25">
      <c r="B672" s="24"/>
      <c r="E672" s="24"/>
      <c r="G672" s="24"/>
      <c r="H672" s="24"/>
      <c r="J672" s="24"/>
      <c r="K672" s="24"/>
      <c r="M672" s="24"/>
      <c r="N672" s="24"/>
      <c r="P672" s="24"/>
    </row>
    <row r="673" spans="2:16" x14ac:dyDescent="0.25">
      <c r="B673" s="24"/>
      <c r="E673" s="24"/>
      <c r="G673" s="24"/>
      <c r="H673" s="24"/>
      <c r="J673" s="24"/>
      <c r="K673" s="24"/>
      <c r="M673" s="24"/>
      <c r="N673" s="24"/>
      <c r="P673" s="24"/>
    </row>
    <row r="674" spans="2:16" x14ac:dyDescent="0.25">
      <c r="B674" s="24"/>
      <c r="E674" s="24"/>
      <c r="G674" s="24"/>
      <c r="H674" s="24"/>
      <c r="J674" s="24"/>
      <c r="K674" s="24"/>
      <c r="M674" s="24"/>
      <c r="N674" s="24"/>
      <c r="P674" s="24"/>
    </row>
    <row r="675" spans="2:16" x14ac:dyDescent="0.25">
      <c r="B675" s="24"/>
      <c r="E675" s="24"/>
      <c r="G675" s="24"/>
      <c r="H675" s="24"/>
      <c r="J675" s="24"/>
      <c r="K675" s="24"/>
      <c r="M675" s="24"/>
      <c r="N675" s="24"/>
      <c r="P675" s="24"/>
    </row>
    <row r="676" spans="2:16" x14ac:dyDescent="0.25">
      <c r="B676" s="24"/>
      <c r="E676" s="24"/>
      <c r="G676" s="24"/>
      <c r="H676" s="24"/>
      <c r="J676" s="24"/>
      <c r="K676" s="24"/>
      <c r="M676" s="24"/>
      <c r="N676" s="24"/>
      <c r="P676" s="24"/>
    </row>
    <row r="677" spans="2:16" x14ac:dyDescent="0.25">
      <c r="B677" s="24"/>
      <c r="E677" s="24"/>
      <c r="G677" s="24"/>
      <c r="H677" s="24"/>
      <c r="J677" s="24"/>
      <c r="K677" s="24"/>
      <c r="M677" s="24"/>
      <c r="N677" s="24"/>
      <c r="P677" s="24"/>
    </row>
    <row r="678" spans="2:16" x14ac:dyDescent="0.25">
      <c r="B678" s="24"/>
      <c r="E678" s="24"/>
      <c r="G678" s="24"/>
      <c r="H678" s="24"/>
      <c r="J678" s="24"/>
      <c r="K678" s="24"/>
      <c r="M678" s="24"/>
      <c r="N678" s="24"/>
      <c r="P678" s="24"/>
    </row>
    <row r="679" spans="2:16" x14ac:dyDescent="0.25">
      <c r="B679" s="24"/>
      <c r="E679" s="24"/>
      <c r="G679" s="24"/>
      <c r="H679" s="24"/>
      <c r="J679" s="24"/>
      <c r="K679" s="24"/>
      <c r="M679" s="24"/>
      <c r="N679" s="24"/>
      <c r="P679" s="24"/>
    </row>
    <row r="680" spans="2:16" x14ac:dyDescent="0.25">
      <c r="B680" s="24"/>
      <c r="E680" s="24"/>
      <c r="G680" s="24"/>
      <c r="H680" s="24"/>
      <c r="J680" s="24"/>
      <c r="K680" s="24"/>
      <c r="M680" s="24"/>
      <c r="N680" s="24"/>
      <c r="P680" s="24"/>
    </row>
    <row r="681" spans="2:16" x14ac:dyDescent="0.25">
      <c r="B681" s="24"/>
      <c r="E681" s="24"/>
      <c r="G681" s="24"/>
      <c r="H681" s="24"/>
      <c r="J681" s="24"/>
      <c r="K681" s="24"/>
      <c r="M681" s="24"/>
      <c r="N681" s="24"/>
      <c r="P681" s="24"/>
    </row>
    <row r="682" spans="2:16" x14ac:dyDescent="0.25">
      <c r="B682" s="24"/>
      <c r="E682" s="24"/>
      <c r="G682" s="24"/>
      <c r="H682" s="24"/>
      <c r="J682" s="24"/>
      <c r="K682" s="24"/>
      <c r="M682" s="24"/>
      <c r="N682" s="24"/>
      <c r="P682" s="24"/>
    </row>
    <row r="683" spans="2:16" x14ac:dyDescent="0.25">
      <c r="B683" s="24"/>
      <c r="E683" s="24"/>
      <c r="G683" s="24"/>
      <c r="H683" s="24"/>
      <c r="J683" s="24"/>
      <c r="K683" s="24"/>
      <c r="M683" s="24"/>
      <c r="N683" s="24"/>
      <c r="P683" s="24"/>
    </row>
    <row r="684" spans="2:16" x14ac:dyDescent="0.25">
      <c r="B684" s="24"/>
      <c r="E684" s="24"/>
      <c r="G684" s="24"/>
      <c r="H684" s="24"/>
      <c r="J684" s="24"/>
      <c r="K684" s="24"/>
      <c r="M684" s="24"/>
      <c r="N684" s="24"/>
      <c r="P684" s="24"/>
    </row>
    <row r="685" spans="2:16" x14ac:dyDescent="0.25">
      <c r="B685" s="24"/>
      <c r="E685" s="24"/>
      <c r="G685" s="24"/>
      <c r="H685" s="24"/>
      <c r="J685" s="24"/>
      <c r="K685" s="24"/>
      <c r="M685" s="24"/>
      <c r="N685" s="24"/>
      <c r="P685" s="24"/>
    </row>
    <row r="686" spans="2:16" x14ac:dyDescent="0.25">
      <c r="B686" s="24"/>
      <c r="E686" s="24"/>
      <c r="G686" s="24"/>
      <c r="H686" s="24"/>
      <c r="J686" s="24"/>
      <c r="K686" s="24"/>
      <c r="M686" s="24"/>
      <c r="N686" s="24"/>
      <c r="P686" s="24"/>
    </row>
    <row r="687" spans="2:16" x14ac:dyDescent="0.25">
      <c r="B687" s="24"/>
      <c r="E687" s="24"/>
      <c r="G687" s="24"/>
      <c r="H687" s="24"/>
      <c r="J687" s="24"/>
      <c r="K687" s="24"/>
      <c r="M687" s="24"/>
      <c r="N687" s="24"/>
      <c r="P687" s="24"/>
    </row>
    <row r="688" spans="2:16" x14ac:dyDescent="0.25">
      <c r="B688" s="24"/>
      <c r="E688" s="24"/>
      <c r="G688" s="24"/>
      <c r="H688" s="24"/>
      <c r="J688" s="24"/>
      <c r="K688" s="24"/>
      <c r="M688" s="24"/>
      <c r="N688" s="24"/>
      <c r="P688" s="24"/>
    </row>
    <row r="689" spans="2:16" x14ac:dyDescent="0.25">
      <c r="B689" s="24"/>
      <c r="E689" s="24"/>
      <c r="G689" s="24"/>
      <c r="H689" s="24"/>
      <c r="J689" s="24"/>
      <c r="K689" s="24"/>
      <c r="M689" s="24"/>
      <c r="N689" s="24"/>
      <c r="P689" s="24"/>
    </row>
    <row r="690" spans="2:16" x14ac:dyDescent="0.25">
      <c r="B690" s="24"/>
      <c r="E690" s="24"/>
      <c r="G690" s="24"/>
      <c r="H690" s="24"/>
      <c r="J690" s="24"/>
      <c r="K690" s="24"/>
      <c r="M690" s="24"/>
      <c r="N690" s="24"/>
      <c r="P690" s="24"/>
    </row>
    <row r="691" spans="2:16" x14ac:dyDescent="0.25">
      <c r="B691" s="24"/>
      <c r="E691" s="24"/>
      <c r="G691" s="24"/>
      <c r="H691" s="24"/>
      <c r="J691" s="24"/>
      <c r="K691" s="24"/>
      <c r="M691" s="24"/>
      <c r="N691" s="24"/>
      <c r="P691" s="24"/>
    </row>
    <row r="692" spans="2:16" x14ac:dyDescent="0.25">
      <c r="B692" s="24"/>
      <c r="E692" s="24"/>
      <c r="G692" s="24"/>
      <c r="H692" s="24"/>
      <c r="J692" s="24"/>
      <c r="K692" s="24"/>
      <c r="M692" s="24"/>
      <c r="N692" s="24"/>
      <c r="P692" s="24"/>
    </row>
    <row r="693" spans="2:16" x14ac:dyDescent="0.25">
      <c r="B693" s="24"/>
      <c r="E693" s="24"/>
      <c r="G693" s="24"/>
      <c r="H693" s="24"/>
      <c r="J693" s="24"/>
      <c r="K693" s="24"/>
      <c r="M693" s="24"/>
      <c r="N693" s="24"/>
      <c r="P693" s="24"/>
    </row>
    <row r="694" spans="2:16" x14ac:dyDescent="0.25">
      <c r="B694" s="24"/>
      <c r="E694" s="24"/>
      <c r="G694" s="24"/>
      <c r="H694" s="24"/>
      <c r="J694" s="24"/>
      <c r="K694" s="24"/>
      <c r="M694" s="24"/>
      <c r="N694" s="24"/>
      <c r="P694" s="24"/>
    </row>
    <row r="695" spans="2:16" x14ac:dyDescent="0.25">
      <c r="B695" s="24"/>
      <c r="E695" s="24"/>
      <c r="G695" s="24"/>
      <c r="H695" s="24"/>
      <c r="J695" s="24"/>
      <c r="K695" s="24"/>
      <c r="M695" s="24"/>
      <c r="N695" s="24"/>
      <c r="P695" s="24"/>
    </row>
    <row r="696" spans="2:16" x14ac:dyDescent="0.25">
      <c r="B696" s="24"/>
      <c r="E696" s="24"/>
      <c r="G696" s="24"/>
      <c r="H696" s="24"/>
      <c r="J696" s="24"/>
      <c r="K696" s="24"/>
      <c r="M696" s="24"/>
      <c r="N696" s="24"/>
      <c r="P696" s="24"/>
    </row>
    <row r="697" spans="2:16" x14ac:dyDescent="0.25">
      <c r="B697" s="24"/>
      <c r="E697" s="24"/>
      <c r="G697" s="24"/>
      <c r="H697" s="24"/>
      <c r="J697" s="24"/>
      <c r="K697" s="24"/>
      <c r="M697" s="24"/>
      <c r="N697" s="24"/>
      <c r="P697" s="24"/>
    </row>
    <row r="698" spans="2:16" x14ac:dyDescent="0.25">
      <c r="B698" s="24"/>
      <c r="E698" s="24"/>
      <c r="G698" s="24"/>
      <c r="H698" s="24"/>
      <c r="J698" s="24"/>
      <c r="K698" s="24"/>
      <c r="M698" s="24"/>
      <c r="N698" s="24"/>
      <c r="P698" s="24"/>
    </row>
    <row r="699" spans="2:16" x14ac:dyDescent="0.25">
      <c r="B699" s="24"/>
      <c r="E699" s="24"/>
      <c r="G699" s="24"/>
      <c r="H699" s="24"/>
      <c r="J699" s="24"/>
      <c r="K699" s="24"/>
      <c r="M699" s="24"/>
      <c r="N699" s="24"/>
      <c r="P699" s="24"/>
    </row>
    <row r="700" spans="2:16" x14ac:dyDescent="0.25">
      <c r="B700" s="24"/>
      <c r="E700" s="24"/>
      <c r="G700" s="24"/>
      <c r="H700" s="24"/>
      <c r="J700" s="24"/>
      <c r="K700" s="24"/>
      <c r="M700" s="24"/>
      <c r="N700" s="24"/>
      <c r="P700" s="24"/>
    </row>
    <row r="701" spans="2:16" x14ac:dyDescent="0.25">
      <c r="B701" s="24"/>
      <c r="E701" s="24"/>
      <c r="G701" s="24"/>
      <c r="H701" s="24"/>
      <c r="J701" s="24"/>
      <c r="K701" s="24"/>
      <c r="M701" s="24"/>
      <c r="N701" s="24"/>
      <c r="P701" s="24"/>
    </row>
    <row r="702" spans="2:16" x14ac:dyDescent="0.25">
      <c r="B702" s="24"/>
      <c r="E702" s="24"/>
      <c r="G702" s="24"/>
      <c r="H702" s="24"/>
      <c r="J702" s="24"/>
      <c r="K702" s="24"/>
      <c r="M702" s="24"/>
      <c r="N702" s="24"/>
      <c r="P702" s="24"/>
    </row>
    <row r="703" spans="2:16" x14ac:dyDescent="0.25">
      <c r="B703" s="24"/>
      <c r="E703" s="24"/>
      <c r="G703" s="24"/>
      <c r="H703" s="24"/>
      <c r="J703" s="24"/>
      <c r="K703" s="24"/>
      <c r="M703" s="24"/>
      <c r="N703" s="24"/>
      <c r="P703" s="24"/>
    </row>
    <row r="704" spans="2:16" x14ac:dyDescent="0.25">
      <c r="B704" s="24"/>
      <c r="E704" s="24"/>
      <c r="G704" s="24"/>
      <c r="H704" s="24"/>
      <c r="J704" s="24"/>
      <c r="K704" s="24"/>
      <c r="M704" s="24"/>
      <c r="N704" s="24"/>
      <c r="P704" s="24"/>
    </row>
    <row r="705" spans="2:16" x14ac:dyDescent="0.25">
      <c r="B705" s="24"/>
      <c r="E705" s="24"/>
      <c r="G705" s="24"/>
      <c r="H705" s="24"/>
      <c r="J705" s="24"/>
      <c r="K705" s="24"/>
      <c r="M705" s="24"/>
      <c r="N705" s="24"/>
      <c r="P705" s="24"/>
    </row>
    <row r="706" spans="2:16" x14ac:dyDescent="0.25">
      <c r="B706" s="24"/>
      <c r="E706" s="24"/>
      <c r="G706" s="24"/>
      <c r="H706" s="24"/>
      <c r="J706" s="24"/>
      <c r="K706" s="24"/>
      <c r="M706" s="24"/>
      <c r="N706" s="24"/>
      <c r="P706" s="24"/>
    </row>
    <row r="707" spans="2:16" x14ac:dyDescent="0.25">
      <c r="B707" s="24"/>
      <c r="E707" s="24"/>
      <c r="G707" s="24"/>
      <c r="H707" s="24"/>
      <c r="J707" s="24"/>
      <c r="K707" s="24"/>
      <c r="M707" s="24"/>
      <c r="N707" s="24"/>
      <c r="P707" s="24"/>
    </row>
    <row r="708" spans="2:16" x14ac:dyDescent="0.25">
      <c r="B708" s="24"/>
      <c r="E708" s="24"/>
      <c r="G708" s="24"/>
      <c r="H708" s="24"/>
      <c r="J708" s="24"/>
      <c r="K708" s="24"/>
      <c r="M708" s="24"/>
      <c r="N708" s="24"/>
      <c r="P708" s="24"/>
    </row>
    <row r="709" spans="2:16" x14ac:dyDescent="0.25">
      <c r="B709" s="24"/>
      <c r="E709" s="24"/>
      <c r="G709" s="24"/>
      <c r="H709" s="24"/>
      <c r="J709" s="24"/>
      <c r="K709" s="24"/>
      <c r="M709" s="24"/>
      <c r="N709" s="24"/>
      <c r="P709" s="24"/>
    </row>
    <row r="710" spans="2:16" x14ac:dyDescent="0.25">
      <c r="B710" s="24"/>
      <c r="E710" s="24"/>
      <c r="G710" s="24"/>
      <c r="H710" s="24"/>
      <c r="J710" s="24"/>
      <c r="K710" s="24"/>
      <c r="M710" s="24"/>
      <c r="N710" s="24"/>
      <c r="P710" s="24"/>
    </row>
    <row r="711" spans="2:16" x14ac:dyDescent="0.25">
      <c r="B711" s="24"/>
      <c r="E711" s="24"/>
      <c r="G711" s="24"/>
      <c r="H711" s="24"/>
      <c r="J711" s="24"/>
      <c r="K711" s="24"/>
      <c r="M711" s="24"/>
      <c r="N711" s="24"/>
      <c r="P711" s="24"/>
    </row>
    <row r="712" spans="2:16" x14ac:dyDescent="0.25">
      <c r="B712" s="24"/>
      <c r="E712" s="24"/>
      <c r="G712" s="24"/>
      <c r="H712" s="24"/>
      <c r="J712" s="24"/>
      <c r="K712" s="24"/>
      <c r="M712" s="24"/>
      <c r="N712" s="24"/>
      <c r="P712" s="24"/>
    </row>
    <row r="713" spans="2:16" x14ac:dyDescent="0.25">
      <c r="B713" s="24"/>
      <c r="E713" s="24"/>
      <c r="G713" s="24"/>
      <c r="H713" s="24"/>
      <c r="J713" s="24"/>
      <c r="K713" s="24"/>
      <c r="M713" s="24"/>
      <c r="N713" s="24"/>
      <c r="P713" s="24"/>
    </row>
    <row r="714" spans="2:16" x14ac:dyDescent="0.25">
      <c r="B714" s="24"/>
      <c r="E714" s="24"/>
      <c r="G714" s="24"/>
      <c r="H714" s="24"/>
      <c r="J714" s="24"/>
      <c r="K714" s="24"/>
      <c r="M714" s="24"/>
      <c r="N714" s="24"/>
      <c r="P714" s="24"/>
    </row>
    <row r="715" spans="2:16" x14ac:dyDescent="0.25">
      <c r="B715" s="24"/>
      <c r="E715" s="24"/>
      <c r="G715" s="24"/>
      <c r="H715" s="24"/>
      <c r="J715" s="24"/>
      <c r="K715" s="24"/>
      <c r="M715" s="24"/>
      <c r="N715" s="24"/>
      <c r="P715" s="24"/>
    </row>
    <row r="716" spans="2:16" x14ac:dyDescent="0.25">
      <c r="B716" s="24"/>
      <c r="E716" s="24"/>
      <c r="G716" s="24"/>
      <c r="H716" s="24"/>
      <c r="J716" s="24"/>
      <c r="K716" s="24"/>
      <c r="M716" s="24"/>
      <c r="N716" s="24"/>
      <c r="P716" s="24"/>
    </row>
    <row r="717" spans="2:16" x14ac:dyDescent="0.25">
      <c r="B717" s="24"/>
      <c r="E717" s="24"/>
      <c r="G717" s="24"/>
      <c r="H717" s="24"/>
      <c r="J717" s="24"/>
      <c r="K717" s="24"/>
      <c r="M717" s="24"/>
      <c r="N717" s="24"/>
      <c r="P717" s="24"/>
    </row>
    <row r="718" spans="2:16" x14ac:dyDescent="0.25">
      <c r="B718" s="24"/>
      <c r="E718" s="24"/>
      <c r="G718" s="24"/>
      <c r="H718" s="24"/>
      <c r="J718" s="24"/>
      <c r="K718" s="24"/>
      <c r="M718" s="24"/>
      <c r="N718" s="24"/>
      <c r="P718" s="24"/>
    </row>
    <row r="719" spans="2:16" x14ac:dyDescent="0.25">
      <c r="B719" s="24"/>
      <c r="E719" s="24"/>
      <c r="G719" s="24"/>
      <c r="H719" s="24"/>
      <c r="J719" s="24"/>
      <c r="K719" s="24"/>
      <c r="M719" s="24"/>
      <c r="N719" s="24"/>
      <c r="P719" s="24"/>
    </row>
    <row r="720" spans="2:16" x14ac:dyDescent="0.25">
      <c r="B720" s="24"/>
      <c r="E720" s="24"/>
      <c r="G720" s="24"/>
      <c r="H720" s="24"/>
      <c r="J720" s="24"/>
      <c r="K720" s="24"/>
      <c r="M720" s="24"/>
      <c r="N720" s="24"/>
      <c r="P720" s="24"/>
    </row>
    <row r="721" spans="2:16" x14ac:dyDescent="0.25">
      <c r="B721" s="24"/>
      <c r="E721" s="24"/>
      <c r="G721" s="24"/>
      <c r="H721" s="24"/>
      <c r="J721" s="24"/>
      <c r="K721" s="24"/>
      <c r="M721" s="24"/>
      <c r="N721" s="24"/>
      <c r="P721" s="24"/>
    </row>
    <row r="722" spans="2:16" x14ac:dyDescent="0.25">
      <c r="B722" s="24"/>
      <c r="E722" s="24"/>
      <c r="G722" s="24"/>
      <c r="H722" s="24"/>
      <c r="J722" s="24"/>
      <c r="K722" s="24"/>
      <c r="M722" s="24"/>
      <c r="N722" s="24"/>
      <c r="P722" s="24"/>
    </row>
    <row r="723" spans="2:16" x14ac:dyDescent="0.25">
      <c r="B723" s="24"/>
      <c r="E723" s="24"/>
      <c r="G723" s="24"/>
      <c r="H723" s="24"/>
      <c r="J723" s="24"/>
      <c r="K723" s="24"/>
      <c r="M723" s="24"/>
      <c r="N723" s="24"/>
      <c r="P723" s="24"/>
    </row>
    <row r="724" spans="2:16" x14ac:dyDescent="0.25">
      <c r="B724" s="24"/>
      <c r="E724" s="24"/>
      <c r="G724" s="24"/>
      <c r="H724" s="24"/>
      <c r="J724" s="24"/>
      <c r="K724" s="24"/>
      <c r="M724" s="24"/>
      <c r="N724" s="24"/>
      <c r="P724" s="24"/>
    </row>
    <row r="725" spans="2:16" x14ac:dyDescent="0.25">
      <c r="B725" s="24"/>
      <c r="E725" s="24"/>
      <c r="G725" s="24"/>
      <c r="H725" s="24"/>
      <c r="J725" s="24"/>
      <c r="K725" s="24"/>
      <c r="M725" s="24"/>
      <c r="N725" s="24"/>
      <c r="P725" s="24"/>
    </row>
    <row r="726" spans="2:16" x14ac:dyDescent="0.25">
      <c r="B726" s="24"/>
      <c r="E726" s="24"/>
      <c r="G726" s="24"/>
      <c r="H726" s="24"/>
      <c r="J726" s="24"/>
      <c r="K726" s="24"/>
      <c r="M726" s="24"/>
      <c r="N726" s="24"/>
      <c r="P726" s="24"/>
    </row>
    <row r="727" spans="2:16" x14ac:dyDescent="0.25">
      <c r="B727" s="24"/>
      <c r="E727" s="24"/>
      <c r="G727" s="24"/>
      <c r="H727" s="24"/>
      <c r="J727" s="24"/>
      <c r="K727" s="24"/>
      <c r="M727" s="24"/>
      <c r="N727" s="24"/>
      <c r="P727" s="24"/>
    </row>
    <row r="728" spans="2:16" x14ac:dyDescent="0.25">
      <c r="B728" s="24"/>
      <c r="E728" s="24"/>
      <c r="G728" s="24"/>
      <c r="H728" s="24"/>
      <c r="J728" s="24"/>
      <c r="K728" s="24"/>
      <c r="M728" s="24"/>
      <c r="N728" s="24"/>
      <c r="P728" s="24"/>
    </row>
    <row r="729" spans="2:16" x14ac:dyDescent="0.25">
      <c r="B729" s="24"/>
      <c r="E729" s="24"/>
      <c r="G729" s="24"/>
      <c r="H729" s="24"/>
      <c r="J729" s="24"/>
      <c r="K729" s="24"/>
      <c r="M729" s="24"/>
      <c r="N729" s="24"/>
      <c r="P729" s="24"/>
    </row>
    <row r="730" spans="2:16" x14ac:dyDescent="0.25">
      <c r="B730" s="24"/>
      <c r="E730" s="24"/>
      <c r="G730" s="24"/>
      <c r="H730" s="24"/>
      <c r="J730" s="24"/>
      <c r="K730" s="24"/>
      <c r="M730" s="24"/>
      <c r="N730" s="24"/>
      <c r="P730" s="24"/>
    </row>
    <row r="731" spans="2:16" x14ac:dyDescent="0.25">
      <c r="B731" s="24"/>
      <c r="E731" s="24"/>
      <c r="G731" s="24"/>
      <c r="H731" s="24"/>
      <c r="J731" s="24"/>
      <c r="K731" s="24"/>
      <c r="M731" s="24"/>
      <c r="N731" s="24"/>
      <c r="P731" s="24"/>
    </row>
    <row r="732" spans="2:16" x14ac:dyDescent="0.25">
      <c r="B732" s="24"/>
      <c r="E732" s="24"/>
      <c r="G732" s="24"/>
      <c r="H732" s="24"/>
      <c r="J732" s="24"/>
      <c r="K732" s="24"/>
      <c r="M732" s="24"/>
      <c r="N732" s="24"/>
      <c r="P732" s="24"/>
    </row>
    <row r="733" spans="2:16" x14ac:dyDescent="0.25">
      <c r="B733" s="24"/>
      <c r="E733" s="24"/>
      <c r="G733" s="24"/>
      <c r="H733" s="24"/>
      <c r="J733" s="24"/>
      <c r="K733" s="24"/>
      <c r="M733" s="24"/>
      <c r="N733" s="24"/>
      <c r="P733" s="24"/>
    </row>
    <row r="734" spans="2:16" x14ac:dyDescent="0.25">
      <c r="B734" s="24"/>
      <c r="E734" s="24"/>
      <c r="G734" s="24"/>
      <c r="H734" s="24"/>
      <c r="J734" s="24"/>
      <c r="K734" s="24"/>
      <c r="M734" s="24"/>
      <c r="N734" s="24"/>
      <c r="P734" s="24"/>
    </row>
    <row r="735" spans="2:16" x14ac:dyDescent="0.25">
      <c r="B735" s="24"/>
      <c r="E735" s="24"/>
      <c r="G735" s="24"/>
      <c r="H735" s="24"/>
      <c r="J735" s="24"/>
      <c r="K735" s="24"/>
      <c r="M735" s="24"/>
      <c r="N735" s="24"/>
      <c r="P735" s="24"/>
    </row>
    <row r="736" spans="2:16" x14ac:dyDescent="0.25">
      <c r="B736" s="24"/>
      <c r="E736" s="24"/>
      <c r="G736" s="24"/>
      <c r="H736" s="24"/>
      <c r="J736" s="24"/>
      <c r="K736" s="24"/>
      <c r="M736" s="24"/>
      <c r="N736" s="24"/>
      <c r="P736" s="24"/>
    </row>
    <row r="737" spans="2:16" x14ac:dyDescent="0.25">
      <c r="B737" s="24"/>
      <c r="E737" s="24"/>
      <c r="G737" s="24"/>
      <c r="H737" s="24"/>
      <c r="J737" s="24"/>
      <c r="K737" s="24"/>
      <c r="M737" s="24"/>
      <c r="N737" s="24"/>
      <c r="P737" s="24"/>
    </row>
    <row r="738" spans="2:16" x14ac:dyDescent="0.25">
      <c r="B738" s="24"/>
      <c r="E738" s="24"/>
      <c r="G738" s="24"/>
      <c r="H738" s="24"/>
      <c r="J738" s="24"/>
      <c r="K738" s="24"/>
      <c r="M738" s="24"/>
      <c r="N738" s="24"/>
      <c r="P738" s="24"/>
    </row>
    <row r="739" spans="2:16" x14ac:dyDescent="0.25">
      <c r="B739" s="24"/>
      <c r="E739" s="24"/>
      <c r="G739" s="24"/>
      <c r="H739" s="24"/>
      <c r="J739" s="24"/>
      <c r="K739" s="24"/>
      <c r="M739" s="24"/>
      <c r="N739" s="24"/>
      <c r="P739" s="24"/>
    </row>
    <row r="740" spans="2:16" x14ac:dyDescent="0.25">
      <c r="B740" s="24"/>
      <c r="E740" s="24"/>
      <c r="G740" s="24"/>
      <c r="H740" s="24"/>
      <c r="J740" s="24"/>
      <c r="K740" s="24"/>
      <c r="M740" s="24"/>
      <c r="N740" s="24"/>
      <c r="P740" s="24"/>
    </row>
    <row r="741" spans="2:16" x14ac:dyDescent="0.25">
      <c r="B741" s="24"/>
      <c r="E741" s="24"/>
      <c r="G741" s="24"/>
      <c r="H741" s="24"/>
      <c r="J741" s="24"/>
      <c r="K741" s="24"/>
      <c r="M741" s="24"/>
      <c r="N741" s="24"/>
      <c r="P741" s="24"/>
    </row>
    <row r="742" spans="2:16" x14ac:dyDescent="0.25">
      <c r="B742" s="24"/>
      <c r="E742" s="24"/>
      <c r="G742" s="24"/>
      <c r="H742" s="24"/>
      <c r="J742" s="24"/>
      <c r="K742" s="24"/>
      <c r="M742" s="24"/>
      <c r="N742" s="24"/>
      <c r="P742" s="24"/>
    </row>
    <row r="743" spans="2:16" x14ac:dyDescent="0.25">
      <c r="B743" s="24"/>
      <c r="E743" s="24"/>
      <c r="G743" s="24"/>
      <c r="H743" s="24"/>
      <c r="J743" s="24"/>
      <c r="K743" s="24"/>
      <c r="M743" s="24"/>
      <c r="N743" s="24"/>
      <c r="P743" s="24"/>
    </row>
    <row r="744" spans="2:16" x14ac:dyDescent="0.25">
      <c r="B744" s="24"/>
      <c r="E744" s="24"/>
      <c r="G744" s="24"/>
      <c r="H744" s="24"/>
      <c r="J744" s="24"/>
      <c r="K744" s="24"/>
      <c r="M744" s="24"/>
      <c r="N744" s="24"/>
      <c r="P744" s="24"/>
    </row>
    <row r="745" spans="2:16" x14ac:dyDescent="0.25">
      <c r="B745" s="24"/>
      <c r="E745" s="24"/>
      <c r="G745" s="24"/>
      <c r="H745" s="24"/>
      <c r="J745" s="24"/>
      <c r="K745" s="24"/>
      <c r="M745" s="24"/>
      <c r="N745" s="24"/>
      <c r="P745" s="24"/>
    </row>
    <row r="746" spans="2:16" x14ac:dyDescent="0.25">
      <c r="B746" s="24"/>
      <c r="E746" s="24"/>
      <c r="G746" s="24"/>
      <c r="H746" s="24"/>
      <c r="J746" s="24"/>
      <c r="K746" s="24"/>
      <c r="M746" s="24"/>
      <c r="N746" s="24"/>
      <c r="P746" s="24"/>
    </row>
    <row r="747" spans="2:16" x14ac:dyDescent="0.25">
      <c r="B747" s="24"/>
      <c r="E747" s="24"/>
      <c r="G747" s="24"/>
      <c r="H747" s="24"/>
      <c r="J747" s="24"/>
      <c r="K747" s="24"/>
      <c r="M747" s="24"/>
      <c r="N747" s="24"/>
      <c r="P747" s="24"/>
    </row>
    <row r="748" spans="2:16" x14ac:dyDescent="0.25">
      <c r="B748" s="24"/>
      <c r="E748" s="24"/>
      <c r="G748" s="24"/>
      <c r="H748" s="24"/>
      <c r="J748" s="24"/>
      <c r="K748" s="24"/>
      <c r="M748" s="24"/>
      <c r="N748" s="24"/>
      <c r="P748" s="24"/>
    </row>
    <row r="749" spans="2:16" x14ac:dyDescent="0.25">
      <c r="B749" s="24"/>
      <c r="E749" s="24"/>
      <c r="G749" s="24"/>
      <c r="H749" s="24"/>
      <c r="J749" s="24"/>
      <c r="K749" s="24"/>
      <c r="M749" s="24"/>
      <c r="N749" s="24"/>
      <c r="P749" s="24"/>
    </row>
    <row r="750" spans="2:16" x14ac:dyDescent="0.25">
      <c r="B750" s="24"/>
      <c r="E750" s="24"/>
      <c r="G750" s="24"/>
      <c r="H750" s="24"/>
      <c r="J750" s="24"/>
      <c r="K750" s="24"/>
      <c r="M750" s="24"/>
      <c r="N750" s="24"/>
      <c r="P750" s="24"/>
    </row>
    <row r="751" spans="2:16" x14ac:dyDescent="0.25">
      <c r="B751" s="24"/>
      <c r="E751" s="24"/>
      <c r="G751" s="24"/>
      <c r="H751" s="24"/>
      <c r="J751" s="24"/>
      <c r="K751" s="24"/>
      <c r="M751" s="24"/>
      <c r="N751" s="24"/>
      <c r="P751" s="24"/>
    </row>
    <row r="752" spans="2:16" x14ac:dyDescent="0.25">
      <c r="B752" s="24"/>
      <c r="E752" s="24"/>
      <c r="G752" s="24"/>
      <c r="H752" s="24"/>
      <c r="J752" s="24"/>
      <c r="K752" s="24"/>
      <c r="M752" s="24"/>
      <c r="N752" s="24"/>
      <c r="P752" s="24"/>
    </row>
    <row r="753" spans="2:16" x14ac:dyDescent="0.25">
      <c r="B753" s="24"/>
      <c r="E753" s="24"/>
      <c r="G753" s="24"/>
      <c r="H753" s="24"/>
      <c r="J753" s="24"/>
      <c r="K753" s="24"/>
      <c r="M753" s="24"/>
      <c r="N753" s="24"/>
      <c r="P753" s="24"/>
    </row>
    <row r="754" spans="2:16" x14ac:dyDescent="0.25">
      <c r="B754" s="24"/>
      <c r="E754" s="24"/>
      <c r="G754" s="24"/>
      <c r="H754" s="24"/>
      <c r="J754" s="24"/>
      <c r="K754" s="24"/>
      <c r="M754" s="24"/>
      <c r="N754" s="24"/>
      <c r="P754" s="24"/>
    </row>
    <row r="755" spans="2:16" x14ac:dyDescent="0.25">
      <c r="B755" s="24"/>
      <c r="E755" s="24"/>
      <c r="G755" s="24"/>
      <c r="H755" s="24"/>
      <c r="J755" s="24"/>
      <c r="K755" s="24"/>
      <c r="M755" s="24"/>
      <c r="N755" s="24"/>
      <c r="P755" s="24"/>
    </row>
    <row r="756" spans="2:16" x14ac:dyDescent="0.25">
      <c r="B756" s="24"/>
      <c r="E756" s="24"/>
      <c r="G756" s="24"/>
      <c r="H756" s="24"/>
      <c r="J756" s="24"/>
      <c r="K756" s="24"/>
      <c r="M756" s="24"/>
      <c r="N756" s="24"/>
      <c r="P756" s="24"/>
    </row>
    <row r="757" spans="2:16" x14ac:dyDescent="0.25">
      <c r="B757" s="24"/>
      <c r="E757" s="24"/>
      <c r="G757" s="24"/>
      <c r="H757" s="24"/>
      <c r="J757" s="24"/>
      <c r="K757" s="24"/>
      <c r="M757" s="24"/>
      <c r="N757" s="24"/>
      <c r="P757" s="24"/>
    </row>
    <row r="758" spans="2:16" x14ac:dyDescent="0.25">
      <c r="B758" s="24"/>
      <c r="E758" s="24"/>
      <c r="G758" s="24"/>
      <c r="H758" s="24"/>
      <c r="J758" s="24"/>
      <c r="K758" s="24"/>
      <c r="M758" s="24"/>
      <c r="N758" s="24"/>
      <c r="P758" s="24"/>
    </row>
    <row r="759" spans="2:16" x14ac:dyDescent="0.25">
      <c r="B759" s="24"/>
      <c r="E759" s="24"/>
      <c r="G759" s="24"/>
      <c r="H759" s="24"/>
      <c r="J759" s="24"/>
      <c r="K759" s="24"/>
      <c r="M759" s="24"/>
      <c r="N759" s="24"/>
      <c r="P759" s="24"/>
    </row>
    <row r="760" spans="2:16" x14ac:dyDescent="0.25">
      <c r="B760" s="24"/>
      <c r="E760" s="24"/>
      <c r="G760" s="24"/>
      <c r="H760" s="24"/>
      <c r="J760" s="24"/>
      <c r="K760" s="24"/>
      <c r="M760" s="24"/>
      <c r="N760" s="24"/>
      <c r="P760" s="24"/>
    </row>
    <row r="761" spans="2:16" x14ac:dyDescent="0.25">
      <c r="B761" s="24"/>
      <c r="E761" s="24"/>
      <c r="G761" s="24"/>
      <c r="H761" s="24"/>
      <c r="J761" s="24"/>
      <c r="K761" s="24"/>
      <c r="M761" s="24"/>
      <c r="N761" s="24"/>
      <c r="P761" s="24"/>
    </row>
    <row r="762" spans="2:16" x14ac:dyDescent="0.25">
      <c r="B762" s="24"/>
      <c r="E762" s="24"/>
      <c r="G762" s="24"/>
      <c r="H762" s="24"/>
      <c r="J762" s="24"/>
      <c r="K762" s="24"/>
      <c r="M762" s="24"/>
      <c r="N762" s="24"/>
      <c r="P762" s="24"/>
    </row>
    <row r="763" spans="2:16" x14ac:dyDescent="0.25">
      <c r="B763" s="24"/>
      <c r="E763" s="24"/>
      <c r="G763" s="24"/>
      <c r="H763" s="24"/>
      <c r="J763" s="24"/>
      <c r="K763" s="24"/>
      <c r="M763" s="24"/>
      <c r="N763" s="24"/>
      <c r="P763" s="24"/>
    </row>
    <row r="764" spans="2:16" x14ac:dyDescent="0.25">
      <c r="B764" s="24"/>
      <c r="E764" s="24"/>
      <c r="G764" s="24"/>
      <c r="H764" s="24"/>
      <c r="J764" s="24"/>
      <c r="K764" s="24"/>
      <c r="M764" s="24"/>
      <c r="N764" s="24"/>
      <c r="P764" s="24"/>
    </row>
    <row r="765" spans="2:16" x14ac:dyDescent="0.25">
      <c r="B765" s="24"/>
      <c r="E765" s="24"/>
      <c r="G765" s="24"/>
      <c r="H765" s="24"/>
      <c r="J765" s="24"/>
      <c r="K765" s="24"/>
      <c r="M765" s="24"/>
      <c r="N765" s="24"/>
      <c r="P765" s="24"/>
    </row>
    <row r="766" spans="2:16" x14ac:dyDescent="0.25">
      <c r="B766" s="24"/>
      <c r="E766" s="24"/>
      <c r="G766" s="24"/>
      <c r="H766" s="24"/>
      <c r="J766" s="24"/>
      <c r="K766" s="24"/>
      <c r="M766" s="24"/>
      <c r="N766" s="24"/>
      <c r="P766" s="24"/>
    </row>
    <row r="767" spans="2:16" x14ac:dyDescent="0.25">
      <c r="B767" s="24"/>
      <c r="E767" s="24"/>
      <c r="G767" s="24"/>
      <c r="H767" s="24"/>
      <c r="J767" s="24"/>
      <c r="K767" s="24"/>
      <c r="M767" s="24"/>
      <c r="N767" s="24"/>
      <c r="P767" s="24"/>
    </row>
    <row r="768" spans="2:16" x14ac:dyDescent="0.25">
      <c r="B768" s="24"/>
      <c r="E768" s="24"/>
      <c r="G768" s="24"/>
      <c r="H768" s="24"/>
      <c r="J768" s="24"/>
      <c r="K768" s="24"/>
      <c r="M768" s="24"/>
      <c r="N768" s="24"/>
      <c r="P768" s="24"/>
    </row>
    <row r="769" spans="2:16" x14ac:dyDescent="0.25">
      <c r="B769" s="24"/>
      <c r="E769" s="24"/>
      <c r="G769" s="24"/>
      <c r="H769" s="24"/>
      <c r="J769" s="24"/>
      <c r="K769" s="24"/>
      <c r="M769" s="24"/>
      <c r="N769" s="24"/>
      <c r="P769" s="24"/>
    </row>
    <row r="770" spans="2:16" x14ac:dyDescent="0.25">
      <c r="B770" s="24"/>
      <c r="E770" s="24"/>
      <c r="G770" s="24"/>
      <c r="H770" s="24"/>
      <c r="J770" s="24"/>
      <c r="K770" s="24"/>
      <c r="M770" s="24"/>
      <c r="N770" s="24"/>
      <c r="P770" s="24"/>
    </row>
    <row r="771" spans="2:16" x14ac:dyDescent="0.25">
      <c r="B771" s="24"/>
      <c r="E771" s="24"/>
      <c r="G771" s="24"/>
      <c r="H771" s="24"/>
      <c r="J771" s="24"/>
      <c r="K771" s="24"/>
      <c r="M771" s="24"/>
      <c r="N771" s="24"/>
      <c r="P771" s="24"/>
    </row>
    <row r="772" spans="2:16" x14ac:dyDescent="0.25">
      <c r="B772" s="24"/>
      <c r="E772" s="24"/>
      <c r="G772" s="24"/>
      <c r="H772" s="24"/>
      <c r="J772" s="24"/>
      <c r="K772" s="24"/>
      <c r="M772" s="24"/>
      <c r="N772" s="24"/>
      <c r="P772" s="24"/>
    </row>
    <row r="773" spans="2:16" x14ac:dyDescent="0.25">
      <c r="B773" s="24"/>
      <c r="E773" s="24"/>
      <c r="G773" s="24"/>
      <c r="H773" s="24"/>
      <c r="J773" s="24"/>
      <c r="K773" s="24"/>
      <c r="M773" s="24"/>
      <c r="N773" s="24"/>
      <c r="P773" s="24"/>
    </row>
    <row r="774" spans="2:16" x14ac:dyDescent="0.25">
      <c r="B774" s="24"/>
      <c r="E774" s="24"/>
      <c r="G774" s="24"/>
      <c r="H774" s="24"/>
      <c r="J774" s="24"/>
      <c r="K774" s="24"/>
      <c r="M774" s="24"/>
      <c r="N774" s="24"/>
      <c r="P774" s="24"/>
    </row>
    <row r="775" spans="2:16" x14ac:dyDescent="0.25">
      <c r="B775" s="24"/>
      <c r="E775" s="24"/>
      <c r="G775" s="24"/>
      <c r="H775" s="24"/>
      <c r="J775" s="24"/>
      <c r="K775" s="24"/>
      <c r="M775" s="24"/>
      <c r="N775" s="24"/>
      <c r="P775" s="24"/>
    </row>
    <row r="776" spans="2:16" x14ac:dyDescent="0.25">
      <c r="B776" s="24"/>
      <c r="E776" s="24"/>
      <c r="G776" s="24"/>
      <c r="H776" s="24"/>
      <c r="J776" s="24"/>
      <c r="K776" s="24"/>
      <c r="M776" s="24"/>
      <c r="N776" s="24"/>
      <c r="P776" s="24"/>
    </row>
    <row r="777" spans="2:16" x14ac:dyDescent="0.25">
      <c r="B777" s="24"/>
      <c r="E777" s="24"/>
      <c r="G777" s="24"/>
      <c r="H777" s="24"/>
      <c r="J777" s="24"/>
      <c r="K777" s="24"/>
      <c r="M777" s="24"/>
      <c r="N777" s="24"/>
      <c r="P777" s="24"/>
    </row>
    <row r="778" spans="2:16" x14ac:dyDescent="0.25">
      <c r="B778" s="24"/>
      <c r="E778" s="24"/>
      <c r="G778" s="24"/>
      <c r="H778" s="24"/>
      <c r="J778" s="24"/>
      <c r="K778" s="24"/>
      <c r="M778" s="24"/>
      <c r="N778" s="24"/>
      <c r="P778" s="24"/>
    </row>
    <row r="779" spans="2:16" x14ac:dyDescent="0.25">
      <c r="B779" s="24"/>
      <c r="E779" s="24"/>
      <c r="G779" s="24"/>
      <c r="H779" s="24"/>
      <c r="J779" s="24"/>
      <c r="K779" s="24"/>
      <c r="M779" s="24"/>
      <c r="N779" s="24"/>
      <c r="P779" s="24"/>
    </row>
    <row r="780" spans="2:16" x14ac:dyDescent="0.25">
      <c r="B780" s="24"/>
      <c r="E780" s="24"/>
      <c r="G780" s="24"/>
      <c r="H780" s="24"/>
      <c r="J780" s="24"/>
      <c r="K780" s="24"/>
      <c r="M780" s="24"/>
      <c r="N780" s="24"/>
      <c r="P780" s="24"/>
    </row>
    <row r="781" spans="2:16" x14ac:dyDescent="0.25">
      <c r="B781" s="24"/>
      <c r="E781" s="24"/>
      <c r="G781" s="24"/>
      <c r="H781" s="24"/>
      <c r="J781" s="24"/>
      <c r="K781" s="24"/>
      <c r="M781" s="24"/>
      <c r="N781" s="24"/>
      <c r="P781" s="24"/>
    </row>
    <row r="782" spans="2:16" x14ac:dyDescent="0.25">
      <c r="B782" s="24"/>
      <c r="E782" s="24"/>
      <c r="G782" s="24"/>
      <c r="H782" s="24"/>
      <c r="J782" s="24"/>
      <c r="K782" s="24"/>
      <c r="M782" s="24"/>
      <c r="N782" s="24"/>
      <c r="P782" s="24"/>
    </row>
    <row r="783" spans="2:16" x14ac:dyDescent="0.25">
      <c r="B783" s="24"/>
      <c r="E783" s="24"/>
      <c r="G783" s="24"/>
      <c r="H783" s="24"/>
      <c r="J783" s="24"/>
      <c r="K783" s="24"/>
      <c r="M783" s="24"/>
      <c r="N783" s="24"/>
      <c r="P783" s="24"/>
    </row>
    <row r="784" spans="2:16" x14ac:dyDescent="0.25">
      <c r="B784" s="24"/>
      <c r="E784" s="24"/>
      <c r="G784" s="24"/>
      <c r="H784" s="24"/>
      <c r="J784" s="24"/>
      <c r="K784" s="24"/>
      <c r="M784" s="24"/>
      <c r="N784" s="24"/>
      <c r="P784" s="24"/>
    </row>
    <row r="785" spans="2:16" x14ac:dyDescent="0.25">
      <c r="B785" s="24"/>
      <c r="E785" s="24"/>
      <c r="G785" s="24"/>
      <c r="H785" s="24"/>
      <c r="J785" s="24"/>
      <c r="K785" s="24"/>
      <c r="M785" s="24"/>
      <c r="N785" s="24"/>
      <c r="P785" s="24"/>
    </row>
    <row r="786" spans="2:16" x14ac:dyDescent="0.25">
      <c r="B786" s="24"/>
      <c r="E786" s="24"/>
      <c r="G786" s="24"/>
      <c r="H786" s="24"/>
      <c r="J786" s="24"/>
      <c r="K786" s="24"/>
      <c r="M786" s="24"/>
      <c r="N786" s="24"/>
      <c r="P786" s="24"/>
    </row>
    <row r="787" spans="2:16" x14ac:dyDescent="0.25">
      <c r="B787" s="24"/>
      <c r="E787" s="24"/>
      <c r="G787" s="24"/>
      <c r="H787" s="24"/>
      <c r="J787" s="24"/>
      <c r="K787" s="24"/>
      <c r="M787" s="24"/>
      <c r="N787" s="24"/>
      <c r="P787" s="24"/>
    </row>
    <row r="788" spans="2:16" x14ac:dyDescent="0.25">
      <c r="B788" s="24"/>
      <c r="E788" s="24"/>
      <c r="G788" s="24"/>
      <c r="H788" s="24"/>
      <c r="J788" s="24"/>
      <c r="K788" s="24"/>
      <c r="M788" s="24"/>
      <c r="N788" s="24"/>
      <c r="P788" s="24"/>
    </row>
    <row r="789" spans="2:16" x14ac:dyDescent="0.25">
      <c r="B789" s="24"/>
      <c r="E789" s="24"/>
      <c r="G789" s="24"/>
      <c r="H789" s="24"/>
      <c r="J789" s="24"/>
      <c r="K789" s="24"/>
      <c r="M789" s="24"/>
      <c r="N789" s="24"/>
      <c r="P789" s="24"/>
    </row>
    <row r="790" spans="2:16" x14ac:dyDescent="0.25">
      <c r="B790" s="24"/>
      <c r="E790" s="24"/>
      <c r="G790" s="24"/>
      <c r="H790" s="24"/>
      <c r="J790" s="24"/>
      <c r="K790" s="24"/>
      <c r="M790" s="24"/>
      <c r="N790" s="24"/>
      <c r="P790" s="24"/>
    </row>
    <row r="791" spans="2:16" x14ac:dyDescent="0.25">
      <c r="B791" s="24"/>
      <c r="E791" s="24"/>
      <c r="G791" s="24"/>
      <c r="H791" s="24"/>
      <c r="J791" s="24"/>
      <c r="K791" s="24"/>
      <c r="M791" s="24"/>
      <c r="N791" s="24"/>
      <c r="P791" s="24"/>
    </row>
    <row r="792" spans="2:16" x14ac:dyDescent="0.25">
      <c r="B792" s="24"/>
      <c r="E792" s="24"/>
      <c r="G792" s="24"/>
      <c r="H792" s="24"/>
      <c r="J792" s="24"/>
      <c r="K792" s="24"/>
      <c r="M792" s="24"/>
      <c r="N792" s="24"/>
      <c r="P792" s="24"/>
    </row>
    <row r="793" spans="2:16" x14ac:dyDescent="0.25">
      <c r="B793" s="24"/>
      <c r="E793" s="24"/>
      <c r="G793" s="24"/>
      <c r="H793" s="24"/>
      <c r="J793" s="24"/>
      <c r="K793" s="24"/>
      <c r="M793" s="24"/>
      <c r="N793" s="24"/>
      <c r="P793" s="24"/>
    </row>
    <row r="794" spans="2:16" x14ac:dyDescent="0.25">
      <c r="B794" s="24"/>
      <c r="E794" s="24"/>
      <c r="G794" s="24"/>
      <c r="H794" s="24"/>
      <c r="J794" s="24"/>
      <c r="K794" s="24"/>
      <c r="M794" s="24"/>
      <c r="N794" s="24"/>
      <c r="P794" s="24"/>
    </row>
    <row r="795" spans="2:16" x14ac:dyDescent="0.25">
      <c r="B795" s="24"/>
      <c r="E795" s="24"/>
      <c r="G795" s="24"/>
      <c r="H795" s="24"/>
      <c r="J795" s="24"/>
      <c r="K795" s="24"/>
      <c r="M795" s="24"/>
      <c r="N795" s="24"/>
      <c r="P795" s="24"/>
    </row>
    <row r="796" spans="2:16" x14ac:dyDescent="0.25">
      <c r="B796" s="24"/>
      <c r="E796" s="24"/>
      <c r="G796" s="24"/>
      <c r="H796" s="24"/>
      <c r="J796" s="24"/>
      <c r="K796" s="24"/>
      <c r="M796" s="24"/>
      <c r="N796" s="24"/>
      <c r="P796" s="24"/>
    </row>
    <row r="797" spans="2:16" x14ac:dyDescent="0.25">
      <c r="B797" s="24"/>
      <c r="E797" s="24"/>
      <c r="G797" s="24"/>
      <c r="H797" s="24"/>
      <c r="J797" s="24"/>
      <c r="K797" s="24"/>
      <c r="M797" s="24"/>
      <c r="N797" s="24"/>
      <c r="P797" s="24"/>
    </row>
    <row r="798" spans="2:16" x14ac:dyDescent="0.25">
      <c r="B798" s="24"/>
      <c r="E798" s="24"/>
      <c r="G798" s="24"/>
      <c r="H798" s="24"/>
      <c r="J798" s="24"/>
      <c r="K798" s="24"/>
      <c r="M798" s="24"/>
      <c r="N798" s="24"/>
      <c r="P798" s="24"/>
    </row>
    <row r="799" spans="2:16" x14ac:dyDescent="0.25">
      <c r="B799" s="24"/>
      <c r="E799" s="24"/>
      <c r="G799" s="24"/>
      <c r="H799" s="24"/>
      <c r="J799" s="24"/>
      <c r="K799" s="24"/>
      <c r="M799" s="24"/>
      <c r="N799" s="24"/>
      <c r="P799" s="24"/>
    </row>
    <row r="800" spans="2:16" x14ac:dyDescent="0.25">
      <c r="B800" s="24"/>
      <c r="E800" s="24"/>
      <c r="G800" s="24"/>
      <c r="H800" s="24"/>
      <c r="J800" s="24"/>
      <c r="K800" s="24"/>
      <c r="M800" s="24"/>
      <c r="N800" s="24"/>
      <c r="P800" s="24"/>
    </row>
    <row r="801" spans="2:16" x14ac:dyDescent="0.25">
      <c r="B801" s="24"/>
      <c r="E801" s="24"/>
      <c r="G801" s="24"/>
      <c r="H801" s="24"/>
      <c r="J801" s="24"/>
      <c r="K801" s="24"/>
      <c r="M801" s="24"/>
      <c r="N801" s="24"/>
      <c r="P801" s="24"/>
    </row>
    <row r="802" spans="2:16" x14ac:dyDescent="0.25">
      <c r="B802" s="24"/>
      <c r="E802" s="24"/>
      <c r="G802" s="24"/>
      <c r="H802" s="24"/>
      <c r="J802" s="24"/>
      <c r="K802" s="24"/>
      <c r="M802" s="24"/>
      <c r="N802" s="24"/>
      <c r="P802" s="24"/>
    </row>
    <row r="803" spans="2:16" x14ac:dyDescent="0.25">
      <c r="B803" s="24"/>
      <c r="E803" s="24"/>
      <c r="G803" s="24"/>
      <c r="H803" s="24"/>
      <c r="J803" s="24"/>
      <c r="K803" s="24"/>
      <c r="M803" s="24"/>
      <c r="N803" s="24"/>
      <c r="P803" s="24"/>
    </row>
    <row r="804" spans="2:16" x14ac:dyDescent="0.25">
      <c r="B804" s="24"/>
      <c r="E804" s="24"/>
      <c r="G804" s="24"/>
      <c r="H804" s="24"/>
      <c r="J804" s="24"/>
      <c r="K804" s="24"/>
      <c r="M804" s="24"/>
      <c r="N804" s="24"/>
      <c r="P804" s="24"/>
    </row>
    <row r="805" spans="2:16" x14ac:dyDescent="0.25">
      <c r="B805" s="24"/>
      <c r="E805" s="24"/>
      <c r="G805" s="24"/>
      <c r="H805" s="24"/>
      <c r="J805" s="24"/>
      <c r="K805" s="24"/>
      <c r="M805" s="24"/>
      <c r="N805" s="24"/>
      <c r="P805" s="24"/>
    </row>
    <row r="806" spans="2:16" x14ac:dyDescent="0.25">
      <c r="B806" s="24"/>
      <c r="E806" s="24"/>
      <c r="G806" s="24"/>
      <c r="H806" s="24"/>
      <c r="J806" s="24"/>
      <c r="K806" s="24"/>
      <c r="M806" s="24"/>
      <c r="N806" s="24"/>
      <c r="P806" s="24"/>
    </row>
    <row r="807" spans="2:16" x14ac:dyDescent="0.25">
      <c r="B807" s="24"/>
      <c r="E807" s="24"/>
      <c r="G807" s="24"/>
      <c r="H807" s="24"/>
      <c r="J807" s="24"/>
      <c r="K807" s="24"/>
      <c r="M807" s="24"/>
      <c r="N807" s="24"/>
      <c r="P807" s="24"/>
    </row>
    <row r="808" spans="2:16" x14ac:dyDescent="0.25">
      <c r="B808" s="24"/>
      <c r="E808" s="24"/>
      <c r="G808" s="24"/>
      <c r="H808" s="24"/>
      <c r="J808" s="24"/>
      <c r="K808" s="24"/>
      <c r="M808" s="24"/>
      <c r="N808" s="24"/>
      <c r="P808" s="24"/>
    </row>
    <row r="809" spans="2:16" x14ac:dyDescent="0.25">
      <c r="B809" s="24"/>
      <c r="E809" s="24"/>
      <c r="G809" s="24"/>
      <c r="H809" s="24"/>
      <c r="J809" s="24"/>
      <c r="K809" s="24"/>
      <c r="M809" s="24"/>
      <c r="N809" s="24"/>
      <c r="P809" s="24"/>
    </row>
    <row r="810" spans="2:16" x14ac:dyDescent="0.25">
      <c r="B810" s="24"/>
      <c r="E810" s="24"/>
      <c r="G810" s="24"/>
      <c r="H810" s="24"/>
      <c r="J810" s="24"/>
      <c r="K810" s="24"/>
      <c r="M810" s="24"/>
      <c r="N810" s="24"/>
      <c r="P810" s="24"/>
    </row>
    <row r="811" spans="2:16" x14ac:dyDescent="0.25">
      <c r="B811" s="24"/>
      <c r="E811" s="24"/>
      <c r="G811" s="24"/>
      <c r="H811" s="24"/>
      <c r="J811" s="24"/>
      <c r="K811" s="24"/>
      <c r="M811" s="24"/>
      <c r="N811" s="24"/>
      <c r="P811" s="24"/>
    </row>
    <row r="812" spans="2:16" x14ac:dyDescent="0.25">
      <c r="B812" s="24"/>
      <c r="E812" s="24"/>
      <c r="G812" s="24"/>
      <c r="H812" s="24"/>
      <c r="J812" s="24"/>
      <c r="K812" s="24"/>
      <c r="M812" s="24"/>
      <c r="N812" s="24"/>
      <c r="P812" s="24"/>
    </row>
    <row r="813" spans="2:16" x14ac:dyDescent="0.25">
      <c r="B813" s="24"/>
      <c r="E813" s="24"/>
      <c r="G813" s="24"/>
      <c r="H813" s="24"/>
      <c r="J813" s="24"/>
      <c r="K813" s="24"/>
      <c r="M813" s="24"/>
      <c r="N813" s="24"/>
      <c r="P813" s="24"/>
    </row>
    <row r="814" spans="2:16" x14ac:dyDescent="0.25">
      <c r="B814" s="24"/>
      <c r="E814" s="24"/>
      <c r="G814" s="24"/>
      <c r="H814" s="24"/>
      <c r="J814" s="24"/>
      <c r="K814" s="24"/>
      <c r="M814" s="24"/>
      <c r="N814" s="24"/>
      <c r="P814" s="24"/>
    </row>
    <row r="815" spans="2:16" x14ac:dyDescent="0.25">
      <c r="B815" s="24"/>
      <c r="E815" s="24"/>
      <c r="G815" s="24"/>
      <c r="H815" s="24"/>
      <c r="J815" s="24"/>
      <c r="K815" s="24"/>
      <c r="M815" s="24"/>
      <c r="N815" s="24"/>
      <c r="P815" s="24"/>
    </row>
    <row r="816" spans="2:16" x14ac:dyDescent="0.25">
      <c r="B816" s="24"/>
      <c r="E816" s="24"/>
      <c r="G816" s="24"/>
      <c r="H816" s="24"/>
      <c r="J816" s="24"/>
      <c r="K816" s="24"/>
      <c r="M816" s="24"/>
      <c r="N816" s="24"/>
      <c r="P816" s="24"/>
    </row>
    <row r="817" spans="2:16" x14ac:dyDescent="0.25">
      <c r="B817" s="24"/>
      <c r="E817" s="24"/>
      <c r="G817" s="24"/>
      <c r="H817" s="24"/>
      <c r="J817" s="24"/>
      <c r="K817" s="24"/>
      <c r="M817" s="24"/>
      <c r="N817" s="24"/>
      <c r="P817" s="24"/>
    </row>
    <row r="818" spans="2:16" x14ac:dyDescent="0.25">
      <c r="B818" s="24"/>
      <c r="E818" s="24"/>
      <c r="G818" s="24"/>
      <c r="H818" s="24"/>
      <c r="J818" s="24"/>
      <c r="K818" s="24"/>
      <c r="M818" s="24"/>
      <c r="N818" s="24"/>
      <c r="P818" s="24"/>
    </row>
    <row r="819" spans="2:16" x14ac:dyDescent="0.25">
      <c r="B819" s="24"/>
      <c r="E819" s="24"/>
      <c r="G819" s="24"/>
      <c r="H819" s="24"/>
      <c r="J819" s="24"/>
      <c r="K819" s="24"/>
      <c r="M819" s="24"/>
      <c r="N819" s="24"/>
      <c r="P819" s="24"/>
    </row>
    <row r="820" spans="2:16" x14ac:dyDescent="0.25">
      <c r="B820" s="24"/>
      <c r="E820" s="24"/>
      <c r="G820" s="24"/>
      <c r="H820" s="24"/>
      <c r="J820" s="24"/>
      <c r="K820" s="24"/>
      <c r="M820" s="24"/>
      <c r="N820" s="24"/>
      <c r="P820" s="24"/>
    </row>
    <row r="821" spans="2:16" x14ac:dyDescent="0.25">
      <c r="B821" s="24"/>
      <c r="E821" s="24"/>
      <c r="G821" s="24"/>
      <c r="H821" s="24"/>
      <c r="J821" s="24"/>
      <c r="K821" s="24"/>
      <c r="M821" s="24"/>
      <c r="N821" s="24"/>
      <c r="P821" s="24"/>
    </row>
    <row r="822" spans="2:16" x14ac:dyDescent="0.25">
      <c r="B822" s="24"/>
      <c r="E822" s="24"/>
      <c r="G822" s="24"/>
      <c r="H822" s="24"/>
      <c r="J822" s="24"/>
      <c r="K822" s="24"/>
      <c r="M822" s="24"/>
      <c r="N822" s="24"/>
      <c r="P822" s="24"/>
    </row>
    <row r="823" spans="2:16" x14ac:dyDescent="0.25">
      <c r="B823" s="24"/>
      <c r="E823" s="24"/>
      <c r="G823" s="24"/>
      <c r="H823" s="24"/>
      <c r="J823" s="24"/>
      <c r="K823" s="24"/>
      <c r="M823" s="24"/>
      <c r="N823" s="24"/>
      <c r="P823" s="24"/>
    </row>
    <row r="824" spans="2:16" x14ac:dyDescent="0.25">
      <c r="B824" s="24"/>
      <c r="E824" s="24"/>
      <c r="G824" s="24"/>
      <c r="H824" s="24"/>
      <c r="J824" s="24"/>
      <c r="K824" s="24"/>
      <c r="M824" s="24"/>
      <c r="N824" s="24"/>
      <c r="P824" s="24"/>
    </row>
    <row r="825" spans="2:16" x14ac:dyDescent="0.25">
      <c r="B825" s="24"/>
      <c r="E825" s="24"/>
      <c r="G825" s="24"/>
      <c r="H825" s="24"/>
      <c r="J825" s="24"/>
      <c r="K825" s="24"/>
      <c r="M825" s="24"/>
      <c r="N825" s="24"/>
      <c r="P825" s="24"/>
    </row>
    <row r="826" spans="2:16" x14ac:dyDescent="0.25">
      <c r="B826" s="24"/>
      <c r="E826" s="24"/>
      <c r="G826" s="24"/>
      <c r="H826" s="24"/>
      <c r="J826" s="24"/>
      <c r="K826" s="24"/>
      <c r="M826" s="24"/>
      <c r="N826" s="24"/>
      <c r="P826" s="24"/>
    </row>
    <row r="827" spans="2:16" x14ac:dyDescent="0.25">
      <c r="B827" s="24"/>
      <c r="E827" s="24"/>
      <c r="G827" s="24"/>
      <c r="H827" s="24"/>
      <c r="J827" s="24"/>
      <c r="K827" s="24"/>
      <c r="M827" s="24"/>
      <c r="N827" s="24"/>
      <c r="P827" s="24"/>
    </row>
    <row r="828" spans="2:16" x14ac:dyDescent="0.25">
      <c r="B828" s="24"/>
      <c r="E828" s="24"/>
      <c r="G828" s="24"/>
      <c r="H828" s="24"/>
      <c r="J828" s="24"/>
      <c r="K828" s="24"/>
      <c r="M828" s="24"/>
      <c r="N828" s="24"/>
      <c r="P828" s="24"/>
    </row>
    <row r="829" spans="2:16" x14ac:dyDescent="0.25">
      <c r="B829" s="24"/>
      <c r="E829" s="24"/>
      <c r="G829" s="24"/>
      <c r="H829" s="24"/>
      <c r="J829" s="24"/>
      <c r="K829" s="24"/>
      <c r="M829" s="24"/>
      <c r="N829" s="24"/>
      <c r="P829" s="24"/>
    </row>
    <row r="830" spans="2:16" x14ac:dyDescent="0.25">
      <c r="B830" s="24"/>
      <c r="E830" s="24"/>
      <c r="G830" s="24"/>
      <c r="H830" s="24"/>
      <c r="J830" s="24"/>
      <c r="K830" s="24"/>
      <c r="M830" s="24"/>
      <c r="N830" s="24"/>
      <c r="P830" s="24"/>
    </row>
    <row r="831" spans="2:16" x14ac:dyDescent="0.25">
      <c r="B831" s="24"/>
      <c r="E831" s="24"/>
      <c r="G831" s="24"/>
      <c r="H831" s="24"/>
      <c r="J831" s="24"/>
      <c r="K831" s="24"/>
      <c r="M831" s="24"/>
      <c r="N831" s="24"/>
      <c r="P831" s="24"/>
    </row>
    <row r="832" spans="2:16" x14ac:dyDescent="0.25">
      <c r="B832" s="24"/>
      <c r="E832" s="24"/>
      <c r="G832" s="24"/>
      <c r="H832" s="24"/>
      <c r="J832" s="24"/>
      <c r="K832" s="24"/>
      <c r="M832" s="24"/>
      <c r="N832" s="24"/>
      <c r="P832" s="24"/>
    </row>
    <row r="833" spans="2:16" x14ac:dyDescent="0.25">
      <c r="B833" s="24"/>
      <c r="E833" s="24"/>
      <c r="G833" s="24"/>
      <c r="H833" s="24"/>
      <c r="J833" s="24"/>
      <c r="K833" s="24"/>
      <c r="M833" s="24"/>
      <c r="N833" s="24"/>
      <c r="P833" s="24"/>
    </row>
    <row r="834" spans="2:16" x14ac:dyDescent="0.25">
      <c r="B834" s="24"/>
      <c r="E834" s="24"/>
      <c r="G834" s="24"/>
      <c r="H834" s="24"/>
      <c r="J834" s="24"/>
      <c r="K834" s="24"/>
      <c r="M834" s="24"/>
      <c r="N834" s="24"/>
      <c r="P834" s="24"/>
    </row>
    <row r="835" spans="2:16" x14ac:dyDescent="0.25">
      <c r="B835" s="24"/>
      <c r="E835" s="24"/>
      <c r="G835" s="24"/>
      <c r="H835" s="24"/>
      <c r="J835" s="24"/>
      <c r="K835" s="24"/>
      <c r="M835" s="24"/>
      <c r="N835" s="24"/>
      <c r="P835" s="24"/>
    </row>
    <row r="836" spans="2:16" x14ac:dyDescent="0.25">
      <c r="B836" s="24"/>
      <c r="E836" s="24"/>
      <c r="G836" s="24"/>
      <c r="H836" s="24"/>
      <c r="J836" s="24"/>
      <c r="K836" s="24"/>
      <c r="M836" s="24"/>
      <c r="N836" s="24"/>
      <c r="P836" s="24"/>
    </row>
    <row r="837" spans="2:16" x14ac:dyDescent="0.25">
      <c r="B837" s="24"/>
      <c r="E837" s="24"/>
      <c r="G837" s="24"/>
      <c r="H837" s="24"/>
      <c r="J837" s="24"/>
      <c r="K837" s="24"/>
      <c r="M837" s="24"/>
      <c r="N837" s="24"/>
      <c r="P837" s="24"/>
    </row>
    <row r="838" spans="2:16" x14ac:dyDescent="0.25">
      <c r="B838" s="24"/>
      <c r="E838" s="24"/>
      <c r="G838" s="24"/>
      <c r="H838" s="24"/>
      <c r="J838" s="24"/>
      <c r="K838" s="24"/>
      <c r="M838" s="24"/>
      <c r="N838" s="24"/>
      <c r="P838" s="24"/>
    </row>
    <row r="839" spans="2:16" x14ac:dyDescent="0.25">
      <c r="B839" s="24"/>
      <c r="E839" s="24"/>
      <c r="G839" s="24"/>
      <c r="H839" s="24"/>
      <c r="J839" s="24"/>
      <c r="K839" s="24"/>
      <c r="M839" s="24"/>
      <c r="N839" s="24"/>
      <c r="P839" s="24"/>
    </row>
    <row r="840" spans="2:16" x14ac:dyDescent="0.25">
      <c r="B840" s="24"/>
      <c r="E840" s="24"/>
      <c r="G840" s="24"/>
      <c r="H840" s="24"/>
      <c r="J840" s="24"/>
      <c r="K840" s="24"/>
      <c r="M840" s="24"/>
      <c r="N840" s="24"/>
      <c r="P840" s="24"/>
    </row>
    <row r="841" spans="2:16" x14ac:dyDescent="0.25">
      <c r="B841" s="24"/>
      <c r="E841" s="24"/>
      <c r="G841" s="24"/>
      <c r="H841" s="24"/>
      <c r="J841" s="24"/>
      <c r="K841" s="24"/>
      <c r="M841" s="24"/>
      <c r="N841" s="24"/>
      <c r="P841" s="24"/>
    </row>
    <row r="842" spans="2:16" x14ac:dyDescent="0.25">
      <c r="B842" s="24"/>
      <c r="E842" s="24"/>
      <c r="G842" s="24"/>
      <c r="H842" s="24"/>
      <c r="J842" s="24"/>
      <c r="K842" s="24"/>
      <c r="M842" s="24"/>
      <c r="N842" s="24"/>
      <c r="P842" s="24"/>
    </row>
    <row r="843" spans="2:16" x14ac:dyDescent="0.25">
      <c r="B843" s="24"/>
      <c r="E843" s="24"/>
      <c r="G843" s="24"/>
      <c r="H843" s="24"/>
      <c r="J843" s="24"/>
      <c r="K843" s="24"/>
      <c r="M843" s="24"/>
      <c r="N843" s="24"/>
      <c r="P843" s="24"/>
    </row>
    <row r="844" spans="2:16" x14ac:dyDescent="0.25">
      <c r="B844" s="24"/>
      <c r="E844" s="24"/>
      <c r="G844" s="24"/>
      <c r="H844" s="24"/>
      <c r="J844" s="24"/>
      <c r="K844" s="24"/>
      <c r="M844" s="24"/>
      <c r="N844" s="24"/>
      <c r="P844" s="24"/>
    </row>
    <row r="845" spans="2:16" x14ac:dyDescent="0.25">
      <c r="B845" s="24"/>
      <c r="E845" s="24"/>
      <c r="G845" s="24"/>
      <c r="H845" s="24"/>
      <c r="J845" s="24"/>
      <c r="K845" s="24"/>
      <c r="M845" s="24"/>
      <c r="N845" s="24"/>
      <c r="P845" s="24"/>
    </row>
    <row r="846" spans="2:16" x14ac:dyDescent="0.25">
      <c r="B846" s="24"/>
      <c r="E846" s="24"/>
      <c r="G846" s="24"/>
      <c r="H846" s="24"/>
      <c r="J846" s="24"/>
      <c r="K846" s="24"/>
      <c r="M846" s="24"/>
      <c r="N846" s="24"/>
      <c r="P846" s="24"/>
    </row>
    <row r="847" spans="2:16" x14ac:dyDescent="0.25">
      <c r="B847" s="24"/>
      <c r="E847" s="24"/>
      <c r="G847" s="24"/>
      <c r="H847" s="24"/>
      <c r="J847" s="24"/>
      <c r="K847" s="24"/>
      <c r="M847" s="24"/>
      <c r="N847" s="24"/>
      <c r="P847" s="24"/>
    </row>
    <row r="848" spans="2:16" x14ac:dyDescent="0.25">
      <c r="B848" s="24"/>
      <c r="E848" s="24"/>
      <c r="G848" s="24"/>
      <c r="H848" s="24"/>
      <c r="J848" s="24"/>
      <c r="K848" s="24"/>
      <c r="M848" s="24"/>
      <c r="N848" s="24"/>
      <c r="P848" s="24"/>
    </row>
    <row r="849" spans="2:16" x14ac:dyDescent="0.25">
      <c r="B849" s="24"/>
      <c r="E849" s="24"/>
      <c r="G849" s="24"/>
      <c r="H849" s="24"/>
      <c r="J849" s="24"/>
      <c r="K849" s="24"/>
      <c r="M849" s="24"/>
      <c r="N849" s="24"/>
      <c r="P849" s="24"/>
    </row>
    <row r="850" spans="2:16" x14ac:dyDescent="0.25">
      <c r="B850" s="24"/>
      <c r="E850" s="24"/>
      <c r="G850" s="24"/>
      <c r="H850" s="24"/>
      <c r="J850" s="24"/>
      <c r="K850" s="24"/>
      <c r="M850" s="24"/>
      <c r="N850" s="24"/>
      <c r="P850" s="24"/>
    </row>
    <row r="851" spans="2:16" x14ac:dyDescent="0.25">
      <c r="B851" s="24"/>
      <c r="E851" s="24"/>
      <c r="G851" s="24"/>
      <c r="H851" s="24"/>
      <c r="J851" s="24"/>
      <c r="K851" s="24"/>
      <c r="M851" s="24"/>
      <c r="N851" s="24"/>
      <c r="P851" s="24"/>
    </row>
    <row r="852" spans="2:16" x14ac:dyDescent="0.25">
      <c r="B852" s="24"/>
      <c r="E852" s="24"/>
      <c r="G852" s="24"/>
      <c r="H852" s="24"/>
      <c r="J852" s="24"/>
      <c r="K852" s="24"/>
      <c r="M852" s="24"/>
      <c r="N852" s="24"/>
      <c r="P852" s="24"/>
    </row>
    <row r="853" spans="2:16" x14ac:dyDescent="0.25">
      <c r="B853" s="24"/>
      <c r="E853" s="24"/>
      <c r="G853" s="24"/>
      <c r="H853" s="24"/>
      <c r="J853" s="24"/>
      <c r="K853" s="24"/>
      <c r="M853" s="24"/>
      <c r="N853" s="24"/>
      <c r="P853" s="24"/>
    </row>
    <row r="854" spans="2:16" x14ac:dyDescent="0.25">
      <c r="B854" s="24"/>
      <c r="E854" s="24"/>
      <c r="G854" s="24"/>
      <c r="H854" s="24"/>
      <c r="J854" s="24"/>
      <c r="K854" s="24"/>
      <c r="M854" s="24"/>
      <c r="N854" s="24"/>
      <c r="P854" s="24"/>
    </row>
    <row r="855" spans="2:16" x14ac:dyDescent="0.25">
      <c r="B855" s="24"/>
      <c r="E855" s="24"/>
      <c r="G855" s="24"/>
      <c r="H855" s="24"/>
      <c r="J855" s="24"/>
      <c r="K855" s="24"/>
      <c r="M855" s="24"/>
      <c r="N855" s="24"/>
      <c r="P855" s="24"/>
    </row>
    <row r="856" spans="2:16" x14ac:dyDescent="0.25">
      <c r="B856" s="24"/>
      <c r="E856" s="24"/>
      <c r="G856" s="24"/>
      <c r="H856" s="24"/>
      <c r="J856" s="24"/>
      <c r="K856" s="24"/>
      <c r="M856" s="24"/>
      <c r="N856" s="24"/>
      <c r="P856" s="24"/>
    </row>
    <row r="857" spans="2:16" x14ac:dyDescent="0.25">
      <c r="B857" s="24"/>
      <c r="E857" s="24"/>
      <c r="G857" s="24"/>
      <c r="H857" s="24"/>
      <c r="J857" s="24"/>
      <c r="K857" s="24"/>
      <c r="M857" s="24"/>
      <c r="N857" s="24"/>
      <c r="P857" s="24"/>
    </row>
    <row r="858" spans="2:16" x14ac:dyDescent="0.25">
      <c r="B858" s="24"/>
      <c r="E858" s="24"/>
      <c r="G858" s="24"/>
      <c r="H858" s="24"/>
      <c r="J858" s="24"/>
      <c r="K858" s="24"/>
      <c r="M858" s="24"/>
      <c r="N858" s="24"/>
      <c r="P858" s="24"/>
    </row>
    <row r="859" spans="2:16" x14ac:dyDescent="0.25">
      <c r="B859" s="24"/>
      <c r="E859" s="24"/>
      <c r="G859" s="24"/>
      <c r="H859" s="24"/>
      <c r="J859" s="24"/>
      <c r="K859" s="24"/>
      <c r="M859" s="24"/>
      <c r="N859" s="24"/>
      <c r="P859" s="24"/>
    </row>
    <row r="860" spans="2:16" x14ac:dyDescent="0.25">
      <c r="B860" s="24"/>
      <c r="E860" s="24"/>
      <c r="G860" s="24"/>
      <c r="H860" s="24"/>
      <c r="J860" s="24"/>
      <c r="K860" s="24"/>
      <c r="M860" s="24"/>
      <c r="N860" s="24"/>
      <c r="P860" s="24"/>
    </row>
    <row r="861" spans="2:16" x14ac:dyDescent="0.25">
      <c r="B861" s="24"/>
      <c r="E861" s="24"/>
      <c r="G861" s="24"/>
      <c r="H861" s="24"/>
      <c r="J861" s="24"/>
      <c r="K861" s="24"/>
      <c r="M861" s="24"/>
      <c r="N861" s="24"/>
      <c r="P861" s="24"/>
    </row>
    <row r="862" spans="2:16" x14ac:dyDescent="0.25">
      <c r="B862" s="24"/>
      <c r="E862" s="24"/>
      <c r="G862" s="24"/>
      <c r="H862" s="24"/>
      <c r="J862" s="24"/>
      <c r="K862" s="24"/>
      <c r="M862" s="24"/>
      <c r="N862" s="24"/>
      <c r="P862" s="24"/>
    </row>
    <row r="863" spans="2:16" x14ac:dyDescent="0.25">
      <c r="B863" s="24"/>
      <c r="E863" s="24"/>
      <c r="G863" s="24"/>
      <c r="H863" s="24"/>
      <c r="J863" s="24"/>
      <c r="K863" s="24"/>
      <c r="M863" s="24"/>
      <c r="N863" s="24"/>
      <c r="P863" s="24"/>
    </row>
    <row r="864" spans="2:16" x14ac:dyDescent="0.25">
      <c r="B864" s="24"/>
      <c r="E864" s="24"/>
      <c r="G864" s="24"/>
      <c r="H864" s="24"/>
      <c r="J864" s="24"/>
      <c r="K864" s="24"/>
      <c r="M864" s="24"/>
      <c r="N864" s="24"/>
      <c r="P864" s="24"/>
    </row>
    <row r="865" spans="2:16" x14ac:dyDescent="0.25">
      <c r="B865" s="24"/>
      <c r="E865" s="24"/>
      <c r="G865" s="24"/>
      <c r="H865" s="24"/>
      <c r="J865" s="24"/>
      <c r="K865" s="24"/>
      <c r="M865" s="24"/>
      <c r="N865" s="24"/>
      <c r="P865" s="24"/>
    </row>
    <row r="866" spans="2:16" x14ac:dyDescent="0.25">
      <c r="B866" s="24"/>
      <c r="E866" s="24"/>
      <c r="G866" s="24"/>
      <c r="H866" s="24"/>
      <c r="J866" s="24"/>
      <c r="K866" s="24"/>
      <c r="M866" s="24"/>
      <c r="N866" s="24"/>
      <c r="P866" s="24"/>
    </row>
    <row r="867" spans="2:16" x14ac:dyDescent="0.25">
      <c r="B867" s="24"/>
      <c r="E867" s="24"/>
      <c r="G867" s="24"/>
      <c r="H867" s="24"/>
      <c r="J867" s="24"/>
      <c r="K867" s="24"/>
      <c r="M867" s="24"/>
      <c r="N867" s="24"/>
      <c r="P867" s="24"/>
    </row>
    <row r="868" spans="2:16" x14ac:dyDescent="0.25">
      <c r="B868" s="24"/>
      <c r="E868" s="24"/>
      <c r="G868" s="24"/>
      <c r="H868" s="24"/>
      <c r="J868" s="24"/>
      <c r="K868" s="24"/>
      <c r="M868" s="24"/>
      <c r="N868" s="24"/>
      <c r="P868" s="24"/>
    </row>
    <row r="869" spans="2:16" x14ac:dyDescent="0.25">
      <c r="B869" s="24"/>
      <c r="E869" s="24"/>
      <c r="G869" s="24"/>
      <c r="H869" s="24"/>
      <c r="J869" s="24"/>
      <c r="K869" s="24"/>
      <c r="M869" s="24"/>
      <c r="N869" s="24"/>
      <c r="P869" s="24"/>
    </row>
    <row r="870" spans="2:16" x14ac:dyDescent="0.25">
      <c r="B870" s="24"/>
      <c r="E870" s="24"/>
      <c r="G870" s="24"/>
      <c r="H870" s="24"/>
      <c r="J870" s="24"/>
      <c r="K870" s="24"/>
      <c r="M870" s="24"/>
      <c r="N870" s="24"/>
      <c r="P870" s="24"/>
    </row>
    <row r="871" spans="2:16" x14ac:dyDescent="0.25">
      <c r="B871" s="24"/>
      <c r="E871" s="24"/>
      <c r="G871" s="24"/>
      <c r="H871" s="24"/>
      <c r="J871" s="24"/>
      <c r="K871" s="24"/>
      <c r="M871" s="24"/>
      <c r="N871" s="24"/>
      <c r="P871" s="24"/>
    </row>
    <row r="872" spans="2:16" x14ac:dyDescent="0.25">
      <c r="B872" s="24"/>
      <c r="E872" s="24"/>
      <c r="G872" s="24"/>
      <c r="H872" s="24"/>
      <c r="J872" s="24"/>
      <c r="K872" s="24"/>
      <c r="M872" s="24"/>
      <c r="N872" s="24"/>
      <c r="P872" s="24"/>
    </row>
    <row r="873" spans="2:16" x14ac:dyDescent="0.25">
      <c r="B873" s="24"/>
      <c r="E873" s="24"/>
      <c r="G873" s="24"/>
      <c r="H873" s="24"/>
      <c r="J873" s="24"/>
      <c r="K873" s="24"/>
      <c r="M873" s="24"/>
      <c r="N873" s="24"/>
      <c r="P873" s="24"/>
    </row>
    <row r="874" spans="2:16" x14ac:dyDescent="0.25">
      <c r="B874" s="24"/>
      <c r="E874" s="24"/>
      <c r="G874" s="24"/>
      <c r="H874" s="24"/>
      <c r="J874" s="24"/>
      <c r="K874" s="24"/>
      <c r="M874" s="24"/>
      <c r="N874" s="24"/>
      <c r="P874" s="24"/>
    </row>
    <row r="875" spans="2:16" x14ac:dyDescent="0.25">
      <c r="B875" s="24"/>
      <c r="E875" s="24"/>
      <c r="G875" s="24"/>
      <c r="H875" s="24"/>
      <c r="J875" s="24"/>
      <c r="K875" s="24"/>
      <c r="M875" s="24"/>
      <c r="N875" s="24"/>
      <c r="P875" s="24"/>
    </row>
    <row r="876" spans="2:16" x14ac:dyDescent="0.25">
      <c r="B876" s="24"/>
      <c r="E876" s="24"/>
      <c r="G876" s="24"/>
      <c r="H876" s="24"/>
      <c r="J876" s="24"/>
      <c r="K876" s="24"/>
      <c r="M876" s="24"/>
      <c r="N876" s="24"/>
      <c r="P876" s="24"/>
    </row>
    <row r="877" spans="2:16" x14ac:dyDescent="0.25">
      <c r="B877" s="24"/>
      <c r="E877" s="24"/>
      <c r="G877" s="24"/>
      <c r="H877" s="24"/>
      <c r="J877" s="24"/>
      <c r="K877" s="24"/>
      <c r="M877" s="24"/>
      <c r="N877" s="24"/>
      <c r="P877" s="24"/>
    </row>
    <row r="878" spans="2:16" x14ac:dyDescent="0.25">
      <c r="B878" s="24"/>
      <c r="E878" s="24"/>
      <c r="G878" s="24"/>
      <c r="H878" s="24"/>
      <c r="J878" s="24"/>
      <c r="K878" s="24"/>
      <c r="M878" s="24"/>
      <c r="N878" s="24"/>
      <c r="P878" s="24"/>
    </row>
    <row r="879" spans="2:16" x14ac:dyDescent="0.25">
      <c r="B879" s="24"/>
      <c r="E879" s="24"/>
      <c r="G879" s="24"/>
      <c r="H879" s="24"/>
      <c r="J879" s="24"/>
      <c r="K879" s="24"/>
      <c r="M879" s="24"/>
      <c r="N879" s="24"/>
      <c r="P879" s="24"/>
    </row>
    <row r="880" spans="2:16" x14ac:dyDescent="0.25">
      <c r="B880" s="24"/>
      <c r="E880" s="24"/>
      <c r="G880" s="24"/>
      <c r="H880" s="24"/>
      <c r="J880" s="24"/>
      <c r="K880" s="24"/>
      <c r="M880" s="24"/>
      <c r="N880" s="24"/>
      <c r="P880" s="24"/>
    </row>
    <row r="881" spans="2:16" x14ac:dyDescent="0.25">
      <c r="B881" s="24"/>
      <c r="E881" s="24"/>
      <c r="G881" s="24"/>
      <c r="H881" s="24"/>
      <c r="J881" s="24"/>
      <c r="K881" s="24"/>
      <c r="M881" s="24"/>
      <c r="N881" s="24"/>
      <c r="P881" s="24"/>
    </row>
    <row r="882" spans="2:16" x14ac:dyDescent="0.25">
      <c r="B882" s="24"/>
      <c r="E882" s="24"/>
      <c r="G882" s="24"/>
      <c r="H882" s="24"/>
      <c r="J882" s="24"/>
      <c r="K882" s="24"/>
      <c r="M882" s="24"/>
      <c r="N882" s="24"/>
      <c r="P882" s="24"/>
    </row>
    <row r="883" spans="2:16" x14ac:dyDescent="0.25">
      <c r="B883" s="24"/>
      <c r="E883" s="24"/>
      <c r="G883" s="24"/>
      <c r="H883" s="24"/>
      <c r="J883" s="24"/>
      <c r="K883" s="24"/>
      <c r="M883" s="24"/>
      <c r="N883" s="24"/>
      <c r="P883" s="24"/>
    </row>
    <row r="884" spans="2:16" x14ac:dyDescent="0.25">
      <c r="B884" s="24"/>
      <c r="E884" s="24"/>
      <c r="G884" s="24"/>
      <c r="H884" s="24"/>
      <c r="J884" s="24"/>
      <c r="K884" s="24"/>
      <c r="M884" s="24"/>
      <c r="N884" s="24"/>
      <c r="P884" s="24"/>
    </row>
    <row r="885" spans="2:16" x14ac:dyDescent="0.25">
      <c r="B885" s="24"/>
      <c r="E885" s="24"/>
      <c r="G885" s="24"/>
      <c r="H885" s="24"/>
      <c r="J885" s="24"/>
      <c r="K885" s="24"/>
      <c r="M885" s="24"/>
      <c r="N885" s="24"/>
      <c r="P885" s="24"/>
    </row>
    <row r="886" spans="2:16" x14ac:dyDescent="0.25">
      <c r="B886" s="24"/>
      <c r="E886" s="24"/>
      <c r="G886" s="24"/>
      <c r="H886" s="24"/>
      <c r="J886" s="24"/>
      <c r="K886" s="24"/>
      <c r="M886" s="24"/>
      <c r="N886" s="24"/>
      <c r="P886" s="24"/>
    </row>
    <row r="887" spans="2:16" x14ac:dyDescent="0.25">
      <c r="B887" s="24"/>
      <c r="E887" s="24"/>
      <c r="G887" s="24"/>
      <c r="H887" s="24"/>
      <c r="J887" s="24"/>
      <c r="K887" s="24"/>
      <c r="M887" s="24"/>
      <c r="N887" s="24"/>
      <c r="P887" s="24"/>
    </row>
    <row r="888" spans="2:16" x14ac:dyDescent="0.25">
      <c r="B888" s="24"/>
      <c r="E888" s="24"/>
      <c r="G888" s="24"/>
      <c r="H888" s="24"/>
      <c r="J888" s="24"/>
      <c r="K888" s="24"/>
      <c r="M888" s="24"/>
      <c r="N888" s="24"/>
      <c r="P888" s="24"/>
    </row>
    <row r="889" spans="2:16" x14ac:dyDescent="0.25">
      <c r="B889" s="24"/>
      <c r="E889" s="24"/>
      <c r="G889" s="24"/>
      <c r="H889" s="24"/>
      <c r="J889" s="24"/>
      <c r="K889" s="24"/>
      <c r="M889" s="24"/>
      <c r="N889" s="24"/>
      <c r="P889" s="24"/>
    </row>
    <row r="890" spans="2:16" x14ac:dyDescent="0.25">
      <c r="B890" s="24"/>
      <c r="E890" s="24"/>
      <c r="G890" s="24"/>
      <c r="H890" s="24"/>
      <c r="J890" s="24"/>
      <c r="K890" s="24"/>
      <c r="M890" s="24"/>
      <c r="N890" s="24"/>
      <c r="P890" s="24"/>
    </row>
    <row r="891" spans="2:16" x14ac:dyDescent="0.25">
      <c r="B891" s="24"/>
      <c r="E891" s="24"/>
      <c r="G891" s="24"/>
      <c r="H891" s="24"/>
      <c r="J891" s="24"/>
      <c r="K891" s="24"/>
      <c r="M891" s="24"/>
      <c r="N891" s="24"/>
      <c r="P891" s="24"/>
    </row>
    <row r="892" spans="2:16" x14ac:dyDescent="0.25">
      <c r="B892" s="24"/>
      <c r="E892" s="24"/>
      <c r="G892" s="24"/>
      <c r="H892" s="24"/>
      <c r="J892" s="24"/>
      <c r="K892" s="24"/>
      <c r="M892" s="24"/>
      <c r="N892" s="24"/>
      <c r="P892" s="24"/>
    </row>
    <row r="893" spans="2:16" x14ac:dyDescent="0.25">
      <c r="B893" s="24"/>
      <c r="E893" s="24"/>
      <c r="G893" s="24"/>
      <c r="H893" s="24"/>
      <c r="J893" s="24"/>
      <c r="K893" s="24"/>
      <c r="M893" s="24"/>
      <c r="N893" s="24"/>
      <c r="P893" s="24"/>
    </row>
    <row r="894" spans="2:16" x14ac:dyDescent="0.25">
      <c r="B894" s="24"/>
      <c r="E894" s="24"/>
      <c r="G894" s="24"/>
      <c r="H894" s="24"/>
      <c r="J894" s="24"/>
      <c r="K894" s="24"/>
      <c r="M894" s="24"/>
      <c r="N894" s="24"/>
      <c r="P894" s="24"/>
    </row>
    <row r="895" spans="2:16" x14ac:dyDescent="0.25">
      <c r="B895" s="24"/>
      <c r="E895" s="24"/>
      <c r="G895" s="24"/>
      <c r="H895" s="24"/>
      <c r="J895" s="24"/>
      <c r="K895" s="24"/>
      <c r="M895" s="24"/>
      <c r="N895" s="24"/>
      <c r="P895" s="24"/>
    </row>
    <row r="896" spans="2:16" x14ac:dyDescent="0.25">
      <c r="B896" s="24"/>
      <c r="E896" s="24"/>
      <c r="G896" s="24"/>
      <c r="H896" s="24"/>
      <c r="J896" s="24"/>
      <c r="K896" s="24"/>
      <c r="M896" s="24"/>
      <c r="N896" s="24"/>
      <c r="P896" s="24"/>
    </row>
    <row r="897" spans="2:16" x14ac:dyDescent="0.25">
      <c r="B897" s="24"/>
      <c r="E897" s="24"/>
      <c r="G897" s="24"/>
      <c r="H897" s="24"/>
      <c r="J897" s="24"/>
      <c r="K897" s="24"/>
      <c r="M897" s="24"/>
      <c r="N897" s="24"/>
      <c r="P897" s="24"/>
    </row>
    <row r="898" spans="2:16" x14ac:dyDescent="0.25">
      <c r="B898" s="24"/>
      <c r="E898" s="24"/>
      <c r="G898" s="24"/>
      <c r="H898" s="24"/>
      <c r="J898" s="24"/>
      <c r="K898" s="24"/>
      <c r="M898" s="24"/>
      <c r="N898" s="24"/>
      <c r="P898" s="24"/>
    </row>
    <row r="899" spans="2:16" x14ac:dyDescent="0.25">
      <c r="B899" s="24"/>
      <c r="E899" s="24"/>
      <c r="G899" s="24"/>
      <c r="H899" s="24"/>
      <c r="J899" s="24"/>
      <c r="K899" s="24"/>
      <c r="M899" s="24"/>
      <c r="N899" s="24"/>
      <c r="P899" s="24"/>
    </row>
    <row r="900" spans="2:16" x14ac:dyDescent="0.25">
      <c r="B900" s="24"/>
      <c r="E900" s="24"/>
      <c r="G900" s="24"/>
      <c r="H900" s="24"/>
      <c r="J900" s="24"/>
      <c r="K900" s="24"/>
      <c r="M900" s="24"/>
      <c r="N900" s="24"/>
      <c r="P900" s="24"/>
    </row>
    <row r="901" spans="2:16" x14ac:dyDescent="0.25">
      <c r="B901" s="24"/>
      <c r="E901" s="24"/>
      <c r="G901" s="24"/>
      <c r="H901" s="24"/>
      <c r="J901" s="24"/>
      <c r="K901" s="24"/>
      <c r="M901" s="24"/>
      <c r="N901" s="24"/>
      <c r="P901" s="24"/>
    </row>
    <row r="902" spans="2:16" x14ac:dyDescent="0.25">
      <c r="B902" s="24"/>
      <c r="E902" s="24"/>
      <c r="G902" s="24"/>
      <c r="H902" s="24"/>
      <c r="J902" s="24"/>
      <c r="K902" s="24"/>
      <c r="M902" s="24"/>
      <c r="N902" s="24"/>
      <c r="P902" s="24"/>
    </row>
    <row r="903" spans="2:16" x14ac:dyDescent="0.25">
      <c r="B903" s="24"/>
      <c r="E903" s="24"/>
      <c r="G903" s="24"/>
      <c r="H903" s="24"/>
      <c r="J903" s="24"/>
      <c r="K903" s="24"/>
      <c r="M903" s="24"/>
      <c r="N903" s="24"/>
      <c r="P903" s="24"/>
    </row>
    <row r="904" spans="2:16" x14ac:dyDescent="0.25">
      <c r="B904" s="24"/>
      <c r="E904" s="24"/>
      <c r="G904" s="24"/>
      <c r="H904" s="24"/>
      <c r="J904" s="24"/>
      <c r="K904" s="24"/>
      <c r="M904" s="24"/>
      <c r="N904" s="24"/>
      <c r="P904" s="24"/>
    </row>
    <row r="905" spans="2:16" x14ac:dyDescent="0.25">
      <c r="B905" s="24"/>
      <c r="E905" s="24"/>
      <c r="G905" s="24"/>
      <c r="H905" s="24"/>
      <c r="J905" s="24"/>
      <c r="K905" s="24"/>
      <c r="M905" s="24"/>
      <c r="N905" s="24"/>
      <c r="P905" s="24"/>
    </row>
    <row r="906" spans="2:16" x14ac:dyDescent="0.25">
      <c r="B906" s="24"/>
      <c r="E906" s="24"/>
      <c r="G906" s="24"/>
      <c r="H906" s="24"/>
      <c r="J906" s="24"/>
      <c r="K906" s="24"/>
      <c r="M906" s="24"/>
      <c r="N906" s="24"/>
      <c r="P906" s="24"/>
    </row>
    <row r="907" spans="2:16" x14ac:dyDescent="0.25">
      <c r="B907" s="24"/>
      <c r="E907" s="24"/>
      <c r="G907" s="24"/>
      <c r="H907" s="24"/>
      <c r="J907" s="24"/>
      <c r="K907" s="24"/>
      <c r="M907" s="24"/>
      <c r="N907" s="24"/>
      <c r="P907" s="24"/>
    </row>
    <row r="908" spans="2:16" x14ac:dyDescent="0.25">
      <c r="B908" s="24"/>
      <c r="E908" s="24"/>
      <c r="G908" s="24"/>
      <c r="H908" s="24"/>
      <c r="J908" s="24"/>
      <c r="K908" s="24"/>
      <c r="M908" s="24"/>
      <c r="N908" s="24"/>
      <c r="P908" s="24"/>
    </row>
    <row r="909" spans="2:16" x14ac:dyDescent="0.25">
      <c r="B909" s="24"/>
      <c r="E909" s="24"/>
      <c r="G909" s="24"/>
      <c r="H909" s="24"/>
      <c r="J909" s="24"/>
      <c r="K909" s="24"/>
      <c r="M909" s="24"/>
      <c r="N909" s="24"/>
      <c r="P909" s="24"/>
    </row>
    <row r="910" spans="2:16" x14ac:dyDescent="0.25">
      <c r="B910" s="24"/>
      <c r="E910" s="24"/>
      <c r="G910" s="24"/>
      <c r="H910" s="24"/>
      <c r="J910" s="24"/>
      <c r="K910" s="24"/>
      <c r="M910" s="24"/>
      <c r="N910" s="24"/>
      <c r="P910" s="24"/>
    </row>
    <row r="911" spans="2:16" x14ac:dyDescent="0.25">
      <c r="B911" s="24"/>
      <c r="E911" s="24"/>
      <c r="G911" s="24"/>
      <c r="H911" s="24"/>
      <c r="J911" s="24"/>
      <c r="K911" s="24"/>
      <c r="M911" s="24"/>
      <c r="N911" s="24"/>
      <c r="P911" s="24"/>
    </row>
    <row r="912" spans="2:16" x14ac:dyDescent="0.25">
      <c r="B912" s="24"/>
      <c r="E912" s="24"/>
      <c r="G912" s="24"/>
      <c r="H912" s="24"/>
      <c r="J912" s="24"/>
      <c r="K912" s="24"/>
      <c r="M912" s="24"/>
      <c r="N912" s="24"/>
      <c r="P912" s="24"/>
    </row>
    <row r="913" spans="2:16" x14ac:dyDescent="0.25">
      <c r="B913" s="24"/>
      <c r="E913" s="24"/>
      <c r="G913" s="24"/>
      <c r="H913" s="24"/>
      <c r="J913" s="24"/>
      <c r="K913" s="24"/>
      <c r="M913" s="24"/>
      <c r="N913" s="24"/>
      <c r="P913" s="24"/>
    </row>
    <row r="914" spans="2:16" x14ac:dyDescent="0.25">
      <c r="B914" s="24"/>
      <c r="E914" s="24"/>
      <c r="G914" s="24"/>
      <c r="H914" s="24"/>
      <c r="J914" s="24"/>
      <c r="K914" s="24"/>
      <c r="M914" s="24"/>
      <c r="N914" s="24"/>
      <c r="P914" s="24"/>
    </row>
    <row r="915" spans="2:16" x14ac:dyDescent="0.25">
      <c r="B915" s="24"/>
      <c r="E915" s="24"/>
      <c r="G915" s="24"/>
      <c r="H915" s="24"/>
      <c r="J915" s="24"/>
      <c r="K915" s="24"/>
      <c r="M915" s="24"/>
      <c r="N915" s="24"/>
      <c r="P915" s="24"/>
    </row>
    <row r="916" spans="2:16" x14ac:dyDescent="0.25">
      <c r="B916" s="24"/>
      <c r="E916" s="24"/>
      <c r="G916" s="24"/>
      <c r="H916" s="24"/>
      <c r="J916" s="24"/>
      <c r="K916" s="24"/>
      <c r="M916" s="24"/>
      <c r="N916" s="24"/>
      <c r="P916" s="24"/>
    </row>
    <row r="917" spans="2:16" x14ac:dyDescent="0.25">
      <c r="B917" s="24"/>
      <c r="E917" s="24"/>
      <c r="G917" s="24"/>
      <c r="H917" s="24"/>
      <c r="J917" s="24"/>
      <c r="K917" s="24"/>
      <c r="M917" s="24"/>
      <c r="N917" s="24"/>
      <c r="P917" s="24"/>
    </row>
    <row r="918" spans="2:16" x14ac:dyDescent="0.25">
      <c r="B918" s="24"/>
      <c r="E918" s="24"/>
      <c r="G918" s="24"/>
      <c r="H918" s="24"/>
      <c r="J918" s="24"/>
      <c r="K918" s="24"/>
      <c r="M918" s="24"/>
      <c r="N918" s="24"/>
      <c r="P918" s="24"/>
    </row>
    <row r="919" spans="2:16" x14ac:dyDescent="0.25">
      <c r="B919" s="24"/>
      <c r="E919" s="24"/>
      <c r="G919" s="24"/>
      <c r="H919" s="24"/>
      <c r="J919" s="24"/>
      <c r="K919" s="24"/>
      <c r="M919" s="24"/>
      <c r="N919" s="24"/>
      <c r="P919" s="24"/>
    </row>
    <row r="920" spans="2:16" x14ac:dyDescent="0.25">
      <c r="B920" s="24"/>
      <c r="E920" s="24"/>
      <c r="G920" s="24"/>
      <c r="H920" s="24"/>
      <c r="J920" s="24"/>
      <c r="K920" s="24"/>
      <c r="M920" s="24"/>
      <c r="N920" s="24"/>
      <c r="P920" s="24"/>
    </row>
    <row r="921" spans="2:16" x14ac:dyDescent="0.25">
      <c r="B921" s="24"/>
      <c r="E921" s="24"/>
      <c r="G921" s="24"/>
      <c r="H921" s="24"/>
      <c r="J921" s="24"/>
      <c r="K921" s="24"/>
      <c r="M921" s="24"/>
      <c r="N921" s="24"/>
      <c r="P921" s="24"/>
    </row>
    <row r="922" spans="2:16" x14ac:dyDescent="0.25">
      <c r="B922" s="24"/>
      <c r="E922" s="24"/>
      <c r="G922" s="24"/>
      <c r="H922" s="24"/>
      <c r="J922" s="24"/>
      <c r="K922" s="24"/>
      <c r="M922" s="24"/>
      <c r="N922" s="24"/>
      <c r="P922" s="24"/>
    </row>
    <row r="923" spans="2:16" x14ac:dyDescent="0.25">
      <c r="B923" s="24"/>
      <c r="E923" s="24"/>
      <c r="G923" s="24"/>
      <c r="H923" s="24"/>
      <c r="J923" s="24"/>
      <c r="K923" s="24"/>
      <c r="M923" s="24"/>
      <c r="N923" s="24"/>
      <c r="P923" s="24"/>
    </row>
    <row r="924" spans="2:16" x14ac:dyDescent="0.25">
      <c r="B924" s="24"/>
      <c r="E924" s="24"/>
      <c r="G924" s="24"/>
      <c r="H924" s="24"/>
      <c r="J924" s="24"/>
      <c r="K924" s="24"/>
      <c r="M924" s="24"/>
      <c r="N924" s="24"/>
      <c r="P924" s="24"/>
    </row>
    <row r="925" spans="2:16" x14ac:dyDescent="0.25">
      <c r="B925" s="24"/>
      <c r="E925" s="24"/>
      <c r="G925" s="24"/>
      <c r="H925" s="24"/>
      <c r="J925" s="24"/>
      <c r="K925" s="24"/>
      <c r="M925" s="24"/>
      <c r="N925" s="24"/>
      <c r="P925" s="24"/>
    </row>
    <row r="926" spans="2:16" x14ac:dyDescent="0.25">
      <c r="B926" s="24"/>
      <c r="E926" s="24"/>
      <c r="G926" s="24"/>
      <c r="H926" s="24"/>
      <c r="J926" s="24"/>
      <c r="K926" s="24"/>
      <c r="M926" s="24"/>
      <c r="N926" s="24"/>
      <c r="P926" s="24"/>
    </row>
    <row r="927" spans="2:16" x14ac:dyDescent="0.25">
      <c r="B927" s="24"/>
      <c r="E927" s="24"/>
      <c r="G927" s="24"/>
      <c r="H927" s="24"/>
      <c r="J927" s="24"/>
      <c r="K927" s="24"/>
      <c r="M927" s="24"/>
      <c r="N927" s="24"/>
      <c r="P927" s="24"/>
    </row>
    <row r="928" spans="2:16" x14ac:dyDescent="0.25">
      <c r="B928" s="24"/>
      <c r="E928" s="24"/>
      <c r="G928" s="24"/>
      <c r="H928" s="24"/>
      <c r="J928" s="24"/>
      <c r="K928" s="24"/>
      <c r="M928" s="24"/>
      <c r="N928" s="24"/>
      <c r="P928" s="24"/>
    </row>
    <row r="929" spans="2:16" x14ac:dyDescent="0.25">
      <c r="B929" s="24"/>
      <c r="E929" s="24"/>
      <c r="G929" s="24"/>
      <c r="H929" s="24"/>
      <c r="J929" s="24"/>
      <c r="K929" s="24"/>
      <c r="M929" s="24"/>
      <c r="N929" s="24"/>
      <c r="P929" s="24"/>
    </row>
    <row r="930" spans="2:16" x14ac:dyDescent="0.25">
      <c r="B930" s="24"/>
      <c r="E930" s="24"/>
      <c r="G930" s="24"/>
      <c r="H930" s="24"/>
      <c r="J930" s="24"/>
      <c r="K930" s="24"/>
      <c r="M930" s="24"/>
      <c r="N930" s="24"/>
      <c r="P930" s="24"/>
    </row>
    <row r="931" spans="2:16" x14ac:dyDescent="0.25">
      <c r="B931" s="24"/>
      <c r="E931" s="24"/>
      <c r="G931" s="24"/>
      <c r="H931" s="24"/>
      <c r="J931" s="24"/>
      <c r="K931" s="24"/>
      <c r="M931" s="24"/>
      <c r="N931" s="24"/>
      <c r="P931" s="24"/>
    </row>
    <row r="932" spans="2:16" x14ac:dyDescent="0.25">
      <c r="B932" s="24"/>
      <c r="E932" s="24"/>
      <c r="G932" s="24"/>
      <c r="H932" s="24"/>
      <c r="J932" s="24"/>
      <c r="K932" s="24"/>
      <c r="M932" s="24"/>
      <c r="N932" s="24"/>
      <c r="P932" s="24"/>
    </row>
    <row r="933" spans="2:16" x14ac:dyDescent="0.25">
      <c r="B933" s="24"/>
      <c r="E933" s="24"/>
      <c r="G933" s="24"/>
      <c r="H933" s="24"/>
      <c r="J933" s="24"/>
      <c r="K933" s="24"/>
      <c r="M933" s="24"/>
      <c r="N933" s="24"/>
      <c r="P933" s="24"/>
    </row>
    <row r="934" spans="2:16" x14ac:dyDescent="0.25">
      <c r="B934" s="24"/>
      <c r="E934" s="24"/>
      <c r="G934" s="24"/>
      <c r="H934" s="24"/>
      <c r="J934" s="24"/>
      <c r="K934" s="24"/>
      <c r="M934" s="24"/>
      <c r="N934" s="24"/>
      <c r="P934" s="24"/>
    </row>
    <row r="935" spans="2:16" x14ac:dyDescent="0.25">
      <c r="B935" s="24"/>
      <c r="E935" s="24"/>
      <c r="G935" s="24"/>
      <c r="H935" s="24"/>
      <c r="J935" s="24"/>
      <c r="K935" s="24"/>
      <c r="M935" s="24"/>
      <c r="N935" s="24"/>
      <c r="P935" s="24"/>
    </row>
    <row r="936" spans="2:16" x14ac:dyDescent="0.25">
      <c r="B936" s="24"/>
      <c r="E936" s="24"/>
      <c r="G936" s="24"/>
      <c r="H936" s="24"/>
      <c r="J936" s="24"/>
      <c r="K936" s="24"/>
      <c r="M936" s="24"/>
      <c r="N936" s="24"/>
      <c r="P936" s="24"/>
    </row>
    <row r="937" spans="2:16" x14ac:dyDescent="0.25">
      <c r="B937" s="24"/>
      <c r="E937" s="24"/>
      <c r="G937" s="24"/>
      <c r="H937" s="24"/>
      <c r="J937" s="24"/>
      <c r="K937" s="24"/>
      <c r="M937" s="24"/>
      <c r="N937" s="24"/>
      <c r="P937" s="24"/>
    </row>
    <row r="938" spans="2:16" x14ac:dyDescent="0.25">
      <c r="B938" s="24"/>
      <c r="E938" s="24"/>
      <c r="G938" s="24"/>
      <c r="H938" s="24"/>
      <c r="J938" s="24"/>
      <c r="K938" s="24"/>
      <c r="M938" s="24"/>
      <c r="N938" s="24"/>
      <c r="P938" s="24"/>
    </row>
    <row r="939" spans="2:16" x14ac:dyDescent="0.25">
      <c r="B939" s="24"/>
      <c r="E939" s="24"/>
      <c r="G939" s="24"/>
      <c r="H939" s="24"/>
      <c r="J939" s="24"/>
      <c r="K939" s="24"/>
      <c r="M939" s="24"/>
      <c r="N939" s="24"/>
      <c r="P939" s="24"/>
    </row>
    <row r="940" spans="2:16" x14ac:dyDescent="0.25">
      <c r="B940" s="24"/>
      <c r="E940" s="24"/>
      <c r="G940" s="24"/>
      <c r="H940" s="24"/>
      <c r="J940" s="24"/>
      <c r="K940" s="24"/>
      <c r="M940" s="24"/>
      <c r="N940" s="24"/>
      <c r="P940" s="24"/>
    </row>
    <row r="941" spans="2:16" x14ac:dyDescent="0.25">
      <c r="B941" s="24"/>
      <c r="E941" s="24"/>
      <c r="G941" s="24"/>
      <c r="H941" s="24"/>
      <c r="J941" s="24"/>
      <c r="K941" s="24"/>
      <c r="M941" s="24"/>
      <c r="N941" s="24"/>
      <c r="P941" s="24"/>
    </row>
    <row r="942" spans="2:16" x14ac:dyDescent="0.25">
      <c r="B942" s="24"/>
      <c r="E942" s="24"/>
      <c r="G942" s="24"/>
      <c r="H942" s="24"/>
      <c r="J942" s="24"/>
      <c r="K942" s="24"/>
      <c r="M942" s="24"/>
      <c r="N942" s="24"/>
      <c r="P942" s="24"/>
    </row>
    <row r="943" spans="2:16" x14ac:dyDescent="0.25">
      <c r="B943" s="24"/>
      <c r="E943" s="24"/>
      <c r="G943" s="24"/>
      <c r="H943" s="24"/>
      <c r="J943" s="24"/>
      <c r="K943" s="24"/>
      <c r="M943" s="24"/>
      <c r="N943" s="24"/>
      <c r="P943" s="24"/>
    </row>
    <row r="944" spans="2:16" x14ac:dyDescent="0.25">
      <c r="B944" s="24"/>
      <c r="E944" s="24"/>
      <c r="G944" s="24"/>
      <c r="H944" s="24"/>
      <c r="J944" s="24"/>
      <c r="K944" s="24"/>
      <c r="M944" s="24"/>
      <c r="N944" s="24"/>
      <c r="P944" s="24"/>
    </row>
    <row r="945" spans="2:16" x14ac:dyDescent="0.25">
      <c r="B945" s="24"/>
      <c r="E945" s="24"/>
      <c r="G945" s="24"/>
      <c r="H945" s="24"/>
      <c r="J945" s="24"/>
      <c r="K945" s="24"/>
      <c r="M945" s="24"/>
      <c r="N945" s="24"/>
      <c r="P945" s="24"/>
    </row>
    <row r="946" spans="2:16" x14ac:dyDescent="0.25">
      <c r="B946" s="24"/>
      <c r="E946" s="24"/>
      <c r="G946" s="24"/>
      <c r="H946" s="24"/>
      <c r="J946" s="24"/>
      <c r="K946" s="24"/>
      <c r="M946" s="24"/>
      <c r="N946" s="24"/>
      <c r="P946" s="24"/>
    </row>
    <row r="947" spans="2:16" x14ac:dyDescent="0.25">
      <c r="B947" s="24"/>
      <c r="E947" s="24"/>
      <c r="G947" s="24"/>
      <c r="H947" s="24"/>
      <c r="J947" s="24"/>
      <c r="K947" s="24"/>
      <c r="M947" s="24"/>
      <c r="N947" s="24"/>
      <c r="P947" s="24"/>
    </row>
    <row r="948" spans="2:16" x14ac:dyDescent="0.25">
      <c r="B948" s="24"/>
      <c r="E948" s="24"/>
      <c r="G948" s="24"/>
      <c r="H948" s="24"/>
      <c r="J948" s="24"/>
      <c r="K948" s="24"/>
      <c r="M948" s="24"/>
      <c r="N948" s="24"/>
      <c r="P948" s="24"/>
    </row>
    <row r="949" spans="2:16" x14ac:dyDescent="0.25">
      <c r="B949" s="24"/>
      <c r="E949" s="24"/>
      <c r="G949" s="24"/>
      <c r="H949" s="24"/>
      <c r="J949" s="24"/>
      <c r="K949" s="24"/>
      <c r="M949" s="24"/>
      <c r="N949" s="24"/>
      <c r="P949" s="24"/>
    </row>
    <row r="950" spans="2:16" x14ac:dyDescent="0.25">
      <c r="B950" s="24"/>
      <c r="E950" s="24"/>
      <c r="G950" s="24"/>
      <c r="H950" s="24"/>
      <c r="J950" s="24"/>
      <c r="K950" s="24"/>
      <c r="M950" s="24"/>
      <c r="N950" s="24"/>
      <c r="P950" s="24"/>
    </row>
    <row r="951" spans="2:16" x14ac:dyDescent="0.25">
      <c r="B951" s="24"/>
      <c r="E951" s="24"/>
      <c r="G951" s="24"/>
      <c r="H951" s="24"/>
      <c r="J951" s="24"/>
      <c r="K951" s="24"/>
      <c r="M951" s="24"/>
      <c r="N951" s="24"/>
      <c r="P951" s="24"/>
    </row>
    <row r="952" spans="2:16" x14ac:dyDescent="0.25">
      <c r="B952" s="24"/>
      <c r="E952" s="24"/>
      <c r="G952" s="24"/>
      <c r="H952" s="24"/>
      <c r="J952" s="24"/>
      <c r="K952" s="24"/>
      <c r="M952" s="24"/>
      <c r="N952" s="24"/>
      <c r="P952" s="24"/>
    </row>
    <row r="953" spans="2:16" x14ac:dyDescent="0.25">
      <c r="B953" s="24"/>
      <c r="E953" s="24"/>
      <c r="G953" s="24"/>
      <c r="H953" s="24"/>
      <c r="J953" s="24"/>
      <c r="K953" s="24"/>
      <c r="M953" s="24"/>
      <c r="N953" s="24"/>
      <c r="P953" s="24"/>
    </row>
    <row r="954" spans="2:16" x14ac:dyDescent="0.25">
      <c r="B954" s="24"/>
      <c r="E954" s="24"/>
      <c r="G954" s="24"/>
      <c r="H954" s="24"/>
      <c r="J954" s="24"/>
      <c r="K954" s="24"/>
      <c r="M954" s="24"/>
      <c r="N954" s="24"/>
      <c r="P954" s="24"/>
    </row>
    <row r="955" spans="2:16" x14ac:dyDescent="0.25">
      <c r="B955" s="24"/>
      <c r="E955" s="24"/>
      <c r="G955" s="24"/>
      <c r="H955" s="24"/>
      <c r="J955" s="24"/>
      <c r="K955" s="24"/>
      <c r="M955" s="24"/>
      <c r="N955" s="24"/>
      <c r="P955" s="24"/>
    </row>
    <row r="956" spans="2:16" x14ac:dyDescent="0.25">
      <c r="B956" s="24"/>
      <c r="E956" s="24"/>
      <c r="G956" s="24"/>
      <c r="H956" s="24"/>
      <c r="J956" s="24"/>
      <c r="K956" s="24"/>
      <c r="M956" s="24"/>
      <c r="N956" s="24"/>
      <c r="P956" s="24"/>
    </row>
    <row r="957" spans="2:16" x14ac:dyDescent="0.25">
      <c r="B957" s="24"/>
      <c r="E957" s="24"/>
      <c r="G957" s="24"/>
      <c r="H957" s="24"/>
      <c r="J957" s="24"/>
      <c r="K957" s="24"/>
      <c r="M957" s="24"/>
      <c r="N957" s="24"/>
      <c r="P957" s="24"/>
    </row>
    <row r="958" spans="2:16" x14ac:dyDescent="0.25">
      <c r="B958" s="24"/>
      <c r="E958" s="24"/>
      <c r="G958" s="24"/>
      <c r="H958" s="24"/>
      <c r="J958" s="24"/>
      <c r="K958" s="24"/>
      <c r="M958" s="24"/>
      <c r="N958" s="24"/>
      <c r="P958" s="24"/>
    </row>
    <row r="959" spans="2:16" x14ac:dyDescent="0.25">
      <c r="B959" s="24"/>
      <c r="E959" s="24"/>
      <c r="G959" s="24"/>
      <c r="H959" s="24"/>
      <c r="J959" s="24"/>
      <c r="K959" s="24"/>
      <c r="M959" s="24"/>
      <c r="N959" s="24"/>
      <c r="P959" s="24"/>
    </row>
    <row r="960" spans="2:16" x14ac:dyDescent="0.25">
      <c r="B960" s="24"/>
      <c r="E960" s="24"/>
      <c r="G960" s="24"/>
      <c r="H960" s="24"/>
      <c r="J960" s="24"/>
      <c r="K960" s="24"/>
      <c r="M960" s="24"/>
      <c r="N960" s="24"/>
      <c r="P960" s="24"/>
    </row>
    <row r="961" spans="2:16" x14ac:dyDescent="0.25">
      <c r="B961" s="24"/>
      <c r="E961" s="24"/>
      <c r="G961" s="24"/>
      <c r="H961" s="24"/>
      <c r="J961" s="24"/>
      <c r="K961" s="24"/>
      <c r="M961" s="24"/>
      <c r="N961" s="24"/>
      <c r="P961" s="24"/>
    </row>
    <row r="962" spans="2:16" x14ac:dyDescent="0.25">
      <c r="B962" s="24"/>
      <c r="E962" s="24"/>
      <c r="G962" s="24"/>
      <c r="H962" s="24"/>
      <c r="J962" s="24"/>
      <c r="K962" s="24"/>
      <c r="M962" s="24"/>
      <c r="N962" s="24"/>
      <c r="P962" s="24"/>
    </row>
    <row r="963" spans="2:16" x14ac:dyDescent="0.25">
      <c r="B963" s="24"/>
      <c r="E963" s="24"/>
      <c r="G963" s="24"/>
      <c r="H963" s="24"/>
      <c r="J963" s="24"/>
      <c r="K963" s="24"/>
      <c r="M963" s="24"/>
      <c r="N963" s="24"/>
      <c r="P963" s="24"/>
    </row>
    <row r="964" spans="2:16" x14ac:dyDescent="0.25">
      <c r="B964" s="24"/>
      <c r="E964" s="24"/>
      <c r="G964" s="24"/>
      <c r="H964" s="24"/>
      <c r="J964" s="24"/>
      <c r="K964" s="24"/>
      <c r="M964" s="24"/>
      <c r="N964" s="24"/>
      <c r="P964" s="24"/>
    </row>
    <row r="965" spans="2:16" x14ac:dyDescent="0.25">
      <c r="B965" s="24"/>
      <c r="E965" s="24"/>
      <c r="G965" s="24"/>
      <c r="H965" s="24"/>
      <c r="J965" s="24"/>
      <c r="K965" s="24"/>
      <c r="M965" s="24"/>
      <c r="N965" s="24"/>
      <c r="P965" s="24"/>
    </row>
    <row r="966" spans="2:16" x14ac:dyDescent="0.25">
      <c r="B966" s="24"/>
      <c r="E966" s="24"/>
      <c r="G966" s="24"/>
      <c r="H966" s="24"/>
      <c r="J966" s="24"/>
      <c r="K966" s="24"/>
      <c r="M966" s="24"/>
      <c r="N966" s="24"/>
      <c r="P966" s="24"/>
    </row>
    <row r="967" spans="2:16" x14ac:dyDescent="0.25">
      <c r="B967" s="24"/>
      <c r="E967" s="24"/>
      <c r="G967" s="24"/>
      <c r="H967" s="24"/>
      <c r="J967" s="24"/>
      <c r="K967" s="24"/>
      <c r="M967" s="24"/>
      <c r="N967" s="24"/>
      <c r="P967" s="24"/>
    </row>
    <row r="968" spans="2:16" x14ac:dyDescent="0.25">
      <c r="B968" s="24"/>
      <c r="E968" s="24"/>
      <c r="G968" s="24"/>
      <c r="H968" s="24"/>
      <c r="J968" s="24"/>
      <c r="K968" s="24"/>
      <c r="M968" s="24"/>
      <c r="N968" s="24"/>
      <c r="P968" s="24"/>
    </row>
    <row r="969" spans="2:16" x14ac:dyDescent="0.25">
      <c r="B969" s="24"/>
      <c r="E969" s="24"/>
      <c r="G969" s="24"/>
      <c r="H969" s="24"/>
      <c r="J969" s="24"/>
      <c r="K969" s="24"/>
      <c r="M969" s="24"/>
      <c r="N969" s="24"/>
      <c r="P969" s="24"/>
    </row>
    <row r="970" spans="2:16" x14ac:dyDescent="0.25">
      <c r="B970" s="24"/>
      <c r="E970" s="24"/>
      <c r="G970" s="24"/>
      <c r="H970" s="24"/>
      <c r="J970" s="24"/>
      <c r="K970" s="24"/>
      <c r="M970" s="24"/>
      <c r="N970" s="24"/>
      <c r="P970" s="24"/>
    </row>
    <row r="971" spans="2:16" x14ac:dyDescent="0.25">
      <c r="B971" s="24"/>
      <c r="E971" s="24"/>
      <c r="G971" s="24"/>
      <c r="H971" s="24"/>
      <c r="J971" s="24"/>
      <c r="K971" s="24"/>
      <c r="M971" s="24"/>
      <c r="N971" s="24"/>
      <c r="P971" s="24"/>
    </row>
    <row r="972" spans="2:16" x14ac:dyDescent="0.25">
      <c r="B972" s="24"/>
      <c r="E972" s="24"/>
      <c r="G972" s="24"/>
      <c r="H972" s="24"/>
      <c r="J972" s="24"/>
      <c r="K972" s="24"/>
      <c r="M972" s="24"/>
      <c r="N972" s="24"/>
      <c r="P972" s="24"/>
    </row>
    <row r="973" spans="2:16" x14ac:dyDescent="0.25">
      <c r="B973" s="24"/>
      <c r="E973" s="24"/>
      <c r="G973" s="24"/>
      <c r="H973" s="24"/>
      <c r="J973" s="24"/>
      <c r="K973" s="24"/>
      <c r="M973" s="24"/>
      <c r="N973" s="24"/>
      <c r="P973" s="24"/>
    </row>
    <row r="974" spans="2:16" x14ac:dyDescent="0.25">
      <c r="B974" s="24"/>
      <c r="E974" s="24"/>
      <c r="G974" s="24"/>
      <c r="H974" s="24"/>
      <c r="J974" s="24"/>
      <c r="K974" s="24"/>
      <c r="M974" s="24"/>
      <c r="N974" s="24"/>
      <c r="P974" s="24"/>
    </row>
    <row r="975" spans="2:16" x14ac:dyDescent="0.25">
      <c r="B975" s="24"/>
      <c r="E975" s="24"/>
      <c r="G975" s="24"/>
      <c r="H975" s="24"/>
      <c r="J975" s="24"/>
      <c r="K975" s="24"/>
      <c r="M975" s="24"/>
      <c r="N975" s="24"/>
      <c r="P975" s="24"/>
    </row>
    <row r="976" spans="2:16" x14ac:dyDescent="0.25">
      <c r="B976" s="24"/>
      <c r="E976" s="24"/>
      <c r="G976" s="24"/>
      <c r="H976" s="24"/>
      <c r="J976" s="24"/>
      <c r="K976" s="24"/>
      <c r="M976" s="24"/>
      <c r="N976" s="24"/>
      <c r="P976" s="24"/>
    </row>
    <row r="977" spans="2:16" x14ac:dyDescent="0.25">
      <c r="B977" s="24"/>
      <c r="E977" s="24"/>
      <c r="G977" s="24"/>
      <c r="H977" s="24"/>
      <c r="J977" s="24"/>
      <c r="K977" s="24"/>
      <c r="M977" s="24"/>
      <c r="N977" s="24"/>
      <c r="P977" s="24"/>
    </row>
    <row r="978" spans="2:16" x14ac:dyDescent="0.25">
      <c r="B978" s="24"/>
      <c r="E978" s="24"/>
      <c r="G978" s="24"/>
      <c r="H978" s="24"/>
      <c r="J978" s="24"/>
      <c r="K978" s="24"/>
      <c r="M978" s="24"/>
      <c r="N978" s="24"/>
      <c r="P978" s="24"/>
    </row>
    <row r="979" spans="2:16" x14ac:dyDescent="0.25">
      <c r="B979" s="24"/>
      <c r="E979" s="24"/>
      <c r="G979" s="24"/>
      <c r="H979" s="24"/>
      <c r="J979" s="24"/>
      <c r="K979" s="24"/>
      <c r="M979" s="24"/>
      <c r="N979" s="24"/>
      <c r="P979" s="24"/>
    </row>
    <row r="980" spans="2:16" x14ac:dyDescent="0.25">
      <c r="B980" s="24"/>
      <c r="E980" s="24"/>
      <c r="G980" s="24"/>
      <c r="H980" s="24"/>
      <c r="J980" s="24"/>
      <c r="K980" s="24"/>
      <c r="M980" s="24"/>
      <c r="N980" s="24"/>
      <c r="P980" s="24"/>
    </row>
    <row r="981" spans="2:16" x14ac:dyDescent="0.25">
      <c r="B981" s="24"/>
      <c r="E981" s="24"/>
      <c r="G981" s="24"/>
      <c r="H981" s="24"/>
      <c r="J981" s="24"/>
      <c r="K981" s="24"/>
      <c r="M981" s="24"/>
      <c r="N981" s="24"/>
      <c r="P981" s="24"/>
    </row>
    <row r="982" spans="2:16" x14ac:dyDescent="0.25">
      <c r="B982" s="24"/>
      <c r="E982" s="24"/>
      <c r="G982" s="24"/>
      <c r="H982" s="24"/>
      <c r="J982" s="24"/>
      <c r="K982" s="24"/>
      <c r="M982" s="24"/>
      <c r="N982" s="24"/>
      <c r="P982" s="24"/>
    </row>
    <row r="983" spans="2:16" x14ac:dyDescent="0.25">
      <c r="B983" s="24"/>
      <c r="E983" s="24"/>
      <c r="G983" s="24"/>
      <c r="H983" s="24"/>
      <c r="J983" s="24"/>
      <c r="K983" s="24"/>
      <c r="M983" s="24"/>
      <c r="N983" s="24"/>
      <c r="P983" s="24"/>
    </row>
    <row r="984" spans="2:16" x14ac:dyDescent="0.25">
      <c r="B984" s="24"/>
      <c r="E984" s="24"/>
      <c r="G984" s="24"/>
      <c r="H984" s="24"/>
      <c r="J984" s="24"/>
      <c r="K984" s="24"/>
      <c r="M984" s="24"/>
      <c r="N984" s="24"/>
      <c r="P984" s="24"/>
    </row>
    <row r="985" spans="2:16" x14ac:dyDescent="0.25">
      <c r="B985" s="24"/>
      <c r="E985" s="24"/>
      <c r="G985" s="24"/>
      <c r="H985" s="24"/>
      <c r="J985" s="24"/>
      <c r="K985" s="24"/>
      <c r="M985" s="24"/>
      <c r="N985" s="24"/>
      <c r="P985" s="24"/>
    </row>
    <row r="986" spans="2:16" x14ac:dyDescent="0.25">
      <c r="B986" s="24"/>
      <c r="E986" s="24"/>
      <c r="G986" s="24"/>
      <c r="H986" s="24"/>
      <c r="J986" s="24"/>
      <c r="K986" s="24"/>
      <c r="M986" s="24"/>
      <c r="N986" s="24"/>
      <c r="P986" s="24"/>
    </row>
    <row r="987" spans="2:16" x14ac:dyDescent="0.25">
      <c r="B987" s="24"/>
      <c r="E987" s="24"/>
      <c r="G987" s="24"/>
      <c r="H987" s="24"/>
      <c r="J987" s="24"/>
      <c r="K987" s="24"/>
      <c r="M987" s="24"/>
      <c r="N987" s="24"/>
      <c r="P987" s="24"/>
    </row>
    <row r="988" spans="2:16" x14ac:dyDescent="0.25">
      <c r="B988" s="24"/>
      <c r="E988" s="24"/>
      <c r="G988" s="24"/>
      <c r="H988" s="24"/>
      <c r="J988" s="24"/>
      <c r="K988" s="24"/>
      <c r="M988" s="24"/>
      <c r="N988" s="24"/>
      <c r="P988" s="24"/>
    </row>
    <row r="989" spans="2:16" x14ac:dyDescent="0.25">
      <c r="B989" s="24"/>
      <c r="E989" s="24"/>
      <c r="G989" s="24"/>
      <c r="H989" s="24"/>
      <c r="J989" s="24"/>
      <c r="K989" s="24"/>
      <c r="M989" s="24"/>
      <c r="N989" s="24"/>
      <c r="P989" s="24"/>
    </row>
    <row r="990" spans="2:16" x14ac:dyDescent="0.25">
      <c r="B990" s="24"/>
      <c r="E990" s="24"/>
      <c r="G990" s="24"/>
      <c r="H990" s="24"/>
      <c r="J990" s="24"/>
      <c r="K990" s="24"/>
      <c r="M990" s="24"/>
      <c r="N990" s="24"/>
      <c r="P990" s="24"/>
    </row>
    <row r="991" spans="2:16" x14ac:dyDescent="0.25">
      <c r="B991" s="24"/>
      <c r="E991" s="24"/>
      <c r="G991" s="24"/>
      <c r="H991" s="24"/>
      <c r="J991" s="24"/>
      <c r="K991" s="24"/>
      <c r="M991" s="24"/>
      <c r="N991" s="24"/>
      <c r="P991" s="24"/>
    </row>
    <row r="992" spans="2:16" x14ac:dyDescent="0.25">
      <c r="B992" s="24"/>
      <c r="E992" s="24"/>
      <c r="G992" s="24"/>
      <c r="H992" s="24"/>
      <c r="J992" s="24"/>
      <c r="K992" s="24"/>
      <c r="M992" s="24"/>
      <c r="N992" s="24"/>
      <c r="P992" s="24"/>
    </row>
    <row r="993" spans="2:16" x14ac:dyDescent="0.25">
      <c r="B993" s="24"/>
      <c r="E993" s="24"/>
      <c r="G993" s="24"/>
      <c r="H993" s="24"/>
      <c r="J993" s="24"/>
      <c r="K993" s="24"/>
      <c r="M993" s="24"/>
      <c r="N993" s="24"/>
      <c r="P993" s="24"/>
    </row>
    <row r="994" spans="2:16" x14ac:dyDescent="0.25">
      <c r="B994" s="24"/>
      <c r="E994" s="24"/>
      <c r="G994" s="24"/>
      <c r="H994" s="24"/>
      <c r="J994" s="24"/>
      <c r="K994" s="24"/>
      <c r="M994" s="24"/>
      <c r="N994" s="24"/>
      <c r="P994" s="24"/>
    </row>
    <row r="995" spans="2:16" x14ac:dyDescent="0.25">
      <c r="B995" s="24"/>
      <c r="E995" s="24"/>
      <c r="G995" s="24"/>
      <c r="H995" s="24"/>
      <c r="J995" s="24"/>
      <c r="K995" s="24"/>
      <c r="M995" s="24"/>
      <c r="N995" s="24"/>
      <c r="P995" s="24"/>
    </row>
    <row r="996" spans="2:16" x14ac:dyDescent="0.25">
      <c r="B996" s="24"/>
      <c r="E996" s="24"/>
      <c r="G996" s="24"/>
      <c r="H996" s="24"/>
      <c r="J996" s="24"/>
      <c r="K996" s="24"/>
      <c r="M996" s="24"/>
      <c r="N996" s="24"/>
      <c r="P996" s="24"/>
    </row>
    <row r="997" spans="2:16" x14ac:dyDescent="0.25">
      <c r="B997" s="24"/>
      <c r="E997" s="24"/>
      <c r="G997" s="24"/>
      <c r="H997" s="24"/>
      <c r="J997" s="24"/>
      <c r="K997" s="24"/>
      <c r="M997" s="24"/>
      <c r="N997" s="24"/>
      <c r="P997" s="24"/>
    </row>
    <row r="998" spans="2:16" x14ac:dyDescent="0.25">
      <c r="B998" s="24"/>
      <c r="E998" s="24"/>
      <c r="G998" s="24"/>
      <c r="H998" s="24"/>
      <c r="J998" s="24"/>
      <c r="K998" s="24"/>
      <c r="M998" s="24"/>
      <c r="N998" s="24"/>
      <c r="P998" s="24"/>
    </row>
    <row r="999" spans="2:16" x14ac:dyDescent="0.25">
      <c r="B999" s="24"/>
      <c r="E999" s="24"/>
      <c r="G999" s="24"/>
      <c r="H999" s="24"/>
      <c r="J999" s="24"/>
      <c r="K999" s="24"/>
      <c r="M999" s="24"/>
      <c r="N999" s="24"/>
      <c r="P999" s="24"/>
    </row>
    <row r="1000" spans="2:16" x14ac:dyDescent="0.25">
      <c r="B1000" s="24"/>
      <c r="E1000" s="24"/>
      <c r="G1000" s="24"/>
      <c r="H1000" s="24"/>
      <c r="J1000" s="24"/>
      <c r="K1000" s="24"/>
      <c r="M1000" s="24"/>
      <c r="N1000" s="24"/>
      <c r="P1000" s="24"/>
    </row>
    <row r="1001" spans="2:16" x14ac:dyDescent="0.25">
      <c r="B1001" s="24"/>
      <c r="E1001" s="24"/>
      <c r="G1001" s="24"/>
      <c r="H1001" s="24"/>
      <c r="J1001" s="24"/>
      <c r="K1001" s="24"/>
      <c r="M1001" s="24"/>
      <c r="N1001" s="24"/>
      <c r="P1001" s="24"/>
    </row>
    <row r="1002" spans="2:16" x14ac:dyDescent="0.25">
      <c r="B1002" s="24"/>
      <c r="E1002" s="24"/>
      <c r="G1002" s="24"/>
      <c r="H1002" s="24"/>
      <c r="J1002" s="24"/>
      <c r="K1002" s="24"/>
      <c r="M1002" s="24"/>
      <c r="N1002" s="24"/>
      <c r="P1002" s="24"/>
    </row>
    <row r="1003" spans="2:16" x14ac:dyDescent="0.25">
      <c r="B1003" s="24"/>
      <c r="E1003" s="24"/>
      <c r="G1003" s="24"/>
      <c r="H1003" s="24"/>
      <c r="J1003" s="24"/>
      <c r="K1003" s="24"/>
      <c r="M1003" s="24"/>
      <c r="N1003" s="24"/>
      <c r="P1003" s="24"/>
    </row>
    <row r="1004" spans="2:16" x14ac:dyDescent="0.25">
      <c r="B1004" s="24"/>
      <c r="E1004" s="24"/>
      <c r="G1004" s="24"/>
      <c r="H1004" s="24"/>
      <c r="J1004" s="24"/>
      <c r="K1004" s="24"/>
      <c r="M1004" s="24"/>
      <c r="N1004" s="24"/>
      <c r="P1004" s="24"/>
    </row>
    <row r="1005" spans="2:16" x14ac:dyDescent="0.25">
      <c r="B1005" s="24"/>
      <c r="E1005" s="24"/>
      <c r="G1005" s="24"/>
      <c r="H1005" s="24"/>
      <c r="J1005" s="24"/>
      <c r="K1005" s="24"/>
      <c r="M1005" s="24"/>
      <c r="N1005" s="24"/>
      <c r="P1005" s="24"/>
    </row>
    <row r="1006" spans="2:16" x14ac:dyDescent="0.25">
      <c r="B1006" s="24"/>
      <c r="E1006" s="24"/>
      <c r="G1006" s="24"/>
      <c r="H1006" s="24"/>
      <c r="J1006" s="24"/>
      <c r="K1006" s="24"/>
      <c r="M1006" s="24"/>
      <c r="N1006" s="24"/>
      <c r="P1006" s="24"/>
    </row>
    <row r="1007" spans="2:16" x14ac:dyDescent="0.25">
      <c r="B1007" s="24"/>
      <c r="E1007" s="24"/>
      <c r="G1007" s="24"/>
      <c r="H1007" s="24"/>
      <c r="J1007" s="24"/>
      <c r="K1007" s="24"/>
      <c r="M1007" s="24"/>
      <c r="N1007" s="24"/>
      <c r="P1007" s="24"/>
    </row>
    <row r="1008" spans="2:16" x14ac:dyDescent="0.25">
      <c r="B1008" s="24"/>
      <c r="E1008" s="24"/>
      <c r="G1008" s="24"/>
      <c r="H1008" s="24"/>
      <c r="J1008" s="24"/>
      <c r="K1008" s="24"/>
      <c r="M1008" s="24"/>
      <c r="N1008" s="24"/>
      <c r="P1008" s="24"/>
    </row>
    <row r="1009" spans="2:16" x14ac:dyDescent="0.25">
      <c r="B1009" s="24"/>
      <c r="E1009" s="24"/>
      <c r="G1009" s="24"/>
      <c r="H1009" s="24"/>
      <c r="J1009" s="24"/>
      <c r="K1009" s="24"/>
      <c r="M1009" s="24"/>
      <c r="N1009" s="24"/>
      <c r="P1009" s="24"/>
    </row>
    <row r="1010" spans="2:16" x14ac:dyDescent="0.25">
      <c r="B1010" s="24"/>
      <c r="E1010" s="24"/>
      <c r="G1010" s="24"/>
      <c r="H1010" s="24"/>
      <c r="J1010" s="24"/>
      <c r="K1010" s="24"/>
      <c r="M1010" s="24"/>
      <c r="N1010" s="24"/>
      <c r="P1010" s="24"/>
    </row>
    <row r="1011" spans="2:16" x14ac:dyDescent="0.25">
      <c r="B1011" s="24"/>
      <c r="E1011" s="24"/>
      <c r="G1011" s="24"/>
      <c r="H1011" s="24"/>
      <c r="J1011" s="24"/>
      <c r="K1011" s="24"/>
      <c r="M1011" s="24"/>
      <c r="N1011" s="24"/>
      <c r="P1011" s="24"/>
    </row>
    <row r="1012" spans="2:16" x14ac:dyDescent="0.25">
      <c r="B1012" s="24"/>
      <c r="E1012" s="24"/>
      <c r="G1012" s="24"/>
      <c r="H1012" s="24"/>
      <c r="J1012" s="24"/>
      <c r="K1012" s="24"/>
      <c r="M1012" s="24"/>
      <c r="N1012" s="24"/>
      <c r="P1012" s="24"/>
    </row>
    <row r="1013" spans="2:16" x14ac:dyDescent="0.25">
      <c r="B1013" s="24"/>
      <c r="E1013" s="24"/>
      <c r="G1013" s="24"/>
      <c r="H1013" s="24"/>
      <c r="J1013" s="24"/>
      <c r="K1013" s="24"/>
      <c r="M1013" s="24"/>
      <c r="N1013" s="24"/>
      <c r="P1013" s="24"/>
    </row>
    <row r="1014" spans="2:16" x14ac:dyDescent="0.25">
      <c r="B1014" s="24"/>
      <c r="E1014" s="24"/>
      <c r="G1014" s="24"/>
      <c r="H1014" s="24"/>
      <c r="J1014" s="24"/>
      <c r="K1014" s="24"/>
      <c r="M1014" s="24"/>
      <c r="N1014" s="24"/>
      <c r="P1014" s="24"/>
    </row>
    <row r="1015" spans="2:16" x14ac:dyDescent="0.25">
      <c r="B1015" s="24"/>
      <c r="E1015" s="24"/>
      <c r="G1015" s="24"/>
      <c r="H1015" s="24"/>
      <c r="J1015" s="24"/>
      <c r="K1015" s="24"/>
      <c r="M1015" s="24"/>
      <c r="N1015" s="24"/>
      <c r="P1015" s="24"/>
    </row>
    <row r="1016" spans="2:16" x14ac:dyDescent="0.25">
      <c r="B1016" s="24"/>
      <c r="E1016" s="24"/>
      <c r="G1016" s="24"/>
      <c r="H1016" s="24"/>
      <c r="J1016" s="24"/>
      <c r="K1016" s="24"/>
      <c r="M1016" s="24"/>
      <c r="N1016" s="24"/>
      <c r="P1016" s="24"/>
    </row>
    <row r="1017" spans="2:16" x14ac:dyDescent="0.25">
      <c r="B1017" s="24"/>
      <c r="E1017" s="24"/>
      <c r="G1017" s="24"/>
      <c r="H1017" s="24"/>
      <c r="J1017" s="24"/>
      <c r="K1017" s="24"/>
      <c r="M1017" s="24"/>
      <c r="N1017" s="24"/>
      <c r="P1017" s="24"/>
    </row>
    <row r="1018" spans="2:16" x14ac:dyDescent="0.25">
      <c r="B1018" s="24"/>
      <c r="E1018" s="24"/>
      <c r="G1018" s="24"/>
      <c r="H1018" s="24"/>
      <c r="J1018" s="24"/>
      <c r="K1018" s="24"/>
      <c r="M1018" s="24"/>
      <c r="N1018" s="24"/>
      <c r="P1018" s="24"/>
    </row>
    <row r="1019" spans="2:16" x14ac:dyDescent="0.25">
      <c r="B1019" s="24"/>
      <c r="E1019" s="24"/>
      <c r="G1019" s="24"/>
      <c r="H1019" s="24"/>
      <c r="J1019" s="24"/>
      <c r="K1019" s="24"/>
      <c r="M1019" s="24"/>
      <c r="N1019" s="24"/>
      <c r="P1019" s="24"/>
    </row>
    <row r="1020" spans="2:16" x14ac:dyDescent="0.25">
      <c r="B1020" s="24"/>
      <c r="E1020" s="24"/>
      <c r="G1020" s="24"/>
      <c r="H1020" s="24"/>
      <c r="J1020" s="24"/>
      <c r="K1020" s="24"/>
      <c r="M1020" s="24"/>
      <c r="N1020" s="24"/>
      <c r="P1020" s="24"/>
    </row>
    <row r="1021" spans="2:16" x14ac:dyDescent="0.25">
      <c r="B1021" s="24"/>
      <c r="E1021" s="24"/>
      <c r="G1021" s="24"/>
      <c r="H1021" s="24"/>
      <c r="J1021" s="24"/>
      <c r="K1021" s="24"/>
      <c r="M1021" s="24"/>
      <c r="N1021" s="24"/>
      <c r="P1021" s="24"/>
    </row>
    <row r="1022" spans="2:16" x14ac:dyDescent="0.25">
      <c r="B1022" s="24"/>
      <c r="E1022" s="24"/>
      <c r="G1022" s="24"/>
      <c r="H1022" s="24"/>
      <c r="J1022" s="24"/>
      <c r="K1022" s="24"/>
      <c r="M1022" s="24"/>
      <c r="N1022" s="24"/>
      <c r="P1022" s="24"/>
    </row>
    <row r="1023" spans="2:16" x14ac:dyDescent="0.25">
      <c r="B1023" s="24"/>
      <c r="E1023" s="24"/>
      <c r="G1023" s="24"/>
      <c r="H1023" s="24"/>
      <c r="J1023" s="24"/>
      <c r="K1023" s="24"/>
      <c r="M1023" s="24"/>
      <c r="N1023" s="24"/>
      <c r="P1023" s="24"/>
    </row>
    <row r="1024" spans="2:16" x14ac:dyDescent="0.25">
      <c r="B1024" s="24"/>
      <c r="E1024" s="24"/>
      <c r="G1024" s="24"/>
      <c r="H1024" s="24"/>
      <c r="J1024" s="24"/>
      <c r="K1024" s="24"/>
      <c r="M1024" s="24"/>
      <c r="N1024" s="24"/>
      <c r="P1024" s="24"/>
    </row>
    <row r="1025" spans="2:16" x14ac:dyDescent="0.25">
      <c r="B1025" s="24"/>
      <c r="E1025" s="24"/>
      <c r="G1025" s="24"/>
      <c r="H1025" s="24"/>
      <c r="J1025" s="24"/>
      <c r="K1025" s="24"/>
      <c r="M1025" s="24"/>
      <c r="N1025" s="24"/>
      <c r="P1025" s="24"/>
    </row>
    <row r="1026" spans="2:16" x14ac:dyDescent="0.25">
      <c r="B1026" s="24"/>
      <c r="E1026" s="24"/>
      <c r="G1026" s="24"/>
      <c r="H1026" s="24"/>
      <c r="J1026" s="24"/>
      <c r="K1026" s="24"/>
      <c r="M1026" s="24"/>
      <c r="N1026" s="24"/>
      <c r="P1026" s="24"/>
    </row>
    <row r="1027" spans="2:16" x14ac:dyDescent="0.25">
      <c r="B1027" s="24"/>
      <c r="E1027" s="24"/>
      <c r="G1027" s="24"/>
      <c r="H1027" s="24"/>
      <c r="J1027" s="24"/>
      <c r="K1027" s="24"/>
      <c r="M1027" s="24"/>
      <c r="N1027" s="24"/>
      <c r="P1027" s="24"/>
    </row>
    <row r="1028" spans="2:16" x14ac:dyDescent="0.25">
      <c r="B1028" s="24"/>
      <c r="E1028" s="24"/>
      <c r="G1028" s="24"/>
      <c r="H1028" s="24"/>
      <c r="J1028" s="24"/>
      <c r="K1028" s="24"/>
      <c r="M1028" s="24"/>
      <c r="N1028" s="24"/>
      <c r="P1028" s="24"/>
    </row>
    <row r="1029" spans="2:16" x14ac:dyDescent="0.25">
      <c r="B1029" s="24"/>
      <c r="E1029" s="24"/>
      <c r="G1029" s="24"/>
      <c r="H1029" s="24"/>
      <c r="J1029" s="24"/>
      <c r="K1029" s="24"/>
      <c r="M1029" s="24"/>
      <c r="N1029" s="24"/>
      <c r="P1029" s="24"/>
    </row>
    <row r="1030" spans="2:16" x14ac:dyDescent="0.25">
      <c r="B1030" s="24"/>
      <c r="E1030" s="24"/>
      <c r="G1030" s="24"/>
      <c r="H1030" s="24"/>
      <c r="J1030" s="24"/>
      <c r="K1030" s="24"/>
      <c r="M1030" s="24"/>
      <c r="N1030" s="24"/>
      <c r="P1030" s="24"/>
    </row>
    <row r="1031" spans="2:16" x14ac:dyDescent="0.25">
      <c r="B1031" s="24"/>
      <c r="E1031" s="24"/>
      <c r="G1031" s="24"/>
      <c r="H1031" s="24"/>
      <c r="J1031" s="24"/>
      <c r="K1031" s="24"/>
      <c r="M1031" s="24"/>
      <c r="N1031" s="24"/>
      <c r="P1031" s="24"/>
    </row>
    <row r="1032" spans="2:16" x14ac:dyDescent="0.25">
      <c r="B1032" s="24"/>
      <c r="E1032" s="24"/>
      <c r="G1032" s="24"/>
      <c r="H1032" s="24"/>
      <c r="J1032" s="24"/>
      <c r="K1032" s="24"/>
      <c r="M1032" s="24"/>
      <c r="N1032" s="24"/>
      <c r="P1032" s="24"/>
    </row>
    <row r="1033" spans="2:16" x14ac:dyDescent="0.25">
      <c r="B1033" s="24"/>
      <c r="E1033" s="24"/>
      <c r="G1033" s="24"/>
      <c r="H1033" s="24"/>
      <c r="J1033" s="24"/>
      <c r="K1033" s="24"/>
      <c r="M1033" s="24"/>
      <c r="N1033" s="24"/>
      <c r="P1033" s="24"/>
    </row>
    <row r="1034" spans="2:16" x14ac:dyDescent="0.25">
      <c r="B1034" s="24"/>
      <c r="E1034" s="24"/>
      <c r="G1034" s="24"/>
      <c r="H1034" s="24"/>
      <c r="J1034" s="24"/>
      <c r="K1034" s="24"/>
      <c r="M1034" s="24"/>
      <c r="N1034" s="24"/>
      <c r="P1034" s="24"/>
    </row>
    <row r="1035" spans="2:16" x14ac:dyDescent="0.25">
      <c r="B1035" s="24"/>
      <c r="E1035" s="24"/>
      <c r="G1035" s="24"/>
      <c r="H1035" s="24"/>
      <c r="J1035" s="24"/>
      <c r="K1035" s="24"/>
      <c r="M1035" s="24"/>
      <c r="N1035" s="24"/>
      <c r="P1035" s="24"/>
    </row>
    <row r="1036" spans="2:16" x14ac:dyDescent="0.25">
      <c r="B1036" s="24"/>
      <c r="E1036" s="24"/>
      <c r="G1036" s="24"/>
      <c r="H1036" s="24"/>
      <c r="J1036" s="24"/>
      <c r="K1036" s="24"/>
      <c r="M1036" s="24"/>
      <c r="N1036" s="24"/>
      <c r="P1036" s="24"/>
    </row>
    <row r="1037" spans="2:16" x14ac:dyDescent="0.25">
      <c r="B1037" s="24"/>
      <c r="E1037" s="24"/>
      <c r="G1037" s="24"/>
      <c r="H1037" s="24"/>
      <c r="J1037" s="24"/>
      <c r="K1037" s="24"/>
      <c r="M1037" s="24"/>
      <c r="N1037" s="24"/>
      <c r="P1037" s="24"/>
    </row>
    <row r="1038" spans="2:16" x14ac:dyDescent="0.25">
      <c r="B1038" s="24"/>
      <c r="E1038" s="24"/>
      <c r="G1038" s="24"/>
      <c r="H1038" s="24"/>
      <c r="J1038" s="24"/>
      <c r="K1038" s="24"/>
      <c r="M1038" s="24"/>
      <c r="N1038" s="24"/>
      <c r="P1038" s="24"/>
    </row>
    <row r="1039" spans="2:16" x14ac:dyDescent="0.25">
      <c r="B1039" s="24"/>
      <c r="E1039" s="24"/>
      <c r="G1039" s="24"/>
      <c r="H1039" s="24"/>
      <c r="J1039" s="24"/>
      <c r="K1039" s="24"/>
      <c r="M1039" s="24"/>
      <c r="N1039" s="24"/>
      <c r="P1039" s="24"/>
    </row>
    <row r="1040" spans="2:16" x14ac:dyDescent="0.25">
      <c r="B1040" s="24"/>
      <c r="E1040" s="24"/>
      <c r="G1040" s="24"/>
      <c r="H1040" s="24"/>
      <c r="J1040" s="24"/>
      <c r="K1040" s="24"/>
      <c r="M1040" s="24"/>
      <c r="N1040" s="24"/>
      <c r="P1040" s="24"/>
    </row>
    <row r="1041" spans="2:16" x14ac:dyDescent="0.25">
      <c r="B1041" s="24"/>
      <c r="E1041" s="24"/>
      <c r="G1041" s="24"/>
      <c r="H1041" s="24"/>
      <c r="J1041" s="24"/>
      <c r="K1041" s="24"/>
      <c r="M1041" s="24"/>
      <c r="N1041" s="24"/>
      <c r="P1041" s="24"/>
    </row>
    <row r="1042" spans="2:16" x14ac:dyDescent="0.25">
      <c r="B1042" s="24"/>
      <c r="E1042" s="24"/>
      <c r="G1042" s="24"/>
      <c r="H1042" s="24"/>
      <c r="J1042" s="24"/>
      <c r="K1042" s="24"/>
      <c r="M1042" s="24"/>
      <c r="N1042" s="24"/>
      <c r="P1042" s="24"/>
    </row>
    <row r="1043" spans="2:16" x14ac:dyDescent="0.25">
      <c r="B1043" s="24"/>
      <c r="E1043" s="24"/>
      <c r="G1043" s="24"/>
      <c r="H1043" s="24"/>
      <c r="J1043" s="24"/>
      <c r="K1043" s="24"/>
      <c r="M1043" s="24"/>
      <c r="N1043" s="24"/>
      <c r="P1043" s="24"/>
    </row>
    <row r="1044" spans="2:16" x14ac:dyDescent="0.25">
      <c r="B1044" s="24"/>
      <c r="E1044" s="24"/>
      <c r="G1044" s="24"/>
      <c r="H1044" s="24"/>
      <c r="J1044" s="24"/>
      <c r="K1044" s="24"/>
      <c r="M1044" s="24"/>
      <c r="N1044" s="24"/>
      <c r="P1044" s="24"/>
    </row>
    <row r="1045" spans="2:16" x14ac:dyDescent="0.25">
      <c r="B1045" s="24"/>
      <c r="E1045" s="24"/>
      <c r="G1045" s="24"/>
      <c r="H1045" s="24"/>
      <c r="J1045" s="24"/>
      <c r="K1045" s="24"/>
      <c r="M1045" s="24"/>
      <c r="N1045" s="24"/>
      <c r="P1045" s="24"/>
    </row>
    <row r="1046" spans="2:16" x14ac:dyDescent="0.25">
      <c r="B1046" s="24"/>
      <c r="E1046" s="24"/>
      <c r="G1046" s="24"/>
      <c r="H1046" s="24"/>
      <c r="J1046" s="24"/>
      <c r="K1046" s="24"/>
      <c r="M1046" s="24"/>
      <c r="N1046" s="24"/>
      <c r="P1046" s="24"/>
    </row>
    <row r="1047" spans="2:16" x14ac:dyDescent="0.25">
      <c r="B1047" s="24"/>
      <c r="E1047" s="24"/>
      <c r="G1047" s="24"/>
      <c r="H1047" s="24"/>
      <c r="J1047" s="24"/>
      <c r="K1047" s="24"/>
      <c r="M1047" s="24"/>
      <c r="N1047" s="24"/>
      <c r="P1047" s="24"/>
    </row>
    <row r="1048" spans="2:16" x14ac:dyDescent="0.25">
      <c r="B1048" s="24"/>
      <c r="E1048" s="24"/>
      <c r="G1048" s="24"/>
      <c r="H1048" s="24"/>
      <c r="J1048" s="24"/>
      <c r="K1048" s="24"/>
      <c r="M1048" s="24"/>
      <c r="N1048" s="24"/>
      <c r="P1048" s="24"/>
    </row>
    <row r="1049" spans="2:16" x14ac:dyDescent="0.25">
      <c r="B1049" s="24"/>
      <c r="E1049" s="24"/>
      <c r="G1049" s="24"/>
      <c r="H1049" s="24"/>
      <c r="J1049" s="24"/>
      <c r="K1049" s="24"/>
      <c r="M1049" s="24"/>
      <c r="N1049" s="24"/>
      <c r="P1049" s="24"/>
    </row>
    <row r="1050" spans="2:16" x14ac:dyDescent="0.25">
      <c r="B1050" s="24"/>
      <c r="E1050" s="24"/>
      <c r="G1050" s="24"/>
      <c r="H1050" s="24"/>
      <c r="J1050" s="24"/>
      <c r="K1050" s="24"/>
      <c r="M1050" s="24"/>
      <c r="N1050" s="24"/>
      <c r="P1050" s="24"/>
    </row>
    <row r="1051" spans="2:16" x14ac:dyDescent="0.25">
      <c r="B1051" s="24"/>
      <c r="E1051" s="24"/>
      <c r="G1051" s="24"/>
      <c r="H1051" s="24"/>
      <c r="J1051" s="24"/>
      <c r="K1051" s="24"/>
      <c r="M1051" s="24"/>
      <c r="N1051" s="24"/>
      <c r="P1051" s="24"/>
    </row>
    <row r="1052" spans="2:16" x14ac:dyDescent="0.25">
      <c r="B1052" s="24"/>
      <c r="E1052" s="24"/>
      <c r="G1052" s="24"/>
      <c r="H1052" s="24"/>
      <c r="J1052" s="24"/>
      <c r="K1052" s="24"/>
      <c r="M1052" s="24"/>
      <c r="N1052" s="24"/>
      <c r="P1052" s="24"/>
    </row>
    <row r="1053" spans="2:16" x14ac:dyDescent="0.25">
      <c r="B1053" s="24"/>
      <c r="E1053" s="24"/>
      <c r="G1053" s="24"/>
      <c r="H1053" s="24"/>
      <c r="J1053" s="24"/>
      <c r="K1053" s="24"/>
      <c r="M1053" s="24"/>
      <c r="N1053" s="24"/>
      <c r="P1053" s="24"/>
    </row>
    <row r="1054" spans="2:16" x14ac:dyDescent="0.25">
      <c r="B1054" s="24"/>
      <c r="E1054" s="24"/>
      <c r="G1054" s="24"/>
      <c r="H1054" s="24"/>
      <c r="J1054" s="24"/>
      <c r="K1054" s="24"/>
      <c r="M1054" s="24"/>
      <c r="N1054" s="24"/>
      <c r="P1054" s="24"/>
    </row>
    <row r="1055" spans="2:16" x14ac:dyDescent="0.25">
      <c r="B1055" s="24"/>
      <c r="E1055" s="24"/>
      <c r="G1055" s="24"/>
      <c r="H1055" s="24"/>
      <c r="J1055" s="24"/>
      <c r="K1055" s="24"/>
      <c r="M1055" s="24"/>
      <c r="N1055" s="24"/>
      <c r="P1055" s="24"/>
    </row>
    <row r="1056" spans="2:16" x14ac:dyDescent="0.25">
      <c r="B1056" s="24"/>
      <c r="E1056" s="24"/>
      <c r="G1056" s="24"/>
      <c r="H1056" s="24"/>
      <c r="J1056" s="24"/>
      <c r="K1056" s="24"/>
      <c r="M1056" s="24"/>
      <c r="N1056" s="24"/>
      <c r="P1056" s="24"/>
    </row>
    <row r="1057" spans="2:16" x14ac:dyDescent="0.25">
      <c r="B1057" s="24"/>
      <c r="E1057" s="24"/>
      <c r="G1057" s="24"/>
      <c r="H1057" s="24"/>
      <c r="J1057" s="24"/>
      <c r="K1057" s="24"/>
      <c r="M1057" s="24"/>
      <c r="N1057" s="24"/>
      <c r="P1057" s="24"/>
    </row>
    <row r="1058" spans="2:16" x14ac:dyDescent="0.25">
      <c r="B1058" s="24"/>
      <c r="E1058" s="24"/>
      <c r="G1058" s="24"/>
      <c r="H1058" s="24"/>
      <c r="J1058" s="24"/>
      <c r="K1058" s="24"/>
      <c r="M1058" s="24"/>
      <c r="N1058" s="24"/>
      <c r="P1058" s="24"/>
    </row>
    <row r="1059" spans="2:16" x14ac:dyDescent="0.25">
      <c r="B1059" s="24"/>
      <c r="E1059" s="24"/>
      <c r="G1059" s="24"/>
      <c r="H1059" s="24"/>
      <c r="J1059" s="24"/>
      <c r="K1059" s="24"/>
      <c r="M1059" s="24"/>
      <c r="N1059" s="24"/>
      <c r="P1059" s="24"/>
    </row>
    <row r="1060" spans="2:16" x14ac:dyDescent="0.25">
      <c r="B1060" s="24"/>
      <c r="E1060" s="24"/>
      <c r="G1060" s="24"/>
      <c r="H1060" s="24"/>
      <c r="J1060" s="24"/>
      <c r="K1060" s="24"/>
      <c r="M1060" s="24"/>
      <c r="N1060" s="24"/>
      <c r="P1060" s="24"/>
    </row>
    <row r="1061" spans="2:16" x14ac:dyDescent="0.25">
      <c r="B1061" s="24"/>
      <c r="E1061" s="24"/>
      <c r="G1061" s="24"/>
      <c r="H1061" s="24"/>
      <c r="J1061" s="24"/>
      <c r="K1061" s="24"/>
      <c r="M1061" s="24"/>
      <c r="N1061" s="24"/>
      <c r="P1061" s="24"/>
    </row>
    <row r="1062" spans="2:16" x14ac:dyDescent="0.25">
      <c r="B1062" s="24"/>
      <c r="E1062" s="24"/>
      <c r="G1062" s="24"/>
      <c r="H1062" s="24"/>
      <c r="J1062" s="24"/>
      <c r="K1062" s="24"/>
      <c r="M1062" s="24"/>
      <c r="N1062" s="24"/>
      <c r="P1062" s="24"/>
    </row>
    <row r="1063" spans="2:16" x14ac:dyDescent="0.25">
      <c r="B1063" s="24"/>
      <c r="E1063" s="24"/>
      <c r="G1063" s="24"/>
      <c r="H1063" s="24"/>
      <c r="J1063" s="24"/>
      <c r="K1063" s="24"/>
      <c r="M1063" s="24"/>
      <c r="N1063" s="24"/>
      <c r="P1063" s="24"/>
    </row>
    <row r="1064" spans="2:16" x14ac:dyDescent="0.25">
      <c r="B1064" s="24"/>
      <c r="E1064" s="24"/>
      <c r="G1064" s="24"/>
      <c r="H1064" s="24"/>
      <c r="J1064" s="24"/>
      <c r="K1064" s="24"/>
      <c r="M1064" s="24"/>
      <c r="N1064" s="24"/>
      <c r="P1064" s="24"/>
    </row>
    <row r="1065" spans="2:16" x14ac:dyDescent="0.25">
      <c r="B1065" s="24"/>
      <c r="E1065" s="24"/>
      <c r="G1065" s="24"/>
      <c r="H1065" s="24"/>
      <c r="J1065" s="24"/>
      <c r="K1065" s="24"/>
      <c r="M1065" s="24"/>
      <c r="N1065" s="24"/>
      <c r="P1065" s="24"/>
    </row>
    <row r="1066" spans="2:16" x14ac:dyDescent="0.25">
      <c r="B1066" s="24"/>
      <c r="E1066" s="24"/>
      <c r="G1066" s="24"/>
      <c r="H1066" s="24"/>
      <c r="J1066" s="24"/>
      <c r="K1066" s="24"/>
      <c r="M1066" s="24"/>
      <c r="N1066" s="24"/>
      <c r="P1066" s="24"/>
    </row>
    <row r="1067" spans="2:16" x14ac:dyDescent="0.25">
      <c r="B1067" s="24"/>
      <c r="E1067" s="24"/>
      <c r="G1067" s="24"/>
      <c r="H1067" s="24"/>
      <c r="J1067" s="24"/>
      <c r="K1067" s="24"/>
      <c r="M1067" s="24"/>
      <c r="N1067" s="24"/>
      <c r="P1067" s="24"/>
    </row>
    <row r="1068" spans="2:16" x14ac:dyDescent="0.25">
      <c r="B1068" s="24"/>
      <c r="E1068" s="24"/>
      <c r="G1068" s="24"/>
      <c r="H1068" s="24"/>
      <c r="J1068" s="24"/>
      <c r="K1068" s="24"/>
      <c r="M1068" s="24"/>
      <c r="N1068" s="24"/>
      <c r="P1068" s="24"/>
    </row>
    <row r="1069" spans="2:16" x14ac:dyDescent="0.25">
      <c r="B1069" s="24"/>
      <c r="E1069" s="24"/>
      <c r="G1069" s="24"/>
      <c r="H1069" s="24"/>
      <c r="J1069" s="24"/>
      <c r="K1069" s="24"/>
      <c r="M1069" s="24"/>
      <c r="N1069" s="24"/>
      <c r="P1069" s="24"/>
    </row>
    <row r="1070" spans="2:16" x14ac:dyDescent="0.25">
      <c r="B1070" s="24"/>
      <c r="E1070" s="24"/>
      <c r="G1070" s="24"/>
      <c r="H1070" s="24"/>
      <c r="J1070" s="24"/>
      <c r="K1070" s="24"/>
      <c r="M1070" s="24"/>
      <c r="N1070" s="24"/>
      <c r="P1070" s="24"/>
    </row>
    <row r="1071" spans="2:16" x14ac:dyDescent="0.25">
      <c r="B1071" s="24"/>
      <c r="E1071" s="24"/>
      <c r="G1071" s="24"/>
      <c r="H1071" s="24"/>
      <c r="J1071" s="24"/>
      <c r="K1071" s="24"/>
      <c r="M1071" s="24"/>
      <c r="N1071" s="24"/>
      <c r="P1071" s="24"/>
    </row>
    <row r="1072" spans="2:16" x14ac:dyDescent="0.25">
      <c r="B1072" s="24"/>
      <c r="E1072" s="24"/>
      <c r="G1072" s="24"/>
      <c r="H1072" s="24"/>
      <c r="J1072" s="24"/>
      <c r="K1072" s="24"/>
      <c r="M1072" s="24"/>
      <c r="N1072" s="24"/>
      <c r="P1072" s="24"/>
    </row>
    <row r="1073" spans="2:16" x14ac:dyDescent="0.25">
      <c r="B1073" s="24"/>
      <c r="E1073" s="24"/>
      <c r="G1073" s="24"/>
      <c r="H1073" s="24"/>
      <c r="J1073" s="24"/>
      <c r="K1073" s="24"/>
      <c r="M1073" s="24"/>
      <c r="N1073" s="24"/>
      <c r="P1073" s="24"/>
    </row>
    <row r="1074" spans="2:16" x14ac:dyDescent="0.25">
      <c r="B1074" s="24"/>
      <c r="E1074" s="24"/>
      <c r="G1074" s="24"/>
      <c r="H1074" s="24"/>
      <c r="J1074" s="24"/>
      <c r="K1074" s="24"/>
      <c r="M1074" s="24"/>
      <c r="N1074" s="24"/>
      <c r="P1074" s="24"/>
    </row>
    <row r="1075" spans="2:16" x14ac:dyDescent="0.25">
      <c r="B1075" s="24"/>
      <c r="E1075" s="24"/>
      <c r="G1075" s="24"/>
      <c r="H1075" s="24"/>
      <c r="J1075" s="24"/>
      <c r="K1075" s="24"/>
      <c r="M1075" s="24"/>
      <c r="N1075" s="24"/>
      <c r="P1075" s="24"/>
    </row>
    <row r="1076" spans="2:16" x14ac:dyDescent="0.25">
      <c r="B1076" s="24"/>
      <c r="E1076" s="24"/>
      <c r="G1076" s="24"/>
      <c r="H1076" s="24"/>
      <c r="J1076" s="24"/>
      <c r="K1076" s="24"/>
      <c r="M1076" s="24"/>
      <c r="N1076" s="24"/>
      <c r="P1076" s="24"/>
    </row>
    <row r="1077" spans="2:16" x14ac:dyDescent="0.25">
      <c r="B1077" s="24"/>
      <c r="E1077" s="24"/>
      <c r="G1077" s="24"/>
      <c r="H1077" s="24"/>
      <c r="J1077" s="24"/>
      <c r="K1077" s="24"/>
      <c r="M1077" s="24"/>
      <c r="N1077" s="24"/>
      <c r="P1077" s="24"/>
    </row>
    <row r="1078" spans="2:16" x14ac:dyDescent="0.25">
      <c r="B1078" s="24"/>
      <c r="E1078" s="24"/>
      <c r="G1078" s="24"/>
      <c r="H1078" s="24"/>
      <c r="J1078" s="24"/>
      <c r="K1078" s="24"/>
      <c r="M1078" s="24"/>
      <c r="N1078" s="24"/>
      <c r="P1078" s="24"/>
    </row>
    <row r="1079" spans="2:16" x14ac:dyDescent="0.25">
      <c r="B1079" s="24"/>
      <c r="E1079" s="24"/>
      <c r="G1079" s="24"/>
      <c r="H1079" s="24"/>
      <c r="J1079" s="24"/>
      <c r="K1079" s="24"/>
      <c r="M1079" s="24"/>
      <c r="N1079" s="24"/>
      <c r="P1079" s="24"/>
    </row>
    <row r="1080" spans="2:16" x14ac:dyDescent="0.25">
      <c r="B1080" s="24"/>
      <c r="E1080" s="24"/>
      <c r="G1080" s="24"/>
      <c r="H1080" s="24"/>
      <c r="J1080" s="24"/>
      <c r="K1080" s="24"/>
      <c r="M1080" s="24"/>
      <c r="N1080" s="24"/>
      <c r="P1080" s="24"/>
    </row>
    <row r="1081" spans="2:16" x14ac:dyDescent="0.25">
      <c r="B1081" s="24"/>
      <c r="E1081" s="24"/>
      <c r="G1081" s="24"/>
      <c r="H1081" s="24"/>
      <c r="J1081" s="24"/>
      <c r="K1081" s="24"/>
      <c r="M1081" s="24"/>
      <c r="N1081" s="24"/>
      <c r="P1081" s="24"/>
    </row>
    <row r="1082" spans="2:16" x14ac:dyDescent="0.25">
      <c r="B1082" s="24"/>
      <c r="E1082" s="24"/>
      <c r="G1082" s="24"/>
      <c r="H1082" s="24"/>
      <c r="J1082" s="24"/>
      <c r="K1082" s="24"/>
      <c r="M1082" s="24"/>
      <c r="N1082" s="24"/>
      <c r="P1082" s="24"/>
    </row>
    <row r="1083" spans="2:16" x14ac:dyDescent="0.25">
      <c r="B1083" s="24"/>
      <c r="E1083" s="24"/>
      <c r="G1083" s="24"/>
      <c r="H1083" s="24"/>
      <c r="J1083" s="24"/>
      <c r="K1083" s="24"/>
      <c r="M1083" s="24"/>
      <c r="N1083" s="24"/>
      <c r="P1083" s="24"/>
    </row>
    <row r="1084" spans="2:16" x14ac:dyDescent="0.25">
      <c r="B1084" s="24"/>
      <c r="E1084" s="24"/>
      <c r="G1084" s="24"/>
      <c r="H1084" s="24"/>
      <c r="J1084" s="24"/>
      <c r="K1084" s="24"/>
      <c r="M1084" s="24"/>
      <c r="N1084" s="24"/>
      <c r="P1084" s="24"/>
    </row>
    <row r="1085" spans="2:16" x14ac:dyDescent="0.25">
      <c r="B1085" s="24"/>
      <c r="E1085" s="24"/>
      <c r="G1085" s="24"/>
      <c r="H1085" s="24"/>
      <c r="J1085" s="24"/>
      <c r="K1085" s="24"/>
      <c r="M1085" s="24"/>
      <c r="N1085" s="24"/>
      <c r="P1085" s="24"/>
    </row>
    <row r="1086" spans="2:16" x14ac:dyDescent="0.25">
      <c r="B1086" s="24"/>
      <c r="E1086" s="24"/>
      <c r="G1086" s="24"/>
      <c r="H1086" s="24"/>
      <c r="J1086" s="24"/>
      <c r="K1086" s="24"/>
      <c r="M1086" s="24"/>
      <c r="N1086" s="24"/>
      <c r="P1086" s="24"/>
    </row>
    <row r="1087" spans="2:16" x14ac:dyDescent="0.25">
      <c r="B1087" s="24"/>
      <c r="E1087" s="24"/>
      <c r="G1087" s="24"/>
      <c r="H1087" s="24"/>
      <c r="J1087" s="24"/>
      <c r="K1087" s="24"/>
      <c r="M1087" s="24"/>
      <c r="N1087" s="24"/>
      <c r="P1087" s="24"/>
    </row>
    <row r="1088" spans="2:16" x14ac:dyDescent="0.25">
      <c r="B1088" s="24"/>
      <c r="E1088" s="24"/>
      <c r="G1088" s="24"/>
      <c r="H1088" s="24"/>
      <c r="J1088" s="24"/>
      <c r="K1088" s="24"/>
      <c r="M1088" s="24"/>
      <c r="N1088" s="24"/>
      <c r="P1088" s="24"/>
    </row>
    <row r="1089" spans="2:16" x14ac:dyDescent="0.25">
      <c r="B1089" s="24"/>
      <c r="E1089" s="24"/>
      <c r="G1089" s="24"/>
      <c r="H1089" s="24"/>
      <c r="J1089" s="24"/>
      <c r="K1089" s="24"/>
      <c r="M1089" s="24"/>
      <c r="N1089" s="24"/>
      <c r="P1089" s="24"/>
    </row>
    <row r="1090" spans="2:16" x14ac:dyDescent="0.25">
      <c r="B1090" s="24"/>
      <c r="E1090" s="24"/>
      <c r="G1090" s="24"/>
      <c r="H1090" s="24"/>
      <c r="J1090" s="24"/>
      <c r="K1090" s="24"/>
      <c r="M1090" s="24"/>
      <c r="N1090" s="24"/>
      <c r="P1090" s="24"/>
    </row>
    <row r="1091" spans="2:16" x14ac:dyDescent="0.25">
      <c r="B1091" s="24"/>
      <c r="E1091" s="24"/>
      <c r="G1091" s="24"/>
      <c r="H1091" s="24"/>
      <c r="J1091" s="24"/>
      <c r="K1091" s="24"/>
      <c r="M1091" s="24"/>
      <c r="N1091" s="24"/>
      <c r="P1091" s="24"/>
    </row>
    <row r="1092" spans="2:16" x14ac:dyDescent="0.25">
      <c r="B1092" s="24"/>
      <c r="E1092" s="24"/>
      <c r="G1092" s="24"/>
      <c r="H1092" s="24"/>
      <c r="J1092" s="24"/>
      <c r="K1092" s="24"/>
      <c r="M1092" s="24"/>
      <c r="N1092" s="24"/>
      <c r="P1092" s="24"/>
    </row>
    <row r="1093" spans="2:16" x14ac:dyDescent="0.25">
      <c r="B1093" s="24"/>
      <c r="E1093" s="24"/>
      <c r="G1093" s="24"/>
      <c r="H1093" s="24"/>
      <c r="J1093" s="24"/>
      <c r="K1093" s="24"/>
      <c r="M1093" s="24"/>
      <c r="N1093" s="24"/>
      <c r="P1093" s="24"/>
    </row>
    <row r="1094" spans="2:16" x14ac:dyDescent="0.25">
      <c r="B1094" s="24"/>
      <c r="E1094" s="24"/>
      <c r="G1094" s="24"/>
      <c r="H1094" s="24"/>
      <c r="J1094" s="24"/>
      <c r="K1094" s="24"/>
      <c r="M1094" s="24"/>
      <c r="N1094" s="24"/>
      <c r="P1094" s="24"/>
    </row>
    <row r="1095" spans="2:16" x14ac:dyDescent="0.25">
      <c r="B1095" s="24"/>
      <c r="E1095" s="24"/>
      <c r="G1095" s="24"/>
      <c r="H1095" s="24"/>
      <c r="J1095" s="24"/>
      <c r="K1095" s="24"/>
      <c r="M1095" s="24"/>
      <c r="N1095" s="24"/>
      <c r="P1095" s="24"/>
    </row>
    <row r="1096" spans="2:16" x14ac:dyDescent="0.25">
      <c r="B1096" s="24"/>
      <c r="E1096" s="24"/>
      <c r="G1096" s="24"/>
      <c r="H1096" s="24"/>
      <c r="J1096" s="24"/>
      <c r="K1096" s="24"/>
      <c r="M1096" s="24"/>
      <c r="N1096" s="24"/>
      <c r="P1096" s="24"/>
    </row>
    <row r="1097" spans="2:16" x14ac:dyDescent="0.25">
      <c r="B1097" s="24"/>
      <c r="E1097" s="24"/>
      <c r="G1097" s="24"/>
      <c r="H1097" s="24"/>
      <c r="J1097" s="24"/>
      <c r="K1097" s="24"/>
      <c r="M1097" s="24"/>
      <c r="N1097" s="24"/>
      <c r="P1097" s="24"/>
    </row>
    <row r="1098" spans="2:16" x14ac:dyDescent="0.25">
      <c r="B1098" s="24"/>
      <c r="E1098" s="24"/>
      <c r="G1098" s="24"/>
      <c r="H1098" s="24"/>
      <c r="J1098" s="24"/>
      <c r="K1098" s="24"/>
      <c r="M1098" s="24"/>
      <c r="N1098" s="24"/>
      <c r="P1098" s="24"/>
    </row>
    <row r="1099" spans="2:16" x14ac:dyDescent="0.25">
      <c r="B1099" s="24"/>
      <c r="E1099" s="24"/>
      <c r="G1099" s="24"/>
      <c r="H1099" s="24"/>
      <c r="J1099" s="24"/>
      <c r="K1099" s="24"/>
      <c r="M1099" s="24"/>
      <c r="N1099" s="24"/>
      <c r="P1099" s="24"/>
    </row>
    <row r="1100" spans="2:16" x14ac:dyDescent="0.25">
      <c r="B1100" s="24"/>
      <c r="E1100" s="24"/>
      <c r="G1100" s="24"/>
      <c r="H1100" s="24"/>
      <c r="J1100" s="24"/>
      <c r="K1100" s="24"/>
      <c r="M1100" s="24"/>
      <c r="N1100" s="24"/>
      <c r="P1100" s="24"/>
    </row>
    <row r="1101" spans="2:16" x14ac:dyDescent="0.25">
      <c r="B1101" s="24"/>
      <c r="E1101" s="24"/>
      <c r="G1101" s="24"/>
      <c r="H1101" s="24"/>
      <c r="J1101" s="24"/>
      <c r="K1101" s="24"/>
      <c r="M1101" s="24"/>
      <c r="N1101" s="24"/>
      <c r="P1101" s="24"/>
    </row>
    <row r="1102" spans="2:16" x14ac:dyDescent="0.25">
      <c r="B1102" s="24"/>
      <c r="E1102" s="24"/>
      <c r="G1102" s="24"/>
      <c r="H1102" s="24"/>
      <c r="J1102" s="24"/>
      <c r="K1102" s="24"/>
      <c r="M1102" s="24"/>
      <c r="N1102" s="24"/>
      <c r="P1102" s="24"/>
    </row>
    <row r="1103" spans="2:16" x14ac:dyDescent="0.25">
      <c r="B1103" s="24"/>
      <c r="E1103" s="24"/>
      <c r="G1103" s="24"/>
      <c r="H1103" s="24"/>
      <c r="J1103" s="24"/>
      <c r="K1103" s="24"/>
      <c r="M1103" s="24"/>
      <c r="N1103" s="24"/>
      <c r="P1103" s="24"/>
    </row>
    <row r="1104" spans="2:16" x14ac:dyDescent="0.25">
      <c r="B1104" s="24"/>
      <c r="E1104" s="24"/>
      <c r="G1104" s="24"/>
      <c r="H1104" s="24"/>
      <c r="J1104" s="24"/>
      <c r="K1104" s="24"/>
      <c r="M1104" s="24"/>
      <c r="N1104" s="24"/>
      <c r="P1104" s="24"/>
    </row>
    <row r="1105" spans="2:16" x14ac:dyDescent="0.25">
      <c r="B1105" s="24"/>
      <c r="E1105" s="24"/>
      <c r="G1105" s="24"/>
      <c r="H1105" s="24"/>
      <c r="J1105" s="24"/>
      <c r="K1105" s="24"/>
      <c r="M1105" s="24"/>
      <c r="N1105" s="24"/>
      <c r="P1105" s="24"/>
    </row>
    <row r="1106" spans="2:16" x14ac:dyDescent="0.25">
      <c r="B1106" s="24"/>
      <c r="E1106" s="24"/>
      <c r="G1106" s="24"/>
      <c r="H1106" s="24"/>
      <c r="J1106" s="24"/>
      <c r="K1106" s="24"/>
      <c r="M1106" s="24"/>
      <c r="N1106" s="24"/>
      <c r="P1106" s="24"/>
    </row>
    <row r="1107" spans="2:16" x14ac:dyDescent="0.25">
      <c r="B1107" s="24"/>
      <c r="E1107" s="24"/>
      <c r="G1107" s="24"/>
      <c r="H1107" s="24"/>
      <c r="J1107" s="24"/>
      <c r="K1107" s="24"/>
      <c r="M1107" s="24"/>
      <c r="N1107" s="24"/>
      <c r="P1107" s="24"/>
    </row>
    <row r="1108" spans="2:16" x14ac:dyDescent="0.25">
      <c r="B1108" s="24"/>
      <c r="E1108" s="24"/>
      <c r="G1108" s="24"/>
      <c r="H1108" s="24"/>
      <c r="J1108" s="24"/>
      <c r="K1108" s="24"/>
      <c r="M1108" s="24"/>
      <c r="N1108" s="24"/>
      <c r="P1108" s="24"/>
    </row>
    <row r="1109" spans="2:16" x14ac:dyDescent="0.25">
      <c r="B1109" s="24"/>
      <c r="E1109" s="24"/>
      <c r="G1109" s="24"/>
      <c r="H1109" s="24"/>
      <c r="J1109" s="24"/>
      <c r="K1109" s="24"/>
      <c r="M1109" s="24"/>
      <c r="N1109" s="24"/>
      <c r="P1109" s="24"/>
    </row>
    <row r="1110" spans="2:16" x14ac:dyDescent="0.25">
      <c r="B1110" s="24"/>
      <c r="E1110" s="24"/>
      <c r="G1110" s="24"/>
      <c r="H1110" s="24"/>
      <c r="J1110" s="24"/>
      <c r="K1110" s="24"/>
      <c r="M1110" s="24"/>
      <c r="N1110" s="24"/>
      <c r="P1110" s="24"/>
    </row>
    <row r="1111" spans="2:16" x14ac:dyDescent="0.25">
      <c r="B1111" s="24"/>
      <c r="E1111" s="24"/>
      <c r="G1111" s="24"/>
      <c r="H1111" s="24"/>
      <c r="J1111" s="24"/>
      <c r="K1111" s="24"/>
      <c r="M1111" s="24"/>
      <c r="N1111" s="24"/>
      <c r="P1111" s="24"/>
    </row>
    <row r="1112" spans="2:16" x14ac:dyDescent="0.25">
      <c r="B1112" s="24"/>
      <c r="E1112" s="24"/>
      <c r="G1112" s="24"/>
      <c r="H1112" s="24"/>
      <c r="J1112" s="24"/>
      <c r="K1112" s="24"/>
      <c r="M1112" s="24"/>
      <c r="N1112" s="24"/>
      <c r="P1112" s="24"/>
    </row>
    <row r="1113" spans="2:16" x14ac:dyDescent="0.25">
      <c r="B1113" s="24"/>
      <c r="E1113" s="24"/>
      <c r="G1113" s="24"/>
      <c r="H1113" s="24"/>
      <c r="J1113" s="24"/>
      <c r="K1113" s="24"/>
      <c r="M1113" s="24"/>
      <c r="N1113" s="24"/>
      <c r="P1113" s="24"/>
    </row>
    <row r="1114" spans="2:16" x14ac:dyDescent="0.25">
      <c r="B1114" s="24"/>
      <c r="E1114" s="24"/>
      <c r="G1114" s="24"/>
      <c r="H1114" s="24"/>
      <c r="J1114" s="24"/>
      <c r="K1114" s="24"/>
      <c r="M1114" s="24"/>
      <c r="N1114" s="24"/>
      <c r="P1114" s="24"/>
    </row>
    <row r="1115" spans="2:16" x14ac:dyDescent="0.25">
      <c r="B1115" s="24"/>
      <c r="E1115" s="24"/>
      <c r="G1115" s="24"/>
      <c r="H1115" s="24"/>
      <c r="J1115" s="24"/>
      <c r="K1115" s="24"/>
      <c r="M1115" s="24"/>
      <c r="N1115" s="24"/>
      <c r="P1115" s="24"/>
    </row>
    <row r="1116" spans="2:16" x14ac:dyDescent="0.25">
      <c r="B1116" s="24"/>
      <c r="E1116" s="24"/>
      <c r="G1116" s="24"/>
      <c r="H1116" s="24"/>
      <c r="J1116" s="24"/>
      <c r="K1116" s="24"/>
      <c r="M1116" s="24"/>
      <c r="N1116" s="24"/>
      <c r="P1116" s="24"/>
    </row>
    <row r="1117" spans="2:16" x14ac:dyDescent="0.25">
      <c r="B1117" s="24"/>
      <c r="E1117" s="24"/>
      <c r="G1117" s="24"/>
      <c r="H1117" s="24"/>
      <c r="J1117" s="24"/>
      <c r="K1117" s="24"/>
      <c r="M1117" s="24"/>
      <c r="N1117" s="24"/>
      <c r="P1117" s="24"/>
    </row>
    <row r="1118" spans="2:16" x14ac:dyDescent="0.25">
      <c r="B1118" s="24"/>
      <c r="E1118" s="24"/>
      <c r="G1118" s="24"/>
      <c r="H1118" s="24"/>
      <c r="J1118" s="24"/>
      <c r="K1118" s="24"/>
      <c r="M1118" s="24"/>
      <c r="N1118" s="24"/>
      <c r="P1118" s="24"/>
    </row>
    <row r="1119" spans="2:16" x14ac:dyDescent="0.25">
      <c r="B1119" s="24"/>
      <c r="E1119" s="24"/>
      <c r="G1119" s="24"/>
      <c r="H1119" s="24"/>
      <c r="J1119" s="24"/>
      <c r="K1119" s="24"/>
      <c r="M1119" s="24"/>
      <c r="N1119" s="24"/>
      <c r="P1119" s="24"/>
    </row>
    <row r="1120" spans="2:16" x14ac:dyDescent="0.25">
      <c r="B1120" s="24"/>
      <c r="E1120" s="24"/>
      <c r="G1120" s="24"/>
      <c r="H1120" s="24"/>
      <c r="J1120" s="24"/>
      <c r="K1120" s="24"/>
      <c r="M1120" s="24"/>
      <c r="N1120" s="24"/>
      <c r="P1120" s="24"/>
    </row>
    <row r="1121" spans="2:16" x14ac:dyDescent="0.25">
      <c r="B1121" s="24"/>
      <c r="E1121" s="24"/>
      <c r="G1121" s="24"/>
      <c r="H1121" s="24"/>
      <c r="J1121" s="24"/>
      <c r="K1121" s="24"/>
      <c r="M1121" s="24"/>
      <c r="N1121" s="24"/>
      <c r="P1121" s="24"/>
    </row>
    <row r="1122" spans="2:16" x14ac:dyDescent="0.25">
      <c r="B1122" s="24"/>
      <c r="E1122" s="24"/>
      <c r="G1122" s="24"/>
      <c r="H1122" s="24"/>
      <c r="J1122" s="24"/>
      <c r="K1122" s="24"/>
      <c r="M1122" s="24"/>
      <c r="N1122" s="24"/>
      <c r="P1122" s="24"/>
    </row>
    <row r="1123" spans="2:16" x14ac:dyDescent="0.25">
      <c r="B1123" s="24"/>
      <c r="E1123" s="24"/>
      <c r="G1123" s="24"/>
      <c r="H1123" s="24"/>
      <c r="J1123" s="24"/>
      <c r="K1123" s="24"/>
      <c r="M1123" s="24"/>
      <c r="N1123" s="24"/>
      <c r="P1123" s="24"/>
    </row>
    <row r="1124" spans="2:16" x14ac:dyDescent="0.25">
      <c r="B1124" s="24"/>
      <c r="E1124" s="24"/>
      <c r="G1124" s="24"/>
      <c r="H1124" s="24"/>
      <c r="J1124" s="24"/>
      <c r="K1124" s="24"/>
      <c r="M1124" s="24"/>
      <c r="N1124" s="24"/>
      <c r="P1124" s="24"/>
    </row>
    <row r="1125" spans="2:16" x14ac:dyDescent="0.25">
      <c r="B1125" s="24"/>
      <c r="E1125" s="24"/>
      <c r="G1125" s="24"/>
      <c r="H1125" s="24"/>
      <c r="J1125" s="24"/>
      <c r="K1125" s="24"/>
      <c r="M1125" s="24"/>
      <c r="N1125" s="24"/>
      <c r="P1125" s="24"/>
    </row>
    <row r="1126" spans="2:16" x14ac:dyDescent="0.25">
      <c r="B1126" s="24"/>
      <c r="E1126" s="24"/>
      <c r="G1126" s="24"/>
      <c r="H1126" s="24"/>
      <c r="J1126" s="24"/>
      <c r="K1126" s="24"/>
      <c r="M1126" s="24"/>
      <c r="N1126" s="24"/>
      <c r="P1126" s="24"/>
    </row>
    <row r="1127" spans="2:16" x14ac:dyDescent="0.25">
      <c r="B1127" s="24"/>
      <c r="E1127" s="24"/>
      <c r="G1127" s="24"/>
      <c r="H1127" s="24"/>
      <c r="J1127" s="24"/>
      <c r="K1127" s="24"/>
      <c r="M1127" s="24"/>
      <c r="N1127" s="24"/>
      <c r="P1127" s="24"/>
    </row>
    <row r="1128" spans="2:16" x14ac:dyDescent="0.25">
      <c r="B1128" s="24"/>
      <c r="E1128" s="24"/>
      <c r="G1128" s="24"/>
      <c r="H1128" s="24"/>
      <c r="J1128" s="24"/>
      <c r="K1128" s="24"/>
      <c r="M1128" s="24"/>
      <c r="N1128" s="24"/>
      <c r="P1128" s="24"/>
    </row>
    <row r="1129" spans="2:16" x14ac:dyDescent="0.25">
      <c r="B1129" s="24"/>
      <c r="E1129" s="24"/>
      <c r="G1129" s="24"/>
      <c r="H1129" s="24"/>
      <c r="J1129" s="24"/>
      <c r="K1129" s="24"/>
      <c r="M1129" s="24"/>
      <c r="N1129" s="24"/>
      <c r="P1129" s="24"/>
    </row>
    <row r="1130" spans="2:16" x14ac:dyDescent="0.25">
      <c r="B1130" s="24"/>
      <c r="E1130" s="24"/>
      <c r="G1130" s="24"/>
      <c r="H1130" s="24"/>
      <c r="J1130" s="24"/>
      <c r="K1130" s="24"/>
      <c r="M1130" s="24"/>
      <c r="N1130" s="24"/>
      <c r="P1130" s="24"/>
    </row>
    <row r="1131" spans="2:16" x14ac:dyDescent="0.25">
      <c r="B1131" s="24"/>
      <c r="E1131" s="24"/>
      <c r="G1131" s="24"/>
      <c r="H1131" s="24"/>
      <c r="J1131" s="24"/>
      <c r="K1131" s="24"/>
      <c r="M1131" s="24"/>
      <c r="N1131" s="24"/>
      <c r="P1131" s="24"/>
    </row>
    <row r="1132" spans="2:16" x14ac:dyDescent="0.25">
      <c r="B1132" s="24"/>
      <c r="E1132" s="24"/>
      <c r="G1132" s="24"/>
      <c r="H1132" s="24"/>
      <c r="J1132" s="24"/>
      <c r="K1132" s="24"/>
      <c r="M1132" s="24"/>
      <c r="N1132" s="24"/>
      <c r="P1132" s="24"/>
    </row>
    <row r="1133" spans="2:16" x14ac:dyDescent="0.25">
      <c r="B1133" s="24"/>
      <c r="E1133" s="24"/>
      <c r="G1133" s="24"/>
      <c r="H1133" s="24"/>
      <c r="J1133" s="24"/>
      <c r="K1133" s="24"/>
      <c r="M1133" s="24"/>
      <c r="N1133" s="24"/>
      <c r="P1133" s="24"/>
    </row>
    <row r="1134" spans="2:16" x14ac:dyDescent="0.25">
      <c r="B1134" s="24"/>
      <c r="E1134" s="24"/>
      <c r="G1134" s="24"/>
      <c r="H1134" s="24"/>
      <c r="J1134" s="24"/>
      <c r="K1134" s="24"/>
      <c r="M1134" s="24"/>
      <c r="N1134" s="24"/>
      <c r="P1134" s="24"/>
    </row>
    <row r="1135" spans="2:16" x14ac:dyDescent="0.25">
      <c r="B1135" s="24"/>
      <c r="E1135" s="24"/>
      <c r="G1135" s="24"/>
      <c r="H1135" s="24"/>
      <c r="J1135" s="24"/>
      <c r="K1135" s="24"/>
      <c r="M1135" s="24"/>
      <c r="N1135" s="24"/>
      <c r="P1135" s="24"/>
    </row>
    <row r="1136" spans="2:16" x14ac:dyDescent="0.25">
      <c r="B1136" s="24"/>
      <c r="E1136" s="24"/>
      <c r="G1136" s="24"/>
      <c r="H1136" s="24"/>
      <c r="J1136" s="24"/>
      <c r="K1136" s="24"/>
      <c r="M1136" s="24"/>
      <c r="N1136" s="24"/>
      <c r="P1136" s="24"/>
    </row>
    <row r="1137" spans="2:16" x14ac:dyDescent="0.25">
      <c r="B1137" s="24"/>
      <c r="E1137" s="24"/>
      <c r="G1137" s="24"/>
      <c r="H1137" s="24"/>
      <c r="J1137" s="24"/>
      <c r="K1137" s="24"/>
      <c r="M1137" s="24"/>
      <c r="N1137" s="24"/>
      <c r="P1137" s="24"/>
    </row>
    <row r="1138" spans="2:16" x14ac:dyDescent="0.25">
      <c r="B1138" s="24"/>
      <c r="E1138" s="24"/>
      <c r="G1138" s="24"/>
      <c r="H1138" s="24"/>
      <c r="J1138" s="24"/>
      <c r="K1138" s="24"/>
      <c r="M1138" s="24"/>
      <c r="N1138" s="24"/>
      <c r="P1138" s="24"/>
    </row>
    <row r="1139" spans="2:16" x14ac:dyDescent="0.25">
      <c r="B1139" s="24"/>
      <c r="E1139" s="24"/>
      <c r="G1139" s="24"/>
      <c r="H1139" s="24"/>
      <c r="J1139" s="24"/>
      <c r="K1139" s="24"/>
      <c r="M1139" s="24"/>
      <c r="N1139" s="24"/>
      <c r="P1139" s="24"/>
    </row>
    <row r="1140" spans="2:16" x14ac:dyDescent="0.25">
      <c r="B1140" s="24"/>
      <c r="E1140" s="24"/>
      <c r="G1140" s="24"/>
      <c r="H1140" s="24"/>
      <c r="J1140" s="24"/>
      <c r="K1140" s="24"/>
      <c r="M1140" s="24"/>
      <c r="N1140" s="24"/>
      <c r="P1140" s="24"/>
    </row>
    <row r="1141" spans="2:16" x14ac:dyDescent="0.25">
      <c r="B1141" s="24"/>
      <c r="E1141" s="24"/>
      <c r="G1141" s="24"/>
      <c r="H1141" s="24"/>
      <c r="J1141" s="24"/>
      <c r="K1141" s="24"/>
      <c r="M1141" s="24"/>
      <c r="N1141" s="24"/>
      <c r="P1141" s="24"/>
    </row>
    <row r="1142" spans="2:16" x14ac:dyDescent="0.25">
      <c r="B1142" s="24"/>
      <c r="E1142" s="24"/>
      <c r="G1142" s="24"/>
      <c r="H1142" s="24"/>
      <c r="J1142" s="24"/>
      <c r="K1142" s="24"/>
      <c r="M1142" s="24"/>
      <c r="N1142" s="24"/>
      <c r="P1142" s="24"/>
    </row>
    <row r="1143" spans="2:16" x14ac:dyDescent="0.25">
      <c r="B1143" s="24"/>
      <c r="E1143" s="24"/>
      <c r="G1143" s="24"/>
      <c r="H1143" s="24"/>
      <c r="J1143" s="24"/>
      <c r="K1143" s="24"/>
      <c r="M1143" s="24"/>
      <c r="N1143" s="24"/>
      <c r="P1143" s="24"/>
    </row>
    <row r="1144" spans="2:16" x14ac:dyDescent="0.25">
      <c r="B1144" s="24"/>
      <c r="E1144" s="24"/>
      <c r="G1144" s="24"/>
      <c r="H1144" s="24"/>
      <c r="J1144" s="24"/>
      <c r="K1144" s="24"/>
      <c r="M1144" s="24"/>
      <c r="N1144" s="24"/>
      <c r="P1144" s="24"/>
    </row>
    <row r="1145" spans="2:16" x14ac:dyDescent="0.25">
      <c r="B1145" s="24"/>
      <c r="E1145" s="24"/>
      <c r="G1145" s="24"/>
      <c r="H1145" s="24"/>
      <c r="J1145" s="24"/>
      <c r="K1145" s="24"/>
      <c r="M1145" s="24"/>
      <c r="N1145" s="24"/>
      <c r="P1145" s="24"/>
    </row>
    <row r="1146" spans="2:16" x14ac:dyDescent="0.25">
      <c r="B1146" s="24"/>
      <c r="E1146" s="24"/>
      <c r="G1146" s="24"/>
      <c r="H1146" s="24"/>
      <c r="J1146" s="24"/>
      <c r="K1146" s="24"/>
      <c r="M1146" s="24"/>
      <c r="N1146" s="24"/>
      <c r="P1146" s="24"/>
    </row>
    <row r="1147" spans="2:16" x14ac:dyDescent="0.25">
      <c r="B1147" s="24"/>
      <c r="E1147" s="24"/>
      <c r="G1147" s="24"/>
      <c r="H1147" s="24"/>
      <c r="J1147" s="24"/>
      <c r="K1147" s="24"/>
      <c r="M1147" s="24"/>
      <c r="N1147" s="24"/>
      <c r="P1147" s="24"/>
    </row>
    <row r="1148" spans="2:16" x14ac:dyDescent="0.25">
      <c r="B1148" s="24"/>
      <c r="E1148" s="24"/>
      <c r="G1148" s="24"/>
      <c r="H1148" s="24"/>
      <c r="J1148" s="24"/>
      <c r="K1148" s="24"/>
      <c r="M1148" s="24"/>
      <c r="N1148" s="24"/>
      <c r="P1148" s="24"/>
    </row>
    <row r="1149" spans="2:16" x14ac:dyDescent="0.25">
      <c r="B1149" s="24"/>
      <c r="E1149" s="24"/>
      <c r="G1149" s="24"/>
      <c r="H1149" s="24"/>
      <c r="J1149" s="24"/>
      <c r="K1149" s="24"/>
      <c r="M1149" s="24"/>
      <c r="N1149" s="24"/>
      <c r="P1149" s="24"/>
    </row>
    <row r="1150" spans="2:16" x14ac:dyDescent="0.25">
      <c r="B1150" s="24"/>
      <c r="E1150" s="24"/>
      <c r="G1150" s="24"/>
      <c r="H1150" s="24"/>
      <c r="J1150" s="24"/>
      <c r="K1150" s="24"/>
      <c r="M1150" s="24"/>
      <c r="N1150" s="24"/>
      <c r="P1150" s="24"/>
    </row>
    <row r="1151" spans="2:16" x14ac:dyDescent="0.25">
      <c r="B1151" s="24"/>
      <c r="E1151" s="24"/>
      <c r="G1151" s="24"/>
      <c r="H1151" s="24"/>
      <c r="J1151" s="24"/>
      <c r="K1151" s="24"/>
      <c r="M1151" s="24"/>
      <c r="N1151" s="24"/>
      <c r="P1151" s="24"/>
    </row>
    <row r="1152" spans="2:16" x14ac:dyDescent="0.25">
      <c r="B1152" s="24"/>
      <c r="E1152" s="24"/>
      <c r="G1152" s="24"/>
      <c r="H1152" s="24"/>
      <c r="J1152" s="24"/>
      <c r="K1152" s="24"/>
      <c r="M1152" s="24"/>
      <c r="N1152" s="24"/>
      <c r="P1152" s="24"/>
    </row>
    <row r="1153" spans="2:16" x14ac:dyDescent="0.25">
      <c r="B1153" s="24"/>
      <c r="E1153" s="24"/>
      <c r="G1153" s="24"/>
      <c r="H1153" s="24"/>
      <c r="J1153" s="24"/>
      <c r="K1153" s="24"/>
      <c r="M1153" s="24"/>
      <c r="N1153" s="24"/>
      <c r="P1153" s="24"/>
    </row>
    <row r="1154" spans="2:16" x14ac:dyDescent="0.25">
      <c r="B1154" s="24"/>
      <c r="E1154" s="24"/>
      <c r="G1154" s="24"/>
      <c r="H1154" s="24"/>
      <c r="J1154" s="24"/>
      <c r="K1154" s="24"/>
      <c r="M1154" s="24"/>
      <c r="N1154" s="24"/>
      <c r="P1154" s="24"/>
    </row>
    <row r="1155" spans="2:16" x14ac:dyDescent="0.25">
      <c r="B1155" s="24"/>
      <c r="E1155" s="24"/>
      <c r="G1155" s="24"/>
      <c r="H1155" s="24"/>
      <c r="J1155" s="24"/>
      <c r="K1155" s="24"/>
      <c r="M1155" s="24"/>
      <c r="N1155" s="24"/>
      <c r="P1155" s="24"/>
    </row>
    <row r="1156" spans="2:16" x14ac:dyDescent="0.25">
      <c r="B1156" s="24"/>
      <c r="E1156" s="24"/>
      <c r="G1156" s="24"/>
      <c r="H1156" s="24"/>
      <c r="J1156" s="24"/>
      <c r="K1156" s="24"/>
      <c r="M1156" s="24"/>
      <c r="N1156" s="24"/>
      <c r="P1156" s="24"/>
    </row>
    <row r="1157" spans="2:16" x14ac:dyDescent="0.25">
      <c r="B1157" s="24"/>
      <c r="E1157" s="24"/>
      <c r="G1157" s="24"/>
      <c r="H1157" s="24"/>
      <c r="J1157" s="24"/>
      <c r="K1157" s="24"/>
      <c r="M1157" s="24"/>
      <c r="N1157" s="24"/>
      <c r="P1157" s="24"/>
    </row>
    <row r="1158" spans="2:16" x14ac:dyDescent="0.25">
      <c r="B1158" s="24"/>
      <c r="E1158" s="24"/>
      <c r="G1158" s="24"/>
      <c r="H1158" s="24"/>
      <c r="J1158" s="24"/>
      <c r="K1158" s="24"/>
      <c r="M1158" s="24"/>
      <c r="N1158" s="24"/>
      <c r="P1158" s="24"/>
    </row>
    <row r="1159" spans="2:16" x14ac:dyDescent="0.25">
      <c r="B1159" s="24"/>
      <c r="E1159" s="24"/>
      <c r="G1159" s="24"/>
      <c r="H1159" s="24"/>
      <c r="J1159" s="24"/>
      <c r="K1159" s="24"/>
      <c r="M1159" s="24"/>
      <c r="N1159" s="24"/>
      <c r="P1159" s="24"/>
    </row>
    <row r="1160" spans="2:16" x14ac:dyDescent="0.25">
      <c r="B1160" s="24"/>
      <c r="E1160" s="24"/>
      <c r="G1160" s="24"/>
      <c r="H1160" s="24"/>
      <c r="J1160" s="24"/>
      <c r="K1160" s="24"/>
      <c r="M1160" s="24"/>
      <c r="N1160" s="24"/>
      <c r="P1160" s="24"/>
    </row>
    <row r="1161" spans="2:16" x14ac:dyDescent="0.25">
      <c r="B1161" s="24"/>
      <c r="E1161" s="24"/>
      <c r="G1161" s="24"/>
      <c r="H1161" s="24"/>
      <c r="J1161" s="24"/>
      <c r="K1161" s="24"/>
      <c r="M1161" s="24"/>
      <c r="N1161" s="24"/>
      <c r="P1161" s="24"/>
    </row>
    <row r="1162" spans="2:16" x14ac:dyDescent="0.25">
      <c r="B1162" s="24"/>
      <c r="E1162" s="24"/>
      <c r="G1162" s="24"/>
      <c r="H1162" s="24"/>
      <c r="J1162" s="24"/>
      <c r="K1162" s="24"/>
      <c r="M1162" s="24"/>
      <c r="N1162" s="24"/>
      <c r="P1162" s="24"/>
    </row>
    <row r="1163" spans="2:16" x14ac:dyDescent="0.25">
      <c r="B1163" s="24"/>
      <c r="E1163" s="24"/>
      <c r="G1163" s="24"/>
      <c r="H1163" s="24"/>
      <c r="J1163" s="24"/>
      <c r="K1163" s="24"/>
      <c r="M1163" s="24"/>
      <c r="N1163" s="24"/>
      <c r="P1163" s="24"/>
    </row>
    <row r="1164" spans="2:16" x14ac:dyDescent="0.25">
      <c r="B1164" s="24"/>
      <c r="E1164" s="24"/>
      <c r="G1164" s="24"/>
      <c r="H1164" s="24"/>
      <c r="J1164" s="24"/>
      <c r="K1164" s="24"/>
      <c r="M1164" s="24"/>
      <c r="N1164" s="24"/>
      <c r="P1164" s="24"/>
    </row>
    <row r="1165" spans="2:16" x14ac:dyDescent="0.25">
      <c r="B1165" s="24"/>
      <c r="E1165" s="24"/>
      <c r="G1165" s="24"/>
      <c r="H1165" s="24"/>
      <c r="J1165" s="24"/>
      <c r="K1165" s="24"/>
      <c r="M1165" s="24"/>
      <c r="N1165" s="24"/>
      <c r="P1165" s="24"/>
    </row>
    <row r="1166" spans="2:16" x14ac:dyDescent="0.25">
      <c r="B1166" s="24"/>
      <c r="E1166" s="24"/>
      <c r="G1166" s="24"/>
      <c r="H1166" s="24"/>
      <c r="J1166" s="24"/>
      <c r="K1166" s="24"/>
      <c r="M1166" s="24"/>
      <c r="N1166" s="24"/>
      <c r="P1166" s="24"/>
    </row>
    <row r="1167" spans="2:16" x14ac:dyDescent="0.25">
      <c r="B1167" s="24"/>
      <c r="E1167" s="24"/>
      <c r="G1167" s="24"/>
      <c r="H1167" s="24"/>
      <c r="J1167" s="24"/>
      <c r="K1167" s="24"/>
      <c r="M1167" s="24"/>
      <c r="N1167" s="24"/>
      <c r="P1167" s="24"/>
    </row>
    <row r="1168" spans="2:16" x14ac:dyDescent="0.25">
      <c r="B1168" s="24"/>
      <c r="E1168" s="24"/>
      <c r="G1168" s="24"/>
      <c r="H1168" s="24"/>
      <c r="J1168" s="24"/>
      <c r="K1168" s="24"/>
      <c r="M1168" s="24"/>
      <c r="N1168" s="24"/>
      <c r="P1168" s="24"/>
    </row>
    <row r="1169" spans="2:16" x14ac:dyDescent="0.25">
      <c r="B1169" s="24"/>
      <c r="E1169" s="24"/>
      <c r="G1169" s="24"/>
      <c r="H1169" s="24"/>
      <c r="J1169" s="24"/>
      <c r="K1169" s="24"/>
      <c r="M1169" s="24"/>
      <c r="N1169" s="24"/>
      <c r="P1169" s="24"/>
    </row>
    <row r="1170" spans="2:16" x14ac:dyDescent="0.25">
      <c r="B1170" s="24"/>
      <c r="E1170" s="24"/>
      <c r="G1170" s="24"/>
      <c r="H1170" s="24"/>
      <c r="J1170" s="24"/>
      <c r="K1170" s="24"/>
      <c r="M1170" s="24"/>
      <c r="N1170" s="24"/>
      <c r="P1170" s="24"/>
    </row>
    <row r="1171" spans="2:16" x14ac:dyDescent="0.25">
      <c r="B1171" s="24"/>
      <c r="E1171" s="24"/>
      <c r="G1171" s="24"/>
      <c r="H1171" s="24"/>
      <c r="J1171" s="24"/>
      <c r="K1171" s="24"/>
      <c r="M1171" s="24"/>
      <c r="N1171" s="24"/>
      <c r="P1171" s="24"/>
    </row>
    <row r="1172" spans="2:16" x14ac:dyDescent="0.25">
      <c r="B1172" s="24"/>
      <c r="E1172" s="24"/>
      <c r="G1172" s="24"/>
      <c r="H1172" s="24"/>
      <c r="J1172" s="24"/>
      <c r="K1172" s="24"/>
      <c r="M1172" s="24"/>
      <c r="N1172" s="24"/>
      <c r="P1172" s="24"/>
    </row>
    <row r="1173" spans="2:16" x14ac:dyDescent="0.25">
      <c r="B1173" s="24"/>
      <c r="E1173" s="24"/>
      <c r="G1173" s="24"/>
      <c r="H1173" s="24"/>
      <c r="J1173" s="24"/>
      <c r="K1173" s="24"/>
      <c r="M1173" s="24"/>
      <c r="N1173" s="24"/>
      <c r="P1173" s="24"/>
    </row>
    <row r="1174" spans="2:16" x14ac:dyDescent="0.25">
      <c r="B1174" s="24"/>
      <c r="E1174" s="24"/>
      <c r="G1174" s="24"/>
      <c r="H1174" s="24"/>
      <c r="J1174" s="24"/>
      <c r="K1174" s="24"/>
      <c r="M1174" s="24"/>
      <c r="N1174" s="24"/>
      <c r="P1174" s="24"/>
    </row>
    <row r="1175" spans="2:16" x14ac:dyDescent="0.25">
      <c r="B1175" s="24"/>
      <c r="E1175" s="24"/>
      <c r="G1175" s="24"/>
      <c r="H1175" s="24"/>
      <c r="J1175" s="24"/>
      <c r="K1175" s="24"/>
      <c r="M1175" s="24"/>
      <c r="N1175" s="24"/>
      <c r="P1175" s="24"/>
    </row>
    <row r="1176" spans="2:16" x14ac:dyDescent="0.25">
      <c r="B1176" s="24"/>
      <c r="E1176" s="24"/>
      <c r="G1176" s="24"/>
      <c r="H1176" s="24"/>
      <c r="J1176" s="24"/>
      <c r="K1176" s="24"/>
      <c r="M1176" s="24"/>
      <c r="N1176" s="24"/>
      <c r="P1176" s="24"/>
    </row>
    <row r="1177" spans="2:16" x14ac:dyDescent="0.25">
      <c r="B1177" s="24"/>
      <c r="E1177" s="24"/>
      <c r="G1177" s="24"/>
      <c r="H1177" s="24"/>
      <c r="J1177" s="24"/>
      <c r="K1177" s="24"/>
      <c r="M1177" s="24"/>
      <c r="N1177" s="24"/>
      <c r="P1177" s="24"/>
    </row>
    <row r="1178" spans="2:16" x14ac:dyDescent="0.25">
      <c r="B1178" s="24"/>
      <c r="E1178" s="24"/>
      <c r="G1178" s="24"/>
      <c r="H1178" s="24"/>
      <c r="J1178" s="24"/>
      <c r="K1178" s="24"/>
      <c r="M1178" s="24"/>
      <c r="N1178" s="24"/>
      <c r="P1178" s="24"/>
    </row>
    <row r="1179" spans="2:16" x14ac:dyDescent="0.25">
      <c r="B1179" s="24"/>
      <c r="E1179" s="24"/>
      <c r="G1179" s="24"/>
      <c r="H1179" s="24"/>
      <c r="J1179" s="24"/>
      <c r="K1179" s="24"/>
      <c r="M1179" s="24"/>
      <c r="N1179" s="24"/>
      <c r="P1179" s="24"/>
    </row>
    <row r="1180" spans="2:16" x14ac:dyDescent="0.25">
      <c r="B1180" s="24"/>
      <c r="E1180" s="24"/>
      <c r="G1180" s="24"/>
      <c r="H1180" s="24"/>
      <c r="J1180" s="24"/>
      <c r="K1180" s="24"/>
      <c r="M1180" s="24"/>
      <c r="N1180" s="24"/>
      <c r="P1180" s="24"/>
    </row>
    <row r="1181" spans="2:16" x14ac:dyDescent="0.25">
      <c r="B1181" s="24"/>
      <c r="E1181" s="24"/>
      <c r="G1181" s="24"/>
      <c r="H1181" s="24"/>
      <c r="J1181" s="24"/>
      <c r="K1181" s="24"/>
      <c r="M1181" s="24"/>
      <c r="N1181" s="24"/>
      <c r="P1181" s="24"/>
    </row>
    <row r="1182" spans="2:16" x14ac:dyDescent="0.25">
      <c r="B1182" s="24"/>
      <c r="E1182" s="24"/>
      <c r="G1182" s="24"/>
      <c r="H1182" s="24"/>
      <c r="J1182" s="24"/>
      <c r="K1182" s="24"/>
      <c r="M1182" s="24"/>
      <c r="N1182" s="24"/>
      <c r="P1182" s="24"/>
    </row>
    <row r="1183" spans="2:16" x14ac:dyDescent="0.25">
      <c r="B1183" s="24"/>
      <c r="E1183" s="24"/>
      <c r="G1183" s="24"/>
      <c r="H1183" s="24"/>
      <c r="J1183" s="24"/>
      <c r="K1183" s="24"/>
      <c r="M1183" s="24"/>
      <c r="N1183" s="24"/>
      <c r="P1183" s="24"/>
    </row>
    <row r="1184" spans="2:16" x14ac:dyDescent="0.25">
      <c r="B1184" s="24"/>
      <c r="E1184" s="24"/>
      <c r="G1184" s="24"/>
      <c r="H1184" s="24"/>
      <c r="J1184" s="24"/>
      <c r="K1184" s="24"/>
      <c r="M1184" s="24"/>
      <c r="N1184" s="24"/>
      <c r="P1184" s="24"/>
    </row>
    <row r="1185" spans="2:16" x14ac:dyDescent="0.25">
      <c r="B1185" s="24"/>
      <c r="E1185" s="24"/>
      <c r="G1185" s="24"/>
      <c r="H1185" s="24"/>
      <c r="J1185" s="24"/>
      <c r="K1185" s="24"/>
      <c r="M1185" s="24"/>
      <c r="N1185" s="24"/>
      <c r="P1185" s="24"/>
    </row>
    <row r="1186" spans="2:16" x14ac:dyDescent="0.25">
      <c r="B1186" s="24"/>
      <c r="E1186" s="24"/>
      <c r="G1186" s="24"/>
      <c r="H1186" s="24"/>
      <c r="J1186" s="24"/>
      <c r="K1186" s="24"/>
      <c r="M1186" s="24"/>
      <c r="N1186" s="24"/>
      <c r="P1186" s="24"/>
    </row>
    <row r="1187" spans="2:16" x14ac:dyDescent="0.25">
      <c r="B1187" s="24"/>
      <c r="E1187" s="24"/>
      <c r="G1187" s="24"/>
      <c r="H1187" s="24"/>
      <c r="J1187" s="24"/>
      <c r="K1187" s="24"/>
      <c r="M1187" s="24"/>
      <c r="N1187" s="24"/>
      <c r="P1187" s="24"/>
    </row>
    <row r="1188" spans="2:16" x14ac:dyDescent="0.25">
      <c r="B1188" s="24"/>
      <c r="E1188" s="24"/>
      <c r="G1188" s="24"/>
      <c r="H1188" s="24"/>
      <c r="J1188" s="24"/>
      <c r="K1188" s="24"/>
      <c r="M1188" s="24"/>
      <c r="N1188" s="24"/>
      <c r="P1188" s="24"/>
    </row>
    <row r="1189" spans="2:16" x14ac:dyDescent="0.25">
      <c r="B1189" s="24"/>
      <c r="E1189" s="24"/>
      <c r="G1189" s="24"/>
      <c r="H1189" s="24"/>
      <c r="J1189" s="24"/>
      <c r="K1189" s="24"/>
      <c r="M1189" s="24"/>
      <c r="N1189" s="24"/>
      <c r="P1189" s="24"/>
    </row>
    <row r="1190" spans="2:16" x14ac:dyDescent="0.25">
      <c r="B1190" s="24"/>
      <c r="E1190" s="24"/>
      <c r="G1190" s="24"/>
      <c r="H1190" s="24"/>
      <c r="J1190" s="24"/>
      <c r="K1190" s="24"/>
      <c r="M1190" s="24"/>
      <c r="N1190" s="24"/>
      <c r="P1190" s="24"/>
    </row>
    <row r="1191" spans="2:16" x14ac:dyDescent="0.25">
      <c r="B1191" s="24"/>
      <c r="E1191" s="24"/>
      <c r="G1191" s="24"/>
      <c r="H1191" s="24"/>
      <c r="J1191" s="24"/>
      <c r="K1191" s="24"/>
      <c r="M1191" s="24"/>
      <c r="N1191" s="24"/>
      <c r="P1191" s="24"/>
    </row>
    <row r="1192" spans="2:16" x14ac:dyDescent="0.25">
      <c r="B1192" s="24"/>
      <c r="E1192" s="24"/>
      <c r="G1192" s="24"/>
      <c r="H1192" s="24"/>
      <c r="J1192" s="24"/>
      <c r="K1192" s="24"/>
      <c r="M1192" s="24"/>
      <c r="N1192" s="24"/>
      <c r="P1192" s="24"/>
    </row>
    <row r="1193" spans="2:16" x14ac:dyDescent="0.25">
      <c r="B1193" s="24"/>
      <c r="E1193" s="24"/>
      <c r="G1193" s="24"/>
      <c r="H1193" s="24"/>
      <c r="J1193" s="24"/>
      <c r="K1193" s="24"/>
      <c r="M1193" s="24"/>
      <c r="N1193" s="24"/>
      <c r="P1193" s="24"/>
    </row>
    <row r="1194" spans="2:16" x14ac:dyDescent="0.25">
      <c r="B1194" s="24"/>
      <c r="E1194" s="24"/>
      <c r="G1194" s="24"/>
      <c r="H1194" s="24"/>
      <c r="J1194" s="24"/>
      <c r="K1194" s="24"/>
      <c r="M1194" s="24"/>
      <c r="N1194" s="24"/>
      <c r="P1194" s="24"/>
    </row>
    <row r="1195" spans="2:16" x14ac:dyDescent="0.25">
      <c r="B1195" s="24"/>
      <c r="E1195" s="24"/>
      <c r="G1195" s="24"/>
      <c r="H1195" s="24"/>
      <c r="J1195" s="24"/>
      <c r="K1195" s="24"/>
      <c r="M1195" s="24"/>
      <c r="N1195" s="24"/>
      <c r="P1195" s="24"/>
    </row>
    <row r="1196" spans="2:16" x14ac:dyDescent="0.25">
      <c r="B1196" s="24"/>
      <c r="E1196" s="24"/>
      <c r="G1196" s="24"/>
      <c r="H1196" s="24"/>
      <c r="J1196" s="24"/>
      <c r="K1196" s="24"/>
      <c r="M1196" s="24"/>
      <c r="N1196" s="24"/>
      <c r="P1196" s="24"/>
    </row>
    <row r="1197" spans="2:16" x14ac:dyDescent="0.25">
      <c r="B1197" s="24"/>
      <c r="E1197" s="24"/>
      <c r="G1197" s="24"/>
      <c r="H1197" s="24"/>
      <c r="J1197" s="24"/>
      <c r="K1197" s="24"/>
      <c r="M1197" s="24"/>
      <c r="N1197" s="24"/>
      <c r="P1197" s="24"/>
    </row>
    <row r="1198" spans="2:16" x14ac:dyDescent="0.25">
      <c r="B1198" s="24"/>
      <c r="E1198" s="24"/>
      <c r="G1198" s="24"/>
      <c r="H1198" s="24"/>
      <c r="J1198" s="24"/>
      <c r="K1198" s="24"/>
      <c r="M1198" s="24"/>
      <c r="N1198" s="24"/>
      <c r="P1198" s="24"/>
    </row>
    <row r="1199" spans="2:16" x14ac:dyDescent="0.25">
      <c r="B1199" s="24"/>
      <c r="E1199" s="24"/>
      <c r="G1199" s="24"/>
      <c r="H1199" s="24"/>
      <c r="J1199" s="24"/>
      <c r="K1199" s="24"/>
      <c r="M1199" s="24"/>
      <c r="N1199" s="24"/>
      <c r="P1199" s="24"/>
    </row>
    <row r="1200" spans="2:16" x14ac:dyDescent="0.25">
      <c r="B1200" s="24"/>
      <c r="E1200" s="24"/>
      <c r="G1200" s="24"/>
      <c r="H1200" s="24"/>
      <c r="J1200" s="24"/>
      <c r="K1200" s="24"/>
      <c r="M1200" s="24"/>
      <c r="N1200" s="24"/>
      <c r="P1200" s="24"/>
    </row>
    <row r="1201" spans="2:16" x14ac:dyDescent="0.25">
      <c r="B1201" s="24"/>
      <c r="E1201" s="24"/>
      <c r="G1201" s="24"/>
      <c r="H1201" s="24"/>
      <c r="J1201" s="24"/>
      <c r="K1201" s="24"/>
      <c r="M1201" s="24"/>
      <c r="N1201" s="24"/>
      <c r="P1201" s="24"/>
    </row>
    <row r="1202" spans="2:16" x14ac:dyDescent="0.25">
      <c r="B1202" s="24"/>
      <c r="E1202" s="24"/>
      <c r="G1202" s="24"/>
      <c r="H1202" s="24"/>
      <c r="J1202" s="24"/>
      <c r="K1202" s="24"/>
      <c r="M1202" s="24"/>
      <c r="N1202" s="24"/>
      <c r="P1202" s="24"/>
    </row>
    <row r="1203" spans="2:16" x14ac:dyDescent="0.25">
      <c r="B1203" s="24"/>
      <c r="E1203" s="24"/>
      <c r="G1203" s="24"/>
      <c r="H1203" s="24"/>
      <c r="J1203" s="24"/>
      <c r="K1203" s="24"/>
      <c r="M1203" s="24"/>
      <c r="N1203" s="24"/>
      <c r="P1203" s="24"/>
    </row>
    <row r="1204" spans="2:16" x14ac:dyDescent="0.25">
      <c r="B1204" s="24"/>
      <c r="E1204" s="24"/>
      <c r="G1204" s="24"/>
      <c r="H1204" s="24"/>
      <c r="J1204" s="24"/>
      <c r="K1204" s="24"/>
      <c r="M1204" s="24"/>
      <c r="N1204" s="24"/>
      <c r="P1204" s="24"/>
    </row>
    <row r="1205" spans="2:16" x14ac:dyDescent="0.25">
      <c r="B1205" s="24"/>
      <c r="E1205" s="24"/>
      <c r="G1205" s="24"/>
      <c r="H1205" s="24"/>
      <c r="J1205" s="24"/>
      <c r="K1205" s="24"/>
      <c r="M1205" s="24"/>
      <c r="N1205" s="24"/>
      <c r="P1205" s="24"/>
    </row>
    <row r="1206" spans="2:16" x14ac:dyDescent="0.25">
      <c r="B1206" s="24"/>
      <c r="E1206" s="24"/>
      <c r="G1206" s="24"/>
      <c r="H1206" s="24"/>
      <c r="J1206" s="24"/>
      <c r="K1206" s="24"/>
      <c r="M1206" s="24"/>
      <c r="N1206" s="24"/>
      <c r="P1206" s="24"/>
    </row>
    <row r="1207" spans="2:16" x14ac:dyDescent="0.25">
      <c r="B1207" s="24"/>
      <c r="E1207" s="24"/>
      <c r="G1207" s="24"/>
      <c r="H1207" s="24"/>
      <c r="J1207" s="24"/>
      <c r="K1207" s="24"/>
      <c r="M1207" s="24"/>
      <c r="N1207" s="24"/>
      <c r="P1207" s="24"/>
    </row>
    <row r="1208" spans="2:16" x14ac:dyDescent="0.25">
      <c r="B1208" s="24"/>
      <c r="E1208" s="24"/>
      <c r="G1208" s="24"/>
      <c r="H1208" s="24"/>
      <c r="J1208" s="24"/>
      <c r="K1208" s="24"/>
      <c r="M1208" s="24"/>
      <c r="N1208" s="24"/>
      <c r="P1208" s="24"/>
    </row>
    <row r="1209" spans="2:16" x14ac:dyDescent="0.25">
      <c r="B1209" s="24"/>
      <c r="E1209" s="24"/>
      <c r="G1209" s="24"/>
      <c r="H1209" s="24"/>
      <c r="J1209" s="24"/>
      <c r="K1209" s="24"/>
      <c r="M1209" s="24"/>
      <c r="N1209" s="24"/>
      <c r="P1209" s="24"/>
    </row>
    <row r="1210" spans="2:16" x14ac:dyDescent="0.25">
      <c r="B1210" s="24"/>
      <c r="E1210" s="24"/>
      <c r="G1210" s="24"/>
      <c r="H1210" s="24"/>
      <c r="J1210" s="24"/>
      <c r="K1210" s="24"/>
      <c r="M1210" s="24"/>
      <c r="N1210" s="24"/>
      <c r="P1210" s="24"/>
    </row>
    <row r="1211" spans="2:16" x14ac:dyDescent="0.25">
      <c r="B1211" s="24"/>
      <c r="E1211" s="24"/>
      <c r="G1211" s="24"/>
      <c r="H1211" s="24"/>
      <c r="J1211" s="24"/>
      <c r="K1211" s="24"/>
      <c r="M1211" s="24"/>
      <c r="N1211" s="24"/>
      <c r="P1211" s="24"/>
    </row>
    <row r="1212" spans="2:16" x14ac:dyDescent="0.25">
      <c r="B1212" s="24"/>
      <c r="E1212" s="24"/>
      <c r="G1212" s="24"/>
      <c r="H1212" s="24"/>
      <c r="J1212" s="24"/>
      <c r="K1212" s="24"/>
      <c r="M1212" s="24"/>
      <c r="N1212" s="24"/>
      <c r="P1212" s="24"/>
    </row>
    <row r="1213" spans="2:16" x14ac:dyDescent="0.25">
      <c r="B1213" s="24"/>
      <c r="E1213" s="24"/>
      <c r="G1213" s="24"/>
      <c r="H1213" s="24"/>
      <c r="J1213" s="24"/>
      <c r="K1213" s="24"/>
      <c r="M1213" s="24"/>
      <c r="N1213" s="24"/>
      <c r="P1213" s="24"/>
    </row>
    <row r="1214" spans="2:16" x14ac:dyDescent="0.25">
      <c r="B1214" s="24"/>
      <c r="E1214" s="24"/>
      <c r="G1214" s="24"/>
      <c r="H1214" s="24"/>
      <c r="J1214" s="24"/>
      <c r="K1214" s="24"/>
      <c r="M1214" s="24"/>
      <c r="N1214" s="24"/>
      <c r="P1214" s="24"/>
    </row>
    <row r="1215" spans="2:16" x14ac:dyDescent="0.25">
      <c r="B1215" s="24"/>
      <c r="E1215" s="24"/>
      <c r="G1215" s="24"/>
      <c r="H1215" s="24"/>
      <c r="J1215" s="24"/>
      <c r="K1215" s="24"/>
      <c r="M1215" s="24"/>
      <c r="N1215" s="24"/>
      <c r="P1215" s="24"/>
    </row>
    <row r="1216" spans="2:16" x14ac:dyDescent="0.25">
      <c r="B1216" s="24"/>
      <c r="E1216" s="24"/>
      <c r="G1216" s="24"/>
      <c r="H1216" s="24"/>
      <c r="J1216" s="24"/>
      <c r="K1216" s="24"/>
      <c r="M1216" s="24"/>
      <c r="N1216" s="24"/>
      <c r="P1216" s="24"/>
    </row>
    <row r="1217" spans="2:16" x14ac:dyDescent="0.25">
      <c r="B1217" s="24"/>
      <c r="E1217" s="24"/>
      <c r="G1217" s="24"/>
      <c r="H1217" s="24"/>
      <c r="J1217" s="24"/>
      <c r="K1217" s="24"/>
      <c r="M1217" s="24"/>
      <c r="N1217" s="24"/>
      <c r="P1217" s="24"/>
    </row>
    <row r="1218" spans="2:16" x14ac:dyDescent="0.25">
      <c r="B1218" s="24"/>
      <c r="E1218" s="24"/>
      <c r="G1218" s="24"/>
      <c r="H1218" s="24"/>
      <c r="J1218" s="24"/>
      <c r="K1218" s="24"/>
      <c r="M1218" s="24"/>
      <c r="N1218" s="24"/>
      <c r="P1218" s="24"/>
    </row>
    <row r="1219" spans="2:16" x14ac:dyDescent="0.25">
      <c r="B1219" s="24"/>
      <c r="E1219" s="24"/>
      <c r="G1219" s="24"/>
      <c r="H1219" s="24"/>
      <c r="J1219" s="24"/>
      <c r="K1219" s="24"/>
      <c r="M1219" s="24"/>
      <c r="N1219" s="24"/>
      <c r="P1219" s="24"/>
    </row>
    <row r="1220" spans="2:16" x14ac:dyDescent="0.25">
      <c r="B1220" s="24"/>
      <c r="E1220" s="24"/>
      <c r="G1220" s="24"/>
      <c r="H1220" s="24"/>
      <c r="J1220" s="24"/>
      <c r="K1220" s="24"/>
      <c r="M1220" s="24"/>
      <c r="N1220" s="24"/>
      <c r="P1220" s="24"/>
    </row>
    <row r="1221" spans="2:16" x14ac:dyDescent="0.25">
      <c r="B1221" s="24"/>
      <c r="E1221" s="24"/>
      <c r="G1221" s="24"/>
      <c r="H1221" s="24"/>
      <c r="J1221" s="24"/>
      <c r="K1221" s="24"/>
      <c r="M1221" s="24"/>
      <c r="N1221" s="24"/>
      <c r="P1221" s="24"/>
    </row>
    <row r="1222" spans="2:16" x14ac:dyDescent="0.25">
      <c r="B1222" s="24"/>
      <c r="E1222" s="24"/>
      <c r="G1222" s="24"/>
      <c r="H1222" s="24"/>
      <c r="J1222" s="24"/>
      <c r="K1222" s="24"/>
      <c r="M1222" s="24"/>
      <c r="N1222" s="24"/>
      <c r="P1222" s="24"/>
    </row>
    <row r="1223" spans="2:16" x14ac:dyDescent="0.25">
      <c r="B1223" s="24"/>
      <c r="E1223" s="24"/>
      <c r="G1223" s="24"/>
      <c r="H1223" s="24"/>
      <c r="J1223" s="24"/>
      <c r="K1223" s="24"/>
      <c r="M1223" s="24"/>
      <c r="N1223" s="24"/>
      <c r="P1223" s="24"/>
    </row>
    <row r="1224" spans="2:16" x14ac:dyDescent="0.25">
      <c r="B1224" s="24"/>
      <c r="E1224" s="24"/>
      <c r="G1224" s="24"/>
      <c r="H1224" s="24"/>
      <c r="J1224" s="24"/>
      <c r="K1224" s="24"/>
      <c r="M1224" s="24"/>
      <c r="N1224" s="24"/>
      <c r="P1224" s="24"/>
    </row>
    <row r="1225" spans="2:16" x14ac:dyDescent="0.25">
      <c r="B1225" s="24"/>
      <c r="E1225" s="24"/>
      <c r="G1225" s="24"/>
      <c r="H1225" s="24"/>
      <c r="J1225" s="24"/>
      <c r="K1225" s="24"/>
      <c r="M1225" s="24"/>
      <c r="N1225" s="24"/>
      <c r="P1225" s="24"/>
    </row>
    <row r="1226" spans="2:16" x14ac:dyDescent="0.25">
      <c r="B1226" s="24"/>
      <c r="E1226" s="24"/>
      <c r="G1226" s="24"/>
      <c r="H1226" s="24"/>
      <c r="J1226" s="24"/>
      <c r="K1226" s="24"/>
      <c r="M1226" s="24"/>
      <c r="N1226" s="24"/>
      <c r="P1226" s="24"/>
    </row>
    <row r="1227" spans="2:16" x14ac:dyDescent="0.25">
      <c r="B1227" s="24"/>
      <c r="E1227" s="24"/>
      <c r="G1227" s="24"/>
      <c r="H1227" s="24"/>
      <c r="J1227" s="24"/>
      <c r="K1227" s="24"/>
      <c r="M1227" s="24"/>
      <c r="N1227" s="24"/>
      <c r="P1227" s="24"/>
    </row>
    <row r="1228" spans="2:16" x14ac:dyDescent="0.25">
      <c r="B1228" s="24"/>
      <c r="E1228" s="24"/>
      <c r="G1228" s="24"/>
      <c r="H1228" s="24"/>
      <c r="J1228" s="24"/>
      <c r="K1228" s="24"/>
      <c r="M1228" s="24"/>
      <c r="N1228" s="24"/>
      <c r="P1228" s="24"/>
    </row>
    <row r="1229" spans="2:16" x14ac:dyDescent="0.25">
      <c r="B1229" s="24"/>
      <c r="E1229" s="24"/>
      <c r="G1229" s="24"/>
      <c r="H1229" s="24"/>
      <c r="J1229" s="24"/>
      <c r="K1229" s="24"/>
      <c r="M1229" s="24"/>
      <c r="N1229" s="24"/>
      <c r="P1229" s="24"/>
    </row>
    <row r="1230" spans="2:16" x14ac:dyDescent="0.25">
      <c r="B1230" s="24"/>
      <c r="E1230" s="24"/>
      <c r="G1230" s="24"/>
      <c r="H1230" s="24"/>
      <c r="J1230" s="24"/>
      <c r="K1230" s="24"/>
      <c r="M1230" s="24"/>
      <c r="N1230" s="24"/>
      <c r="P1230" s="24"/>
    </row>
    <row r="1231" spans="2:16" x14ac:dyDescent="0.25">
      <c r="B1231" s="24"/>
      <c r="E1231" s="24"/>
      <c r="G1231" s="24"/>
      <c r="H1231" s="24"/>
      <c r="J1231" s="24"/>
      <c r="K1231" s="24"/>
      <c r="M1231" s="24"/>
      <c r="N1231" s="24"/>
      <c r="P1231" s="24"/>
    </row>
    <row r="1232" spans="2:16" x14ac:dyDescent="0.25">
      <c r="B1232" s="24"/>
      <c r="E1232" s="24"/>
      <c r="G1232" s="24"/>
      <c r="H1232" s="24"/>
      <c r="J1232" s="24"/>
      <c r="K1232" s="24"/>
      <c r="M1232" s="24"/>
      <c r="N1232" s="24"/>
      <c r="P1232" s="24"/>
    </row>
    <row r="1233" spans="2:16" x14ac:dyDescent="0.25">
      <c r="B1233" s="24"/>
      <c r="E1233" s="24"/>
      <c r="G1233" s="24"/>
      <c r="H1233" s="24"/>
      <c r="J1233" s="24"/>
      <c r="K1233" s="24"/>
      <c r="M1233" s="24"/>
      <c r="N1233" s="24"/>
      <c r="P1233" s="24"/>
    </row>
    <row r="1234" spans="2:16" x14ac:dyDescent="0.25">
      <c r="B1234" s="24"/>
      <c r="E1234" s="24"/>
      <c r="G1234" s="24"/>
      <c r="H1234" s="24"/>
      <c r="J1234" s="24"/>
      <c r="K1234" s="24"/>
      <c r="M1234" s="24"/>
      <c r="N1234" s="24"/>
      <c r="P1234" s="24"/>
    </row>
    <row r="1235" spans="2:16" x14ac:dyDescent="0.25">
      <c r="B1235" s="24"/>
      <c r="E1235" s="24"/>
      <c r="G1235" s="24"/>
      <c r="H1235" s="24"/>
      <c r="J1235" s="24"/>
      <c r="K1235" s="24"/>
      <c r="M1235" s="24"/>
      <c r="N1235" s="24"/>
      <c r="P1235" s="24"/>
    </row>
    <row r="1236" spans="2:16" x14ac:dyDescent="0.25">
      <c r="B1236" s="24"/>
      <c r="E1236" s="24"/>
      <c r="G1236" s="24"/>
      <c r="H1236" s="24"/>
      <c r="J1236" s="24"/>
      <c r="K1236" s="24"/>
      <c r="M1236" s="24"/>
      <c r="N1236" s="24"/>
      <c r="P1236" s="24"/>
    </row>
    <row r="1237" spans="2:16" x14ac:dyDescent="0.25">
      <c r="B1237" s="24"/>
      <c r="E1237" s="24"/>
      <c r="G1237" s="24"/>
      <c r="H1237" s="24"/>
      <c r="J1237" s="24"/>
      <c r="K1237" s="24"/>
      <c r="M1237" s="24"/>
      <c r="N1237" s="24"/>
      <c r="P1237" s="24"/>
    </row>
    <row r="1238" spans="2:16" x14ac:dyDescent="0.25">
      <c r="B1238" s="24"/>
      <c r="E1238" s="24"/>
      <c r="G1238" s="24"/>
      <c r="H1238" s="24"/>
      <c r="J1238" s="24"/>
      <c r="K1238" s="24"/>
      <c r="M1238" s="24"/>
      <c r="N1238" s="24"/>
      <c r="P1238" s="24"/>
    </row>
    <row r="1239" spans="2:16" x14ac:dyDescent="0.25">
      <c r="B1239" s="24"/>
      <c r="E1239" s="24"/>
      <c r="G1239" s="24"/>
      <c r="H1239" s="24"/>
      <c r="J1239" s="24"/>
      <c r="K1239" s="24"/>
      <c r="M1239" s="24"/>
      <c r="N1239" s="24"/>
      <c r="P1239" s="24"/>
    </row>
    <row r="1240" spans="2:16" x14ac:dyDescent="0.25">
      <c r="B1240" s="24"/>
      <c r="E1240" s="24"/>
      <c r="G1240" s="24"/>
      <c r="H1240" s="24"/>
      <c r="J1240" s="24"/>
      <c r="K1240" s="24"/>
      <c r="M1240" s="24"/>
      <c r="N1240" s="24"/>
      <c r="P1240" s="24"/>
    </row>
    <row r="1241" spans="2:16" x14ac:dyDescent="0.25">
      <c r="B1241" s="24"/>
      <c r="E1241" s="24"/>
      <c r="G1241" s="24"/>
      <c r="H1241" s="24"/>
      <c r="J1241" s="24"/>
      <c r="K1241" s="24"/>
      <c r="M1241" s="24"/>
      <c r="N1241" s="24"/>
      <c r="P1241" s="24"/>
    </row>
    <row r="1242" spans="2:16" x14ac:dyDescent="0.25">
      <c r="B1242" s="24"/>
      <c r="E1242" s="24"/>
      <c r="G1242" s="24"/>
      <c r="H1242" s="24"/>
      <c r="J1242" s="24"/>
      <c r="K1242" s="24"/>
      <c r="M1242" s="24"/>
      <c r="N1242" s="24"/>
      <c r="P1242" s="24"/>
    </row>
    <row r="1243" spans="2:16" x14ac:dyDescent="0.25">
      <c r="B1243" s="24"/>
      <c r="E1243" s="24"/>
      <c r="G1243" s="24"/>
      <c r="H1243" s="24"/>
      <c r="J1243" s="24"/>
      <c r="K1243" s="24"/>
      <c r="M1243" s="24"/>
      <c r="N1243" s="24"/>
      <c r="P1243" s="24"/>
    </row>
    <row r="1244" spans="2:16" x14ac:dyDescent="0.25">
      <c r="B1244" s="24"/>
      <c r="E1244" s="24"/>
      <c r="G1244" s="24"/>
      <c r="H1244" s="24"/>
      <c r="J1244" s="24"/>
      <c r="K1244" s="24"/>
      <c r="M1244" s="24"/>
      <c r="N1244" s="24"/>
      <c r="P1244" s="24"/>
    </row>
    <row r="1245" spans="2:16" x14ac:dyDescent="0.25">
      <c r="B1245" s="24"/>
      <c r="E1245" s="24"/>
      <c r="G1245" s="24"/>
      <c r="H1245" s="24"/>
      <c r="J1245" s="24"/>
      <c r="K1245" s="24"/>
      <c r="M1245" s="24"/>
      <c r="N1245" s="24"/>
      <c r="P1245" s="24"/>
    </row>
    <row r="1246" spans="2:16" x14ac:dyDescent="0.25">
      <c r="B1246" s="24"/>
      <c r="E1246" s="24"/>
      <c r="G1246" s="24"/>
      <c r="H1246" s="24"/>
      <c r="J1246" s="24"/>
      <c r="K1246" s="24"/>
      <c r="M1246" s="24"/>
      <c r="N1246" s="24"/>
      <c r="P1246" s="24"/>
    </row>
    <row r="1247" spans="2:16" x14ac:dyDescent="0.25">
      <c r="B1247" s="24"/>
      <c r="E1247" s="24"/>
      <c r="G1247" s="24"/>
      <c r="H1247" s="24"/>
      <c r="J1247" s="24"/>
      <c r="K1247" s="24"/>
      <c r="M1247" s="24"/>
      <c r="N1247" s="24"/>
      <c r="P1247" s="24"/>
    </row>
    <row r="1248" spans="2:16" x14ac:dyDescent="0.25">
      <c r="B1248" s="24"/>
      <c r="E1248" s="24"/>
      <c r="G1248" s="24"/>
      <c r="H1248" s="24"/>
      <c r="J1248" s="24"/>
      <c r="K1248" s="24"/>
      <c r="M1248" s="24"/>
      <c r="N1248" s="24"/>
      <c r="P1248" s="24"/>
    </row>
    <row r="1249" spans="2:16" x14ac:dyDescent="0.25">
      <c r="B1249" s="24"/>
      <c r="E1249" s="24"/>
      <c r="G1249" s="24"/>
      <c r="H1249" s="24"/>
      <c r="J1249" s="24"/>
      <c r="K1249" s="24"/>
      <c r="M1249" s="24"/>
      <c r="N1249" s="24"/>
      <c r="P1249" s="24"/>
    </row>
    <row r="1250" spans="2:16" x14ac:dyDescent="0.25">
      <c r="B1250" s="24"/>
      <c r="E1250" s="24"/>
      <c r="G1250" s="24"/>
      <c r="H1250" s="24"/>
      <c r="J1250" s="24"/>
      <c r="K1250" s="24"/>
      <c r="M1250" s="24"/>
      <c r="N1250" s="24"/>
      <c r="P1250" s="24"/>
    </row>
    <row r="1251" spans="2:16" x14ac:dyDescent="0.25">
      <c r="B1251" s="24"/>
      <c r="E1251" s="24"/>
      <c r="G1251" s="24"/>
      <c r="H1251" s="24"/>
      <c r="J1251" s="24"/>
      <c r="K1251" s="24"/>
      <c r="M1251" s="24"/>
      <c r="N1251" s="24"/>
      <c r="P1251" s="24"/>
    </row>
    <row r="1252" spans="2:16" x14ac:dyDescent="0.25">
      <c r="B1252" s="24"/>
      <c r="E1252" s="24"/>
      <c r="G1252" s="24"/>
      <c r="H1252" s="24"/>
      <c r="J1252" s="24"/>
      <c r="K1252" s="24"/>
      <c r="M1252" s="24"/>
      <c r="N1252" s="24"/>
      <c r="P1252" s="24"/>
    </row>
    <row r="1253" spans="2:16" x14ac:dyDescent="0.25">
      <c r="B1253" s="24"/>
      <c r="E1253" s="24"/>
      <c r="G1253" s="24"/>
      <c r="H1253" s="24"/>
      <c r="J1253" s="24"/>
      <c r="K1253" s="24"/>
      <c r="M1253" s="24"/>
      <c r="N1253" s="24"/>
      <c r="P1253" s="24"/>
    </row>
    <row r="1254" spans="2:16" x14ac:dyDescent="0.25">
      <c r="B1254" s="24"/>
      <c r="E1254" s="24"/>
      <c r="G1254" s="24"/>
      <c r="H1254" s="24"/>
      <c r="J1254" s="24"/>
      <c r="K1254" s="24"/>
      <c r="M1254" s="24"/>
      <c r="N1254" s="24"/>
      <c r="P1254" s="24"/>
    </row>
    <row r="1255" spans="2:16" x14ac:dyDescent="0.25">
      <c r="B1255" s="24"/>
      <c r="E1255" s="24"/>
      <c r="G1255" s="24"/>
      <c r="H1255" s="24"/>
      <c r="J1255" s="24"/>
      <c r="K1255" s="24"/>
      <c r="M1255" s="24"/>
      <c r="N1255" s="24"/>
      <c r="P1255" s="24"/>
    </row>
    <row r="1256" spans="2:16" x14ac:dyDescent="0.25">
      <c r="B1256" s="24"/>
      <c r="E1256" s="24"/>
      <c r="G1256" s="24"/>
      <c r="H1256" s="24"/>
      <c r="J1256" s="24"/>
      <c r="K1256" s="24"/>
      <c r="M1256" s="24"/>
      <c r="N1256" s="24"/>
      <c r="P1256" s="24"/>
    </row>
    <row r="1257" spans="2:16" x14ac:dyDescent="0.25">
      <c r="B1257" s="24"/>
      <c r="E1257" s="24"/>
      <c r="G1257" s="24"/>
      <c r="H1257" s="24"/>
      <c r="J1257" s="24"/>
      <c r="K1257" s="24"/>
      <c r="M1257" s="24"/>
      <c r="N1257" s="24"/>
      <c r="P1257" s="24"/>
    </row>
    <row r="1258" spans="2:16" x14ac:dyDescent="0.25">
      <c r="B1258" s="24"/>
      <c r="E1258" s="24"/>
      <c r="G1258" s="24"/>
      <c r="H1258" s="24"/>
      <c r="J1258" s="24"/>
      <c r="K1258" s="24"/>
      <c r="M1258" s="24"/>
      <c r="N1258" s="24"/>
      <c r="P1258" s="24"/>
    </row>
    <row r="1259" spans="2:16" x14ac:dyDescent="0.25">
      <c r="B1259" s="24"/>
      <c r="E1259" s="24"/>
      <c r="G1259" s="24"/>
      <c r="H1259" s="24"/>
      <c r="J1259" s="24"/>
      <c r="K1259" s="24"/>
      <c r="M1259" s="24"/>
      <c r="N1259" s="24"/>
      <c r="P1259" s="24"/>
    </row>
    <row r="1260" spans="2:16" x14ac:dyDescent="0.25">
      <c r="B1260" s="24"/>
      <c r="E1260" s="24"/>
      <c r="G1260" s="24"/>
      <c r="H1260" s="24"/>
      <c r="J1260" s="24"/>
      <c r="K1260" s="24"/>
      <c r="M1260" s="24"/>
      <c r="N1260" s="24"/>
      <c r="P1260" s="24"/>
    </row>
    <row r="1261" spans="2:16" x14ac:dyDescent="0.25">
      <c r="B1261" s="24"/>
      <c r="E1261" s="24"/>
      <c r="G1261" s="24"/>
      <c r="H1261" s="24"/>
      <c r="J1261" s="24"/>
      <c r="K1261" s="24"/>
      <c r="M1261" s="24"/>
      <c r="N1261" s="24"/>
      <c r="P1261" s="24"/>
    </row>
    <row r="1262" spans="2:16" x14ac:dyDescent="0.25">
      <c r="B1262" s="24"/>
      <c r="E1262" s="24"/>
      <c r="G1262" s="24"/>
      <c r="H1262" s="24"/>
      <c r="J1262" s="24"/>
      <c r="K1262" s="24"/>
      <c r="M1262" s="24"/>
      <c r="N1262" s="24"/>
      <c r="P1262" s="24"/>
    </row>
    <row r="1263" spans="2:16" x14ac:dyDescent="0.25">
      <c r="B1263" s="24"/>
      <c r="E1263" s="24"/>
      <c r="G1263" s="24"/>
      <c r="H1263" s="24"/>
      <c r="J1263" s="24"/>
      <c r="K1263" s="24"/>
      <c r="M1263" s="24"/>
      <c r="N1263" s="24"/>
      <c r="P1263" s="24"/>
    </row>
    <row r="1264" spans="2:16" x14ac:dyDescent="0.25">
      <c r="B1264" s="24"/>
      <c r="E1264" s="24"/>
      <c r="G1264" s="24"/>
      <c r="H1264" s="24"/>
      <c r="J1264" s="24"/>
      <c r="K1264" s="24"/>
      <c r="M1264" s="24"/>
      <c r="N1264" s="24"/>
      <c r="P1264" s="24"/>
    </row>
    <row r="1265" spans="2:16" x14ac:dyDescent="0.25">
      <c r="B1265" s="24"/>
      <c r="E1265" s="24"/>
      <c r="G1265" s="24"/>
      <c r="H1265" s="24"/>
      <c r="J1265" s="24"/>
      <c r="K1265" s="24"/>
      <c r="M1265" s="24"/>
      <c r="N1265" s="24"/>
      <c r="P1265" s="24"/>
    </row>
    <row r="1266" spans="2:16" x14ac:dyDescent="0.25">
      <c r="B1266" s="24"/>
      <c r="E1266" s="24"/>
      <c r="G1266" s="24"/>
      <c r="H1266" s="24"/>
      <c r="J1266" s="24"/>
      <c r="K1266" s="24"/>
      <c r="M1266" s="24"/>
      <c r="N1266" s="24"/>
      <c r="P1266" s="24"/>
    </row>
    <row r="1267" spans="2:16" x14ac:dyDescent="0.25">
      <c r="B1267" s="24"/>
      <c r="E1267" s="24"/>
      <c r="G1267" s="24"/>
      <c r="H1267" s="24"/>
      <c r="J1267" s="24"/>
      <c r="K1267" s="24"/>
      <c r="M1267" s="24"/>
      <c r="N1267" s="24"/>
      <c r="P1267" s="24"/>
    </row>
    <row r="1268" spans="2:16" x14ac:dyDescent="0.25">
      <c r="B1268" s="24"/>
      <c r="E1268" s="24"/>
      <c r="G1268" s="24"/>
      <c r="H1268" s="24"/>
      <c r="J1268" s="24"/>
      <c r="K1268" s="24"/>
      <c r="M1268" s="24"/>
      <c r="N1268" s="24"/>
      <c r="P1268" s="24"/>
    </row>
    <row r="1269" spans="2:16" x14ac:dyDescent="0.25">
      <c r="B1269" s="24"/>
      <c r="E1269" s="24"/>
      <c r="G1269" s="24"/>
      <c r="H1269" s="24"/>
      <c r="J1269" s="24"/>
      <c r="K1269" s="24"/>
      <c r="M1269" s="24"/>
      <c r="N1269" s="24"/>
      <c r="P1269" s="24"/>
    </row>
    <row r="1270" spans="2:16" x14ac:dyDescent="0.25">
      <c r="B1270" s="24"/>
      <c r="E1270" s="24"/>
      <c r="G1270" s="24"/>
      <c r="H1270" s="24"/>
      <c r="J1270" s="24"/>
      <c r="K1270" s="24"/>
      <c r="M1270" s="24"/>
      <c r="N1270" s="24"/>
      <c r="P1270" s="24"/>
    </row>
    <row r="1271" spans="2:16" x14ac:dyDescent="0.25">
      <c r="B1271" s="24"/>
      <c r="E1271" s="24"/>
      <c r="G1271" s="24"/>
      <c r="H1271" s="24"/>
      <c r="J1271" s="24"/>
      <c r="K1271" s="24"/>
      <c r="M1271" s="24"/>
      <c r="N1271" s="24"/>
      <c r="P1271" s="24"/>
    </row>
    <row r="1272" spans="2:16" x14ac:dyDescent="0.25">
      <c r="B1272" s="24"/>
      <c r="E1272" s="24"/>
      <c r="G1272" s="24"/>
      <c r="H1272" s="24"/>
      <c r="J1272" s="24"/>
      <c r="K1272" s="24"/>
      <c r="M1272" s="24"/>
      <c r="N1272" s="24"/>
      <c r="P1272" s="24"/>
    </row>
    <row r="1273" spans="2:16" x14ac:dyDescent="0.25">
      <c r="B1273" s="24"/>
      <c r="E1273" s="24"/>
      <c r="G1273" s="24"/>
      <c r="H1273" s="24"/>
      <c r="J1273" s="24"/>
      <c r="K1273" s="24"/>
      <c r="M1273" s="24"/>
      <c r="N1273" s="24"/>
      <c r="P1273" s="24"/>
    </row>
    <row r="1274" spans="2:16" x14ac:dyDescent="0.25">
      <c r="B1274" s="24"/>
      <c r="E1274" s="24"/>
      <c r="G1274" s="24"/>
      <c r="H1274" s="24"/>
      <c r="J1274" s="24"/>
      <c r="K1274" s="24"/>
      <c r="M1274" s="24"/>
      <c r="N1274" s="24"/>
      <c r="P1274" s="24"/>
    </row>
    <row r="1275" spans="2:16" x14ac:dyDescent="0.25">
      <c r="B1275" s="24"/>
      <c r="E1275" s="24"/>
      <c r="G1275" s="24"/>
      <c r="H1275" s="24"/>
      <c r="J1275" s="24"/>
      <c r="K1275" s="24"/>
      <c r="M1275" s="24"/>
      <c r="N1275" s="24"/>
      <c r="P1275" s="24"/>
    </row>
    <row r="1276" spans="2:16" x14ac:dyDescent="0.25">
      <c r="B1276" s="24"/>
      <c r="E1276" s="24"/>
      <c r="G1276" s="24"/>
      <c r="H1276" s="24"/>
      <c r="J1276" s="24"/>
      <c r="K1276" s="24"/>
      <c r="M1276" s="24"/>
      <c r="N1276" s="24"/>
      <c r="P1276" s="24"/>
    </row>
    <row r="1277" spans="2:16" x14ac:dyDescent="0.25">
      <c r="B1277" s="24"/>
      <c r="E1277" s="24"/>
      <c r="G1277" s="24"/>
      <c r="H1277" s="24"/>
      <c r="J1277" s="24"/>
      <c r="K1277" s="24"/>
      <c r="M1277" s="24"/>
      <c r="N1277" s="24"/>
      <c r="P1277" s="24"/>
    </row>
    <row r="1278" spans="2:16" x14ac:dyDescent="0.25">
      <c r="B1278" s="24"/>
      <c r="E1278" s="24"/>
      <c r="G1278" s="24"/>
      <c r="H1278" s="24"/>
      <c r="J1278" s="24"/>
      <c r="K1278" s="24"/>
      <c r="M1278" s="24"/>
      <c r="N1278" s="24"/>
      <c r="P1278" s="24"/>
    </row>
    <row r="1279" spans="2:16" x14ac:dyDescent="0.25">
      <c r="B1279" s="24"/>
      <c r="E1279" s="24"/>
      <c r="G1279" s="24"/>
      <c r="H1279" s="24"/>
      <c r="J1279" s="24"/>
      <c r="K1279" s="24"/>
      <c r="M1279" s="24"/>
      <c r="N1279" s="24"/>
      <c r="P1279" s="24"/>
    </row>
    <row r="1280" spans="2:16" x14ac:dyDescent="0.25">
      <c r="B1280" s="24"/>
      <c r="E1280" s="24"/>
      <c r="G1280" s="24"/>
      <c r="H1280" s="24"/>
      <c r="J1280" s="24"/>
      <c r="K1280" s="24"/>
      <c r="M1280" s="24"/>
      <c r="N1280" s="24"/>
      <c r="P1280" s="24"/>
    </row>
    <row r="1281" spans="2:16" x14ac:dyDescent="0.25">
      <c r="B1281" s="24"/>
      <c r="E1281" s="24"/>
      <c r="G1281" s="24"/>
      <c r="H1281" s="24"/>
      <c r="J1281" s="24"/>
      <c r="K1281" s="24"/>
      <c r="M1281" s="24"/>
      <c r="N1281" s="24"/>
      <c r="P1281" s="24"/>
    </row>
    <row r="1282" spans="2:16" x14ac:dyDescent="0.25">
      <c r="B1282" s="24"/>
      <c r="E1282" s="24"/>
      <c r="G1282" s="24"/>
      <c r="H1282" s="24"/>
      <c r="J1282" s="24"/>
      <c r="K1282" s="24"/>
      <c r="M1282" s="24"/>
      <c r="N1282" s="24"/>
      <c r="P1282" s="24"/>
    </row>
    <row r="1283" spans="2:16" x14ac:dyDescent="0.25">
      <c r="B1283" s="24"/>
      <c r="E1283" s="24"/>
      <c r="G1283" s="24"/>
      <c r="H1283" s="24"/>
      <c r="J1283" s="24"/>
      <c r="K1283" s="24"/>
      <c r="M1283" s="24"/>
      <c r="N1283" s="24"/>
      <c r="P1283" s="24"/>
    </row>
    <row r="1284" spans="2:16" x14ac:dyDescent="0.25">
      <c r="B1284" s="24"/>
      <c r="E1284" s="24"/>
      <c r="G1284" s="24"/>
      <c r="H1284" s="24"/>
      <c r="J1284" s="24"/>
      <c r="K1284" s="24"/>
      <c r="M1284" s="24"/>
      <c r="N1284" s="24"/>
      <c r="P1284" s="24"/>
    </row>
    <row r="1285" spans="2:16" x14ac:dyDescent="0.25">
      <c r="B1285" s="24"/>
      <c r="E1285" s="24"/>
      <c r="G1285" s="24"/>
      <c r="H1285" s="24"/>
      <c r="J1285" s="24"/>
      <c r="K1285" s="24"/>
      <c r="M1285" s="24"/>
      <c r="N1285" s="24"/>
      <c r="P1285" s="24"/>
    </row>
    <row r="1286" spans="2:16" x14ac:dyDescent="0.25">
      <c r="B1286" s="24"/>
      <c r="E1286" s="24"/>
      <c r="G1286" s="24"/>
      <c r="H1286" s="24"/>
      <c r="J1286" s="24"/>
      <c r="K1286" s="24"/>
      <c r="M1286" s="24"/>
      <c r="N1286" s="24"/>
      <c r="P1286" s="24"/>
    </row>
    <row r="1287" spans="2:16" x14ac:dyDescent="0.25">
      <c r="B1287" s="24"/>
      <c r="E1287" s="24"/>
      <c r="G1287" s="24"/>
      <c r="H1287" s="24"/>
      <c r="J1287" s="24"/>
      <c r="K1287" s="24"/>
      <c r="M1287" s="24"/>
      <c r="N1287" s="24"/>
      <c r="P1287" s="24"/>
    </row>
    <row r="1288" spans="2:16" x14ac:dyDescent="0.25">
      <c r="B1288" s="24"/>
      <c r="E1288" s="24"/>
      <c r="G1288" s="24"/>
      <c r="H1288" s="24"/>
      <c r="J1288" s="24"/>
      <c r="K1288" s="24"/>
      <c r="M1288" s="24"/>
      <c r="N1288" s="24"/>
      <c r="P1288" s="24"/>
    </row>
    <row r="1289" spans="2:16" x14ac:dyDescent="0.25">
      <c r="B1289" s="24"/>
      <c r="E1289" s="24"/>
      <c r="G1289" s="24"/>
      <c r="H1289" s="24"/>
      <c r="J1289" s="24"/>
      <c r="K1289" s="24"/>
      <c r="M1289" s="24"/>
      <c r="N1289" s="24"/>
      <c r="P1289" s="24"/>
    </row>
    <row r="1290" spans="2:16" x14ac:dyDescent="0.25">
      <c r="B1290" s="24"/>
      <c r="E1290" s="24"/>
      <c r="G1290" s="24"/>
      <c r="H1290" s="24"/>
      <c r="J1290" s="24"/>
      <c r="K1290" s="24"/>
      <c r="M1290" s="24"/>
      <c r="N1290" s="24"/>
      <c r="P1290" s="24"/>
    </row>
    <row r="1291" spans="2:16" x14ac:dyDescent="0.25">
      <c r="B1291" s="24"/>
      <c r="E1291" s="24"/>
      <c r="G1291" s="24"/>
      <c r="H1291" s="24"/>
      <c r="J1291" s="24"/>
      <c r="K1291" s="24"/>
      <c r="M1291" s="24"/>
      <c r="N1291" s="24"/>
      <c r="P1291" s="24"/>
    </row>
    <row r="1292" spans="2:16" x14ac:dyDescent="0.25">
      <c r="B1292" s="24"/>
      <c r="E1292" s="24"/>
      <c r="G1292" s="24"/>
      <c r="H1292" s="24"/>
      <c r="J1292" s="24"/>
      <c r="K1292" s="24"/>
      <c r="M1292" s="24"/>
      <c r="N1292" s="24"/>
      <c r="P1292" s="24"/>
    </row>
    <row r="1293" spans="2:16" x14ac:dyDescent="0.25">
      <c r="B1293" s="24"/>
      <c r="E1293" s="24"/>
      <c r="G1293" s="24"/>
      <c r="H1293" s="24"/>
      <c r="J1293" s="24"/>
      <c r="K1293" s="24"/>
      <c r="M1293" s="24"/>
      <c r="N1293" s="24"/>
      <c r="P1293" s="24"/>
    </row>
    <row r="1294" spans="2:16" x14ac:dyDescent="0.25">
      <c r="B1294" s="24"/>
      <c r="E1294" s="24"/>
      <c r="G1294" s="24"/>
      <c r="H1294" s="24"/>
      <c r="J1294" s="24"/>
      <c r="K1294" s="24"/>
      <c r="M1294" s="24"/>
      <c r="N1294" s="24"/>
      <c r="P1294" s="24"/>
    </row>
    <row r="1295" spans="2:16" x14ac:dyDescent="0.25">
      <c r="B1295" s="24"/>
      <c r="E1295" s="24"/>
      <c r="G1295" s="24"/>
      <c r="H1295" s="24"/>
      <c r="J1295" s="24"/>
      <c r="K1295" s="24"/>
      <c r="M1295" s="24"/>
      <c r="N1295" s="24"/>
      <c r="P1295" s="24"/>
    </row>
    <row r="1296" spans="2:16" x14ac:dyDescent="0.25">
      <c r="B1296" s="24"/>
      <c r="E1296" s="24"/>
      <c r="G1296" s="24"/>
      <c r="H1296" s="24"/>
      <c r="J1296" s="24"/>
      <c r="K1296" s="24"/>
      <c r="M1296" s="24"/>
      <c r="N1296" s="24"/>
      <c r="P1296" s="24"/>
    </row>
    <row r="1297" spans="2:16" x14ac:dyDescent="0.25">
      <c r="B1297" s="24"/>
      <c r="E1297" s="24"/>
      <c r="G1297" s="24"/>
      <c r="H1297" s="24"/>
      <c r="J1297" s="24"/>
      <c r="K1297" s="24"/>
      <c r="M1297" s="24"/>
      <c r="N1297" s="24"/>
      <c r="P1297" s="24"/>
    </row>
    <row r="1298" spans="2:16" x14ac:dyDescent="0.25">
      <c r="B1298" s="24"/>
      <c r="E1298" s="24"/>
      <c r="G1298" s="24"/>
      <c r="H1298" s="24"/>
      <c r="J1298" s="24"/>
      <c r="K1298" s="24"/>
      <c r="M1298" s="24"/>
      <c r="N1298" s="24"/>
      <c r="P1298" s="24"/>
    </row>
    <row r="1299" spans="2:16" x14ac:dyDescent="0.25">
      <c r="B1299" s="24"/>
      <c r="E1299" s="24"/>
      <c r="G1299" s="24"/>
      <c r="H1299" s="24"/>
      <c r="J1299" s="24"/>
      <c r="K1299" s="24"/>
      <c r="M1299" s="24"/>
      <c r="N1299" s="24"/>
      <c r="P1299" s="24"/>
    </row>
    <row r="1300" spans="2:16" x14ac:dyDescent="0.25">
      <c r="B1300" s="24"/>
      <c r="E1300" s="24"/>
      <c r="G1300" s="24"/>
      <c r="H1300" s="24"/>
      <c r="J1300" s="24"/>
      <c r="K1300" s="24"/>
      <c r="M1300" s="24"/>
      <c r="N1300" s="24"/>
      <c r="P1300" s="24"/>
    </row>
    <row r="1301" spans="2:16" x14ac:dyDescent="0.25">
      <c r="B1301" s="24"/>
      <c r="E1301" s="24"/>
      <c r="G1301" s="24"/>
      <c r="H1301" s="24"/>
      <c r="J1301" s="24"/>
      <c r="K1301" s="24"/>
      <c r="M1301" s="24"/>
      <c r="N1301" s="24"/>
      <c r="P1301" s="24"/>
    </row>
    <row r="1302" spans="2:16" x14ac:dyDescent="0.25">
      <c r="B1302" s="24"/>
      <c r="E1302" s="24"/>
      <c r="G1302" s="24"/>
      <c r="H1302" s="24"/>
      <c r="J1302" s="24"/>
      <c r="K1302" s="24"/>
      <c r="M1302" s="24"/>
      <c r="N1302" s="24"/>
      <c r="P1302" s="24"/>
    </row>
    <row r="1303" spans="2:16" x14ac:dyDescent="0.25">
      <c r="B1303" s="24"/>
      <c r="E1303" s="24"/>
      <c r="G1303" s="24"/>
      <c r="H1303" s="24"/>
      <c r="J1303" s="24"/>
      <c r="K1303" s="24"/>
      <c r="M1303" s="24"/>
      <c r="N1303" s="24"/>
      <c r="P1303" s="24"/>
    </row>
    <row r="1304" spans="2:16" x14ac:dyDescent="0.25">
      <c r="B1304" s="24"/>
      <c r="E1304" s="24"/>
      <c r="G1304" s="24"/>
      <c r="H1304" s="24"/>
      <c r="J1304" s="24"/>
      <c r="K1304" s="24"/>
      <c r="M1304" s="24"/>
      <c r="N1304" s="24"/>
      <c r="P1304" s="24"/>
    </row>
    <row r="1305" spans="2:16" x14ac:dyDescent="0.25">
      <c r="B1305" s="24"/>
      <c r="E1305" s="24"/>
      <c r="G1305" s="24"/>
      <c r="H1305" s="24"/>
      <c r="J1305" s="24"/>
      <c r="K1305" s="24"/>
      <c r="M1305" s="24"/>
      <c r="N1305" s="24"/>
      <c r="P1305" s="24"/>
    </row>
    <row r="1306" spans="2:16" x14ac:dyDescent="0.25">
      <c r="B1306" s="24"/>
      <c r="E1306" s="24"/>
      <c r="G1306" s="24"/>
      <c r="H1306" s="24"/>
      <c r="J1306" s="24"/>
      <c r="K1306" s="24"/>
      <c r="M1306" s="24"/>
      <c r="N1306" s="24"/>
      <c r="P1306" s="24"/>
    </row>
    <row r="1307" spans="2:16" x14ac:dyDescent="0.25">
      <c r="B1307" s="24"/>
      <c r="E1307" s="24"/>
      <c r="G1307" s="24"/>
      <c r="H1307" s="24"/>
      <c r="J1307" s="24"/>
      <c r="K1307" s="24"/>
      <c r="M1307" s="24"/>
      <c r="N1307" s="24"/>
      <c r="P1307" s="24"/>
    </row>
    <row r="1308" spans="2:16" x14ac:dyDescent="0.25">
      <c r="B1308" s="24"/>
      <c r="E1308" s="24"/>
      <c r="G1308" s="24"/>
      <c r="H1308" s="24"/>
      <c r="J1308" s="24"/>
      <c r="K1308" s="24"/>
      <c r="M1308" s="24"/>
      <c r="N1308" s="24"/>
      <c r="P1308" s="24"/>
    </row>
    <row r="1309" spans="2:16" x14ac:dyDescent="0.25">
      <c r="B1309" s="24"/>
      <c r="E1309" s="24"/>
      <c r="G1309" s="24"/>
      <c r="H1309" s="24"/>
      <c r="J1309" s="24"/>
      <c r="K1309" s="24"/>
      <c r="M1309" s="24"/>
      <c r="N1309" s="24"/>
      <c r="P1309" s="24"/>
    </row>
    <row r="1310" spans="2:16" x14ac:dyDescent="0.25">
      <c r="B1310" s="24"/>
      <c r="E1310" s="24"/>
      <c r="G1310" s="24"/>
      <c r="H1310" s="24"/>
      <c r="J1310" s="24"/>
      <c r="K1310" s="24"/>
      <c r="M1310" s="24"/>
      <c r="N1310" s="24"/>
      <c r="P1310" s="24"/>
    </row>
    <row r="1311" spans="2:16" x14ac:dyDescent="0.25">
      <c r="B1311" s="24"/>
      <c r="E1311" s="24"/>
      <c r="G1311" s="24"/>
      <c r="H1311" s="24"/>
      <c r="J1311" s="24"/>
      <c r="K1311" s="24"/>
      <c r="M1311" s="24"/>
      <c r="N1311" s="24"/>
      <c r="P1311" s="24"/>
    </row>
    <row r="1312" spans="2:16" x14ac:dyDescent="0.25">
      <c r="B1312" s="24"/>
      <c r="E1312" s="24"/>
      <c r="G1312" s="24"/>
      <c r="H1312" s="24"/>
      <c r="J1312" s="24"/>
      <c r="K1312" s="24"/>
      <c r="M1312" s="24"/>
      <c r="N1312" s="24"/>
      <c r="P1312" s="24"/>
    </row>
    <row r="1313" spans="2:16" x14ac:dyDescent="0.25">
      <c r="B1313" s="24"/>
      <c r="E1313" s="24"/>
      <c r="G1313" s="24"/>
      <c r="H1313" s="24"/>
      <c r="J1313" s="24"/>
      <c r="K1313" s="24"/>
      <c r="M1313" s="24"/>
      <c r="N1313" s="24"/>
      <c r="P1313" s="24"/>
    </row>
    <row r="1314" spans="2:16" x14ac:dyDescent="0.25">
      <c r="B1314" s="24"/>
      <c r="E1314" s="24"/>
      <c r="G1314" s="24"/>
      <c r="H1314" s="24"/>
      <c r="J1314" s="24"/>
      <c r="K1314" s="24"/>
      <c r="M1314" s="24"/>
      <c r="N1314" s="24"/>
      <c r="P1314" s="24"/>
    </row>
    <row r="1315" spans="2:16" x14ac:dyDescent="0.25">
      <c r="B1315" s="24"/>
      <c r="E1315" s="24"/>
      <c r="G1315" s="24"/>
      <c r="H1315" s="24"/>
      <c r="J1315" s="24"/>
      <c r="K1315" s="24"/>
      <c r="M1315" s="24"/>
      <c r="N1315" s="24"/>
      <c r="P1315" s="24"/>
    </row>
    <row r="1316" spans="2:16" x14ac:dyDescent="0.25">
      <c r="B1316" s="24"/>
      <c r="E1316" s="24"/>
      <c r="G1316" s="24"/>
      <c r="H1316" s="24"/>
      <c r="J1316" s="24"/>
      <c r="K1316" s="24"/>
      <c r="M1316" s="24"/>
      <c r="N1316" s="24"/>
      <c r="P1316" s="24"/>
    </row>
    <row r="1317" spans="2:16" x14ac:dyDescent="0.25">
      <c r="B1317" s="24"/>
      <c r="E1317" s="24"/>
      <c r="G1317" s="24"/>
      <c r="H1317" s="24"/>
      <c r="J1317" s="24"/>
      <c r="K1317" s="24"/>
      <c r="M1317" s="24"/>
      <c r="N1317" s="24"/>
      <c r="P1317" s="24"/>
    </row>
    <row r="1318" spans="2:16" x14ac:dyDescent="0.25">
      <c r="B1318" s="24"/>
      <c r="E1318" s="24"/>
      <c r="G1318" s="24"/>
      <c r="H1318" s="24"/>
      <c r="J1318" s="24"/>
      <c r="K1318" s="24"/>
      <c r="M1318" s="24"/>
      <c r="N1318" s="24"/>
      <c r="P1318" s="24"/>
    </row>
    <row r="1319" spans="2:16" x14ac:dyDescent="0.25">
      <c r="B1319" s="24"/>
      <c r="E1319" s="24"/>
      <c r="G1319" s="24"/>
      <c r="H1319" s="24"/>
      <c r="J1319" s="24"/>
      <c r="K1319" s="24"/>
      <c r="M1319" s="24"/>
      <c r="N1319" s="24"/>
      <c r="P1319" s="24"/>
    </row>
    <row r="1320" spans="2:16" x14ac:dyDescent="0.25">
      <c r="B1320" s="24"/>
      <c r="E1320" s="24"/>
      <c r="G1320" s="24"/>
      <c r="H1320" s="24"/>
      <c r="J1320" s="24"/>
      <c r="K1320" s="24"/>
      <c r="M1320" s="24"/>
      <c r="N1320" s="24"/>
      <c r="P1320" s="24"/>
    </row>
    <row r="1321" spans="2:16" x14ac:dyDescent="0.25">
      <c r="B1321" s="24"/>
      <c r="E1321" s="24"/>
      <c r="G1321" s="24"/>
      <c r="H1321" s="24"/>
      <c r="J1321" s="24"/>
      <c r="K1321" s="24"/>
      <c r="M1321" s="24"/>
      <c r="N1321" s="24"/>
      <c r="P1321" s="24"/>
    </row>
    <row r="1322" spans="2:16" x14ac:dyDescent="0.25">
      <c r="B1322" s="24"/>
      <c r="E1322" s="24"/>
      <c r="G1322" s="24"/>
      <c r="H1322" s="24"/>
      <c r="J1322" s="24"/>
      <c r="K1322" s="24"/>
      <c r="M1322" s="24"/>
      <c r="N1322" s="24"/>
      <c r="P1322" s="24"/>
    </row>
    <row r="1323" spans="2:16" x14ac:dyDescent="0.25">
      <c r="B1323" s="24"/>
      <c r="E1323" s="24"/>
      <c r="G1323" s="24"/>
      <c r="H1323" s="24"/>
      <c r="J1323" s="24"/>
      <c r="K1323" s="24"/>
      <c r="M1323" s="24"/>
      <c r="N1323" s="24"/>
      <c r="P1323" s="24"/>
    </row>
    <row r="1324" spans="2:16" x14ac:dyDescent="0.25">
      <c r="B1324" s="24"/>
      <c r="E1324" s="24"/>
      <c r="G1324" s="24"/>
      <c r="H1324" s="24"/>
      <c r="J1324" s="24"/>
      <c r="K1324" s="24"/>
      <c r="M1324" s="24"/>
      <c r="N1324" s="24"/>
      <c r="P1324" s="24"/>
    </row>
    <row r="1325" spans="2:16" x14ac:dyDescent="0.25">
      <c r="B1325" s="24"/>
      <c r="E1325" s="24"/>
      <c r="G1325" s="24"/>
      <c r="H1325" s="24"/>
      <c r="J1325" s="24"/>
      <c r="K1325" s="24"/>
      <c r="M1325" s="24"/>
      <c r="N1325" s="24"/>
      <c r="P1325" s="24"/>
    </row>
    <row r="1326" spans="2:16" x14ac:dyDescent="0.25">
      <c r="B1326" s="24"/>
      <c r="E1326" s="24"/>
      <c r="G1326" s="24"/>
      <c r="H1326" s="24"/>
      <c r="J1326" s="24"/>
      <c r="K1326" s="24"/>
      <c r="M1326" s="24"/>
      <c r="N1326" s="24"/>
      <c r="P1326" s="24"/>
    </row>
    <row r="1327" spans="2:16" x14ac:dyDescent="0.25">
      <c r="B1327" s="24"/>
      <c r="E1327" s="24"/>
      <c r="G1327" s="24"/>
      <c r="H1327" s="24"/>
      <c r="J1327" s="24"/>
      <c r="K1327" s="24"/>
      <c r="M1327" s="24"/>
      <c r="N1327" s="24"/>
      <c r="P1327" s="24"/>
    </row>
    <row r="1328" spans="2:16" x14ac:dyDescent="0.25">
      <c r="B1328" s="24"/>
      <c r="E1328" s="24"/>
      <c r="G1328" s="24"/>
      <c r="H1328" s="24"/>
      <c r="J1328" s="24"/>
      <c r="K1328" s="24"/>
      <c r="M1328" s="24"/>
      <c r="N1328" s="24"/>
      <c r="P1328" s="24"/>
    </row>
    <row r="1329" spans="2:16" x14ac:dyDescent="0.25">
      <c r="B1329" s="24"/>
      <c r="E1329" s="24"/>
      <c r="G1329" s="24"/>
      <c r="H1329" s="24"/>
      <c r="J1329" s="24"/>
      <c r="K1329" s="24"/>
      <c r="M1329" s="24"/>
      <c r="N1329" s="24"/>
      <c r="P1329" s="24"/>
    </row>
    <row r="1330" spans="2:16" x14ac:dyDescent="0.25">
      <c r="B1330" s="24"/>
      <c r="E1330" s="24"/>
      <c r="G1330" s="24"/>
      <c r="H1330" s="24"/>
      <c r="J1330" s="24"/>
      <c r="K1330" s="24"/>
      <c r="M1330" s="24"/>
      <c r="N1330" s="24"/>
      <c r="P1330" s="24"/>
    </row>
    <row r="1331" spans="2:16" x14ac:dyDescent="0.25">
      <c r="B1331" s="24"/>
      <c r="E1331" s="24"/>
      <c r="G1331" s="24"/>
      <c r="H1331" s="24"/>
      <c r="J1331" s="24"/>
      <c r="K1331" s="24"/>
      <c r="M1331" s="24"/>
      <c r="N1331" s="24"/>
      <c r="P1331" s="24"/>
    </row>
    <row r="1332" spans="2:16" x14ac:dyDescent="0.25">
      <c r="B1332" s="24"/>
      <c r="E1332" s="24"/>
      <c r="G1332" s="24"/>
      <c r="H1332" s="24"/>
      <c r="J1332" s="24"/>
      <c r="K1332" s="24"/>
      <c r="M1332" s="24"/>
      <c r="N1332" s="24"/>
      <c r="P1332" s="24"/>
    </row>
    <row r="1333" spans="2:16" x14ac:dyDescent="0.25">
      <c r="B1333" s="24"/>
      <c r="E1333" s="24"/>
      <c r="G1333" s="24"/>
      <c r="H1333" s="24"/>
      <c r="J1333" s="24"/>
      <c r="K1333" s="24"/>
      <c r="M1333" s="24"/>
      <c r="N1333" s="24"/>
      <c r="P1333" s="24"/>
    </row>
    <row r="1334" spans="2:16" x14ac:dyDescent="0.25">
      <c r="B1334" s="24"/>
      <c r="E1334" s="24"/>
      <c r="G1334" s="24"/>
      <c r="H1334" s="24"/>
      <c r="J1334" s="24"/>
      <c r="K1334" s="24"/>
      <c r="M1334" s="24"/>
      <c r="N1334" s="24"/>
      <c r="P1334" s="24"/>
    </row>
    <row r="1335" spans="2:16" x14ac:dyDescent="0.25">
      <c r="B1335" s="24"/>
      <c r="E1335" s="24"/>
      <c r="G1335" s="24"/>
      <c r="H1335" s="24"/>
      <c r="J1335" s="24"/>
      <c r="K1335" s="24"/>
      <c r="M1335" s="24"/>
      <c r="N1335" s="24"/>
      <c r="P1335" s="24"/>
    </row>
    <row r="1336" spans="2:16" x14ac:dyDescent="0.25">
      <c r="B1336" s="24"/>
      <c r="E1336" s="24"/>
      <c r="G1336" s="24"/>
      <c r="H1336" s="24"/>
      <c r="J1336" s="24"/>
      <c r="K1336" s="24"/>
      <c r="M1336" s="24"/>
      <c r="N1336" s="24"/>
      <c r="P1336" s="24"/>
    </row>
    <row r="1337" spans="2:16" x14ac:dyDescent="0.25">
      <c r="B1337" s="24"/>
      <c r="E1337" s="24"/>
      <c r="G1337" s="24"/>
      <c r="H1337" s="24"/>
      <c r="J1337" s="24"/>
      <c r="K1337" s="24"/>
      <c r="M1337" s="24"/>
      <c r="N1337" s="24"/>
      <c r="P1337" s="24"/>
    </row>
    <row r="1338" spans="2:16" x14ac:dyDescent="0.25">
      <c r="B1338" s="24"/>
      <c r="E1338" s="24"/>
      <c r="G1338" s="24"/>
      <c r="H1338" s="24"/>
      <c r="J1338" s="24"/>
      <c r="K1338" s="24"/>
      <c r="M1338" s="24"/>
      <c r="N1338" s="24"/>
      <c r="P1338" s="24"/>
    </row>
    <row r="1339" spans="2:16" x14ac:dyDescent="0.25">
      <c r="B1339" s="24"/>
      <c r="E1339" s="24"/>
      <c r="G1339" s="24"/>
      <c r="H1339" s="24"/>
      <c r="J1339" s="24"/>
      <c r="K1339" s="24"/>
      <c r="M1339" s="24"/>
      <c r="N1339" s="24"/>
      <c r="P1339" s="24"/>
    </row>
    <row r="1340" spans="2:16" x14ac:dyDescent="0.25">
      <c r="B1340" s="24"/>
      <c r="E1340" s="24"/>
      <c r="G1340" s="24"/>
      <c r="H1340" s="24"/>
      <c r="J1340" s="24"/>
      <c r="K1340" s="24"/>
      <c r="M1340" s="24"/>
      <c r="N1340" s="24"/>
      <c r="P1340" s="24"/>
    </row>
    <row r="1341" spans="2:16" x14ac:dyDescent="0.25">
      <c r="B1341" s="24"/>
      <c r="E1341" s="24"/>
      <c r="G1341" s="24"/>
      <c r="H1341" s="24"/>
      <c r="J1341" s="24"/>
      <c r="K1341" s="24"/>
      <c r="M1341" s="24"/>
      <c r="N1341" s="24"/>
      <c r="P1341" s="24"/>
    </row>
    <row r="1342" spans="2:16" x14ac:dyDescent="0.25">
      <c r="B1342" s="24"/>
      <c r="E1342" s="24"/>
      <c r="G1342" s="24"/>
      <c r="H1342" s="24"/>
      <c r="J1342" s="24"/>
      <c r="K1342" s="24"/>
      <c r="M1342" s="24"/>
      <c r="N1342" s="24"/>
      <c r="P1342" s="24"/>
    </row>
    <row r="1343" spans="2:16" x14ac:dyDescent="0.25">
      <c r="B1343" s="24"/>
      <c r="E1343" s="24"/>
      <c r="G1343" s="24"/>
      <c r="H1343" s="24"/>
      <c r="J1343" s="24"/>
      <c r="K1343" s="24"/>
      <c r="M1343" s="24"/>
      <c r="N1343" s="24"/>
      <c r="P1343" s="24"/>
    </row>
    <row r="1344" spans="2:16" x14ac:dyDescent="0.25">
      <c r="B1344" s="24"/>
      <c r="E1344" s="24"/>
      <c r="G1344" s="24"/>
      <c r="H1344" s="24"/>
      <c r="J1344" s="24"/>
      <c r="K1344" s="24"/>
      <c r="M1344" s="24"/>
      <c r="N1344" s="24"/>
      <c r="P1344" s="24"/>
    </row>
    <row r="1345" spans="2:16" x14ac:dyDescent="0.25">
      <c r="B1345" s="24"/>
      <c r="E1345" s="24"/>
      <c r="G1345" s="24"/>
      <c r="H1345" s="24"/>
      <c r="J1345" s="24"/>
      <c r="K1345" s="24"/>
      <c r="M1345" s="24"/>
      <c r="N1345" s="24"/>
      <c r="P1345" s="24"/>
    </row>
    <row r="1346" spans="2:16" x14ac:dyDescent="0.25">
      <c r="B1346" s="24"/>
      <c r="E1346" s="24"/>
      <c r="G1346" s="24"/>
      <c r="H1346" s="24"/>
      <c r="J1346" s="24"/>
      <c r="K1346" s="24"/>
      <c r="M1346" s="24"/>
      <c r="N1346" s="24"/>
      <c r="P1346" s="24"/>
    </row>
    <row r="1347" spans="2:16" x14ac:dyDescent="0.25">
      <c r="B1347" s="24"/>
      <c r="E1347" s="24"/>
      <c r="G1347" s="24"/>
      <c r="H1347" s="24"/>
      <c r="J1347" s="24"/>
      <c r="K1347" s="24"/>
      <c r="M1347" s="24"/>
      <c r="N1347" s="24"/>
      <c r="P1347" s="24"/>
    </row>
    <row r="1348" spans="2:16" x14ac:dyDescent="0.25">
      <c r="B1348" s="24"/>
      <c r="E1348" s="24"/>
      <c r="G1348" s="24"/>
      <c r="H1348" s="24"/>
      <c r="J1348" s="24"/>
      <c r="K1348" s="24"/>
      <c r="M1348" s="24"/>
      <c r="N1348" s="24"/>
      <c r="P1348" s="24"/>
    </row>
    <row r="1349" spans="2:16" x14ac:dyDescent="0.25">
      <c r="B1349" s="24"/>
      <c r="E1349" s="24"/>
      <c r="G1349" s="24"/>
      <c r="H1349" s="24"/>
      <c r="J1349" s="24"/>
      <c r="K1349" s="24"/>
      <c r="M1349" s="24"/>
      <c r="N1349" s="24"/>
      <c r="P1349" s="24"/>
    </row>
    <row r="1350" spans="2:16" x14ac:dyDescent="0.25">
      <c r="B1350" s="24"/>
      <c r="E1350" s="24"/>
      <c r="G1350" s="24"/>
      <c r="H1350" s="24"/>
      <c r="J1350" s="24"/>
      <c r="K1350" s="24"/>
      <c r="M1350" s="24"/>
      <c r="N1350" s="24"/>
      <c r="P1350" s="24"/>
    </row>
    <row r="1351" spans="2:16" x14ac:dyDescent="0.25">
      <c r="B1351" s="24"/>
      <c r="E1351" s="24"/>
      <c r="G1351" s="24"/>
      <c r="H1351" s="24"/>
      <c r="J1351" s="24"/>
      <c r="K1351" s="24"/>
      <c r="M1351" s="24"/>
      <c r="N1351" s="24"/>
      <c r="P1351" s="24"/>
    </row>
    <row r="1352" spans="2:16" x14ac:dyDescent="0.25">
      <c r="B1352" s="24"/>
      <c r="E1352" s="24"/>
      <c r="G1352" s="24"/>
      <c r="H1352" s="24"/>
      <c r="J1352" s="24"/>
      <c r="K1352" s="24"/>
      <c r="M1352" s="24"/>
      <c r="N1352" s="24"/>
      <c r="P1352" s="24"/>
    </row>
    <row r="1353" spans="2:16" x14ac:dyDescent="0.25">
      <c r="B1353" s="24"/>
      <c r="E1353" s="24"/>
      <c r="G1353" s="24"/>
      <c r="H1353" s="24"/>
      <c r="J1353" s="24"/>
      <c r="K1353" s="24"/>
      <c r="M1353" s="24"/>
      <c r="N1353" s="24"/>
      <c r="P1353" s="24"/>
    </row>
    <row r="1354" spans="2:16" x14ac:dyDescent="0.25">
      <c r="B1354" s="24"/>
      <c r="E1354" s="24"/>
      <c r="G1354" s="24"/>
      <c r="H1354" s="24"/>
      <c r="J1354" s="24"/>
      <c r="K1354" s="24"/>
      <c r="M1354" s="24"/>
      <c r="N1354" s="24"/>
      <c r="P1354" s="24"/>
    </row>
    <row r="1355" spans="2:16" x14ac:dyDescent="0.25">
      <c r="B1355" s="24"/>
      <c r="E1355" s="24"/>
      <c r="G1355" s="24"/>
      <c r="H1355" s="24"/>
      <c r="J1355" s="24"/>
      <c r="K1355" s="24"/>
      <c r="M1355" s="24"/>
      <c r="N1355" s="24"/>
      <c r="P1355" s="24"/>
    </row>
    <row r="1356" spans="2:16" x14ac:dyDescent="0.25">
      <c r="B1356" s="24"/>
      <c r="E1356" s="24"/>
      <c r="G1356" s="24"/>
      <c r="H1356" s="24"/>
      <c r="J1356" s="24"/>
      <c r="K1356" s="24"/>
      <c r="M1356" s="24"/>
      <c r="N1356" s="24"/>
      <c r="P1356" s="24"/>
    </row>
    <row r="1357" spans="2:16" x14ac:dyDescent="0.25">
      <c r="B1357" s="24"/>
      <c r="E1357" s="24"/>
      <c r="G1357" s="24"/>
      <c r="H1357" s="24"/>
      <c r="J1357" s="24"/>
      <c r="K1357" s="24"/>
      <c r="M1357" s="24"/>
      <c r="N1357" s="24"/>
      <c r="P1357" s="24"/>
    </row>
    <row r="1358" spans="2:16" x14ac:dyDescent="0.25">
      <c r="B1358" s="24"/>
      <c r="E1358" s="24"/>
      <c r="G1358" s="24"/>
      <c r="H1358" s="24"/>
      <c r="J1358" s="24"/>
      <c r="K1358" s="24"/>
      <c r="M1358" s="24"/>
      <c r="N1358" s="24"/>
      <c r="P1358" s="24"/>
    </row>
    <row r="1359" spans="2:16" x14ac:dyDescent="0.25">
      <c r="B1359" s="24"/>
      <c r="E1359" s="24"/>
      <c r="G1359" s="24"/>
      <c r="H1359" s="24"/>
      <c r="J1359" s="24"/>
      <c r="K1359" s="24"/>
      <c r="M1359" s="24"/>
      <c r="N1359" s="24"/>
      <c r="P1359" s="24"/>
    </row>
    <row r="1360" spans="2:16" x14ac:dyDescent="0.25">
      <c r="B1360" s="24"/>
      <c r="E1360" s="24"/>
      <c r="G1360" s="24"/>
      <c r="H1360" s="24"/>
      <c r="J1360" s="24"/>
      <c r="K1360" s="24"/>
      <c r="M1360" s="24"/>
      <c r="N1360" s="24"/>
      <c r="P1360" s="24"/>
    </row>
    <row r="1361" spans="2:16" x14ac:dyDescent="0.25">
      <c r="B1361" s="24"/>
      <c r="E1361" s="24"/>
      <c r="G1361" s="24"/>
      <c r="H1361" s="24"/>
      <c r="J1361" s="24"/>
      <c r="K1361" s="24"/>
      <c r="M1361" s="24"/>
      <c r="N1361" s="24"/>
      <c r="P1361" s="24"/>
    </row>
    <row r="1362" spans="2:16" x14ac:dyDescent="0.25">
      <c r="B1362" s="24"/>
      <c r="E1362" s="24"/>
      <c r="G1362" s="24"/>
      <c r="H1362" s="24"/>
      <c r="J1362" s="24"/>
      <c r="K1362" s="24"/>
      <c r="M1362" s="24"/>
      <c r="N1362" s="24"/>
      <c r="P1362" s="24"/>
    </row>
    <row r="1363" spans="2:16" x14ac:dyDescent="0.25">
      <c r="B1363" s="24"/>
      <c r="E1363" s="24"/>
      <c r="G1363" s="24"/>
      <c r="H1363" s="24"/>
      <c r="J1363" s="24"/>
      <c r="K1363" s="24"/>
      <c r="M1363" s="24"/>
      <c r="N1363" s="24"/>
      <c r="P1363" s="24"/>
    </row>
    <row r="1364" spans="2:16" x14ac:dyDescent="0.25">
      <c r="B1364" s="24"/>
      <c r="E1364" s="24"/>
      <c r="G1364" s="24"/>
      <c r="H1364" s="24"/>
      <c r="J1364" s="24"/>
      <c r="K1364" s="24"/>
      <c r="M1364" s="24"/>
      <c r="N1364" s="24"/>
      <c r="P1364" s="24"/>
    </row>
    <row r="1365" spans="2:16" x14ac:dyDescent="0.25">
      <c r="B1365" s="24"/>
      <c r="E1365" s="24"/>
      <c r="G1365" s="24"/>
      <c r="H1365" s="24"/>
      <c r="J1365" s="24"/>
      <c r="K1365" s="24"/>
      <c r="M1365" s="24"/>
      <c r="N1365" s="24"/>
      <c r="P1365" s="24"/>
    </row>
    <row r="1366" spans="2:16" x14ac:dyDescent="0.25">
      <c r="B1366" s="24"/>
      <c r="E1366" s="24"/>
      <c r="G1366" s="24"/>
      <c r="H1366" s="24"/>
      <c r="J1366" s="24"/>
      <c r="K1366" s="24"/>
      <c r="M1366" s="24"/>
      <c r="N1366" s="24"/>
      <c r="P1366" s="24"/>
    </row>
    <row r="1367" spans="2:16" x14ac:dyDescent="0.25">
      <c r="B1367" s="24"/>
      <c r="E1367" s="24"/>
      <c r="G1367" s="24"/>
      <c r="H1367" s="24"/>
      <c r="J1367" s="24"/>
      <c r="K1367" s="24"/>
      <c r="M1367" s="24"/>
      <c r="N1367" s="24"/>
      <c r="P1367" s="24"/>
    </row>
    <row r="1368" spans="2:16" x14ac:dyDescent="0.25">
      <c r="B1368" s="24"/>
      <c r="E1368" s="24"/>
      <c r="G1368" s="24"/>
      <c r="H1368" s="24"/>
      <c r="J1368" s="24"/>
      <c r="K1368" s="24"/>
      <c r="M1368" s="24"/>
      <c r="N1368" s="24"/>
      <c r="P1368" s="24"/>
    </row>
    <row r="1369" spans="2:16" x14ac:dyDescent="0.25">
      <c r="B1369" s="24"/>
      <c r="E1369" s="24"/>
      <c r="G1369" s="24"/>
      <c r="H1369" s="24"/>
      <c r="J1369" s="24"/>
      <c r="K1369" s="24"/>
      <c r="M1369" s="24"/>
      <c r="N1369" s="24"/>
      <c r="P1369" s="24"/>
    </row>
    <row r="1370" spans="2:16" x14ac:dyDescent="0.25">
      <c r="B1370" s="24"/>
      <c r="E1370" s="24"/>
      <c r="G1370" s="24"/>
      <c r="H1370" s="24"/>
      <c r="J1370" s="24"/>
      <c r="K1370" s="24"/>
      <c r="M1370" s="24"/>
      <c r="N1370" s="24"/>
      <c r="P1370" s="24"/>
    </row>
    <row r="1371" spans="2:16" x14ac:dyDescent="0.25">
      <c r="B1371" s="24"/>
      <c r="E1371" s="24"/>
      <c r="G1371" s="24"/>
      <c r="H1371" s="24"/>
      <c r="J1371" s="24"/>
      <c r="K1371" s="24"/>
      <c r="M1371" s="24"/>
      <c r="N1371" s="24"/>
      <c r="P1371" s="24"/>
    </row>
    <row r="1372" spans="2:16" x14ac:dyDescent="0.25">
      <c r="B1372" s="24"/>
      <c r="E1372" s="24"/>
      <c r="G1372" s="24"/>
      <c r="H1372" s="24"/>
      <c r="J1372" s="24"/>
      <c r="K1372" s="24"/>
      <c r="M1372" s="24"/>
      <c r="N1372" s="24"/>
      <c r="P1372" s="24"/>
    </row>
    <row r="1373" spans="2:16" x14ac:dyDescent="0.25">
      <c r="B1373" s="24"/>
      <c r="E1373" s="24"/>
      <c r="G1373" s="24"/>
      <c r="H1373" s="24"/>
      <c r="J1373" s="24"/>
      <c r="K1373" s="24"/>
      <c r="M1373" s="24"/>
      <c r="N1373" s="24"/>
      <c r="P1373" s="24"/>
    </row>
    <row r="1374" spans="2:16" x14ac:dyDescent="0.25">
      <c r="B1374" s="24"/>
      <c r="E1374" s="24"/>
      <c r="G1374" s="24"/>
      <c r="H1374" s="24"/>
      <c r="J1374" s="24"/>
      <c r="K1374" s="24"/>
      <c r="M1374" s="24"/>
      <c r="N1374" s="24"/>
      <c r="P1374" s="24"/>
    </row>
    <row r="1375" spans="2:16" x14ac:dyDescent="0.25">
      <c r="B1375" s="24"/>
      <c r="E1375" s="24"/>
      <c r="G1375" s="24"/>
      <c r="H1375" s="24"/>
      <c r="J1375" s="24"/>
      <c r="K1375" s="24"/>
      <c r="M1375" s="24"/>
      <c r="N1375" s="24"/>
      <c r="P1375" s="24"/>
    </row>
    <row r="1376" spans="2:16" x14ac:dyDescent="0.25">
      <c r="B1376" s="24"/>
      <c r="E1376" s="24"/>
      <c r="G1376" s="24"/>
      <c r="H1376" s="24"/>
      <c r="J1376" s="24"/>
      <c r="K1376" s="24"/>
      <c r="M1376" s="24"/>
      <c r="N1376" s="24"/>
      <c r="P1376" s="24"/>
    </row>
    <row r="1377" spans="2:16" x14ac:dyDescent="0.25">
      <c r="B1377" s="24"/>
      <c r="E1377" s="24"/>
      <c r="G1377" s="24"/>
      <c r="H1377" s="24"/>
      <c r="J1377" s="24"/>
      <c r="K1377" s="24"/>
      <c r="M1377" s="24"/>
      <c r="N1377" s="24"/>
      <c r="P1377" s="24"/>
    </row>
    <row r="1378" spans="2:16" x14ac:dyDescent="0.25">
      <c r="B1378" s="24"/>
      <c r="E1378" s="24"/>
      <c r="G1378" s="24"/>
      <c r="H1378" s="24"/>
      <c r="J1378" s="24"/>
      <c r="K1378" s="24"/>
      <c r="M1378" s="24"/>
      <c r="N1378" s="24"/>
      <c r="P1378" s="24"/>
    </row>
    <row r="1379" spans="2:16" x14ac:dyDescent="0.25">
      <c r="B1379" s="24"/>
      <c r="E1379" s="24"/>
      <c r="G1379" s="24"/>
      <c r="H1379" s="24"/>
      <c r="J1379" s="24"/>
      <c r="K1379" s="24"/>
      <c r="M1379" s="24"/>
      <c r="N1379" s="24"/>
      <c r="P1379" s="24"/>
    </row>
    <row r="1380" spans="2:16" x14ac:dyDescent="0.25">
      <c r="B1380" s="24"/>
      <c r="E1380" s="24"/>
      <c r="G1380" s="24"/>
      <c r="H1380" s="24"/>
      <c r="J1380" s="24"/>
      <c r="K1380" s="24"/>
      <c r="M1380" s="24"/>
      <c r="N1380" s="24"/>
      <c r="P1380" s="24"/>
    </row>
    <row r="1381" spans="2:16" x14ac:dyDescent="0.25">
      <c r="B1381" s="24"/>
      <c r="E1381" s="24"/>
      <c r="G1381" s="24"/>
      <c r="H1381" s="24"/>
      <c r="J1381" s="24"/>
      <c r="K1381" s="24"/>
      <c r="M1381" s="24"/>
      <c r="N1381" s="24"/>
      <c r="P1381" s="24"/>
    </row>
    <row r="1382" spans="2:16" x14ac:dyDescent="0.25">
      <c r="B1382" s="24"/>
      <c r="E1382" s="24"/>
      <c r="G1382" s="24"/>
      <c r="H1382" s="24"/>
      <c r="J1382" s="24"/>
      <c r="K1382" s="24"/>
      <c r="M1382" s="24"/>
      <c r="N1382" s="24"/>
      <c r="P1382" s="24"/>
    </row>
    <row r="1383" spans="2:16" x14ac:dyDescent="0.25">
      <c r="B1383" s="24"/>
      <c r="E1383" s="24"/>
      <c r="G1383" s="24"/>
      <c r="H1383" s="24"/>
      <c r="J1383" s="24"/>
      <c r="K1383" s="24"/>
      <c r="M1383" s="24"/>
      <c r="N1383" s="24"/>
      <c r="P1383" s="24"/>
    </row>
    <row r="1384" spans="2:16" x14ac:dyDescent="0.25">
      <c r="B1384" s="24"/>
      <c r="E1384" s="24"/>
      <c r="G1384" s="24"/>
      <c r="H1384" s="24"/>
      <c r="J1384" s="24"/>
      <c r="K1384" s="24"/>
      <c r="M1384" s="24"/>
      <c r="N1384" s="24"/>
      <c r="P1384" s="24"/>
    </row>
    <row r="1385" spans="2:16" x14ac:dyDescent="0.25">
      <c r="B1385" s="24"/>
      <c r="E1385" s="24"/>
      <c r="G1385" s="24"/>
      <c r="H1385" s="24"/>
      <c r="J1385" s="24"/>
      <c r="K1385" s="24"/>
      <c r="M1385" s="24"/>
      <c r="N1385" s="24"/>
      <c r="P1385" s="24"/>
    </row>
    <row r="1386" spans="2:16" x14ac:dyDescent="0.25">
      <c r="B1386" s="24"/>
      <c r="E1386" s="24"/>
      <c r="G1386" s="24"/>
      <c r="H1386" s="24"/>
      <c r="J1386" s="24"/>
      <c r="K1386" s="24"/>
      <c r="M1386" s="24"/>
      <c r="N1386" s="24"/>
      <c r="P1386" s="24"/>
    </row>
    <row r="1387" spans="2:16" x14ac:dyDescent="0.25">
      <c r="B1387" s="24"/>
      <c r="E1387" s="24"/>
      <c r="G1387" s="24"/>
      <c r="H1387" s="24"/>
      <c r="J1387" s="24"/>
      <c r="K1387" s="24"/>
      <c r="M1387" s="24"/>
      <c r="N1387" s="24"/>
      <c r="P1387" s="24"/>
    </row>
    <row r="1388" spans="2:16" x14ac:dyDescent="0.25">
      <c r="B1388" s="24"/>
      <c r="E1388" s="24"/>
      <c r="G1388" s="24"/>
      <c r="H1388" s="24"/>
      <c r="J1388" s="24"/>
      <c r="K1388" s="24"/>
      <c r="M1388" s="24"/>
      <c r="N1388" s="24"/>
      <c r="P1388" s="24"/>
    </row>
    <row r="1389" spans="2:16" x14ac:dyDescent="0.25">
      <c r="B1389" s="24"/>
      <c r="E1389" s="24"/>
      <c r="G1389" s="24"/>
      <c r="H1389" s="24"/>
      <c r="J1389" s="24"/>
      <c r="K1389" s="24"/>
      <c r="M1389" s="24"/>
      <c r="N1389" s="24"/>
      <c r="P1389" s="24"/>
    </row>
    <row r="1390" spans="2:16" x14ac:dyDescent="0.25">
      <c r="B1390" s="24"/>
      <c r="E1390" s="24"/>
      <c r="G1390" s="24"/>
      <c r="H1390" s="24"/>
      <c r="J1390" s="24"/>
      <c r="K1390" s="24"/>
      <c r="M1390" s="24"/>
      <c r="N1390" s="24"/>
      <c r="P1390" s="24"/>
    </row>
    <row r="1391" spans="2:16" x14ac:dyDescent="0.25">
      <c r="B1391" s="24"/>
      <c r="E1391" s="24"/>
      <c r="G1391" s="24"/>
      <c r="H1391" s="24"/>
      <c r="J1391" s="24"/>
      <c r="K1391" s="24"/>
      <c r="M1391" s="24"/>
      <c r="N1391" s="24"/>
      <c r="P1391" s="24"/>
    </row>
    <row r="1392" spans="2:16" x14ac:dyDescent="0.25">
      <c r="B1392" s="24"/>
      <c r="E1392" s="24"/>
      <c r="G1392" s="24"/>
      <c r="H1392" s="24"/>
      <c r="J1392" s="24"/>
      <c r="K1392" s="24"/>
      <c r="M1392" s="24"/>
      <c r="N1392" s="24"/>
      <c r="P1392" s="24"/>
    </row>
    <row r="1393" spans="2:16" x14ac:dyDescent="0.25">
      <c r="B1393" s="24"/>
      <c r="E1393" s="24"/>
      <c r="G1393" s="24"/>
      <c r="H1393" s="24"/>
      <c r="J1393" s="24"/>
      <c r="K1393" s="24"/>
      <c r="M1393" s="24"/>
      <c r="N1393" s="24"/>
      <c r="P1393" s="24"/>
    </row>
    <row r="1394" spans="2:16" x14ac:dyDescent="0.25">
      <c r="B1394" s="24"/>
      <c r="E1394" s="24"/>
      <c r="G1394" s="24"/>
      <c r="H1394" s="24"/>
      <c r="J1394" s="24"/>
      <c r="K1394" s="24"/>
      <c r="M1394" s="24"/>
      <c r="N1394" s="24"/>
      <c r="P1394" s="24"/>
    </row>
    <row r="1395" spans="2:16" x14ac:dyDescent="0.25">
      <c r="B1395" s="24"/>
      <c r="E1395" s="24"/>
      <c r="G1395" s="24"/>
      <c r="H1395" s="24"/>
      <c r="J1395" s="24"/>
      <c r="K1395" s="24"/>
      <c r="M1395" s="24"/>
      <c r="N1395" s="24"/>
      <c r="P1395" s="24"/>
    </row>
    <row r="1396" spans="2:16" x14ac:dyDescent="0.25">
      <c r="B1396" s="24"/>
      <c r="E1396" s="24"/>
      <c r="G1396" s="24"/>
      <c r="H1396" s="24"/>
      <c r="J1396" s="24"/>
      <c r="K1396" s="24"/>
      <c r="M1396" s="24"/>
      <c r="N1396" s="24"/>
      <c r="P1396" s="24"/>
    </row>
    <row r="1397" spans="2:16" x14ac:dyDescent="0.25">
      <c r="B1397" s="24"/>
      <c r="E1397" s="24"/>
      <c r="G1397" s="24"/>
      <c r="H1397" s="24"/>
      <c r="J1397" s="24"/>
      <c r="K1397" s="24"/>
      <c r="M1397" s="24"/>
      <c r="N1397" s="24"/>
      <c r="P1397" s="24"/>
    </row>
    <row r="1398" spans="2:16" x14ac:dyDescent="0.25">
      <c r="B1398" s="24"/>
      <c r="E1398" s="24"/>
      <c r="G1398" s="24"/>
      <c r="H1398" s="24"/>
      <c r="J1398" s="24"/>
      <c r="K1398" s="24"/>
      <c r="M1398" s="24"/>
      <c r="N1398" s="24"/>
      <c r="P1398" s="24"/>
    </row>
    <row r="1399" spans="2:16" x14ac:dyDescent="0.25">
      <c r="B1399" s="24"/>
      <c r="E1399" s="24"/>
      <c r="G1399" s="24"/>
      <c r="H1399" s="24"/>
      <c r="J1399" s="24"/>
      <c r="K1399" s="24"/>
      <c r="M1399" s="24"/>
      <c r="N1399" s="24"/>
      <c r="P1399" s="24"/>
    </row>
    <row r="1400" spans="2:16" x14ac:dyDescent="0.25">
      <c r="B1400" s="24"/>
      <c r="E1400" s="24"/>
      <c r="G1400" s="24"/>
      <c r="H1400" s="24"/>
      <c r="J1400" s="24"/>
      <c r="K1400" s="24"/>
      <c r="M1400" s="24"/>
      <c r="N1400" s="24"/>
      <c r="P1400" s="24"/>
    </row>
    <row r="1401" spans="2:16" x14ac:dyDescent="0.25">
      <c r="B1401" s="24"/>
      <c r="E1401" s="24"/>
      <c r="G1401" s="24"/>
      <c r="H1401" s="24"/>
      <c r="J1401" s="24"/>
      <c r="K1401" s="24"/>
      <c r="M1401" s="24"/>
      <c r="N1401" s="24"/>
      <c r="P1401" s="24"/>
    </row>
    <row r="1402" spans="2:16" x14ac:dyDescent="0.25">
      <c r="B1402" s="24"/>
      <c r="E1402" s="24"/>
      <c r="G1402" s="24"/>
      <c r="H1402" s="24"/>
      <c r="J1402" s="24"/>
      <c r="K1402" s="24"/>
      <c r="M1402" s="24"/>
      <c r="N1402" s="24"/>
      <c r="P1402" s="24"/>
    </row>
    <row r="1403" spans="2:16" x14ac:dyDescent="0.25">
      <c r="B1403" s="24"/>
      <c r="E1403" s="24"/>
      <c r="G1403" s="24"/>
      <c r="H1403" s="24"/>
      <c r="J1403" s="24"/>
      <c r="K1403" s="24"/>
      <c r="M1403" s="24"/>
      <c r="N1403" s="24"/>
      <c r="P1403" s="24"/>
    </row>
    <row r="1404" spans="2:16" x14ac:dyDescent="0.25">
      <c r="B1404" s="24"/>
      <c r="E1404" s="24"/>
      <c r="G1404" s="24"/>
      <c r="H1404" s="24"/>
      <c r="J1404" s="24"/>
      <c r="K1404" s="24"/>
      <c r="M1404" s="24"/>
      <c r="N1404" s="24"/>
      <c r="P1404" s="24"/>
    </row>
    <row r="1405" spans="2:16" x14ac:dyDescent="0.25">
      <c r="B1405" s="24"/>
      <c r="E1405" s="24"/>
      <c r="G1405" s="24"/>
      <c r="H1405" s="24"/>
      <c r="J1405" s="24"/>
      <c r="K1405" s="24"/>
      <c r="M1405" s="24"/>
      <c r="N1405" s="24"/>
      <c r="P1405" s="24"/>
    </row>
    <row r="1406" spans="2:16" x14ac:dyDescent="0.25">
      <c r="B1406" s="24"/>
      <c r="E1406" s="24"/>
      <c r="G1406" s="24"/>
      <c r="H1406" s="24"/>
      <c r="J1406" s="24"/>
      <c r="K1406" s="24"/>
      <c r="M1406" s="24"/>
      <c r="N1406" s="24"/>
      <c r="P1406" s="24"/>
    </row>
    <row r="1407" spans="2:16" x14ac:dyDescent="0.25">
      <c r="B1407" s="24"/>
      <c r="E1407" s="24"/>
      <c r="G1407" s="24"/>
      <c r="H1407" s="24"/>
      <c r="J1407" s="24"/>
      <c r="K1407" s="24"/>
      <c r="M1407" s="24"/>
      <c r="N1407" s="24"/>
      <c r="P1407" s="24"/>
    </row>
    <row r="1408" spans="2:16" x14ac:dyDescent="0.25">
      <c r="B1408" s="24"/>
      <c r="E1408" s="24"/>
      <c r="G1408" s="24"/>
      <c r="H1408" s="24"/>
      <c r="J1408" s="24"/>
      <c r="K1408" s="24"/>
      <c r="M1408" s="24"/>
      <c r="N1408" s="24"/>
      <c r="P1408" s="24"/>
    </row>
    <row r="1409" spans="2:16" x14ac:dyDescent="0.25">
      <c r="B1409" s="24"/>
      <c r="E1409" s="24"/>
      <c r="G1409" s="24"/>
      <c r="H1409" s="24"/>
      <c r="J1409" s="24"/>
      <c r="K1409" s="24"/>
      <c r="M1409" s="24"/>
      <c r="N1409" s="24"/>
      <c r="P1409" s="24"/>
    </row>
    <row r="1410" spans="2:16" x14ac:dyDescent="0.25">
      <c r="B1410" s="24"/>
      <c r="E1410" s="24"/>
      <c r="G1410" s="24"/>
      <c r="H1410" s="24"/>
      <c r="J1410" s="24"/>
      <c r="K1410" s="24"/>
      <c r="M1410" s="24"/>
      <c r="N1410" s="24"/>
      <c r="P1410" s="24"/>
    </row>
    <row r="1411" spans="2:16" x14ac:dyDescent="0.25">
      <c r="B1411" s="24"/>
      <c r="E1411" s="24"/>
      <c r="G1411" s="24"/>
      <c r="H1411" s="24"/>
      <c r="J1411" s="24"/>
      <c r="K1411" s="24"/>
      <c r="M1411" s="24"/>
      <c r="N1411" s="24"/>
      <c r="P1411" s="24"/>
    </row>
    <row r="1412" spans="2:16" x14ac:dyDescent="0.25">
      <c r="B1412" s="24"/>
      <c r="E1412" s="24"/>
      <c r="G1412" s="24"/>
      <c r="H1412" s="24"/>
      <c r="J1412" s="24"/>
      <c r="K1412" s="24"/>
      <c r="M1412" s="24"/>
      <c r="N1412" s="24"/>
      <c r="P1412" s="24"/>
    </row>
    <row r="1413" spans="2:16" x14ac:dyDescent="0.25">
      <c r="B1413" s="24"/>
      <c r="E1413" s="24"/>
      <c r="G1413" s="24"/>
      <c r="H1413" s="24"/>
      <c r="J1413" s="24"/>
      <c r="K1413" s="24"/>
      <c r="M1413" s="24"/>
      <c r="N1413" s="24"/>
      <c r="P1413" s="24"/>
    </row>
    <row r="1414" spans="2:16" x14ac:dyDescent="0.25">
      <c r="B1414" s="24"/>
      <c r="E1414" s="24"/>
      <c r="G1414" s="24"/>
      <c r="H1414" s="24"/>
      <c r="J1414" s="24"/>
      <c r="K1414" s="24"/>
      <c r="M1414" s="24"/>
      <c r="N1414" s="24"/>
      <c r="P1414" s="24"/>
    </row>
    <row r="1415" spans="2:16" x14ac:dyDescent="0.25">
      <c r="B1415" s="24"/>
      <c r="E1415" s="24"/>
      <c r="G1415" s="24"/>
      <c r="H1415" s="24"/>
      <c r="J1415" s="24"/>
      <c r="K1415" s="24"/>
      <c r="M1415" s="24"/>
      <c r="N1415" s="24"/>
      <c r="P1415" s="24"/>
    </row>
    <row r="1416" spans="2:16" x14ac:dyDescent="0.25">
      <c r="B1416" s="24"/>
      <c r="E1416" s="24"/>
      <c r="G1416" s="24"/>
      <c r="H1416" s="24"/>
      <c r="J1416" s="24"/>
      <c r="K1416" s="24"/>
      <c r="M1416" s="24"/>
      <c r="N1416" s="24"/>
      <c r="P1416" s="24"/>
    </row>
    <row r="1417" spans="2:16" x14ac:dyDescent="0.25">
      <c r="B1417" s="24"/>
      <c r="E1417" s="24"/>
      <c r="G1417" s="24"/>
      <c r="H1417" s="24"/>
      <c r="J1417" s="24"/>
      <c r="K1417" s="24"/>
      <c r="M1417" s="24"/>
      <c r="N1417" s="24"/>
      <c r="P1417" s="24"/>
    </row>
    <row r="1418" spans="2:16" x14ac:dyDescent="0.25">
      <c r="B1418" s="24"/>
      <c r="E1418" s="24"/>
      <c r="G1418" s="24"/>
      <c r="H1418" s="24"/>
      <c r="J1418" s="24"/>
      <c r="K1418" s="24"/>
      <c r="M1418" s="24"/>
      <c r="N1418" s="24"/>
      <c r="P1418" s="24"/>
    </row>
    <row r="1419" spans="2:16" x14ac:dyDescent="0.25">
      <c r="B1419" s="24"/>
      <c r="E1419" s="24"/>
      <c r="G1419" s="24"/>
      <c r="H1419" s="24"/>
      <c r="J1419" s="24"/>
      <c r="K1419" s="24"/>
      <c r="M1419" s="24"/>
      <c r="N1419" s="24"/>
      <c r="P1419" s="24"/>
    </row>
    <row r="1420" spans="2:16" x14ac:dyDescent="0.25">
      <c r="B1420" s="24"/>
      <c r="E1420" s="24"/>
      <c r="G1420" s="24"/>
      <c r="H1420" s="24"/>
      <c r="J1420" s="24"/>
      <c r="K1420" s="24"/>
      <c r="M1420" s="24"/>
      <c r="N1420" s="24"/>
      <c r="P1420" s="24"/>
    </row>
    <row r="1421" spans="2:16" x14ac:dyDescent="0.25">
      <c r="B1421" s="24"/>
      <c r="E1421" s="24"/>
      <c r="G1421" s="24"/>
      <c r="H1421" s="24"/>
      <c r="J1421" s="24"/>
      <c r="K1421" s="24"/>
      <c r="M1421" s="24"/>
      <c r="N1421" s="24"/>
      <c r="P1421" s="24"/>
    </row>
    <row r="1422" spans="2:16" x14ac:dyDescent="0.25">
      <c r="B1422" s="24"/>
      <c r="E1422" s="24"/>
      <c r="G1422" s="24"/>
      <c r="H1422" s="24"/>
      <c r="J1422" s="24"/>
      <c r="K1422" s="24"/>
      <c r="M1422" s="24"/>
      <c r="N1422" s="24"/>
      <c r="P1422" s="24"/>
    </row>
    <row r="1423" spans="2:16" x14ac:dyDescent="0.25">
      <c r="B1423" s="24"/>
      <c r="E1423" s="24"/>
      <c r="G1423" s="24"/>
      <c r="H1423" s="24"/>
      <c r="J1423" s="24"/>
      <c r="K1423" s="24"/>
      <c r="M1423" s="24"/>
      <c r="N1423" s="24"/>
      <c r="P1423" s="24"/>
    </row>
    <row r="1424" spans="2:16" x14ac:dyDescent="0.25">
      <c r="B1424" s="24"/>
      <c r="E1424" s="24"/>
      <c r="G1424" s="24"/>
      <c r="H1424" s="24"/>
      <c r="J1424" s="24"/>
      <c r="K1424" s="24"/>
      <c r="M1424" s="24"/>
      <c r="N1424" s="24"/>
      <c r="P1424" s="24"/>
    </row>
    <row r="1425" spans="2:16" x14ac:dyDescent="0.25">
      <c r="B1425" s="24"/>
      <c r="E1425" s="24"/>
      <c r="G1425" s="24"/>
      <c r="H1425" s="24"/>
      <c r="J1425" s="24"/>
      <c r="K1425" s="24"/>
      <c r="M1425" s="24"/>
      <c r="N1425" s="24"/>
      <c r="P1425" s="24"/>
    </row>
    <row r="1426" spans="2:16" x14ac:dyDescent="0.25">
      <c r="B1426" s="24"/>
      <c r="E1426" s="24"/>
      <c r="G1426" s="24"/>
      <c r="H1426" s="24"/>
      <c r="J1426" s="24"/>
      <c r="K1426" s="24"/>
      <c r="M1426" s="24"/>
      <c r="N1426" s="24"/>
      <c r="P1426" s="24"/>
    </row>
    <row r="1427" spans="2:16" x14ac:dyDescent="0.25">
      <c r="B1427" s="24"/>
      <c r="E1427" s="24"/>
      <c r="G1427" s="24"/>
      <c r="H1427" s="24"/>
      <c r="J1427" s="24"/>
      <c r="K1427" s="24"/>
      <c r="M1427" s="24"/>
      <c r="N1427" s="24"/>
      <c r="P1427" s="24"/>
    </row>
    <row r="1428" spans="2:16" x14ac:dyDescent="0.25">
      <c r="B1428" s="24"/>
      <c r="E1428" s="24"/>
      <c r="G1428" s="24"/>
      <c r="H1428" s="24"/>
      <c r="J1428" s="24"/>
      <c r="K1428" s="24"/>
      <c r="M1428" s="24"/>
      <c r="N1428" s="24"/>
      <c r="P1428" s="24"/>
    </row>
    <row r="1429" spans="2:16" x14ac:dyDescent="0.25">
      <c r="B1429" s="24"/>
      <c r="E1429" s="24"/>
      <c r="G1429" s="24"/>
      <c r="H1429" s="24"/>
      <c r="J1429" s="24"/>
      <c r="K1429" s="24"/>
      <c r="M1429" s="24"/>
      <c r="N1429" s="24"/>
      <c r="P1429" s="24"/>
    </row>
    <row r="1430" spans="2:16" x14ac:dyDescent="0.25">
      <c r="B1430" s="24"/>
      <c r="E1430" s="24"/>
      <c r="G1430" s="24"/>
      <c r="H1430" s="24"/>
      <c r="J1430" s="24"/>
      <c r="K1430" s="24"/>
      <c r="M1430" s="24"/>
      <c r="N1430" s="24"/>
      <c r="P1430" s="24"/>
    </row>
    <row r="1431" spans="2:16" x14ac:dyDescent="0.25">
      <c r="B1431" s="24"/>
      <c r="E1431" s="24"/>
      <c r="G1431" s="24"/>
      <c r="H1431" s="24"/>
      <c r="J1431" s="24"/>
      <c r="K1431" s="24"/>
      <c r="M1431" s="24"/>
      <c r="N1431" s="24"/>
      <c r="P1431" s="24"/>
    </row>
    <row r="1432" spans="2:16" x14ac:dyDescent="0.25">
      <c r="B1432" s="24"/>
      <c r="E1432" s="24"/>
      <c r="G1432" s="24"/>
      <c r="H1432" s="24"/>
      <c r="J1432" s="24"/>
      <c r="K1432" s="24"/>
      <c r="M1432" s="24"/>
      <c r="N1432" s="24"/>
      <c r="P1432" s="24"/>
    </row>
    <row r="1433" spans="2:16" x14ac:dyDescent="0.25">
      <c r="B1433" s="24"/>
      <c r="E1433" s="24"/>
      <c r="G1433" s="24"/>
      <c r="H1433" s="24"/>
      <c r="J1433" s="24"/>
      <c r="K1433" s="24"/>
      <c r="M1433" s="24"/>
      <c r="N1433" s="24"/>
      <c r="P1433" s="24"/>
    </row>
    <row r="1434" spans="2:16" x14ac:dyDescent="0.25">
      <c r="B1434" s="24"/>
      <c r="E1434" s="24"/>
      <c r="G1434" s="24"/>
      <c r="H1434" s="24"/>
      <c r="J1434" s="24"/>
      <c r="K1434" s="24"/>
      <c r="M1434" s="24"/>
      <c r="N1434" s="24"/>
      <c r="P1434" s="24"/>
    </row>
    <row r="1435" spans="2:16" x14ac:dyDescent="0.25">
      <c r="B1435" s="24"/>
      <c r="E1435" s="24"/>
      <c r="G1435" s="24"/>
      <c r="H1435" s="24"/>
      <c r="J1435" s="24"/>
      <c r="K1435" s="24"/>
      <c r="M1435" s="24"/>
      <c r="N1435" s="24"/>
      <c r="P1435" s="24"/>
    </row>
    <row r="1436" spans="2:16" x14ac:dyDescent="0.25">
      <c r="B1436" s="24"/>
      <c r="E1436" s="24"/>
      <c r="G1436" s="24"/>
      <c r="H1436" s="24"/>
      <c r="J1436" s="24"/>
      <c r="K1436" s="24"/>
      <c r="M1436" s="24"/>
      <c r="N1436" s="24"/>
      <c r="P1436" s="24"/>
    </row>
    <row r="1437" spans="2:16" x14ac:dyDescent="0.25">
      <c r="B1437" s="24"/>
      <c r="E1437" s="24"/>
      <c r="G1437" s="24"/>
      <c r="H1437" s="24"/>
      <c r="J1437" s="24"/>
      <c r="K1437" s="24"/>
      <c r="M1437" s="24"/>
      <c r="N1437" s="24"/>
      <c r="P1437" s="24"/>
    </row>
    <row r="1438" spans="2:16" x14ac:dyDescent="0.25">
      <c r="B1438" s="24"/>
      <c r="E1438" s="24"/>
      <c r="G1438" s="24"/>
      <c r="H1438" s="24"/>
      <c r="J1438" s="24"/>
      <c r="K1438" s="24"/>
      <c r="M1438" s="24"/>
      <c r="N1438" s="24"/>
      <c r="P1438" s="24"/>
    </row>
    <row r="1439" spans="2:16" x14ac:dyDescent="0.25">
      <c r="B1439" s="24"/>
      <c r="E1439" s="24"/>
      <c r="G1439" s="24"/>
      <c r="H1439" s="24"/>
      <c r="J1439" s="24"/>
      <c r="K1439" s="24"/>
      <c r="M1439" s="24"/>
      <c r="N1439" s="24"/>
      <c r="P1439" s="24"/>
    </row>
    <row r="1440" spans="2:16" x14ac:dyDescent="0.25">
      <c r="B1440" s="24"/>
      <c r="E1440" s="24"/>
      <c r="G1440" s="24"/>
      <c r="H1440" s="24"/>
      <c r="J1440" s="24"/>
      <c r="K1440" s="24"/>
      <c r="M1440" s="24"/>
      <c r="N1440" s="24"/>
      <c r="P1440" s="24"/>
    </row>
    <row r="1441" spans="2:16" x14ac:dyDescent="0.25">
      <c r="B1441" s="24"/>
      <c r="E1441" s="24"/>
      <c r="G1441" s="24"/>
      <c r="H1441" s="24"/>
      <c r="J1441" s="24"/>
      <c r="K1441" s="24"/>
      <c r="M1441" s="24"/>
      <c r="N1441" s="24"/>
      <c r="P1441" s="24"/>
    </row>
    <row r="1442" spans="2:16" x14ac:dyDescent="0.25">
      <c r="B1442" s="24"/>
      <c r="E1442" s="24"/>
      <c r="G1442" s="24"/>
      <c r="H1442" s="24"/>
      <c r="J1442" s="24"/>
      <c r="K1442" s="24"/>
      <c r="M1442" s="24"/>
      <c r="N1442" s="24"/>
      <c r="P1442" s="24"/>
    </row>
    <row r="1443" spans="2:16" x14ac:dyDescent="0.25">
      <c r="B1443" s="24"/>
      <c r="E1443" s="24"/>
      <c r="G1443" s="24"/>
      <c r="H1443" s="24"/>
      <c r="J1443" s="24"/>
      <c r="K1443" s="24"/>
      <c r="M1443" s="24"/>
      <c r="N1443" s="24"/>
      <c r="P1443" s="24"/>
    </row>
    <row r="1444" spans="2:16" x14ac:dyDescent="0.25">
      <c r="B1444" s="24"/>
      <c r="E1444" s="24"/>
      <c r="G1444" s="24"/>
      <c r="H1444" s="24"/>
      <c r="J1444" s="24"/>
      <c r="K1444" s="24"/>
      <c r="M1444" s="24"/>
      <c r="N1444" s="24"/>
      <c r="P1444" s="24"/>
    </row>
    <row r="1445" spans="2:16" x14ac:dyDescent="0.25">
      <c r="B1445" s="24"/>
      <c r="E1445" s="24"/>
      <c r="G1445" s="24"/>
      <c r="H1445" s="24"/>
      <c r="J1445" s="24"/>
      <c r="K1445" s="24"/>
      <c r="M1445" s="24"/>
      <c r="N1445" s="24"/>
      <c r="P1445" s="24"/>
    </row>
    <row r="1446" spans="2:16" x14ac:dyDescent="0.25">
      <c r="B1446" s="24"/>
      <c r="E1446" s="24"/>
      <c r="G1446" s="24"/>
      <c r="H1446" s="24"/>
      <c r="J1446" s="24"/>
      <c r="K1446" s="24"/>
      <c r="M1446" s="24"/>
      <c r="N1446" s="24"/>
      <c r="P1446" s="24"/>
    </row>
    <row r="1447" spans="2:16" x14ac:dyDescent="0.25">
      <c r="B1447" s="24"/>
      <c r="E1447" s="24"/>
      <c r="G1447" s="24"/>
      <c r="H1447" s="24"/>
      <c r="J1447" s="24"/>
      <c r="K1447" s="24"/>
      <c r="M1447" s="24"/>
      <c r="N1447" s="24"/>
      <c r="P1447" s="24"/>
    </row>
    <row r="1448" spans="2:16" x14ac:dyDescent="0.25">
      <c r="B1448" s="24"/>
      <c r="E1448" s="24"/>
      <c r="G1448" s="24"/>
      <c r="H1448" s="24"/>
      <c r="J1448" s="24"/>
      <c r="K1448" s="24"/>
      <c r="M1448" s="24"/>
      <c r="N1448" s="24"/>
      <c r="P1448" s="24"/>
    </row>
    <row r="1449" spans="2:16" x14ac:dyDescent="0.25">
      <c r="B1449" s="24"/>
      <c r="E1449" s="24"/>
      <c r="G1449" s="24"/>
      <c r="H1449" s="24"/>
      <c r="J1449" s="24"/>
      <c r="K1449" s="24"/>
      <c r="M1449" s="24"/>
      <c r="N1449" s="24"/>
      <c r="P1449" s="24"/>
    </row>
    <row r="1450" spans="2:16" x14ac:dyDescent="0.25">
      <c r="B1450" s="24"/>
      <c r="E1450" s="24"/>
      <c r="G1450" s="24"/>
      <c r="H1450" s="24"/>
      <c r="J1450" s="24"/>
      <c r="K1450" s="24"/>
      <c r="M1450" s="24"/>
      <c r="N1450" s="24"/>
      <c r="P1450" s="24"/>
    </row>
    <row r="1451" spans="2:16" x14ac:dyDescent="0.25">
      <c r="B1451" s="24"/>
      <c r="E1451" s="24"/>
      <c r="G1451" s="24"/>
      <c r="H1451" s="24"/>
      <c r="J1451" s="24"/>
      <c r="K1451" s="24"/>
      <c r="M1451" s="24"/>
      <c r="N1451" s="24"/>
      <c r="P1451" s="24"/>
    </row>
    <row r="1452" spans="2:16" x14ac:dyDescent="0.25">
      <c r="B1452" s="24"/>
      <c r="E1452" s="24"/>
      <c r="G1452" s="24"/>
      <c r="H1452" s="24"/>
      <c r="J1452" s="24"/>
      <c r="K1452" s="24"/>
      <c r="M1452" s="24"/>
      <c r="N1452" s="24"/>
      <c r="P1452" s="24"/>
    </row>
    <row r="1453" spans="2:16" x14ac:dyDescent="0.25">
      <c r="B1453" s="24"/>
      <c r="E1453" s="24"/>
      <c r="G1453" s="24"/>
      <c r="H1453" s="24"/>
      <c r="J1453" s="24"/>
      <c r="K1453" s="24"/>
      <c r="M1453" s="24"/>
      <c r="N1453" s="24"/>
      <c r="P1453" s="24"/>
    </row>
    <row r="1454" spans="2:16" x14ac:dyDescent="0.25">
      <c r="B1454" s="24"/>
      <c r="E1454" s="24"/>
      <c r="G1454" s="24"/>
      <c r="H1454" s="24"/>
      <c r="J1454" s="24"/>
      <c r="K1454" s="24"/>
      <c r="M1454" s="24"/>
      <c r="N1454" s="24"/>
      <c r="P1454" s="24"/>
    </row>
    <row r="1455" spans="2:16" x14ac:dyDescent="0.25">
      <c r="B1455" s="24"/>
      <c r="E1455" s="24"/>
      <c r="G1455" s="24"/>
      <c r="H1455" s="24"/>
      <c r="J1455" s="24"/>
      <c r="K1455" s="24"/>
      <c r="M1455" s="24"/>
      <c r="N1455" s="24"/>
      <c r="P1455" s="24"/>
    </row>
    <row r="1456" spans="2:16" x14ac:dyDescent="0.25">
      <c r="B1456" s="24"/>
      <c r="E1456" s="24"/>
      <c r="G1456" s="24"/>
      <c r="H1456" s="24"/>
      <c r="J1456" s="24"/>
      <c r="K1456" s="24"/>
      <c r="M1456" s="24"/>
      <c r="N1456" s="24"/>
      <c r="P1456" s="24"/>
    </row>
    <row r="1457" spans="2:16" x14ac:dyDescent="0.25">
      <c r="B1457" s="24"/>
      <c r="E1457" s="24"/>
      <c r="G1457" s="24"/>
      <c r="H1457" s="24"/>
      <c r="J1457" s="24"/>
      <c r="K1457" s="24"/>
      <c r="M1457" s="24"/>
      <c r="N1457" s="24"/>
      <c r="P1457" s="24"/>
    </row>
    <row r="1458" spans="2:16" x14ac:dyDescent="0.25">
      <c r="B1458" s="24"/>
      <c r="E1458" s="24"/>
      <c r="G1458" s="24"/>
      <c r="H1458" s="24"/>
      <c r="J1458" s="24"/>
      <c r="K1458" s="24"/>
      <c r="M1458" s="24"/>
      <c r="N1458" s="24"/>
      <c r="P1458" s="24"/>
    </row>
    <row r="1459" spans="2:16" x14ac:dyDescent="0.25">
      <c r="B1459" s="24"/>
      <c r="E1459" s="24"/>
      <c r="G1459" s="24"/>
      <c r="H1459" s="24"/>
      <c r="J1459" s="24"/>
      <c r="K1459" s="24"/>
      <c r="M1459" s="24"/>
      <c r="N1459" s="24"/>
      <c r="P1459" s="24"/>
    </row>
    <row r="1460" spans="2:16" x14ac:dyDescent="0.25">
      <c r="B1460" s="24"/>
      <c r="E1460" s="24"/>
      <c r="G1460" s="24"/>
      <c r="H1460" s="24"/>
      <c r="J1460" s="24"/>
      <c r="K1460" s="24"/>
      <c r="M1460" s="24"/>
      <c r="N1460" s="24"/>
      <c r="P1460" s="24"/>
    </row>
    <row r="1461" spans="2:16" x14ac:dyDescent="0.25">
      <c r="B1461" s="24"/>
      <c r="E1461" s="24"/>
      <c r="G1461" s="24"/>
      <c r="H1461" s="24"/>
      <c r="J1461" s="24"/>
      <c r="K1461" s="24"/>
      <c r="M1461" s="24"/>
      <c r="N1461" s="24"/>
      <c r="P1461" s="24"/>
    </row>
    <row r="1462" spans="2:16" x14ac:dyDescent="0.25">
      <c r="B1462" s="24"/>
      <c r="E1462" s="24"/>
      <c r="G1462" s="24"/>
      <c r="H1462" s="24"/>
      <c r="J1462" s="24"/>
      <c r="K1462" s="24"/>
      <c r="M1462" s="24"/>
      <c r="N1462" s="24"/>
      <c r="P1462" s="24"/>
    </row>
    <row r="1463" spans="2:16" x14ac:dyDescent="0.25">
      <c r="B1463" s="24"/>
      <c r="E1463" s="24"/>
      <c r="G1463" s="24"/>
      <c r="H1463" s="24"/>
      <c r="J1463" s="24"/>
      <c r="K1463" s="24"/>
      <c r="M1463" s="24"/>
      <c r="N1463" s="24"/>
      <c r="P1463" s="24"/>
    </row>
    <row r="1464" spans="2:16" x14ac:dyDescent="0.25">
      <c r="B1464" s="24"/>
      <c r="E1464" s="24"/>
      <c r="G1464" s="24"/>
      <c r="H1464" s="24"/>
      <c r="J1464" s="24"/>
      <c r="K1464" s="24"/>
      <c r="M1464" s="24"/>
      <c r="N1464" s="24"/>
      <c r="P1464" s="24"/>
    </row>
    <row r="1465" spans="2:16" x14ac:dyDescent="0.25">
      <c r="B1465" s="24"/>
      <c r="E1465" s="24"/>
      <c r="G1465" s="24"/>
      <c r="H1465" s="24"/>
      <c r="J1465" s="24"/>
      <c r="K1465" s="24"/>
      <c r="M1465" s="24"/>
      <c r="N1465" s="24"/>
      <c r="P1465" s="24"/>
    </row>
    <row r="1466" spans="2:16" x14ac:dyDescent="0.25">
      <c r="B1466" s="24"/>
      <c r="E1466" s="24"/>
      <c r="G1466" s="24"/>
      <c r="H1466" s="24"/>
      <c r="J1466" s="24"/>
      <c r="K1466" s="24"/>
      <c r="M1466" s="24"/>
      <c r="N1466" s="24"/>
      <c r="P1466" s="24"/>
    </row>
    <row r="1467" spans="2:16" x14ac:dyDescent="0.25">
      <c r="B1467" s="24"/>
      <c r="E1467" s="24"/>
      <c r="G1467" s="24"/>
      <c r="H1467" s="24"/>
      <c r="J1467" s="24"/>
      <c r="K1467" s="24"/>
      <c r="M1467" s="24"/>
      <c r="N1467" s="24"/>
      <c r="P1467" s="24"/>
    </row>
    <row r="1468" spans="2:16" x14ac:dyDescent="0.25">
      <c r="B1468" s="24"/>
      <c r="E1468" s="24"/>
      <c r="G1468" s="24"/>
      <c r="H1468" s="24"/>
      <c r="J1468" s="24"/>
      <c r="K1468" s="24"/>
      <c r="M1468" s="24"/>
      <c r="N1468" s="24"/>
      <c r="P1468" s="24"/>
    </row>
    <row r="1469" spans="2:16" x14ac:dyDescent="0.25">
      <c r="B1469" s="24"/>
      <c r="E1469" s="24"/>
      <c r="G1469" s="24"/>
      <c r="H1469" s="24"/>
      <c r="J1469" s="24"/>
      <c r="K1469" s="24"/>
      <c r="M1469" s="24"/>
      <c r="N1469" s="24"/>
      <c r="P1469" s="24"/>
    </row>
    <row r="1470" spans="2:16" x14ac:dyDescent="0.25">
      <c r="B1470" s="24"/>
      <c r="E1470" s="24"/>
      <c r="G1470" s="24"/>
      <c r="H1470" s="24"/>
      <c r="J1470" s="24"/>
      <c r="K1470" s="24"/>
      <c r="M1470" s="24"/>
      <c r="N1470" s="24"/>
      <c r="P1470" s="24"/>
    </row>
    <row r="1471" spans="2:16" x14ac:dyDescent="0.25">
      <c r="B1471" s="24"/>
      <c r="E1471" s="24"/>
      <c r="G1471" s="24"/>
      <c r="H1471" s="24"/>
      <c r="J1471" s="24"/>
      <c r="K1471" s="24"/>
      <c r="M1471" s="24"/>
      <c r="N1471" s="24"/>
      <c r="P1471" s="24"/>
    </row>
    <row r="1472" spans="2:16" x14ac:dyDescent="0.25">
      <c r="B1472" s="24"/>
      <c r="E1472" s="24"/>
      <c r="G1472" s="24"/>
      <c r="H1472" s="24"/>
      <c r="J1472" s="24"/>
      <c r="K1472" s="24"/>
      <c r="M1472" s="24"/>
      <c r="N1472" s="24"/>
      <c r="P1472" s="24"/>
    </row>
    <row r="1473" spans="2:16" x14ac:dyDescent="0.25">
      <c r="B1473" s="24"/>
      <c r="E1473" s="24"/>
      <c r="G1473" s="24"/>
      <c r="H1473" s="24"/>
      <c r="J1473" s="24"/>
      <c r="K1473" s="24"/>
      <c r="M1473" s="24"/>
      <c r="N1473" s="24"/>
      <c r="P1473" s="24"/>
    </row>
    <row r="1474" spans="2:16" x14ac:dyDescent="0.25">
      <c r="B1474" s="24"/>
      <c r="E1474" s="24"/>
      <c r="G1474" s="24"/>
      <c r="H1474" s="24"/>
      <c r="J1474" s="24"/>
      <c r="K1474" s="24"/>
      <c r="M1474" s="24"/>
      <c r="N1474" s="24"/>
      <c r="P1474" s="24"/>
    </row>
    <row r="1475" spans="2:16" x14ac:dyDescent="0.25">
      <c r="B1475" s="24"/>
      <c r="E1475" s="24"/>
      <c r="G1475" s="24"/>
      <c r="H1475" s="24"/>
      <c r="J1475" s="24"/>
      <c r="K1475" s="24"/>
      <c r="M1475" s="24"/>
      <c r="N1475" s="24"/>
      <c r="P1475" s="24"/>
    </row>
    <row r="1476" spans="2:16" x14ac:dyDescent="0.25">
      <c r="B1476" s="24"/>
      <c r="E1476" s="24"/>
      <c r="G1476" s="24"/>
      <c r="H1476" s="24"/>
      <c r="J1476" s="24"/>
      <c r="K1476" s="24"/>
      <c r="M1476" s="24"/>
      <c r="N1476" s="24"/>
      <c r="P1476" s="24"/>
    </row>
    <row r="1477" spans="2:16" x14ac:dyDescent="0.25">
      <c r="B1477" s="24"/>
      <c r="E1477" s="24"/>
      <c r="G1477" s="24"/>
      <c r="H1477" s="24"/>
      <c r="J1477" s="24"/>
      <c r="K1477" s="24"/>
      <c r="M1477" s="24"/>
      <c r="N1477" s="24"/>
      <c r="P1477" s="24"/>
    </row>
    <row r="1478" spans="2:16" x14ac:dyDescent="0.25">
      <c r="B1478" s="24"/>
      <c r="E1478" s="24"/>
      <c r="G1478" s="24"/>
      <c r="H1478" s="24"/>
      <c r="J1478" s="24"/>
      <c r="K1478" s="24"/>
      <c r="M1478" s="24"/>
      <c r="N1478" s="24"/>
      <c r="P1478" s="24"/>
    </row>
    <row r="1479" spans="2:16" x14ac:dyDescent="0.25">
      <c r="B1479" s="24"/>
      <c r="E1479" s="24"/>
      <c r="G1479" s="24"/>
      <c r="H1479" s="24"/>
      <c r="J1479" s="24"/>
      <c r="K1479" s="24"/>
      <c r="M1479" s="24"/>
      <c r="N1479" s="24"/>
      <c r="P1479" s="24"/>
    </row>
    <row r="1480" spans="2:16" x14ac:dyDescent="0.25">
      <c r="B1480" s="24"/>
      <c r="E1480" s="24"/>
      <c r="G1480" s="24"/>
      <c r="H1480" s="24"/>
      <c r="J1480" s="24"/>
      <c r="K1480" s="24"/>
      <c r="M1480" s="24"/>
      <c r="N1480" s="24"/>
      <c r="P1480" s="24"/>
    </row>
    <row r="1481" spans="2:16" x14ac:dyDescent="0.25">
      <c r="B1481" s="24"/>
      <c r="E1481" s="24"/>
      <c r="G1481" s="24"/>
      <c r="H1481" s="24"/>
      <c r="J1481" s="24"/>
      <c r="K1481" s="24"/>
      <c r="M1481" s="24"/>
      <c r="N1481" s="24"/>
      <c r="P1481" s="24"/>
    </row>
    <row r="1482" spans="2:16" x14ac:dyDescent="0.25">
      <c r="B1482" s="24"/>
      <c r="E1482" s="24"/>
      <c r="G1482" s="24"/>
      <c r="H1482" s="24"/>
      <c r="J1482" s="24"/>
      <c r="K1482" s="24"/>
      <c r="M1482" s="24"/>
      <c r="N1482" s="24"/>
      <c r="P1482" s="24"/>
    </row>
    <row r="1483" spans="2:16" x14ac:dyDescent="0.25">
      <c r="B1483" s="24"/>
      <c r="E1483" s="24"/>
      <c r="G1483" s="24"/>
      <c r="H1483" s="24"/>
      <c r="J1483" s="24"/>
      <c r="K1483" s="24"/>
      <c r="M1483" s="24"/>
      <c r="N1483" s="24"/>
      <c r="P1483" s="24"/>
    </row>
    <row r="1484" spans="2:16" x14ac:dyDescent="0.25">
      <c r="B1484" s="24"/>
      <c r="E1484" s="24"/>
      <c r="G1484" s="24"/>
      <c r="H1484" s="24"/>
      <c r="J1484" s="24"/>
      <c r="K1484" s="24"/>
      <c r="M1484" s="24"/>
      <c r="N1484" s="24"/>
      <c r="P1484" s="24"/>
    </row>
    <row r="1485" spans="2:16" x14ac:dyDescent="0.25">
      <c r="B1485" s="24"/>
      <c r="E1485" s="24"/>
      <c r="G1485" s="24"/>
      <c r="H1485" s="24"/>
      <c r="J1485" s="24"/>
      <c r="K1485" s="24"/>
      <c r="M1485" s="24"/>
      <c r="N1485" s="24"/>
      <c r="P1485" s="24"/>
    </row>
    <row r="1486" spans="2:16" x14ac:dyDescent="0.25">
      <c r="B1486" s="24"/>
      <c r="E1486" s="24"/>
      <c r="G1486" s="24"/>
      <c r="H1486" s="24"/>
      <c r="J1486" s="24"/>
      <c r="K1486" s="24"/>
      <c r="M1486" s="24"/>
      <c r="N1486" s="24"/>
      <c r="P1486" s="24"/>
    </row>
    <row r="1487" spans="2:16" x14ac:dyDescent="0.25">
      <c r="B1487" s="24"/>
      <c r="E1487" s="24"/>
      <c r="G1487" s="24"/>
      <c r="H1487" s="24"/>
      <c r="J1487" s="24"/>
      <c r="K1487" s="24"/>
      <c r="M1487" s="24"/>
      <c r="N1487" s="24"/>
      <c r="P1487" s="24"/>
    </row>
    <row r="1488" spans="2:16" x14ac:dyDescent="0.25">
      <c r="B1488" s="24"/>
      <c r="E1488" s="24"/>
      <c r="G1488" s="24"/>
      <c r="H1488" s="24"/>
      <c r="J1488" s="24"/>
      <c r="K1488" s="24"/>
      <c r="M1488" s="24"/>
      <c r="N1488" s="24"/>
      <c r="P1488" s="24"/>
    </row>
    <row r="1489" spans="2:16" x14ac:dyDescent="0.25">
      <c r="B1489" s="24"/>
      <c r="E1489" s="24"/>
      <c r="G1489" s="24"/>
      <c r="H1489" s="24"/>
      <c r="J1489" s="24"/>
      <c r="K1489" s="24"/>
      <c r="M1489" s="24"/>
      <c r="N1489" s="24"/>
      <c r="P1489" s="24"/>
    </row>
    <row r="1490" spans="2:16" x14ac:dyDescent="0.25">
      <c r="B1490" s="24"/>
      <c r="E1490" s="24"/>
      <c r="G1490" s="24"/>
      <c r="H1490" s="24"/>
      <c r="J1490" s="24"/>
      <c r="K1490" s="24"/>
      <c r="M1490" s="24"/>
      <c r="N1490" s="24"/>
      <c r="P1490" s="24"/>
    </row>
    <row r="1491" spans="2:16" x14ac:dyDescent="0.25">
      <c r="B1491" s="24"/>
      <c r="E1491" s="24"/>
      <c r="G1491" s="24"/>
      <c r="H1491" s="24"/>
      <c r="J1491" s="24"/>
      <c r="K1491" s="24"/>
      <c r="M1491" s="24"/>
      <c r="N1491" s="24"/>
      <c r="P1491" s="24"/>
    </row>
    <row r="1492" spans="2:16" x14ac:dyDescent="0.25">
      <c r="B1492" s="24"/>
      <c r="E1492" s="24"/>
      <c r="G1492" s="24"/>
      <c r="H1492" s="24"/>
      <c r="J1492" s="24"/>
      <c r="K1492" s="24"/>
      <c r="M1492" s="24"/>
      <c r="N1492" s="24"/>
      <c r="P1492" s="24"/>
    </row>
    <row r="1493" spans="2:16" x14ac:dyDescent="0.25">
      <c r="B1493" s="24"/>
      <c r="E1493" s="24"/>
      <c r="G1493" s="24"/>
      <c r="H1493" s="24"/>
      <c r="J1493" s="24"/>
      <c r="K1493" s="24"/>
      <c r="M1493" s="24"/>
      <c r="N1493" s="24"/>
      <c r="P1493" s="24"/>
    </row>
    <row r="1494" spans="2:16" x14ac:dyDescent="0.25">
      <c r="B1494" s="24"/>
      <c r="E1494" s="24"/>
      <c r="G1494" s="24"/>
      <c r="H1494" s="24"/>
      <c r="J1494" s="24"/>
      <c r="K1494" s="24"/>
      <c r="M1494" s="24"/>
      <c r="N1494" s="24"/>
      <c r="P1494" s="24"/>
    </row>
    <row r="1495" spans="2:16" x14ac:dyDescent="0.25">
      <c r="B1495" s="24"/>
      <c r="E1495" s="24"/>
      <c r="G1495" s="24"/>
      <c r="H1495" s="24"/>
      <c r="J1495" s="24"/>
      <c r="K1495" s="24"/>
      <c r="M1495" s="24"/>
      <c r="N1495" s="24"/>
      <c r="P1495" s="24"/>
    </row>
    <row r="1496" spans="2:16" x14ac:dyDescent="0.25">
      <c r="B1496" s="24"/>
      <c r="E1496" s="24"/>
      <c r="G1496" s="24"/>
      <c r="H1496" s="24"/>
      <c r="J1496" s="24"/>
      <c r="K1496" s="24"/>
      <c r="M1496" s="24"/>
      <c r="N1496" s="24"/>
      <c r="P1496" s="24"/>
    </row>
    <row r="1497" spans="2:16" x14ac:dyDescent="0.25">
      <c r="B1497" s="24"/>
      <c r="E1497" s="24"/>
      <c r="G1497" s="24"/>
      <c r="H1497" s="24"/>
      <c r="J1497" s="24"/>
      <c r="K1497" s="24"/>
      <c r="M1497" s="24"/>
      <c r="N1497" s="24"/>
      <c r="P1497" s="24"/>
    </row>
    <row r="1498" spans="2:16" x14ac:dyDescent="0.25">
      <c r="B1498" s="24"/>
      <c r="E1498" s="24"/>
      <c r="G1498" s="24"/>
      <c r="H1498" s="24"/>
      <c r="J1498" s="24"/>
      <c r="K1498" s="24"/>
      <c r="M1498" s="24"/>
      <c r="N1498" s="24"/>
      <c r="P1498" s="24"/>
    </row>
    <row r="1499" spans="2:16" x14ac:dyDescent="0.25">
      <c r="B1499" s="24"/>
      <c r="E1499" s="24"/>
      <c r="G1499" s="24"/>
      <c r="H1499" s="24"/>
      <c r="J1499" s="24"/>
      <c r="K1499" s="24"/>
      <c r="M1499" s="24"/>
      <c r="N1499" s="24"/>
      <c r="P1499" s="24"/>
    </row>
    <row r="1500" spans="2:16" x14ac:dyDescent="0.25">
      <c r="B1500" s="24"/>
      <c r="E1500" s="24"/>
      <c r="G1500" s="24"/>
      <c r="H1500" s="24"/>
      <c r="J1500" s="24"/>
      <c r="K1500" s="24"/>
      <c r="M1500" s="24"/>
      <c r="N1500" s="24"/>
      <c r="P1500" s="24"/>
    </row>
    <row r="1501" spans="2:16" x14ac:dyDescent="0.25">
      <c r="B1501" s="24"/>
      <c r="E1501" s="24"/>
      <c r="G1501" s="24"/>
      <c r="H1501" s="24"/>
      <c r="J1501" s="24"/>
      <c r="K1501" s="24"/>
      <c r="M1501" s="24"/>
      <c r="N1501" s="24"/>
      <c r="P1501" s="24"/>
    </row>
    <row r="1502" spans="2:16" x14ac:dyDescent="0.25">
      <c r="B1502" s="24"/>
      <c r="E1502" s="24"/>
      <c r="G1502" s="24"/>
      <c r="H1502" s="24"/>
      <c r="J1502" s="24"/>
      <c r="K1502" s="24"/>
      <c r="M1502" s="24"/>
      <c r="N1502" s="24"/>
      <c r="P1502" s="24"/>
    </row>
    <row r="1503" spans="2:16" x14ac:dyDescent="0.25">
      <c r="B1503" s="24"/>
      <c r="E1503" s="24"/>
      <c r="G1503" s="24"/>
      <c r="H1503" s="24"/>
      <c r="J1503" s="24"/>
      <c r="K1503" s="24"/>
      <c r="M1503" s="24"/>
      <c r="N1503" s="24"/>
      <c r="P1503" s="24"/>
    </row>
    <row r="1504" spans="2:16" x14ac:dyDescent="0.25">
      <c r="B1504" s="24"/>
      <c r="E1504" s="24"/>
      <c r="G1504" s="24"/>
      <c r="H1504" s="24"/>
      <c r="J1504" s="24"/>
      <c r="K1504" s="24"/>
      <c r="M1504" s="24"/>
      <c r="N1504" s="24"/>
      <c r="P1504" s="24"/>
    </row>
    <row r="1505" spans="2:16" x14ac:dyDescent="0.25">
      <c r="B1505" s="24"/>
      <c r="E1505" s="24"/>
      <c r="G1505" s="24"/>
      <c r="H1505" s="24"/>
      <c r="J1505" s="24"/>
      <c r="K1505" s="24"/>
      <c r="M1505" s="24"/>
      <c r="N1505" s="24"/>
      <c r="P1505" s="24"/>
    </row>
    <row r="1506" spans="2:16" x14ac:dyDescent="0.25">
      <c r="B1506" s="24"/>
      <c r="E1506" s="24"/>
      <c r="G1506" s="24"/>
      <c r="H1506" s="24"/>
      <c r="J1506" s="24"/>
      <c r="K1506" s="24"/>
      <c r="M1506" s="24"/>
      <c r="N1506" s="24"/>
      <c r="P1506" s="24"/>
    </row>
    <row r="1507" spans="2:16" x14ac:dyDescent="0.25">
      <c r="B1507" s="24"/>
      <c r="E1507" s="24"/>
      <c r="G1507" s="24"/>
      <c r="H1507" s="24"/>
      <c r="J1507" s="24"/>
      <c r="K1507" s="24"/>
      <c r="M1507" s="24"/>
      <c r="N1507" s="24"/>
      <c r="P1507" s="24"/>
    </row>
    <row r="1508" spans="2:16" x14ac:dyDescent="0.25">
      <c r="B1508" s="24"/>
      <c r="E1508" s="24"/>
      <c r="G1508" s="24"/>
      <c r="H1508" s="24"/>
      <c r="J1508" s="24"/>
      <c r="K1508" s="24"/>
      <c r="M1508" s="24"/>
      <c r="N1508" s="24"/>
      <c r="P1508" s="24"/>
    </row>
    <row r="1509" spans="2:16" x14ac:dyDescent="0.25">
      <c r="B1509" s="24"/>
      <c r="E1509" s="24"/>
      <c r="G1509" s="24"/>
      <c r="H1509" s="24"/>
      <c r="J1509" s="24"/>
      <c r="K1509" s="24"/>
      <c r="M1509" s="24"/>
      <c r="N1509" s="24"/>
      <c r="P1509" s="24"/>
    </row>
    <row r="1510" spans="2:16" x14ac:dyDescent="0.25">
      <c r="B1510" s="24"/>
      <c r="E1510" s="24"/>
      <c r="G1510" s="24"/>
      <c r="H1510" s="24"/>
      <c r="J1510" s="24"/>
      <c r="K1510" s="24"/>
      <c r="M1510" s="24"/>
      <c r="N1510" s="24"/>
      <c r="P1510" s="24"/>
    </row>
    <row r="1511" spans="2:16" x14ac:dyDescent="0.25">
      <c r="B1511" s="24"/>
      <c r="E1511" s="24"/>
      <c r="G1511" s="24"/>
      <c r="H1511" s="24"/>
      <c r="J1511" s="24"/>
      <c r="K1511" s="24"/>
      <c r="M1511" s="24"/>
      <c r="N1511" s="24"/>
      <c r="P1511" s="24"/>
    </row>
    <row r="1512" spans="2:16" x14ac:dyDescent="0.25">
      <c r="B1512" s="24"/>
      <c r="E1512" s="24"/>
      <c r="G1512" s="24"/>
      <c r="H1512" s="24"/>
      <c r="J1512" s="24"/>
      <c r="K1512" s="24"/>
      <c r="M1512" s="24"/>
      <c r="N1512" s="24"/>
      <c r="P1512" s="24"/>
    </row>
    <row r="1513" spans="2:16" x14ac:dyDescent="0.25">
      <c r="B1513" s="24"/>
      <c r="E1513" s="24"/>
      <c r="G1513" s="24"/>
      <c r="H1513" s="24"/>
      <c r="J1513" s="24"/>
      <c r="K1513" s="24"/>
      <c r="M1513" s="24"/>
      <c r="N1513" s="24"/>
      <c r="P1513" s="24"/>
    </row>
    <row r="1514" spans="2:16" x14ac:dyDescent="0.25">
      <c r="B1514" s="24"/>
      <c r="E1514" s="24"/>
      <c r="G1514" s="24"/>
      <c r="H1514" s="24"/>
      <c r="J1514" s="24"/>
      <c r="K1514" s="24"/>
      <c r="M1514" s="24"/>
      <c r="N1514" s="24"/>
      <c r="P1514" s="24"/>
    </row>
    <row r="1515" spans="2:16" x14ac:dyDescent="0.25">
      <c r="B1515" s="24"/>
      <c r="E1515" s="24"/>
      <c r="G1515" s="24"/>
      <c r="H1515" s="24"/>
      <c r="J1515" s="24"/>
      <c r="K1515" s="24"/>
      <c r="M1515" s="24"/>
      <c r="N1515" s="24"/>
      <c r="P1515" s="24"/>
    </row>
    <row r="1516" spans="2:16" x14ac:dyDescent="0.25">
      <c r="B1516" s="24"/>
      <c r="E1516" s="24"/>
      <c r="G1516" s="24"/>
      <c r="H1516" s="24"/>
      <c r="J1516" s="24"/>
      <c r="K1516" s="24"/>
      <c r="M1516" s="24"/>
      <c r="N1516" s="24"/>
      <c r="P1516" s="24"/>
    </row>
    <row r="1517" spans="2:16" x14ac:dyDescent="0.25">
      <c r="B1517" s="24"/>
      <c r="E1517" s="24"/>
      <c r="G1517" s="24"/>
      <c r="H1517" s="24"/>
      <c r="J1517" s="24"/>
      <c r="K1517" s="24"/>
      <c r="M1517" s="24"/>
      <c r="N1517" s="24"/>
      <c r="P1517" s="24"/>
    </row>
    <row r="1518" spans="2:16" x14ac:dyDescent="0.25">
      <c r="B1518" s="24"/>
      <c r="E1518" s="24"/>
      <c r="G1518" s="24"/>
      <c r="H1518" s="24"/>
      <c r="J1518" s="24"/>
      <c r="K1518" s="24"/>
      <c r="M1518" s="24"/>
      <c r="N1518" s="24"/>
      <c r="P1518" s="24"/>
    </row>
    <row r="1519" spans="2:16" x14ac:dyDescent="0.25">
      <c r="B1519" s="24"/>
      <c r="E1519" s="24"/>
      <c r="G1519" s="24"/>
      <c r="H1519" s="24"/>
      <c r="J1519" s="24"/>
      <c r="K1519" s="24"/>
      <c r="M1519" s="24"/>
      <c r="N1519" s="24"/>
      <c r="P1519" s="24"/>
    </row>
    <row r="1520" spans="2:16" x14ac:dyDescent="0.25">
      <c r="B1520" s="24"/>
      <c r="E1520" s="24"/>
      <c r="G1520" s="24"/>
      <c r="H1520" s="24"/>
      <c r="J1520" s="24"/>
      <c r="K1520" s="24"/>
      <c r="M1520" s="24"/>
      <c r="N1520" s="24"/>
      <c r="P1520" s="24"/>
    </row>
    <row r="1521" spans="2:16" x14ac:dyDescent="0.25">
      <c r="B1521" s="24"/>
      <c r="E1521" s="24"/>
      <c r="G1521" s="24"/>
      <c r="H1521" s="24"/>
      <c r="J1521" s="24"/>
      <c r="K1521" s="24"/>
      <c r="M1521" s="24"/>
      <c r="N1521" s="24"/>
      <c r="P1521" s="24"/>
    </row>
    <row r="1522" spans="2:16" x14ac:dyDescent="0.25">
      <c r="B1522" s="24"/>
      <c r="E1522" s="24"/>
      <c r="G1522" s="24"/>
      <c r="H1522" s="24"/>
      <c r="J1522" s="24"/>
      <c r="K1522" s="24"/>
      <c r="M1522" s="24"/>
      <c r="N1522" s="24"/>
      <c r="P1522" s="24"/>
    </row>
    <row r="1523" spans="2:16" x14ac:dyDescent="0.25">
      <c r="B1523" s="24"/>
      <c r="E1523" s="24"/>
      <c r="G1523" s="24"/>
      <c r="H1523" s="24"/>
      <c r="J1523" s="24"/>
      <c r="K1523" s="24"/>
      <c r="M1523" s="24"/>
      <c r="N1523" s="24"/>
      <c r="P1523" s="24"/>
    </row>
    <row r="1524" spans="2:16" x14ac:dyDescent="0.25">
      <c r="B1524" s="24"/>
      <c r="E1524" s="24"/>
      <c r="G1524" s="24"/>
      <c r="H1524" s="24"/>
      <c r="J1524" s="24"/>
      <c r="K1524" s="24"/>
      <c r="M1524" s="24"/>
      <c r="N1524" s="24"/>
      <c r="P1524" s="24"/>
    </row>
    <row r="1525" spans="2:16" x14ac:dyDescent="0.25">
      <c r="B1525" s="24"/>
      <c r="E1525" s="24"/>
      <c r="G1525" s="24"/>
      <c r="H1525" s="24"/>
      <c r="J1525" s="24"/>
      <c r="K1525" s="24"/>
      <c r="M1525" s="24"/>
      <c r="N1525" s="24"/>
      <c r="P1525" s="24"/>
    </row>
    <row r="1526" spans="2:16" x14ac:dyDescent="0.25">
      <c r="B1526" s="24"/>
      <c r="E1526" s="24"/>
      <c r="G1526" s="24"/>
      <c r="H1526" s="24"/>
      <c r="J1526" s="24"/>
      <c r="K1526" s="24"/>
      <c r="M1526" s="24"/>
      <c r="N1526" s="24"/>
      <c r="P1526" s="24"/>
    </row>
    <row r="1527" spans="2:16" x14ac:dyDescent="0.25">
      <c r="B1527" s="24"/>
      <c r="E1527" s="24"/>
      <c r="G1527" s="24"/>
      <c r="H1527" s="24"/>
      <c r="J1527" s="24"/>
      <c r="K1527" s="24"/>
      <c r="M1527" s="24"/>
      <c r="N1527" s="24"/>
      <c r="P1527" s="24"/>
    </row>
    <row r="1528" spans="2:16" x14ac:dyDescent="0.25">
      <c r="B1528" s="24"/>
      <c r="E1528" s="24"/>
      <c r="G1528" s="24"/>
      <c r="H1528" s="24"/>
      <c r="J1528" s="24"/>
      <c r="K1528" s="24"/>
      <c r="M1528" s="24"/>
      <c r="N1528" s="24"/>
      <c r="P1528" s="24"/>
    </row>
    <row r="1529" spans="2:16" x14ac:dyDescent="0.25">
      <c r="B1529" s="24"/>
      <c r="E1529" s="24"/>
      <c r="G1529" s="24"/>
      <c r="H1529" s="24"/>
      <c r="J1529" s="24"/>
      <c r="K1529" s="24"/>
      <c r="M1529" s="24"/>
      <c r="N1529" s="24"/>
      <c r="P1529" s="24"/>
    </row>
    <row r="1530" spans="2:16" x14ac:dyDescent="0.25">
      <c r="B1530" s="24"/>
      <c r="E1530" s="24"/>
      <c r="G1530" s="24"/>
      <c r="H1530" s="24"/>
      <c r="J1530" s="24"/>
      <c r="K1530" s="24"/>
      <c r="M1530" s="24"/>
      <c r="N1530" s="24"/>
      <c r="P1530" s="24"/>
    </row>
    <row r="1531" spans="2:16" x14ac:dyDescent="0.25">
      <c r="B1531" s="24"/>
      <c r="E1531" s="24"/>
      <c r="G1531" s="24"/>
      <c r="H1531" s="24"/>
      <c r="J1531" s="24"/>
      <c r="K1531" s="24"/>
      <c r="M1531" s="24"/>
      <c r="N1531" s="24"/>
      <c r="P1531" s="24"/>
    </row>
    <row r="1532" spans="2:16" x14ac:dyDescent="0.25">
      <c r="B1532" s="24"/>
      <c r="E1532" s="24"/>
      <c r="G1532" s="24"/>
      <c r="H1532" s="24"/>
      <c r="J1532" s="24"/>
      <c r="K1532" s="24"/>
      <c r="M1532" s="24"/>
      <c r="N1532" s="24"/>
      <c r="P1532" s="24"/>
    </row>
    <row r="1533" spans="2:16" x14ac:dyDescent="0.25">
      <c r="B1533" s="24"/>
      <c r="E1533" s="24"/>
      <c r="G1533" s="24"/>
      <c r="H1533" s="24"/>
      <c r="J1533" s="24"/>
      <c r="K1533" s="24"/>
      <c r="M1533" s="24"/>
      <c r="N1533" s="24"/>
      <c r="P1533" s="24"/>
    </row>
    <row r="1534" spans="2:16" x14ac:dyDescent="0.25">
      <c r="B1534" s="24"/>
      <c r="E1534" s="24"/>
      <c r="G1534" s="24"/>
      <c r="H1534" s="24"/>
      <c r="J1534" s="24"/>
      <c r="K1534" s="24"/>
      <c r="M1534" s="24"/>
      <c r="N1534" s="24"/>
      <c r="P1534" s="24"/>
    </row>
    <row r="1535" spans="2:16" x14ac:dyDescent="0.25">
      <c r="B1535" s="24"/>
      <c r="E1535" s="24"/>
      <c r="G1535" s="24"/>
      <c r="H1535" s="24"/>
      <c r="J1535" s="24"/>
      <c r="K1535" s="24"/>
      <c r="M1535" s="24"/>
      <c r="N1535" s="24"/>
      <c r="P1535" s="24"/>
    </row>
    <row r="1536" spans="2:16" x14ac:dyDescent="0.25">
      <c r="B1536" s="24"/>
      <c r="E1536" s="24"/>
      <c r="G1536" s="24"/>
      <c r="H1536" s="24"/>
      <c r="J1536" s="24"/>
      <c r="K1536" s="24"/>
      <c r="M1536" s="24"/>
      <c r="N1536" s="24"/>
      <c r="P1536" s="24"/>
    </row>
    <row r="1537" spans="2:16" x14ac:dyDescent="0.25">
      <c r="B1537" s="24"/>
      <c r="E1537" s="24"/>
      <c r="G1537" s="24"/>
      <c r="H1537" s="24"/>
      <c r="J1537" s="24"/>
      <c r="K1537" s="24"/>
      <c r="M1537" s="24"/>
      <c r="N1537" s="24"/>
      <c r="P1537" s="24"/>
    </row>
    <row r="1538" spans="2:16" x14ac:dyDescent="0.25">
      <c r="B1538" s="24"/>
      <c r="E1538" s="24"/>
      <c r="G1538" s="24"/>
      <c r="H1538" s="24"/>
      <c r="J1538" s="24"/>
      <c r="K1538" s="24"/>
      <c r="M1538" s="24"/>
      <c r="N1538" s="24"/>
      <c r="P1538" s="24"/>
    </row>
    <row r="1539" spans="2:16" x14ac:dyDescent="0.25">
      <c r="B1539" s="24"/>
      <c r="E1539" s="24"/>
      <c r="G1539" s="24"/>
      <c r="H1539" s="24"/>
      <c r="J1539" s="24"/>
      <c r="K1539" s="24"/>
      <c r="M1539" s="24"/>
      <c r="N1539" s="24"/>
      <c r="P1539" s="24"/>
    </row>
    <row r="1540" spans="2:16" x14ac:dyDescent="0.25">
      <c r="B1540" s="24"/>
      <c r="E1540" s="24"/>
      <c r="G1540" s="24"/>
      <c r="H1540" s="24"/>
      <c r="J1540" s="24"/>
      <c r="K1540" s="24"/>
      <c r="M1540" s="24"/>
      <c r="N1540" s="24"/>
      <c r="P1540" s="24"/>
    </row>
    <row r="1541" spans="2:16" x14ac:dyDescent="0.25">
      <c r="B1541" s="24"/>
      <c r="E1541" s="24"/>
      <c r="G1541" s="24"/>
      <c r="H1541" s="24"/>
      <c r="J1541" s="24"/>
      <c r="K1541" s="24"/>
      <c r="M1541" s="24"/>
      <c r="N1541" s="24"/>
      <c r="P1541" s="24"/>
    </row>
    <row r="1542" spans="2:16" x14ac:dyDescent="0.25">
      <c r="B1542" s="24"/>
      <c r="E1542" s="24"/>
      <c r="G1542" s="24"/>
      <c r="H1542" s="24"/>
      <c r="J1542" s="24"/>
      <c r="K1542" s="24"/>
      <c r="M1542" s="24"/>
      <c r="N1542" s="24"/>
      <c r="P1542" s="24"/>
    </row>
    <row r="1543" spans="2:16" x14ac:dyDescent="0.25">
      <c r="B1543" s="24"/>
      <c r="E1543" s="24"/>
      <c r="G1543" s="24"/>
      <c r="H1543" s="24"/>
      <c r="J1543" s="24"/>
      <c r="K1543" s="24"/>
      <c r="M1543" s="24"/>
      <c r="N1543" s="24"/>
      <c r="P1543" s="24"/>
    </row>
    <row r="1544" spans="2:16" x14ac:dyDescent="0.25">
      <c r="B1544" s="24"/>
      <c r="E1544" s="24"/>
      <c r="G1544" s="24"/>
      <c r="H1544" s="24"/>
      <c r="J1544" s="24"/>
      <c r="K1544" s="24"/>
      <c r="M1544" s="24"/>
      <c r="N1544" s="24"/>
      <c r="P1544" s="24"/>
    </row>
    <row r="1545" spans="2:16" x14ac:dyDescent="0.25">
      <c r="B1545" s="24"/>
      <c r="E1545" s="24"/>
      <c r="G1545" s="24"/>
      <c r="H1545" s="24"/>
      <c r="J1545" s="24"/>
      <c r="K1545" s="24"/>
      <c r="M1545" s="24"/>
      <c r="N1545" s="24"/>
      <c r="P1545" s="24"/>
    </row>
    <row r="1546" spans="2:16" x14ac:dyDescent="0.25">
      <c r="B1546" s="24"/>
      <c r="E1546" s="24"/>
      <c r="G1546" s="24"/>
      <c r="H1546" s="24"/>
      <c r="J1546" s="24"/>
      <c r="K1546" s="24"/>
      <c r="M1546" s="24"/>
      <c r="N1546" s="24"/>
      <c r="P1546" s="24"/>
    </row>
    <row r="1547" spans="2:16" x14ac:dyDescent="0.25">
      <c r="B1547" s="24"/>
      <c r="E1547" s="24"/>
      <c r="G1547" s="24"/>
      <c r="H1547" s="24"/>
      <c r="J1547" s="24"/>
      <c r="K1547" s="24"/>
      <c r="M1547" s="24"/>
      <c r="N1547" s="24"/>
      <c r="P1547" s="24"/>
    </row>
    <row r="1548" spans="2:16" x14ac:dyDescent="0.25">
      <c r="B1548" s="24"/>
      <c r="E1548" s="24"/>
      <c r="G1548" s="24"/>
      <c r="H1548" s="24"/>
      <c r="J1548" s="24"/>
      <c r="K1548" s="24"/>
      <c r="M1548" s="24"/>
      <c r="N1548" s="24"/>
      <c r="P1548" s="24"/>
    </row>
    <row r="1549" spans="2:16" x14ac:dyDescent="0.25">
      <c r="B1549" s="24"/>
      <c r="E1549" s="24"/>
      <c r="G1549" s="24"/>
      <c r="H1549" s="24"/>
      <c r="J1549" s="24"/>
      <c r="K1549" s="24"/>
      <c r="M1549" s="24"/>
      <c r="N1549" s="24"/>
      <c r="P1549" s="24"/>
    </row>
    <row r="1550" spans="2:16" x14ac:dyDescent="0.25">
      <c r="B1550" s="24"/>
      <c r="E1550" s="24"/>
      <c r="G1550" s="24"/>
      <c r="H1550" s="24"/>
      <c r="J1550" s="24"/>
      <c r="K1550" s="24"/>
      <c r="M1550" s="24"/>
      <c r="N1550" s="24"/>
      <c r="P1550" s="24"/>
    </row>
    <row r="1551" spans="2:16" x14ac:dyDescent="0.25">
      <c r="B1551" s="24"/>
      <c r="E1551" s="24"/>
      <c r="G1551" s="24"/>
      <c r="H1551" s="24"/>
      <c r="J1551" s="24"/>
      <c r="K1551" s="24"/>
      <c r="M1551" s="24"/>
      <c r="N1551" s="24"/>
      <c r="P1551" s="24"/>
    </row>
    <row r="1552" spans="2:16" x14ac:dyDescent="0.25">
      <c r="B1552" s="24"/>
      <c r="E1552" s="24"/>
      <c r="G1552" s="24"/>
      <c r="H1552" s="24"/>
      <c r="J1552" s="24"/>
      <c r="K1552" s="24"/>
      <c r="M1552" s="24"/>
      <c r="N1552" s="24"/>
      <c r="P1552" s="24"/>
    </row>
    <row r="1553" spans="2:16" x14ac:dyDescent="0.25">
      <c r="B1553" s="24"/>
      <c r="E1553" s="24"/>
      <c r="G1553" s="24"/>
      <c r="H1553" s="24"/>
      <c r="J1553" s="24"/>
      <c r="K1553" s="24"/>
      <c r="M1553" s="24"/>
      <c r="N1553" s="24"/>
      <c r="P1553" s="24"/>
    </row>
    <row r="1554" spans="2:16" x14ac:dyDescent="0.25">
      <c r="B1554" s="24"/>
      <c r="E1554" s="24"/>
      <c r="G1554" s="24"/>
      <c r="H1554" s="24"/>
      <c r="J1554" s="24"/>
      <c r="K1554" s="24"/>
      <c r="M1554" s="24"/>
      <c r="N1554" s="24"/>
      <c r="P1554" s="24"/>
    </row>
    <row r="1555" spans="2:16" x14ac:dyDescent="0.25">
      <c r="B1555" s="24"/>
      <c r="E1555" s="24"/>
      <c r="G1555" s="24"/>
      <c r="H1555" s="24"/>
      <c r="J1555" s="24"/>
      <c r="K1555" s="24"/>
      <c r="M1555" s="24"/>
      <c r="N1555" s="24"/>
      <c r="P1555" s="24"/>
    </row>
    <row r="1556" spans="2:16" x14ac:dyDescent="0.25">
      <c r="B1556" s="24"/>
      <c r="E1556" s="24"/>
      <c r="G1556" s="24"/>
      <c r="H1556" s="24"/>
      <c r="J1556" s="24"/>
      <c r="K1556" s="24"/>
      <c r="M1556" s="24"/>
      <c r="N1556" s="24"/>
      <c r="P1556" s="24"/>
    </row>
    <row r="1557" spans="2:16" x14ac:dyDescent="0.25">
      <c r="B1557" s="24"/>
      <c r="E1557" s="24"/>
      <c r="G1557" s="24"/>
      <c r="H1557" s="24"/>
      <c r="J1557" s="24"/>
      <c r="K1557" s="24"/>
      <c r="M1557" s="24"/>
      <c r="N1557" s="24"/>
      <c r="P1557" s="24"/>
    </row>
    <row r="1558" spans="2:16" x14ac:dyDescent="0.25">
      <c r="B1558" s="24"/>
      <c r="E1558" s="24"/>
      <c r="G1558" s="24"/>
      <c r="H1558" s="24"/>
      <c r="J1558" s="24"/>
      <c r="K1558" s="24"/>
      <c r="M1558" s="24"/>
      <c r="N1558" s="24"/>
      <c r="P1558" s="24"/>
    </row>
    <row r="1559" spans="2:16" x14ac:dyDescent="0.25">
      <c r="B1559" s="24"/>
      <c r="E1559" s="24"/>
      <c r="G1559" s="24"/>
      <c r="H1559" s="24"/>
      <c r="J1559" s="24"/>
      <c r="K1559" s="24"/>
      <c r="M1559" s="24"/>
      <c r="N1559" s="24"/>
      <c r="P1559" s="24"/>
    </row>
    <row r="1560" spans="2:16" x14ac:dyDescent="0.25">
      <c r="B1560" s="24"/>
      <c r="E1560" s="24"/>
      <c r="G1560" s="24"/>
      <c r="H1560" s="24"/>
      <c r="J1560" s="24"/>
      <c r="K1560" s="24"/>
      <c r="M1560" s="24"/>
      <c r="N1560" s="24"/>
      <c r="P1560" s="24"/>
    </row>
    <row r="1561" spans="2:16" x14ac:dyDescent="0.25">
      <c r="B1561" s="24"/>
      <c r="E1561" s="24"/>
      <c r="G1561" s="24"/>
      <c r="H1561" s="24"/>
      <c r="J1561" s="24"/>
      <c r="K1561" s="24"/>
      <c r="M1561" s="24"/>
      <c r="N1561" s="24"/>
      <c r="P1561" s="24"/>
    </row>
    <row r="1562" spans="2:16" x14ac:dyDescent="0.25">
      <c r="B1562" s="24"/>
      <c r="E1562" s="24"/>
      <c r="G1562" s="24"/>
      <c r="H1562" s="24"/>
      <c r="J1562" s="24"/>
      <c r="K1562" s="24"/>
      <c r="M1562" s="24"/>
      <c r="N1562" s="24"/>
      <c r="P1562" s="24"/>
    </row>
    <row r="1563" spans="2:16" x14ac:dyDescent="0.25">
      <c r="B1563" s="24"/>
      <c r="E1563" s="24"/>
      <c r="G1563" s="24"/>
      <c r="H1563" s="24"/>
      <c r="J1563" s="24"/>
      <c r="K1563" s="24"/>
      <c r="M1563" s="24"/>
      <c r="N1563" s="24"/>
      <c r="P1563" s="24"/>
    </row>
    <row r="1564" spans="2:16" x14ac:dyDescent="0.25">
      <c r="B1564" s="24"/>
      <c r="E1564" s="24"/>
      <c r="G1564" s="24"/>
      <c r="H1564" s="24"/>
      <c r="J1564" s="24"/>
      <c r="K1564" s="24"/>
      <c r="M1564" s="24"/>
      <c r="N1564" s="24"/>
      <c r="P1564" s="24"/>
    </row>
    <row r="1565" spans="2:16" x14ac:dyDescent="0.25">
      <c r="B1565" s="24"/>
      <c r="E1565" s="24"/>
      <c r="G1565" s="24"/>
      <c r="H1565" s="24"/>
      <c r="J1565" s="24"/>
      <c r="K1565" s="24"/>
      <c r="M1565" s="24"/>
      <c r="N1565" s="24"/>
      <c r="P1565" s="24"/>
    </row>
    <row r="1566" spans="2:16" x14ac:dyDescent="0.25">
      <c r="B1566" s="24"/>
      <c r="E1566" s="24"/>
      <c r="G1566" s="24"/>
      <c r="H1566" s="24"/>
      <c r="J1566" s="24"/>
      <c r="K1566" s="24"/>
      <c r="M1566" s="24"/>
      <c r="N1566" s="24"/>
      <c r="P1566" s="24"/>
    </row>
    <row r="1567" spans="2:16" x14ac:dyDescent="0.25">
      <c r="B1567" s="24"/>
      <c r="E1567" s="24"/>
      <c r="G1567" s="24"/>
      <c r="H1567" s="24"/>
      <c r="J1567" s="24"/>
      <c r="K1567" s="24"/>
      <c r="M1567" s="24"/>
      <c r="N1567" s="24"/>
      <c r="P1567" s="24"/>
    </row>
    <row r="1568" spans="2:16" x14ac:dyDescent="0.25">
      <c r="B1568" s="24"/>
      <c r="E1568" s="24"/>
      <c r="G1568" s="24"/>
      <c r="H1568" s="24"/>
      <c r="J1568" s="24"/>
      <c r="K1568" s="24"/>
      <c r="M1568" s="24"/>
      <c r="N1568" s="24"/>
      <c r="P1568" s="24"/>
    </row>
    <row r="1569" spans="2:16" x14ac:dyDescent="0.25">
      <c r="B1569" s="24"/>
      <c r="E1569" s="24"/>
      <c r="G1569" s="24"/>
      <c r="H1569" s="24"/>
      <c r="J1569" s="24"/>
      <c r="K1569" s="24"/>
      <c r="M1569" s="24"/>
      <c r="N1569" s="24"/>
      <c r="P1569" s="24"/>
    </row>
    <row r="1570" spans="2:16" x14ac:dyDescent="0.25">
      <c r="B1570" s="24"/>
      <c r="E1570" s="24"/>
      <c r="G1570" s="24"/>
      <c r="H1570" s="24"/>
      <c r="J1570" s="24"/>
      <c r="K1570" s="24"/>
      <c r="M1570" s="24"/>
      <c r="N1570" s="24"/>
      <c r="P1570" s="24"/>
    </row>
    <row r="1571" spans="2:16" x14ac:dyDescent="0.25">
      <c r="B1571" s="24"/>
      <c r="E1571" s="24"/>
      <c r="G1571" s="24"/>
      <c r="H1571" s="24"/>
      <c r="J1571" s="24"/>
      <c r="K1571" s="24"/>
      <c r="M1571" s="24"/>
      <c r="N1571" s="24"/>
      <c r="P1571" s="24"/>
    </row>
    <row r="1572" spans="2:16" x14ac:dyDescent="0.25">
      <c r="B1572" s="24"/>
      <c r="E1572" s="24"/>
      <c r="G1572" s="24"/>
      <c r="H1572" s="24"/>
      <c r="J1572" s="24"/>
      <c r="K1572" s="24"/>
      <c r="M1572" s="24"/>
      <c r="N1572" s="24"/>
      <c r="P1572" s="24"/>
    </row>
    <row r="1573" spans="2:16" x14ac:dyDescent="0.25">
      <c r="B1573" s="24"/>
      <c r="E1573" s="24"/>
      <c r="G1573" s="24"/>
      <c r="H1573" s="24"/>
      <c r="J1573" s="24"/>
      <c r="K1573" s="24"/>
      <c r="M1573" s="24"/>
      <c r="N1573" s="24"/>
      <c r="P1573" s="24"/>
    </row>
    <row r="1574" spans="2:16" x14ac:dyDescent="0.25">
      <c r="B1574" s="24"/>
      <c r="E1574" s="24"/>
      <c r="G1574" s="24"/>
      <c r="H1574" s="24"/>
      <c r="J1574" s="24"/>
      <c r="K1574" s="24"/>
      <c r="M1574" s="24"/>
      <c r="N1574" s="24"/>
      <c r="P1574" s="24"/>
    </row>
    <row r="1575" spans="2:16" x14ac:dyDescent="0.25">
      <c r="B1575" s="24"/>
      <c r="E1575" s="24"/>
      <c r="G1575" s="24"/>
      <c r="H1575" s="24"/>
      <c r="J1575" s="24"/>
      <c r="K1575" s="24"/>
      <c r="M1575" s="24"/>
      <c r="N1575" s="24"/>
      <c r="P1575" s="24"/>
    </row>
    <row r="1576" spans="2:16" x14ac:dyDescent="0.25">
      <c r="B1576" s="24"/>
      <c r="E1576" s="24"/>
      <c r="G1576" s="24"/>
      <c r="H1576" s="24"/>
      <c r="J1576" s="24"/>
      <c r="K1576" s="24"/>
      <c r="M1576" s="24"/>
      <c r="N1576" s="24"/>
      <c r="P1576" s="24"/>
    </row>
    <row r="1577" spans="2:16" x14ac:dyDescent="0.25">
      <c r="B1577" s="24"/>
      <c r="E1577" s="24"/>
      <c r="G1577" s="24"/>
      <c r="H1577" s="24"/>
      <c r="J1577" s="24"/>
      <c r="K1577" s="24"/>
      <c r="M1577" s="24"/>
      <c r="N1577" s="24"/>
      <c r="P1577" s="24"/>
    </row>
    <row r="1578" spans="2:16" x14ac:dyDescent="0.25">
      <c r="B1578" s="24"/>
      <c r="E1578" s="24"/>
      <c r="G1578" s="24"/>
      <c r="H1578" s="24"/>
      <c r="J1578" s="24"/>
      <c r="K1578" s="24"/>
      <c r="M1578" s="24"/>
      <c r="N1578" s="24"/>
      <c r="P1578" s="24"/>
    </row>
    <row r="1579" spans="2:16" x14ac:dyDescent="0.25">
      <c r="B1579" s="24"/>
      <c r="E1579" s="24"/>
      <c r="G1579" s="24"/>
      <c r="H1579" s="24"/>
      <c r="J1579" s="24"/>
      <c r="K1579" s="24"/>
      <c r="M1579" s="24"/>
      <c r="N1579" s="24"/>
      <c r="P1579" s="24"/>
    </row>
    <row r="1580" spans="2:16" x14ac:dyDescent="0.25">
      <c r="B1580" s="24"/>
      <c r="E1580" s="24"/>
      <c r="G1580" s="24"/>
      <c r="H1580" s="24"/>
      <c r="J1580" s="24"/>
      <c r="K1580" s="24"/>
      <c r="M1580" s="24"/>
      <c r="N1580" s="24"/>
      <c r="P1580" s="24"/>
    </row>
    <row r="1581" spans="2:16" x14ac:dyDescent="0.25">
      <c r="B1581" s="24"/>
      <c r="E1581" s="24"/>
      <c r="G1581" s="24"/>
      <c r="H1581" s="24"/>
      <c r="J1581" s="24"/>
      <c r="K1581" s="24"/>
      <c r="M1581" s="24"/>
      <c r="N1581" s="24"/>
      <c r="P1581" s="24"/>
    </row>
    <row r="1582" spans="2:16" x14ac:dyDescent="0.25">
      <c r="B1582" s="24"/>
      <c r="E1582" s="24"/>
      <c r="G1582" s="24"/>
      <c r="H1582" s="24"/>
      <c r="J1582" s="24"/>
      <c r="K1582" s="24"/>
      <c r="M1582" s="24"/>
      <c r="N1582" s="24"/>
      <c r="P1582" s="24"/>
    </row>
    <row r="1583" spans="2:16" x14ac:dyDescent="0.25">
      <c r="B1583" s="24"/>
      <c r="E1583" s="24"/>
      <c r="G1583" s="24"/>
      <c r="H1583" s="24"/>
      <c r="J1583" s="24"/>
      <c r="K1583" s="24"/>
      <c r="M1583" s="24"/>
      <c r="N1583" s="24"/>
      <c r="P1583" s="24"/>
    </row>
    <row r="1584" spans="2:16" x14ac:dyDescent="0.25">
      <c r="B1584" s="24"/>
      <c r="E1584" s="24"/>
      <c r="G1584" s="24"/>
      <c r="H1584" s="24"/>
      <c r="J1584" s="24"/>
      <c r="K1584" s="24"/>
      <c r="M1584" s="24"/>
      <c r="N1584" s="24"/>
      <c r="P1584" s="24"/>
    </row>
    <row r="1585" spans="2:16" x14ac:dyDescent="0.25">
      <c r="B1585" s="24"/>
      <c r="E1585" s="24"/>
      <c r="G1585" s="24"/>
      <c r="H1585" s="24"/>
      <c r="J1585" s="24"/>
      <c r="K1585" s="24"/>
      <c r="M1585" s="24"/>
      <c r="N1585" s="24"/>
      <c r="P1585" s="24"/>
    </row>
    <row r="1586" spans="2:16" x14ac:dyDescent="0.25">
      <c r="B1586" s="24"/>
      <c r="E1586" s="24"/>
      <c r="G1586" s="24"/>
      <c r="H1586" s="24"/>
      <c r="J1586" s="24"/>
      <c r="K1586" s="24"/>
      <c r="M1586" s="24"/>
      <c r="N1586" s="24"/>
      <c r="P1586" s="24"/>
    </row>
    <row r="1587" spans="2:16" x14ac:dyDescent="0.25">
      <c r="B1587" s="24"/>
      <c r="E1587" s="24"/>
      <c r="G1587" s="24"/>
      <c r="H1587" s="24"/>
      <c r="J1587" s="24"/>
      <c r="K1587" s="24"/>
      <c r="M1587" s="24"/>
      <c r="N1587" s="24"/>
      <c r="P1587" s="24"/>
    </row>
    <row r="1588" spans="2:16" x14ac:dyDescent="0.25">
      <c r="B1588" s="24"/>
      <c r="E1588" s="24"/>
      <c r="G1588" s="24"/>
      <c r="H1588" s="24"/>
      <c r="J1588" s="24"/>
      <c r="K1588" s="24"/>
      <c r="M1588" s="24"/>
      <c r="N1588" s="24"/>
      <c r="P1588" s="24"/>
    </row>
    <row r="1589" spans="2:16" x14ac:dyDescent="0.25">
      <c r="B1589" s="24"/>
      <c r="E1589" s="24"/>
      <c r="G1589" s="24"/>
      <c r="H1589" s="24"/>
      <c r="J1589" s="24"/>
      <c r="K1589" s="24"/>
      <c r="M1589" s="24"/>
      <c r="N1589" s="24"/>
      <c r="P1589" s="24"/>
    </row>
    <row r="1590" spans="2:16" x14ac:dyDescent="0.25">
      <c r="B1590" s="24"/>
      <c r="E1590" s="24"/>
      <c r="G1590" s="24"/>
      <c r="H1590" s="24"/>
      <c r="J1590" s="24"/>
      <c r="K1590" s="24"/>
      <c r="M1590" s="24"/>
      <c r="N1590" s="24"/>
      <c r="P1590" s="24"/>
    </row>
    <row r="1591" spans="2:16" x14ac:dyDescent="0.25">
      <c r="B1591" s="24"/>
      <c r="E1591" s="24"/>
      <c r="G1591" s="24"/>
      <c r="H1591" s="24"/>
      <c r="J1591" s="24"/>
      <c r="K1591" s="24"/>
      <c r="M1591" s="24"/>
      <c r="N1591" s="24"/>
      <c r="P1591" s="24"/>
    </row>
    <row r="1592" spans="2:16" x14ac:dyDescent="0.25">
      <c r="B1592" s="24"/>
      <c r="E1592" s="24"/>
      <c r="G1592" s="24"/>
      <c r="H1592" s="24"/>
      <c r="J1592" s="24"/>
      <c r="K1592" s="24"/>
      <c r="M1592" s="24"/>
      <c r="N1592" s="24"/>
      <c r="P1592" s="24"/>
    </row>
    <row r="1593" spans="2:16" x14ac:dyDescent="0.25">
      <c r="B1593" s="24"/>
      <c r="E1593" s="24"/>
      <c r="G1593" s="24"/>
      <c r="H1593" s="24"/>
      <c r="J1593" s="24"/>
      <c r="K1593" s="24"/>
      <c r="M1593" s="24"/>
      <c r="N1593" s="24"/>
      <c r="P1593" s="24"/>
    </row>
    <row r="1594" spans="2:16" x14ac:dyDescent="0.25">
      <c r="B1594" s="24"/>
      <c r="E1594" s="24"/>
      <c r="G1594" s="24"/>
      <c r="H1594" s="24"/>
      <c r="J1594" s="24"/>
      <c r="K1594" s="24"/>
      <c r="M1594" s="24"/>
      <c r="N1594" s="24"/>
      <c r="P1594" s="24"/>
    </row>
    <row r="1595" spans="2:16" x14ac:dyDescent="0.25">
      <c r="B1595" s="24"/>
      <c r="E1595" s="24"/>
      <c r="G1595" s="24"/>
      <c r="H1595" s="24"/>
      <c r="J1595" s="24"/>
      <c r="K1595" s="24"/>
      <c r="M1595" s="24"/>
      <c r="N1595" s="24"/>
      <c r="P1595" s="24"/>
    </row>
    <row r="1596" spans="2:16" x14ac:dyDescent="0.25">
      <c r="B1596" s="24"/>
      <c r="E1596" s="24"/>
      <c r="G1596" s="24"/>
      <c r="H1596" s="24"/>
      <c r="J1596" s="24"/>
      <c r="K1596" s="24"/>
      <c r="M1596" s="24"/>
      <c r="N1596" s="24"/>
      <c r="P1596" s="24"/>
    </row>
    <row r="1597" spans="2:16" x14ac:dyDescent="0.25">
      <c r="B1597" s="24"/>
      <c r="E1597" s="24"/>
      <c r="G1597" s="24"/>
      <c r="H1597" s="24"/>
      <c r="J1597" s="24"/>
      <c r="K1597" s="24"/>
      <c r="M1597" s="24"/>
      <c r="N1597" s="24"/>
      <c r="P1597" s="24"/>
    </row>
    <row r="1598" spans="2:16" x14ac:dyDescent="0.25">
      <c r="B1598" s="24"/>
      <c r="E1598" s="24"/>
      <c r="G1598" s="24"/>
      <c r="H1598" s="24"/>
      <c r="J1598" s="24"/>
      <c r="K1598" s="24"/>
      <c r="M1598" s="24"/>
      <c r="N1598" s="24"/>
      <c r="P1598" s="24"/>
    </row>
    <row r="1599" spans="2:16" x14ac:dyDescent="0.25">
      <c r="B1599" s="24"/>
      <c r="E1599" s="24"/>
      <c r="G1599" s="24"/>
      <c r="H1599" s="24"/>
      <c r="J1599" s="24"/>
      <c r="K1599" s="24"/>
      <c r="M1599" s="24"/>
      <c r="N1599" s="24"/>
      <c r="P1599" s="24"/>
    </row>
    <row r="1600" spans="2:16" x14ac:dyDescent="0.25">
      <c r="B1600" s="24"/>
      <c r="E1600" s="24"/>
      <c r="G1600" s="24"/>
      <c r="H1600" s="24"/>
      <c r="J1600" s="24"/>
      <c r="K1600" s="24"/>
      <c r="M1600" s="24"/>
      <c r="N1600" s="24"/>
      <c r="P1600" s="24"/>
    </row>
    <row r="1601" spans="2:16" x14ac:dyDescent="0.25">
      <c r="B1601" s="24"/>
      <c r="E1601" s="24"/>
      <c r="G1601" s="24"/>
      <c r="H1601" s="24"/>
      <c r="J1601" s="24"/>
      <c r="K1601" s="24"/>
      <c r="M1601" s="24"/>
      <c r="N1601" s="24"/>
      <c r="P1601" s="24"/>
    </row>
    <row r="1602" spans="2:16" x14ac:dyDescent="0.25">
      <c r="B1602" s="24"/>
      <c r="E1602" s="24"/>
      <c r="G1602" s="24"/>
      <c r="H1602" s="24"/>
      <c r="J1602" s="24"/>
      <c r="K1602" s="24"/>
      <c r="M1602" s="24"/>
      <c r="N1602" s="24"/>
      <c r="P1602" s="24"/>
    </row>
    <row r="1603" spans="2:16" x14ac:dyDescent="0.25">
      <c r="B1603" s="24"/>
      <c r="E1603" s="24"/>
      <c r="G1603" s="24"/>
      <c r="H1603" s="24"/>
      <c r="J1603" s="24"/>
      <c r="K1603" s="24"/>
      <c r="M1603" s="24"/>
      <c r="N1603" s="24"/>
      <c r="P1603" s="24"/>
    </row>
    <row r="1604" spans="2:16" x14ac:dyDescent="0.25">
      <c r="B1604" s="24"/>
      <c r="E1604" s="24"/>
      <c r="G1604" s="24"/>
      <c r="H1604" s="24"/>
      <c r="J1604" s="24"/>
      <c r="K1604" s="24"/>
      <c r="M1604" s="24"/>
      <c r="N1604" s="24"/>
      <c r="P1604" s="24"/>
    </row>
    <row r="1605" spans="2:16" x14ac:dyDescent="0.25">
      <c r="B1605" s="24"/>
      <c r="E1605" s="24"/>
      <c r="G1605" s="24"/>
      <c r="H1605" s="24"/>
      <c r="J1605" s="24"/>
      <c r="K1605" s="24"/>
      <c r="M1605" s="24"/>
      <c r="N1605" s="24"/>
      <c r="P1605" s="24"/>
    </row>
    <row r="1606" spans="2:16" x14ac:dyDescent="0.25">
      <c r="B1606" s="24"/>
      <c r="E1606" s="24"/>
      <c r="G1606" s="24"/>
      <c r="H1606" s="24"/>
      <c r="J1606" s="24"/>
      <c r="K1606" s="24"/>
      <c r="M1606" s="24"/>
      <c r="N1606" s="24"/>
      <c r="P1606" s="24"/>
    </row>
    <row r="1607" spans="2:16" x14ac:dyDescent="0.25">
      <c r="B1607" s="24"/>
      <c r="E1607" s="24"/>
      <c r="G1607" s="24"/>
      <c r="H1607" s="24"/>
      <c r="J1607" s="24"/>
      <c r="K1607" s="24"/>
      <c r="M1607" s="24"/>
      <c r="N1607" s="24"/>
      <c r="P1607" s="24"/>
    </row>
    <row r="1608" spans="2:16" x14ac:dyDescent="0.25">
      <c r="B1608" s="24"/>
      <c r="E1608" s="24"/>
      <c r="G1608" s="24"/>
      <c r="H1608" s="24"/>
      <c r="J1608" s="24"/>
      <c r="K1608" s="24"/>
      <c r="M1608" s="24"/>
      <c r="N1608" s="24"/>
      <c r="P1608" s="24"/>
    </row>
    <row r="1609" spans="2:16" x14ac:dyDescent="0.25">
      <c r="B1609" s="24"/>
      <c r="E1609" s="24"/>
      <c r="G1609" s="24"/>
      <c r="H1609" s="24"/>
      <c r="J1609" s="24"/>
      <c r="K1609" s="24"/>
      <c r="M1609" s="24"/>
      <c r="N1609" s="24"/>
      <c r="P1609" s="24"/>
    </row>
    <row r="1610" spans="2:16" x14ac:dyDescent="0.25">
      <c r="B1610" s="24"/>
      <c r="E1610" s="24"/>
      <c r="G1610" s="24"/>
      <c r="H1610" s="24"/>
      <c r="J1610" s="24"/>
      <c r="K1610" s="24"/>
      <c r="M1610" s="24"/>
      <c r="N1610" s="24"/>
      <c r="P1610" s="24"/>
    </row>
    <row r="1611" spans="2:16" x14ac:dyDescent="0.25">
      <c r="B1611" s="24"/>
      <c r="E1611" s="24"/>
      <c r="G1611" s="24"/>
      <c r="H1611" s="24"/>
      <c r="J1611" s="24"/>
      <c r="K1611" s="24"/>
      <c r="M1611" s="24"/>
      <c r="N1611" s="24"/>
      <c r="P1611" s="24"/>
    </row>
    <row r="1612" spans="2:16" x14ac:dyDescent="0.25">
      <c r="B1612" s="24"/>
      <c r="E1612" s="24"/>
      <c r="G1612" s="24"/>
      <c r="H1612" s="24"/>
      <c r="J1612" s="24"/>
      <c r="K1612" s="24"/>
      <c r="M1612" s="24"/>
      <c r="N1612" s="24"/>
      <c r="P1612" s="24"/>
    </row>
    <row r="1613" spans="2:16" x14ac:dyDescent="0.25">
      <c r="B1613" s="24"/>
      <c r="E1613" s="24"/>
      <c r="G1613" s="24"/>
      <c r="H1613" s="24"/>
      <c r="J1613" s="24"/>
      <c r="K1613" s="24"/>
      <c r="M1613" s="24"/>
      <c r="N1613" s="24"/>
      <c r="P1613" s="24"/>
    </row>
    <row r="1614" spans="2:16" x14ac:dyDescent="0.25">
      <c r="B1614" s="24"/>
      <c r="E1614" s="24"/>
      <c r="G1614" s="24"/>
      <c r="H1614" s="24"/>
      <c r="J1614" s="24"/>
      <c r="K1614" s="24"/>
      <c r="M1614" s="24"/>
      <c r="N1614" s="24"/>
      <c r="P1614" s="24"/>
    </row>
    <row r="1615" spans="2:16" x14ac:dyDescent="0.25">
      <c r="B1615" s="24"/>
      <c r="E1615" s="24"/>
      <c r="G1615" s="24"/>
      <c r="H1615" s="24"/>
      <c r="J1615" s="24"/>
      <c r="K1615" s="24"/>
      <c r="M1615" s="24"/>
      <c r="N1615" s="24"/>
      <c r="P1615" s="24"/>
    </row>
    <row r="1616" spans="2:16" x14ac:dyDescent="0.25">
      <c r="B1616" s="24"/>
      <c r="E1616" s="24"/>
      <c r="G1616" s="24"/>
      <c r="H1616" s="24"/>
      <c r="J1616" s="24"/>
      <c r="K1616" s="24"/>
      <c r="M1616" s="24"/>
      <c r="N1616" s="24"/>
      <c r="P1616" s="24"/>
    </row>
    <row r="1617" spans="2:16" x14ac:dyDescent="0.25">
      <c r="B1617" s="24"/>
      <c r="E1617" s="24"/>
      <c r="G1617" s="24"/>
      <c r="H1617" s="24"/>
      <c r="J1617" s="24"/>
      <c r="K1617" s="24"/>
      <c r="M1617" s="24"/>
      <c r="N1617" s="24"/>
      <c r="P1617" s="24"/>
    </row>
    <row r="1618" spans="2:16" x14ac:dyDescent="0.25">
      <c r="B1618" s="24"/>
      <c r="E1618" s="24"/>
      <c r="G1618" s="24"/>
      <c r="H1618" s="24"/>
      <c r="J1618" s="24"/>
      <c r="K1618" s="24"/>
      <c r="M1618" s="24"/>
      <c r="N1618" s="24"/>
      <c r="P1618" s="24"/>
    </row>
    <row r="1619" spans="2:16" x14ac:dyDescent="0.25">
      <c r="B1619" s="24"/>
      <c r="E1619" s="24"/>
      <c r="G1619" s="24"/>
      <c r="H1619" s="24"/>
      <c r="J1619" s="24"/>
      <c r="K1619" s="24"/>
      <c r="M1619" s="24"/>
      <c r="N1619" s="24"/>
      <c r="P1619" s="24"/>
    </row>
    <row r="1620" spans="2:16" x14ac:dyDescent="0.25">
      <c r="B1620" s="24"/>
      <c r="E1620" s="24"/>
      <c r="G1620" s="24"/>
      <c r="H1620" s="24"/>
      <c r="J1620" s="24"/>
      <c r="K1620" s="24"/>
      <c r="M1620" s="24"/>
      <c r="N1620" s="24"/>
      <c r="P1620" s="24"/>
    </row>
    <row r="1621" spans="2:16" x14ac:dyDescent="0.25">
      <c r="B1621" s="24"/>
      <c r="E1621" s="24"/>
      <c r="G1621" s="24"/>
      <c r="H1621" s="24"/>
      <c r="J1621" s="24"/>
      <c r="K1621" s="24"/>
      <c r="M1621" s="24"/>
      <c r="N1621" s="24"/>
      <c r="P1621" s="24"/>
    </row>
    <row r="1622" spans="2:16" x14ac:dyDescent="0.25">
      <c r="B1622" s="24"/>
      <c r="E1622" s="24"/>
      <c r="G1622" s="24"/>
      <c r="H1622" s="24"/>
      <c r="J1622" s="24"/>
      <c r="K1622" s="24"/>
      <c r="M1622" s="24"/>
      <c r="N1622" s="24"/>
      <c r="P1622" s="24"/>
    </row>
    <row r="1623" spans="2:16" x14ac:dyDescent="0.25">
      <c r="B1623" s="24"/>
      <c r="E1623" s="24"/>
      <c r="G1623" s="24"/>
      <c r="H1623" s="24"/>
      <c r="J1623" s="24"/>
      <c r="K1623" s="24"/>
      <c r="M1623" s="24"/>
      <c r="N1623" s="24"/>
      <c r="P1623" s="24"/>
    </row>
    <row r="1624" spans="2:16" x14ac:dyDescent="0.25">
      <c r="B1624" s="24"/>
      <c r="E1624" s="24"/>
      <c r="G1624" s="24"/>
      <c r="H1624" s="24"/>
      <c r="J1624" s="24"/>
      <c r="K1624" s="24"/>
      <c r="M1624" s="24"/>
      <c r="N1624" s="24"/>
      <c r="P1624" s="24"/>
    </row>
    <row r="1625" spans="2:16" x14ac:dyDescent="0.25">
      <c r="B1625" s="24"/>
      <c r="E1625" s="24"/>
      <c r="G1625" s="24"/>
      <c r="H1625" s="24"/>
      <c r="J1625" s="24"/>
      <c r="K1625" s="24"/>
      <c r="M1625" s="24"/>
      <c r="N1625" s="24"/>
      <c r="P1625" s="24"/>
    </row>
    <row r="1626" spans="2:16" x14ac:dyDescent="0.25">
      <c r="B1626" s="24"/>
      <c r="E1626" s="24"/>
      <c r="G1626" s="24"/>
      <c r="H1626" s="24"/>
      <c r="J1626" s="24"/>
      <c r="K1626" s="24"/>
      <c r="M1626" s="24"/>
      <c r="N1626" s="24"/>
      <c r="P1626" s="24"/>
    </row>
    <row r="1627" spans="2:16" x14ac:dyDescent="0.25">
      <c r="B1627" s="24"/>
      <c r="E1627" s="24"/>
      <c r="G1627" s="24"/>
      <c r="H1627" s="24"/>
      <c r="J1627" s="24"/>
      <c r="K1627" s="24"/>
      <c r="M1627" s="24"/>
      <c r="N1627" s="24"/>
      <c r="P1627" s="24"/>
    </row>
    <row r="1628" spans="2:16" x14ac:dyDescent="0.25">
      <c r="B1628" s="24"/>
      <c r="E1628" s="24"/>
      <c r="G1628" s="24"/>
      <c r="H1628" s="24"/>
      <c r="J1628" s="24"/>
      <c r="K1628" s="24"/>
      <c r="M1628" s="24"/>
      <c r="N1628" s="24"/>
      <c r="P1628" s="24"/>
    </row>
    <row r="1629" spans="2:16" x14ac:dyDescent="0.25">
      <c r="B1629" s="24"/>
      <c r="E1629" s="24"/>
      <c r="G1629" s="24"/>
      <c r="H1629" s="24"/>
      <c r="J1629" s="24"/>
      <c r="K1629" s="24"/>
      <c r="M1629" s="24"/>
      <c r="N1629" s="24"/>
      <c r="P1629" s="24"/>
    </row>
    <row r="1630" spans="2:16" x14ac:dyDescent="0.25">
      <c r="B1630" s="24"/>
      <c r="E1630" s="24"/>
      <c r="G1630" s="24"/>
      <c r="H1630" s="24"/>
      <c r="J1630" s="24"/>
      <c r="K1630" s="24"/>
      <c r="M1630" s="24"/>
      <c r="N1630" s="24"/>
      <c r="P1630" s="24"/>
    </row>
    <row r="1631" spans="2:16" x14ac:dyDescent="0.25">
      <c r="B1631" s="24"/>
      <c r="E1631" s="24"/>
      <c r="G1631" s="24"/>
      <c r="H1631" s="24"/>
      <c r="J1631" s="24"/>
      <c r="K1631" s="24"/>
      <c r="M1631" s="24"/>
      <c r="N1631" s="24"/>
      <c r="P1631" s="24"/>
    </row>
    <row r="1632" spans="2:16" x14ac:dyDescent="0.25">
      <c r="B1632" s="24"/>
      <c r="E1632" s="24"/>
      <c r="G1632" s="24"/>
      <c r="H1632" s="24"/>
      <c r="J1632" s="24"/>
      <c r="K1632" s="24"/>
      <c r="M1632" s="24"/>
      <c r="N1632" s="24"/>
      <c r="P1632" s="24"/>
    </row>
    <row r="1633" spans="2:16" x14ac:dyDescent="0.25">
      <c r="B1633" s="24"/>
      <c r="E1633" s="24"/>
      <c r="G1633" s="24"/>
      <c r="H1633" s="24"/>
      <c r="J1633" s="24"/>
      <c r="K1633" s="24"/>
      <c r="M1633" s="24"/>
      <c r="N1633" s="24"/>
      <c r="P1633" s="24"/>
    </row>
    <row r="1634" spans="2:16" x14ac:dyDescent="0.25">
      <c r="B1634" s="24"/>
      <c r="E1634" s="24"/>
      <c r="G1634" s="24"/>
      <c r="H1634" s="24"/>
      <c r="J1634" s="24"/>
      <c r="K1634" s="24"/>
      <c r="M1634" s="24"/>
      <c r="N1634" s="24"/>
      <c r="P1634" s="24"/>
    </row>
    <row r="1635" spans="2:16" x14ac:dyDescent="0.25">
      <c r="B1635" s="24"/>
      <c r="E1635" s="24"/>
      <c r="G1635" s="24"/>
      <c r="H1635" s="24"/>
      <c r="J1635" s="24"/>
      <c r="K1635" s="24"/>
      <c r="M1635" s="24"/>
      <c r="N1635" s="24"/>
      <c r="P1635" s="24"/>
    </row>
    <row r="1636" spans="2:16" x14ac:dyDescent="0.25">
      <c r="B1636" s="24"/>
      <c r="E1636" s="24"/>
      <c r="G1636" s="24"/>
      <c r="H1636" s="24"/>
      <c r="J1636" s="24"/>
      <c r="K1636" s="24"/>
      <c r="M1636" s="24"/>
      <c r="N1636" s="24"/>
      <c r="P1636" s="24"/>
    </row>
    <row r="1637" spans="2:16" x14ac:dyDescent="0.25">
      <c r="B1637" s="24"/>
      <c r="E1637" s="24"/>
      <c r="G1637" s="24"/>
      <c r="H1637" s="24"/>
      <c r="J1637" s="24"/>
      <c r="K1637" s="24"/>
      <c r="M1637" s="24"/>
      <c r="N1637" s="24"/>
      <c r="P1637" s="24"/>
    </row>
    <row r="1638" spans="2:16" x14ac:dyDescent="0.25">
      <c r="B1638" s="24"/>
      <c r="E1638" s="24"/>
      <c r="G1638" s="24"/>
      <c r="H1638" s="24"/>
      <c r="J1638" s="24"/>
      <c r="K1638" s="24"/>
      <c r="M1638" s="24"/>
      <c r="N1638" s="24"/>
      <c r="P1638" s="24"/>
    </row>
    <row r="1639" spans="2:16" x14ac:dyDescent="0.25">
      <c r="B1639" s="24"/>
      <c r="E1639" s="24"/>
      <c r="G1639" s="24"/>
      <c r="H1639" s="24"/>
      <c r="J1639" s="24"/>
      <c r="K1639" s="24"/>
      <c r="M1639" s="24"/>
      <c r="N1639" s="24"/>
      <c r="P1639" s="24"/>
    </row>
    <row r="1640" spans="2:16" x14ac:dyDescent="0.25">
      <c r="B1640" s="24"/>
      <c r="E1640" s="24"/>
      <c r="G1640" s="24"/>
      <c r="H1640" s="24"/>
      <c r="J1640" s="24"/>
      <c r="K1640" s="24"/>
      <c r="M1640" s="24"/>
      <c r="N1640" s="24"/>
      <c r="P1640" s="24"/>
    </row>
    <row r="1641" spans="2:16" x14ac:dyDescent="0.25">
      <c r="B1641" s="24"/>
      <c r="E1641" s="24"/>
      <c r="G1641" s="24"/>
      <c r="H1641" s="24"/>
      <c r="J1641" s="24"/>
      <c r="K1641" s="24"/>
      <c r="M1641" s="24"/>
      <c r="N1641" s="24"/>
      <c r="P1641" s="24"/>
    </row>
    <row r="1642" spans="2:16" x14ac:dyDescent="0.25">
      <c r="B1642" s="24"/>
      <c r="E1642" s="24"/>
      <c r="G1642" s="24"/>
      <c r="H1642" s="24"/>
      <c r="J1642" s="24"/>
      <c r="K1642" s="24"/>
      <c r="M1642" s="24"/>
      <c r="N1642" s="24"/>
      <c r="P1642" s="24"/>
    </row>
    <row r="1643" spans="2:16" x14ac:dyDescent="0.25">
      <c r="B1643" s="24"/>
      <c r="E1643" s="24"/>
      <c r="G1643" s="24"/>
      <c r="H1643" s="24"/>
      <c r="J1643" s="24"/>
      <c r="K1643" s="24"/>
      <c r="M1643" s="24"/>
      <c r="N1643" s="24"/>
      <c r="P1643" s="24"/>
    </row>
    <row r="1644" spans="2:16" x14ac:dyDescent="0.25">
      <c r="B1644" s="24"/>
      <c r="E1644" s="24"/>
      <c r="G1644" s="24"/>
      <c r="H1644" s="24"/>
      <c r="J1644" s="24"/>
      <c r="K1644" s="24"/>
      <c r="M1644" s="24"/>
      <c r="N1644" s="24"/>
      <c r="P1644" s="24"/>
    </row>
    <row r="1645" spans="2:16" x14ac:dyDescent="0.25">
      <c r="B1645" s="24"/>
      <c r="E1645" s="24"/>
      <c r="G1645" s="24"/>
      <c r="H1645" s="24"/>
      <c r="J1645" s="24"/>
      <c r="K1645" s="24"/>
      <c r="M1645" s="24"/>
      <c r="N1645" s="24"/>
      <c r="P1645" s="24"/>
    </row>
    <row r="1646" spans="2:16" x14ac:dyDescent="0.25">
      <c r="B1646" s="24"/>
      <c r="E1646" s="24"/>
      <c r="G1646" s="24"/>
      <c r="H1646" s="24"/>
      <c r="J1646" s="24"/>
      <c r="K1646" s="24"/>
      <c r="M1646" s="24"/>
      <c r="N1646" s="24"/>
      <c r="P1646" s="24"/>
    </row>
    <row r="1647" spans="2:16" x14ac:dyDescent="0.25">
      <c r="B1647" s="24"/>
      <c r="E1647" s="24"/>
      <c r="G1647" s="24"/>
      <c r="H1647" s="24"/>
      <c r="J1647" s="24"/>
      <c r="K1647" s="24"/>
      <c r="M1647" s="24"/>
      <c r="N1647" s="24"/>
      <c r="P1647" s="24"/>
    </row>
    <row r="1648" spans="2:16" x14ac:dyDescent="0.25">
      <c r="B1648" s="24"/>
      <c r="E1648" s="24"/>
      <c r="G1648" s="24"/>
      <c r="H1648" s="24"/>
      <c r="J1648" s="24"/>
      <c r="K1648" s="24"/>
      <c r="M1648" s="24"/>
      <c r="N1648" s="24"/>
      <c r="P1648" s="24"/>
    </row>
    <row r="1649" spans="2:16" x14ac:dyDescent="0.25">
      <c r="B1649" s="24"/>
      <c r="E1649" s="24"/>
      <c r="G1649" s="24"/>
      <c r="H1649" s="24"/>
      <c r="J1649" s="24"/>
      <c r="K1649" s="24"/>
      <c r="M1649" s="24"/>
      <c r="N1649" s="24"/>
      <c r="P1649" s="24"/>
    </row>
    <row r="1650" spans="2:16" x14ac:dyDescent="0.25">
      <c r="B1650" s="24"/>
      <c r="E1650" s="24"/>
      <c r="G1650" s="24"/>
      <c r="H1650" s="24"/>
      <c r="J1650" s="24"/>
      <c r="K1650" s="24"/>
      <c r="M1650" s="24"/>
      <c r="N1650" s="24"/>
      <c r="P1650" s="24"/>
    </row>
    <row r="1651" spans="2:16" x14ac:dyDescent="0.25">
      <c r="B1651" s="24"/>
      <c r="E1651" s="24"/>
      <c r="G1651" s="24"/>
      <c r="H1651" s="24"/>
      <c r="J1651" s="24"/>
      <c r="K1651" s="24"/>
      <c r="M1651" s="24"/>
      <c r="N1651" s="24"/>
      <c r="P1651" s="24"/>
    </row>
    <row r="1652" spans="2:16" x14ac:dyDescent="0.25">
      <c r="B1652" s="24"/>
      <c r="E1652" s="24"/>
      <c r="G1652" s="24"/>
      <c r="H1652" s="24"/>
      <c r="J1652" s="24"/>
      <c r="K1652" s="24"/>
      <c r="M1652" s="24"/>
      <c r="N1652" s="24"/>
      <c r="P1652" s="24"/>
    </row>
    <row r="1653" spans="2:16" x14ac:dyDescent="0.25">
      <c r="B1653" s="24"/>
      <c r="E1653" s="24"/>
      <c r="G1653" s="24"/>
      <c r="H1653" s="24"/>
      <c r="J1653" s="24"/>
      <c r="K1653" s="24"/>
      <c r="M1653" s="24"/>
      <c r="N1653" s="24"/>
      <c r="P1653" s="24"/>
    </row>
    <row r="1654" spans="2:16" x14ac:dyDescent="0.25">
      <c r="B1654" s="24"/>
      <c r="E1654" s="24"/>
      <c r="G1654" s="24"/>
      <c r="H1654" s="24"/>
      <c r="J1654" s="24"/>
      <c r="K1654" s="24"/>
      <c r="M1654" s="24"/>
      <c r="N1654" s="24"/>
      <c r="P1654" s="24"/>
    </row>
    <row r="1655" spans="2:16" x14ac:dyDescent="0.25">
      <c r="B1655" s="24"/>
      <c r="E1655" s="24"/>
      <c r="G1655" s="24"/>
      <c r="H1655" s="24"/>
      <c r="J1655" s="24"/>
      <c r="K1655" s="24"/>
      <c r="M1655" s="24"/>
      <c r="N1655" s="24"/>
      <c r="P1655" s="24"/>
    </row>
    <row r="1656" spans="2:16" x14ac:dyDescent="0.25">
      <c r="B1656" s="24"/>
      <c r="E1656" s="24"/>
      <c r="G1656" s="24"/>
      <c r="H1656" s="24"/>
      <c r="J1656" s="24"/>
      <c r="K1656" s="24"/>
      <c r="M1656" s="24"/>
      <c r="N1656" s="24"/>
      <c r="P1656" s="24"/>
    </row>
    <row r="1657" spans="2:16" x14ac:dyDescent="0.25">
      <c r="B1657" s="24"/>
      <c r="E1657" s="24"/>
      <c r="G1657" s="24"/>
      <c r="H1657" s="24"/>
      <c r="J1657" s="24"/>
      <c r="K1657" s="24"/>
      <c r="M1657" s="24"/>
      <c r="N1657" s="24"/>
      <c r="P1657" s="24"/>
    </row>
    <row r="1658" spans="2:16" x14ac:dyDescent="0.25">
      <c r="B1658" s="24"/>
      <c r="E1658" s="24"/>
      <c r="G1658" s="24"/>
      <c r="H1658" s="24"/>
      <c r="J1658" s="24"/>
      <c r="K1658" s="24"/>
      <c r="M1658" s="24"/>
      <c r="N1658" s="24"/>
      <c r="P1658" s="24"/>
    </row>
    <row r="1659" spans="2:16" x14ac:dyDescent="0.25">
      <c r="B1659" s="24"/>
      <c r="E1659" s="24"/>
      <c r="G1659" s="24"/>
      <c r="H1659" s="24"/>
      <c r="J1659" s="24"/>
      <c r="K1659" s="24"/>
      <c r="M1659" s="24"/>
      <c r="N1659" s="24"/>
      <c r="P1659" s="24"/>
    </row>
    <row r="1660" spans="2:16" x14ac:dyDescent="0.25">
      <c r="B1660" s="24"/>
      <c r="E1660" s="24"/>
      <c r="G1660" s="24"/>
      <c r="H1660" s="24"/>
      <c r="J1660" s="24"/>
      <c r="K1660" s="24"/>
      <c r="M1660" s="24"/>
      <c r="N1660" s="24"/>
      <c r="P1660" s="24"/>
    </row>
    <row r="1661" spans="2:16" x14ac:dyDescent="0.25">
      <c r="B1661" s="24"/>
      <c r="E1661" s="24"/>
      <c r="G1661" s="24"/>
      <c r="H1661" s="24"/>
      <c r="J1661" s="24"/>
      <c r="K1661" s="24"/>
      <c r="M1661" s="24"/>
      <c r="N1661" s="24"/>
      <c r="P1661" s="24"/>
    </row>
    <row r="1662" spans="2:16" x14ac:dyDescent="0.25">
      <c r="B1662" s="24"/>
      <c r="E1662" s="24"/>
      <c r="G1662" s="24"/>
      <c r="H1662" s="24"/>
      <c r="J1662" s="24"/>
      <c r="K1662" s="24"/>
      <c r="M1662" s="24"/>
      <c r="N1662" s="24"/>
      <c r="P1662" s="24"/>
    </row>
    <row r="1663" spans="2:16" x14ac:dyDescent="0.25">
      <c r="B1663" s="24"/>
      <c r="E1663" s="24"/>
      <c r="G1663" s="24"/>
      <c r="H1663" s="24"/>
      <c r="J1663" s="24"/>
      <c r="K1663" s="24"/>
      <c r="M1663" s="24"/>
      <c r="N1663" s="24"/>
      <c r="P1663" s="24"/>
    </row>
    <row r="1664" spans="2:16" x14ac:dyDescent="0.25">
      <c r="B1664" s="24"/>
      <c r="E1664" s="24"/>
      <c r="G1664" s="24"/>
      <c r="H1664" s="24"/>
      <c r="J1664" s="24"/>
      <c r="K1664" s="24"/>
      <c r="M1664" s="24"/>
      <c r="N1664" s="24"/>
      <c r="P1664" s="24"/>
    </row>
    <row r="1665" spans="2:16" x14ac:dyDescent="0.25">
      <c r="B1665" s="24"/>
      <c r="E1665" s="24"/>
      <c r="G1665" s="24"/>
      <c r="H1665" s="24"/>
      <c r="J1665" s="24"/>
      <c r="K1665" s="24"/>
      <c r="M1665" s="24"/>
      <c r="N1665" s="24"/>
      <c r="P1665" s="24"/>
    </row>
    <row r="1666" spans="2:16" x14ac:dyDescent="0.25">
      <c r="B1666" s="24"/>
      <c r="E1666" s="24"/>
      <c r="G1666" s="24"/>
      <c r="H1666" s="24"/>
      <c r="J1666" s="24"/>
      <c r="K1666" s="24"/>
      <c r="M1666" s="24"/>
      <c r="N1666" s="24"/>
      <c r="P1666" s="24"/>
    </row>
    <row r="1667" spans="2:16" x14ac:dyDescent="0.25">
      <c r="B1667" s="24"/>
      <c r="E1667" s="24"/>
      <c r="G1667" s="24"/>
      <c r="H1667" s="24"/>
      <c r="J1667" s="24"/>
      <c r="K1667" s="24"/>
      <c r="M1667" s="24"/>
      <c r="N1667" s="24"/>
      <c r="P1667" s="24"/>
    </row>
    <row r="1668" spans="2:16" x14ac:dyDescent="0.25">
      <c r="B1668" s="24"/>
      <c r="E1668" s="24"/>
      <c r="G1668" s="24"/>
      <c r="H1668" s="24"/>
      <c r="J1668" s="24"/>
      <c r="K1668" s="24"/>
      <c r="M1668" s="24"/>
      <c r="N1668" s="24"/>
      <c r="P1668" s="24"/>
    </row>
    <row r="1669" spans="2:16" x14ac:dyDescent="0.25">
      <c r="B1669" s="24"/>
      <c r="E1669" s="24"/>
      <c r="G1669" s="24"/>
      <c r="H1669" s="24"/>
      <c r="J1669" s="24"/>
      <c r="K1669" s="24"/>
      <c r="M1669" s="24"/>
      <c r="N1669" s="24"/>
      <c r="P1669" s="24"/>
    </row>
    <row r="1670" spans="2:16" x14ac:dyDescent="0.25">
      <c r="B1670" s="24"/>
      <c r="E1670" s="24"/>
      <c r="G1670" s="24"/>
      <c r="H1670" s="24"/>
      <c r="J1670" s="24"/>
      <c r="K1670" s="24"/>
      <c r="M1670" s="24"/>
      <c r="N1670" s="24"/>
      <c r="P1670" s="24"/>
    </row>
    <row r="1671" spans="2:16" x14ac:dyDescent="0.25">
      <c r="B1671" s="24"/>
      <c r="E1671" s="24"/>
      <c r="G1671" s="24"/>
      <c r="H1671" s="24"/>
      <c r="J1671" s="24"/>
      <c r="K1671" s="24"/>
      <c r="M1671" s="24"/>
      <c r="N1671" s="24"/>
      <c r="P1671" s="24"/>
    </row>
    <row r="1672" spans="2:16" x14ac:dyDescent="0.25">
      <c r="B1672" s="24"/>
      <c r="E1672" s="24"/>
      <c r="G1672" s="24"/>
      <c r="H1672" s="24"/>
      <c r="J1672" s="24"/>
      <c r="K1672" s="24"/>
      <c r="M1672" s="24"/>
      <c r="N1672" s="24"/>
      <c r="P1672" s="24"/>
    </row>
    <row r="1673" spans="2:16" x14ac:dyDescent="0.25">
      <c r="B1673" s="24"/>
      <c r="E1673" s="24"/>
      <c r="G1673" s="24"/>
      <c r="H1673" s="24"/>
      <c r="J1673" s="24"/>
      <c r="K1673" s="24"/>
      <c r="M1673" s="24"/>
      <c r="N1673" s="24"/>
      <c r="P1673" s="24"/>
    </row>
    <row r="1674" spans="2:16" x14ac:dyDescent="0.25">
      <c r="B1674" s="24"/>
      <c r="E1674" s="24"/>
      <c r="G1674" s="24"/>
      <c r="H1674" s="24"/>
      <c r="J1674" s="24"/>
      <c r="K1674" s="24"/>
      <c r="M1674" s="24"/>
      <c r="N1674" s="24"/>
      <c r="P1674" s="24"/>
    </row>
    <row r="1675" spans="2:16" x14ac:dyDescent="0.25">
      <c r="B1675" s="24"/>
      <c r="E1675" s="24"/>
      <c r="G1675" s="24"/>
      <c r="H1675" s="24"/>
      <c r="J1675" s="24"/>
      <c r="K1675" s="24"/>
      <c r="M1675" s="24"/>
      <c r="N1675" s="24"/>
      <c r="P1675" s="24"/>
    </row>
    <row r="1676" spans="2:16" x14ac:dyDescent="0.25">
      <c r="B1676" s="24"/>
      <c r="E1676" s="24"/>
      <c r="G1676" s="24"/>
      <c r="H1676" s="24"/>
      <c r="J1676" s="24"/>
      <c r="K1676" s="24"/>
      <c r="M1676" s="24"/>
      <c r="N1676" s="24"/>
      <c r="P1676" s="24"/>
    </row>
    <row r="1677" spans="2:16" x14ac:dyDescent="0.25">
      <c r="B1677" s="24"/>
      <c r="E1677" s="24"/>
      <c r="G1677" s="24"/>
      <c r="H1677" s="24"/>
      <c r="J1677" s="24"/>
      <c r="K1677" s="24"/>
      <c r="M1677" s="24"/>
      <c r="N1677" s="24"/>
      <c r="P1677" s="24"/>
    </row>
    <row r="1678" spans="2:16" x14ac:dyDescent="0.25">
      <c r="B1678" s="24"/>
      <c r="E1678" s="24"/>
      <c r="G1678" s="24"/>
      <c r="H1678" s="24"/>
      <c r="J1678" s="24"/>
      <c r="K1678" s="24"/>
      <c r="M1678" s="24"/>
      <c r="N1678" s="24"/>
      <c r="P1678" s="24"/>
    </row>
    <row r="1679" spans="2:16" x14ac:dyDescent="0.25">
      <c r="B1679" s="24"/>
      <c r="E1679" s="24"/>
      <c r="G1679" s="24"/>
      <c r="H1679" s="24"/>
      <c r="J1679" s="24"/>
      <c r="K1679" s="24"/>
      <c r="M1679" s="24"/>
      <c r="N1679" s="24"/>
      <c r="P1679" s="24"/>
    </row>
    <row r="1680" spans="2:16" x14ac:dyDescent="0.25">
      <c r="B1680" s="24"/>
      <c r="E1680" s="24"/>
      <c r="G1680" s="24"/>
      <c r="H1680" s="24"/>
      <c r="J1680" s="24"/>
      <c r="K1680" s="24"/>
      <c r="M1680" s="24"/>
      <c r="N1680" s="24"/>
      <c r="P1680" s="24"/>
    </row>
    <row r="1681" spans="2:16" x14ac:dyDescent="0.25">
      <c r="B1681" s="24"/>
      <c r="E1681" s="24"/>
      <c r="G1681" s="24"/>
      <c r="H1681" s="24"/>
      <c r="J1681" s="24"/>
      <c r="K1681" s="24"/>
      <c r="M1681" s="24"/>
      <c r="N1681" s="24"/>
      <c r="P1681" s="24"/>
    </row>
    <row r="1682" spans="2:16" x14ac:dyDescent="0.25">
      <c r="B1682" s="24"/>
      <c r="E1682" s="24"/>
      <c r="G1682" s="24"/>
      <c r="H1682" s="24"/>
      <c r="J1682" s="24"/>
      <c r="K1682" s="24"/>
      <c r="M1682" s="24"/>
      <c r="N1682" s="24"/>
      <c r="P1682" s="24"/>
    </row>
    <row r="1683" spans="2:16" x14ac:dyDescent="0.25">
      <c r="B1683" s="24"/>
      <c r="E1683" s="24"/>
      <c r="G1683" s="24"/>
      <c r="H1683" s="24"/>
      <c r="J1683" s="24"/>
      <c r="K1683" s="24"/>
      <c r="M1683" s="24"/>
      <c r="N1683" s="24"/>
      <c r="P1683" s="24"/>
    </row>
    <row r="1684" spans="2:16" x14ac:dyDescent="0.25">
      <c r="B1684" s="24"/>
      <c r="E1684" s="24"/>
      <c r="G1684" s="24"/>
      <c r="H1684" s="24"/>
      <c r="J1684" s="24"/>
      <c r="K1684" s="24"/>
      <c r="M1684" s="24"/>
      <c r="N1684" s="24"/>
      <c r="P1684" s="24"/>
    </row>
    <row r="1685" spans="2:16" x14ac:dyDescent="0.25">
      <c r="B1685" s="24"/>
      <c r="E1685" s="24"/>
      <c r="G1685" s="24"/>
      <c r="H1685" s="24"/>
      <c r="J1685" s="24"/>
      <c r="K1685" s="24"/>
      <c r="M1685" s="24"/>
      <c r="N1685" s="24"/>
      <c r="P1685" s="24"/>
    </row>
    <row r="1686" spans="2:16" x14ac:dyDescent="0.25">
      <c r="B1686" s="24"/>
      <c r="E1686" s="24"/>
      <c r="G1686" s="24"/>
      <c r="H1686" s="24"/>
      <c r="J1686" s="24"/>
      <c r="K1686" s="24"/>
      <c r="M1686" s="24"/>
      <c r="N1686" s="24"/>
      <c r="P1686" s="24"/>
    </row>
    <row r="1687" spans="2:16" x14ac:dyDescent="0.25">
      <c r="B1687" s="24"/>
      <c r="E1687" s="24"/>
      <c r="G1687" s="24"/>
      <c r="H1687" s="24"/>
      <c r="J1687" s="24"/>
      <c r="K1687" s="24"/>
      <c r="M1687" s="24"/>
      <c r="N1687" s="24"/>
      <c r="P1687" s="24"/>
    </row>
    <row r="1688" spans="2:16" x14ac:dyDescent="0.25">
      <c r="B1688" s="24"/>
      <c r="E1688" s="24"/>
      <c r="G1688" s="24"/>
      <c r="H1688" s="24"/>
      <c r="J1688" s="24"/>
      <c r="K1688" s="24"/>
      <c r="M1688" s="24"/>
      <c r="N1688" s="24"/>
      <c r="P1688" s="24"/>
    </row>
    <row r="1689" spans="2:16" x14ac:dyDescent="0.25">
      <c r="B1689" s="24"/>
      <c r="E1689" s="24"/>
      <c r="G1689" s="24"/>
      <c r="H1689" s="24"/>
      <c r="J1689" s="24"/>
      <c r="K1689" s="24"/>
      <c r="M1689" s="24"/>
      <c r="N1689" s="24"/>
      <c r="P1689" s="24"/>
    </row>
    <row r="1690" spans="2:16" x14ac:dyDescent="0.25">
      <c r="B1690" s="24"/>
      <c r="E1690" s="24"/>
      <c r="G1690" s="24"/>
      <c r="H1690" s="24"/>
      <c r="J1690" s="24"/>
      <c r="K1690" s="24"/>
      <c r="M1690" s="24"/>
      <c r="N1690" s="24"/>
      <c r="P1690" s="24"/>
    </row>
    <row r="1691" spans="2:16" x14ac:dyDescent="0.25">
      <c r="B1691" s="24"/>
      <c r="E1691" s="24"/>
      <c r="G1691" s="24"/>
      <c r="H1691" s="24"/>
      <c r="J1691" s="24"/>
      <c r="K1691" s="24"/>
      <c r="M1691" s="24"/>
      <c r="N1691" s="24"/>
      <c r="P1691" s="24"/>
    </row>
    <row r="1692" spans="2:16" x14ac:dyDescent="0.25">
      <c r="B1692" s="24"/>
      <c r="E1692" s="24"/>
      <c r="G1692" s="24"/>
      <c r="H1692" s="24"/>
      <c r="J1692" s="24"/>
      <c r="K1692" s="24"/>
      <c r="M1692" s="24"/>
      <c r="N1692" s="24"/>
      <c r="P1692" s="24"/>
    </row>
    <row r="1693" spans="2:16" x14ac:dyDescent="0.25">
      <c r="B1693" s="24"/>
      <c r="E1693" s="24"/>
      <c r="G1693" s="24"/>
      <c r="H1693" s="24"/>
      <c r="J1693" s="24"/>
      <c r="K1693" s="24"/>
      <c r="M1693" s="24"/>
      <c r="N1693" s="24"/>
      <c r="P1693" s="24"/>
    </row>
    <row r="1694" spans="2:16" x14ac:dyDescent="0.25">
      <c r="B1694" s="24"/>
      <c r="E1694" s="24"/>
      <c r="G1694" s="24"/>
      <c r="H1694" s="24"/>
      <c r="J1694" s="24"/>
      <c r="K1694" s="24"/>
      <c r="M1694" s="24"/>
      <c r="N1694" s="24"/>
      <c r="P1694" s="24"/>
    </row>
    <row r="1695" spans="2:16" x14ac:dyDescent="0.25">
      <c r="B1695" s="24"/>
      <c r="E1695" s="24"/>
      <c r="G1695" s="24"/>
      <c r="H1695" s="24"/>
      <c r="J1695" s="24"/>
      <c r="K1695" s="24"/>
      <c r="M1695" s="24"/>
      <c r="N1695" s="24"/>
      <c r="P1695" s="24"/>
    </row>
    <row r="1696" spans="2:16" x14ac:dyDescent="0.25">
      <c r="B1696" s="24"/>
      <c r="E1696" s="24"/>
      <c r="G1696" s="24"/>
      <c r="H1696" s="24"/>
      <c r="J1696" s="24"/>
      <c r="K1696" s="24"/>
      <c r="M1696" s="24"/>
      <c r="N1696" s="24"/>
      <c r="P1696" s="24"/>
    </row>
    <row r="1697" spans="2:16" x14ac:dyDescent="0.25">
      <c r="B1697" s="24"/>
      <c r="E1697" s="24"/>
      <c r="G1697" s="24"/>
      <c r="H1697" s="24"/>
      <c r="J1697" s="24"/>
      <c r="K1697" s="24"/>
      <c r="M1697" s="24"/>
      <c r="N1697" s="24"/>
      <c r="P1697" s="24"/>
    </row>
    <row r="1698" spans="2:16" x14ac:dyDescent="0.25">
      <c r="B1698" s="24"/>
      <c r="E1698" s="24"/>
      <c r="G1698" s="24"/>
      <c r="H1698" s="24"/>
      <c r="J1698" s="24"/>
      <c r="K1698" s="24"/>
      <c r="M1698" s="24"/>
      <c r="N1698" s="24"/>
      <c r="P1698" s="24"/>
    </row>
    <row r="1699" spans="2:16" x14ac:dyDescent="0.25">
      <c r="B1699" s="24"/>
      <c r="E1699" s="24"/>
      <c r="G1699" s="24"/>
      <c r="H1699" s="24"/>
      <c r="J1699" s="24"/>
      <c r="K1699" s="24"/>
      <c r="M1699" s="24"/>
      <c r="N1699" s="24"/>
      <c r="P1699" s="24"/>
    </row>
    <row r="1700" spans="2:16" x14ac:dyDescent="0.25">
      <c r="B1700" s="24"/>
      <c r="E1700" s="24"/>
      <c r="G1700" s="24"/>
      <c r="H1700" s="24"/>
      <c r="J1700" s="24"/>
      <c r="K1700" s="24"/>
      <c r="M1700" s="24"/>
      <c r="N1700" s="24"/>
      <c r="P1700" s="24"/>
    </row>
    <row r="1701" spans="2:16" x14ac:dyDescent="0.25">
      <c r="B1701" s="24"/>
      <c r="E1701" s="24"/>
      <c r="G1701" s="24"/>
      <c r="H1701" s="24"/>
      <c r="J1701" s="24"/>
      <c r="K1701" s="24"/>
      <c r="M1701" s="24"/>
      <c r="N1701" s="24"/>
      <c r="P1701" s="24"/>
    </row>
    <row r="1702" spans="2:16" x14ac:dyDescent="0.25">
      <c r="B1702" s="24"/>
      <c r="E1702" s="24"/>
      <c r="G1702" s="24"/>
      <c r="H1702" s="24"/>
      <c r="J1702" s="24"/>
      <c r="K1702" s="24"/>
      <c r="M1702" s="24"/>
      <c r="N1702" s="24"/>
      <c r="P1702" s="24"/>
    </row>
    <row r="1703" spans="2:16" x14ac:dyDescent="0.25">
      <c r="B1703" s="24"/>
      <c r="E1703" s="24"/>
      <c r="G1703" s="24"/>
      <c r="H1703" s="24"/>
      <c r="J1703" s="24"/>
      <c r="K1703" s="24"/>
      <c r="M1703" s="24"/>
      <c r="N1703" s="24"/>
      <c r="P1703" s="24"/>
    </row>
    <row r="1704" spans="2:16" x14ac:dyDescent="0.25">
      <c r="B1704" s="24"/>
      <c r="E1704" s="24"/>
      <c r="G1704" s="24"/>
      <c r="H1704" s="24"/>
      <c r="J1704" s="24"/>
      <c r="K1704" s="24"/>
      <c r="M1704" s="24"/>
      <c r="N1704" s="24"/>
      <c r="P1704" s="24"/>
    </row>
    <row r="1705" spans="2:16" x14ac:dyDescent="0.25">
      <c r="B1705" s="24"/>
      <c r="E1705" s="24"/>
      <c r="G1705" s="24"/>
      <c r="H1705" s="24"/>
      <c r="J1705" s="24"/>
      <c r="K1705" s="24"/>
      <c r="M1705" s="24"/>
      <c r="N1705" s="24"/>
      <c r="P1705" s="24"/>
    </row>
    <row r="1706" spans="2:16" x14ac:dyDescent="0.25">
      <c r="B1706" s="24"/>
      <c r="E1706" s="24"/>
      <c r="G1706" s="24"/>
      <c r="H1706" s="24"/>
      <c r="J1706" s="24"/>
      <c r="K1706" s="24"/>
      <c r="M1706" s="24"/>
      <c r="N1706" s="24"/>
      <c r="P1706" s="24"/>
    </row>
    <row r="1707" spans="2:16" x14ac:dyDescent="0.25">
      <c r="B1707" s="24"/>
      <c r="E1707" s="24"/>
      <c r="G1707" s="24"/>
      <c r="H1707" s="24"/>
      <c r="J1707" s="24"/>
      <c r="K1707" s="24"/>
      <c r="M1707" s="24"/>
      <c r="N1707" s="24"/>
      <c r="P1707" s="24"/>
    </row>
    <row r="1708" spans="2:16" x14ac:dyDescent="0.25">
      <c r="B1708" s="24"/>
      <c r="E1708" s="24"/>
      <c r="G1708" s="24"/>
      <c r="H1708" s="24"/>
      <c r="J1708" s="24"/>
      <c r="K1708" s="24"/>
      <c r="M1708" s="24"/>
      <c r="N1708" s="24"/>
      <c r="P1708" s="24"/>
    </row>
    <row r="1709" spans="2:16" x14ac:dyDescent="0.25">
      <c r="B1709" s="24"/>
      <c r="E1709" s="24"/>
      <c r="G1709" s="24"/>
      <c r="H1709" s="24"/>
      <c r="J1709" s="24"/>
      <c r="K1709" s="24"/>
      <c r="M1709" s="24"/>
      <c r="N1709" s="24"/>
      <c r="P1709" s="24"/>
    </row>
    <row r="1710" spans="2:16" x14ac:dyDescent="0.25">
      <c r="B1710" s="24"/>
      <c r="E1710" s="24"/>
      <c r="G1710" s="24"/>
      <c r="H1710" s="24"/>
      <c r="J1710" s="24"/>
      <c r="K1710" s="24"/>
      <c r="M1710" s="24"/>
      <c r="N1710" s="24"/>
      <c r="P1710" s="24"/>
    </row>
    <row r="1711" spans="2:16" x14ac:dyDescent="0.25">
      <c r="B1711" s="24"/>
      <c r="E1711" s="24"/>
      <c r="G1711" s="24"/>
      <c r="H1711" s="24"/>
      <c r="J1711" s="24"/>
      <c r="K1711" s="24"/>
      <c r="M1711" s="24"/>
      <c r="N1711" s="24"/>
      <c r="P1711" s="24"/>
    </row>
    <row r="1712" spans="2:16" x14ac:dyDescent="0.25">
      <c r="B1712" s="24"/>
      <c r="E1712" s="24"/>
      <c r="G1712" s="24"/>
      <c r="H1712" s="24"/>
      <c r="J1712" s="24"/>
      <c r="K1712" s="24"/>
      <c r="M1712" s="24"/>
      <c r="N1712" s="24"/>
      <c r="P1712" s="24"/>
    </row>
    <row r="1713" spans="2:16" x14ac:dyDescent="0.25">
      <c r="B1713" s="24"/>
      <c r="E1713" s="24"/>
      <c r="G1713" s="24"/>
      <c r="H1713" s="24"/>
      <c r="J1713" s="24"/>
      <c r="K1713" s="24"/>
      <c r="M1713" s="24"/>
      <c r="N1713" s="24"/>
      <c r="P1713" s="24"/>
    </row>
    <row r="1714" spans="2:16" x14ac:dyDescent="0.25">
      <c r="B1714" s="24"/>
      <c r="E1714" s="24"/>
      <c r="G1714" s="24"/>
      <c r="H1714" s="24"/>
      <c r="J1714" s="24"/>
      <c r="K1714" s="24"/>
      <c r="M1714" s="24"/>
      <c r="N1714" s="24"/>
      <c r="P1714" s="24"/>
    </row>
    <row r="1715" spans="2:16" x14ac:dyDescent="0.25">
      <c r="B1715" s="24"/>
      <c r="E1715" s="24"/>
      <c r="G1715" s="24"/>
      <c r="H1715" s="24"/>
      <c r="J1715" s="24"/>
      <c r="K1715" s="24"/>
      <c r="M1715" s="24"/>
      <c r="N1715" s="24"/>
      <c r="P1715" s="24"/>
    </row>
    <row r="1716" spans="2:16" x14ac:dyDescent="0.25">
      <c r="B1716" s="24"/>
      <c r="E1716" s="24"/>
      <c r="G1716" s="24"/>
      <c r="H1716" s="24"/>
      <c r="J1716" s="24"/>
      <c r="K1716" s="24"/>
      <c r="M1716" s="24"/>
      <c r="N1716" s="24"/>
      <c r="P1716" s="24"/>
    </row>
    <row r="1717" spans="2:16" x14ac:dyDescent="0.25">
      <c r="B1717" s="24"/>
      <c r="E1717" s="24"/>
      <c r="G1717" s="24"/>
      <c r="H1717" s="24"/>
      <c r="J1717" s="24"/>
      <c r="K1717" s="24"/>
      <c r="M1717" s="24"/>
      <c r="N1717" s="24"/>
      <c r="P1717" s="24"/>
    </row>
    <row r="1718" spans="2:16" x14ac:dyDescent="0.25">
      <c r="B1718" s="24"/>
      <c r="E1718" s="24"/>
      <c r="G1718" s="24"/>
      <c r="H1718" s="24"/>
      <c r="J1718" s="24"/>
      <c r="K1718" s="24"/>
      <c r="M1718" s="24"/>
      <c r="N1718" s="24"/>
      <c r="P1718" s="24"/>
    </row>
    <row r="1719" spans="2:16" x14ac:dyDescent="0.25">
      <c r="B1719" s="24"/>
      <c r="E1719" s="24"/>
      <c r="G1719" s="24"/>
      <c r="H1719" s="24"/>
      <c r="J1719" s="24"/>
      <c r="K1719" s="24"/>
      <c r="M1719" s="24"/>
      <c r="N1719" s="24"/>
      <c r="P1719" s="24"/>
    </row>
    <row r="1720" spans="2:16" x14ac:dyDescent="0.25">
      <c r="B1720" s="24"/>
      <c r="E1720" s="24"/>
      <c r="G1720" s="24"/>
      <c r="H1720" s="24"/>
      <c r="J1720" s="24"/>
      <c r="K1720" s="24"/>
      <c r="M1720" s="24"/>
      <c r="N1720" s="24"/>
      <c r="P1720" s="24"/>
    </row>
    <row r="1721" spans="2:16" x14ac:dyDescent="0.25">
      <c r="B1721" s="24"/>
      <c r="E1721" s="24"/>
      <c r="G1721" s="24"/>
      <c r="H1721" s="24"/>
      <c r="J1721" s="24"/>
      <c r="K1721" s="24"/>
      <c r="M1721" s="24"/>
      <c r="N1721" s="24"/>
      <c r="P1721" s="24"/>
    </row>
    <row r="1722" spans="2:16" x14ac:dyDescent="0.25">
      <c r="B1722" s="24"/>
      <c r="E1722" s="24"/>
      <c r="G1722" s="24"/>
      <c r="H1722" s="24"/>
      <c r="J1722" s="24"/>
      <c r="K1722" s="24"/>
      <c r="M1722" s="24"/>
      <c r="N1722" s="24"/>
      <c r="P1722" s="24"/>
    </row>
    <row r="1723" spans="2:16" x14ac:dyDescent="0.25">
      <c r="B1723" s="24"/>
      <c r="E1723" s="24"/>
      <c r="G1723" s="24"/>
      <c r="H1723" s="24"/>
      <c r="J1723" s="24"/>
      <c r="K1723" s="24"/>
      <c r="M1723" s="24"/>
      <c r="N1723" s="24"/>
      <c r="P1723" s="24"/>
    </row>
    <row r="1724" spans="2:16" x14ac:dyDescent="0.25">
      <c r="B1724" s="24"/>
      <c r="E1724" s="24"/>
      <c r="G1724" s="24"/>
      <c r="H1724" s="24"/>
      <c r="J1724" s="24"/>
      <c r="K1724" s="24"/>
      <c r="M1724" s="24"/>
      <c r="N1724" s="24"/>
      <c r="P1724" s="24"/>
    </row>
    <row r="1725" spans="2:16" x14ac:dyDescent="0.25">
      <c r="B1725" s="24"/>
      <c r="E1725" s="24"/>
      <c r="G1725" s="24"/>
      <c r="H1725" s="24"/>
      <c r="J1725" s="24"/>
      <c r="K1725" s="24"/>
      <c r="M1725" s="24"/>
      <c r="N1725" s="24"/>
      <c r="P1725" s="24"/>
    </row>
    <row r="1726" spans="2:16" x14ac:dyDescent="0.25">
      <c r="B1726" s="24"/>
      <c r="E1726" s="24"/>
      <c r="G1726" s="24"/>
      <c r="H1726" s="24"/>
      <c r="J1726" s="24"/>
      <c r="K1726" s="24"/>
      <c r="M1726" s="24"/>
      <c r="N1726" s="24"/>
      <c r="P1726" s="24"/>
    </row>
    <row r="1727" spans="2:16" x14ac:dyDescent="0.25">
      <c r="B1727" s="24"/>
      <c r="E1727" s="24"/>
      <c r="G1727" s="24"/>
      <c r="H1727" s="24"/>
      <c r="J1727" s="24"/>
      <c r="K1727" s="24"/>
      <c r="M1727" s="24"/>
      <c r="N1727" s="24"/>
      <c r="P1727" s="24"/>
    </row>
    <row r="1728" spans="2:16" x14ac:dyDescent="0.25">
      <c r="B1728" s="24"/>
      <c r="E1728" s="24"/>
      <c r="G1728" s="24"/>
      <c r="H1728" s="24"/>
      <c r="J1728" s="24"/>
      <c r="K1728" s="24"/>
      <c r="M1728" s="24"/>
      <c r="N1728" s="24"/>
      <c r="P1728" s="24"/>
    </row>
    <row r="1729" spans="2:16" x14ac:dyDescent="0.25">
      <c r="B1729" s="24"/>
      <c r="E1729" s="24"/>
      <c r="G1729" s="24"/>
      <c r="H1729" s="24"/>
      <c r="J1729" s="24"/>
      <c r="K1729" s="24"/>
      <c r="M1729" s="24"/>
      <c r="N1729" s="24"/>
      <c r="P1729" s="24"/>
    </row>
    <row r="1730" spans="2:16" x14ac:dyDescent="0.25">
      <c r="B1730" s="24"/>
      <c r="E1730" s="24"/>
      <c r="G1730" s="24"/>
      <c r="H1730" s="24"/>
      <c r="J1730" s="24"/>
      <c r="K1730" s="24"/>
      <c r="M1730" s="24"/>
      <c r="N1730" s="24"/>
      <c r="P1730" s="24"/>
    </row>
    <row r="1731" spans="2:16" x14ac:dyDescent="0.25">
      <c r="B1731" s="24"/>
      <c r="E1731" s="24"/>
      <c r="G1731" s="24"/>
      <c r="H1731" s="24"/>
      <c r="J1731" s="24"/>
      <c r="K1731" s="24"/>
      <c r="M1731" s="24"/>
      <c r="N1731" s="24"/>
      <c r="P1731" s="24"/>
    </row>
    <row r="1732" spans="2:16" x14ac:dyDescent="0.25">
      <c r="B1732" s="24"/>
      <c r="E1732" s="24"/>
      <c r="G1732" s="24"/>
      <c r="H1732" s="24"/>
      <c r="J1732" s="24"/>
      <c r="K1732" s="24"/>
      <c r="M1732" s="24"/>
      <c r="N1732" s="24"/>
      <c r="P1732" s="24"/>
    </row>
    <row r="1733" spans="2:16" x14ac:dyDescent="0.25">
      <c r="B1733" s="24"/>
      <c r="E1733" s="24"/>
      <c r="G1733" s="24"/>
      <c r="H1733" s="24"/>
      <c r="J1733" s="24"/>
      <c r="K1733" s="24"/>
      <c r="M1733" s="24"/>
      <c r="N1733" s="24"/>
      <c r="P1733" s="24"/>
    </row>
    <row r="1734" spans="2:16" x14ac:dyDescent="0.25">
      <c r="B1734" s="24"/>
      <c r="E1734" s="24"/>
      <c r="G1734" s="24"/>
      <c r="H1734" s="24"/>
      <c r="J1734" s="24"/>
      <c r="K1734" s="24"/>
      <c r="M1734" s="24"/>
      <c r="N1734" s="24"/>
      <c r="P1734" s="24"/>
    </row>
    <row r="1735" spans="2:16" x14ac:dyDescent="0.25">
      <c r="B1735" s="24"/>
      <c r="E1735" s="24"/>
      <c r="G1735" s="24"/>
      <c r="H1735" s="24"/>
      <c r="J1735" s="24"/>
      <c r="K1735" s="24"/>
      <c r="M1735" s="24"/>
      <c r="N1735" s="24"/>
      <c r="P1735" s="24"/>
    </row>
    <row r="1736" spans="2:16" x14ac:dyDescent="0.25">
      <c r="B1736" s="24"/>
      <c r="E1736" s="24"/>
      <c r="G1736" s="24"/>
      <c r="H1736" s="24"/>
      <c r="J1736" s="24"/>
      <c r="K1736" s="24"/>
      <c r="M1736" s="24"/>
      <c r="N1736" s="24"/>
      <c r="P1736" s="24"/>
    </row>
    <row r="1737" spans="2:16" x14ac:dyDescent="0.25">
      <c r="B1737" s="24"/>
      <c r="E1737" s="24"/>
      <c r="G1737" s="24"/>
      <c r="H1737" s="24"/>
      <c r="J1737" s="24"/>
      <c r="K1737" s="24"/>
      <c r="M1737" s="24"/>
      <c r="N1737" s="24"/>
      <c r="P1737" s="24"/>
    </row>
    <row r="1738" spans="2:16" x14ac:dyDescent="0.25">
      <c r="B1738" s="24"/>
      <c r="E1738" s="24"/>
      <c r="G1738" s="24"/>
      <c r="H1738" s="24"/>
      <c r="J1738" s="24"/>
      <c r="K1738" s="24"/>
      <c r="M1738" s="24"/>
      <c r="N1738" s="24"/>
      <c r="P1738" s="24"/>
    </row>
    <row r="1739" spans="2:16" x14ac:dyDescent="0.25">
      <c r="B1739" s="24"/>
      <c r="E1739" s="24"/>
      <c r="G1739" s="24"/>
      <c r="H1739" s="24"/>
      <c r="J1739" s="24"/>
      <c r="K1739" s="24"/>
      <c r="M1739" s="24"/>
      <c r="N1739" s="24"/>
      <c r="P1739" s="24"/>
    </row>
    <row r="1740" spans="2:16" x14ac:dyDescent="0.25">
      <c r="B1740" s="24"/>
      <c r="E1740" s="24"/>
      <c r="G1740" s="24"/>
      <c r="H1740" s="24"/>
      <c r="J1740" s="24"/>
      <c r="K1740" s="24"/>
      <c r="M1740" s="24"/>
      <c r="N1740" s="24"/>
      <c r="P1740" s="24"/>
    </row>
    <row r="1741" spans="2:16" x14ac:dyDescent="0.25">
      <c r="B1741" s="24"/>
      <c r="E1741" s="24"/>
      <c r="G1741" s="24"/>
      <c r="H1741" s="24"/>
      <c r="J1741" s="24"/>
      <c r="K1741" s="24"/>
      <c r="M1741" s="24"/>
      <c r="N1741" s="24"/>
      <c r="P1741" s="24"/>
    </row>
    <row r="1742" spans="2:16" x14ac:dyDescent="0.25">
      <c r="B1742" s="24"/>
      <c r="E1742" s="24"/>
      <c r="G1742" s="24"/>
      <c r="H1742" s="24"/>
      <c r="J1742" s="24"/>
      <c r="K1742" s="24"/>
      <c r="M1742" s="24"/>
      <c r="N1742" s="24"/>
      <c r="P1742" s="24"/>
    </row>
    <row r="1743" spans="2:16" x14ac:dyDescent="0.25">
      <c r="B1743" s="24"/>
      <c r="E1743" s="24"/>
      <c r="G1743" s="24"/>
      <c r="H1743" s="24"/>
      <c r="J1743" s="24"/>
      <c r="K1743" s="24"/>
      <c r="M1743" s="24"/>
      <c r="N1743" s="24"/>
      <c r="P1743" s="24"/>
    </row>
    <row r="1744" spans="2:16" x14ac:dyDescent="0.25">
      <c r="B1744" s="24"/>
      <c r="E1744" s="24"/>
      <c r="G1744" s="24"/>
      <c r="H1744" s="24"/>
      <c r="J1744" s="24"/>
      <c r="K1744" s="24"/>
      <c r="M1744" s="24"/>
      <c r="N1744" s="24"/>
      <c r="P1744" s="24"/>
    </row>
    <row r="1745" spans="2:16" x14ac:dyDescent="0.25">
      <c r="B1745" s="24"/>
      <c r="E1745" s="24"/>
      <c r="G1745" s="24"/>
      <c r="H1745" s="24"/>
      <c r="J1745" s="24"/>
      <c r="K1745" s="24"/>
      <c r="M1745" s="24"/>
      <c r="N1745" s="24"/>
      <c r="P1745" s="24"/>
    </row>
    <row r="1746" spans="2:16" x14ac:dyDescent="0.25">
      <c r="B1746" s="24"/>
      <c r="E1746" s="24"/>
      <c r="G1746" s="24"/>
      <c r="H1746" s="24"/>
      <c r="J1746" s="24"/>
      <c r="K1746" s="24"/>
      <c r="M1746" s="24"/>
      <c r="N1746" s="24"/>
      <c r="P1746" s="24"/>
    </row>
    <row r="1747" spans="2:16" x14ac:dyDescent="0.25">
      <c r="B1747" s="24"/>
      <c r="E1747" s="24"/>
      <c r="G1747" s="24"/>
      <c r="H1747" s="24"/>
      <c r="J1747" s="24"/>
      <c r="K1747" s="24"/>
      <c r="M1747" s="24"/>
      <c r="N1747" s="24"/>
      <c r="P1747" s="24"/>
    </row>
    <row r="1748" spans="2:16" x14ac:dyDescent="0.25">
      <c r="B1748" s="24"/>
      <c r="E1748" s="24"/>
      <c r="G1748" s="24"/>
      <c r="H1748" s="24"/>
      <c r="J1748" s="24"/>
      <c r="K1748" s="24"/>
      <c r="M1748" s="24"/>
      <c r="N1748" s="24"/>
      <c r="P1748" s="24"/>
    </row>
    <row r="1749" spans="2:16" x14ac:dyDescent="0.25">
      <c r="B1749" s="24"/>
      <c r="E1749" s="24"/>
      <c r="G1749" s="24"/>
      <c r="H1749" s="24"/>
      <c r="J1749" s="24"/>
      <c r="K1749" s="24"/>
      <c r="M1749" s="24"/>
      <c r="N1749" s="24"/>
      <c r="P1749" s="24"/>
    </row>
    <row r="1750" spans="2:16" x14ac:dyDescent="0.25">
      <c r="B1750" s="24"/>
      <c r="E1750" s="24"/>
      <c r="G1750" s="24"/>
      <c r="H1750" s="24"/>
      <c r="J1750" s="24"/>
      <c r="K1750" s="24"/>
      <c r="M1750" s="24"/>
      <c r="N1750" s="24"/>
      <c r="P1750" s="24"/>
    </row>
    <row r="1751" spans="2:16" x14ac:dyDescent="0.25">
      <c r="B1751" s="24"/>
      <c r="E1751" s="24"/>
      <c r="G1751" s="24"/>
      <c r="H1751" s="24"/>
      <c r="J1751" s="24"/>
      <c r="K1751" s="24"/>
      <c r="M1751" s="24"/>
      <c r="N1751" s="24"/>
      <c r="P1751" s="24"/>
    </row>
    <row r="1752" spans="2:16" x14ac:dyDescent="0.25">
      <c r="B1752" s="24"/>
      <c r="E1752" s="24"/>
      <c r="G1752" s="24"/>
      <c r="H1752" s="24"/>
      <c r="J1752" s="24"/>
      <c r="K1752" s="24"/>
      <c r="M1752" s="24"/>
      <c r="N1752" s="24"/>
      <c r="P1752" s="24"/>
    </row>
    <row r="1753" spans="2:16" x14ac:dyDescent="0.25">
      <c r="B1753" s="24"/>
      <c r="E1753" s="24"/>
      <c r="G1753" s="24"/>
      <c r="H1753" s="24"/>
      <c r="J1753" s="24"/>
      <c r="K1753" s="24"/>
      <c r="M1753" s="24"/>
      <c r="N1753" s="24"/>
      <c r="P1753" s="24"/>
    </row>
    <row r="1754" spans="2:16" x14ac:dyDescent="0.25">
      <c r="B1754" s="24"/>
      <c r="E1754" s="24"/>
      <c r="G1754" s="24"/>
      <c r="H1754" s="24"/>
      <c r="J1754" s="24"/>
      <c r="K1754" s="24"/>
      <c r="M1754" s="24"/>
      <c r="N1754" s="24"/>
      <c r="P1754" s="24"/>
    </row>
    <row r="1755" spans="2:16" x14ac:dyDescent="0.25">
      <c r="B1755" s="24"/>
      <c r="E1755" s="24"/>
      <c r="G1755" s="24"/>
      <c r="H1755" s="24"/>
      <c r="J1755" s="24"/>
      <c r="K1755" s="24"/>
      <c r="M1755" s="24"/>
      <c r="N1755" s="24"/>
      <c r="P1755" s="24"/>
    </row>
    <row r="1756" spans="2:16" x14ac:dyDescent="0.25">
      <c r="B1756" s="24"/>
      <c r="E1756" s="24"/>
      <c r="G1756" s="24"/>
      <c r="H1756" s="24"/>
      <c r="J1756" s="24"/>
      <c r="K1756" s="24"/>
      <c r="M1756" s="24"/>
      <c r="N1756" s="24"/>
      <c r="P1756" s="24"/>
    </row>
    <row r="1757" spans="2:16" x14ac:dyDescent="0.25">
      <c r="B1757" s="24"/>
      <c r="E1757" s="24"/>
      <c r="G1757" s="24"/>
      <c r="H1757" s="24"/>
      <c r="J1757" s="24"/>
      <c r="K1757" s="24"/>
      <c r="M1757" s="24"/>
      <c r="N1757" s="24"/>
      <c r="P1757" s="24"/>
    </row>
    <row r="1758" spans="2:16" x14ac:dyDescent="0.25">
      <c r="B1758" s="24"/>
      <c r="E1758" s="24"/>
      <c r="G1758" s="24"/>
      <c r="H1758" s="24"/>
      <c r="J1758" s="24"/>
      <c r="K1758" s="24"/>
      <c r="M1758" s="24"/>
      <c r="N1758" s="24"/>
      <c r="P1758" s="24"/>
    </row>
    <row r="1759" spans="2:16" x14ac:dyDescent="0.25">
      <c r="B1759" s="24"/>
      <c r="E1759" s="24"/>
      <c r="G1759" s="24"/>
      <c r="H1759" s="24"/>
      <c r="J1759" s="24"/>
      <c r="K1759" s="24"/>
      <c r="M1759" s="24"/>
      <c r="N1759" s="24"/>
      <c r="P1759" s="24"/>
    </row>
    <row r="1760" spans="2:16" x14ac:dyDescent="0.25">
      <c r="B1760" s="24"/>
      <c r="E1760" s="24"/>
      <c r="G1760" s="24"/>
      <c r="H1760" s="24"/>
      <c r="J1760" s="24"/>
      <c r="K1760" s="24"/>
      <c r="M1760" s="24"/>
      <c r="N1760" s="24"/>
      <c r="P1760" s="24"/>
    </row>
    <row r="1761" spans="2:16" x14ac:dyDescent="0.25">
      <c r="B1761" s="24"/>
      <c r="E1761" s="24"/>
      <c r="G1761" s="24"/>
      <c r="H1761" s="24"/>
      <c r="J1761" s="24"/>
      <c r="K1761" s="24"/>
      <c r="M1761" s="24"/>
      <c r="N1761" s="24"/>
      <c r="P1761" s="24"/>
    </row>
    <row r="1762" spans="2:16" x14ac:dyDescent="0.25">
      <c r="B1762" s="24"/>
      <c r="E1762" s="24"/>
      <c r="G1762" s="24"/>
      <c r="H1762" s="24"/>
      <c r="J1762" s="24"/>
      <c r="K1762" s="24"/>
      <c r="M1762" s="24"/>
      <c r="N1762" s="24"/>
      <c r="P1762" s="24"/>
    </row>
    <row r="1763" spans="2:16" x14ac:dyDescent="0.25">
      <c r="B1763" s="24"/>
      <c r="E1763" s="24"/>
      <c r="G1763" s="24"/>
      <c r="H1763" s="24"/>
      <c r="J1763" s="24"/>
      <c r="K1763" s="24"/>
      <c r="M1763" s="24"/>
      <c r="N1763" s="24"/>
      <c r="P1763" s="24"/>
    </row>
    <row r="1764" spans="2:16" x14ac:dyDescent="0.25">
      <c r="B1764" s="24"/>
      <c r="E1764" s="24"/>
      <c r="G1764" s="24"/>
      <c r="H1764" s="24"/>
      <c r="J1764" s="24"/>
      <c r="K1764" s="24"/>
      <c r="M1764" s="24"/>
      <c r="N1764" s="24"/>
      <c r="P1764" s="24"/>
    </row>
    <row r="1765" spans="2:16" x14ac:dyDescent="0.25">
      <c r="B1765" s="24"/>
      <c r="E1765" s="24"/>
      <c r="G1765" s="24"/>
      <c r="H1765" s="24"/>
      <c r="J1765" s="24"/>
      <c r="K1765" s="24"/>
      <c r="M1765" s="24"/>
      <c r="N1765" s="24"/>
      <c r="P1765" s="24"/>
    </row>
    <row r="1766" spans="2:16" x14ac:dyDescent="0.25">
      <c r="B1766" s="24"/>
      <c r="E1766" s="24"/>
      <c r="G1766" s="24"/>
      <c r="H1766" s="24"/>
      <c r="J1766" s="24"/>
      <c r="K1766" s="24"/>
      <c r="M1766" s="24"/>
      <c r="N1766" s="24"/>
      <c r="P1766" s="24"/>
    </row>
    <row r="1767" spans="2:16" x14ac:dyDescent="0.25">
      <c r="B1767" s="24"/>
      <c r="E1767" s="24"/>
      <c r="G1767" s="24"/>
      <c r="H1767" s="24"/>
      <c r="J1767" s="24"/>
      <c r="K1767" s="24"/>
      <c r="M1767" s="24"/>
      <c r="N1767" s="24"/>
      <c r="P1767" s="24"/>
    </row>
    <row r="1768" spans="2:16" x14ac:dyDescent="0.25">
      <c r="B1768" s="24"/>
      <c r="E1768" s="24"/>
      <c r="G1768" s="24"/>
      <c r="H1768" s="24"/>
      <c r="J1768" s="24"/>
      <c r="K1768" s="24"/>
      <c r="M1768" s="24"/>
      <c r="N1768" s="24"/>
      <c r="P1768" s="24"/>
    </row>
    <row r="1769" spans="2:16" x14ac:dyDescent="0.25">
      <c r="B1769" s="24"/>
      <c r="E1769" s="24"/>
      <c r="G1769" s="24"/>
      <c r="H1769" s="24"/>
      <c r="J1769" s="24"/>
      <c r="K1769" s="24"/>
      <c r="M1769" s="24"/>
      <c r="N1769" s="24"/>
      <c r="P1769" s="24"/>
    </row>
    <row r="1770" spans="2:16" x14ac:dyDescent="0.25">
      <c r="B1770" s="24"/>
      <c r="E1770" s="24"/>
      <c r="G1770" s="24"/>
      <c r="H1770" s="24"/>
      <c r="J1770" s="24"/>
      <c r="K1770" s="24"/>
      <c r="M1770" s="24"/>
      <c r="N1770" s="24"/>
      <c r="P1770" s="24"/>
    </row>
    <row r="1771" spans="2:16" x14ac:dyDescent="0.25">
      <c r="B1771" s="24"/>
      <c r="E1771" s="24"/>
      <c r="G1771" s="24"/>
      <c r="H1771" s="24"/>
      <c r="J1771" s="24"/>
      <c r="K1771" s="24"/>
      <c r="M1771" s="24"/>
      <c r="N1771" s="24"/>
      <c r="P1771" s="24"/>
    </row>
    <row r="1772" spans="2:16" x14ac:dyDescent="0.25">
      <c r="B1772" s="24"/>
      <c r="E1772" s="24"/>
      <c r="G1772" s="24"/>
      <c r="H1772" s="24"/>
      <c r="J1772" s="24"/>
      <c r="K1772" s="24"/>
      <c r="M1772" s="24"/>
      <c r="N1772" s="24"/>
      <c r="P1772" s="24"/>
    </row>
    <row r="1773" spans="2:16" x14ac:dyDescent="0.25">
      <c r="B1773" s="24"/>
      <c r="E1773" s="24"/>
      <c r="G1773" s="24"/>
      <c r="H1773" s="24"/>
      <c r="J1773" s="24"/>
      <c r="K1773" s="24"/>
      <c r="M1773" s="24"/>
      <c r="N1773" s="24"/>
      <c r="P1773" s="24"/>
    </row>
    <row r="1774" spans="2:16" x14ac:dyDescent="0.25">
      <c r="B1774" s="24"/>
      <c r="E1774" s="24"/>
      <c r="G1774" s="24"/>
      <c r="H1774" s="24"/>
      <c r="J1774" s="24"/>
      <c r="K1774" s="24"/>
      <c r="M1774" s="24"/>
      <c r="N1774" s="24"/>
      <c r="P1774" s="24"/>
    </row>
    <row r="1775" spans="2:16" x14ac:dyDescent="0.25">
      <c r="B1775" s="24"/>
      <c r="E1775" s="24"/>
      <c r="G1775" s="24"/>
      <c r="H1775" s="24"/>
      <c r="J1775" s="24"/>
      <c r="K1775" s="24"/>
      <c r="M1775" s="24"/>
      <c r="N1775" s="24"/>
      <c r="P1775" s="24"/>
    </row>
    <row r="1776" spans="2:16" x14ac:dyDescent="0.25">
      <c r="B1776" s="24"/>
      <c r="E1776" s="24"/>
      <c r="G1776" s="24"/>
      <c r="H1776" s="24"/>
      <c r="J1776" s="24"/>
      <c r="K1776" s="24"/>
      <c r="M1776" s="24"/>
      <c r="N1776" s="24"/>
      <c r="P1776" s="24"/>
    </row>
    <row r="1777" spans="2:16" x14ac:dyDescent="0.25">
      <c r="B1777" s="24"/>
      <c r="E1777" s="24"/>
      <c r="G1777" s="24"/>
      <c r="H1777" s="24"/>
      <c r="J1777" s="24"/>
      <c r="K1777" s="24"/>
      <c r="M1777" s="24"/>
      <c r="N1777" s="24"/>
      <c r="P1777" s="24"/>
    </row>
    <row r="1778" spans="2:16" x14ac:dyDescent="0.25">
      <c r="B1778" s="24"/>
      <c r="E1778" s="24"/>
      <c r="G1778" s="24"/>
      <c r="H1778" s="24"/>
      <c r="J1778" s="24"/>
      <c r="K1778" s="24"/>
      <c r="M1778" s="24"/>
      <c r="N1778" s="24"/>
      <c r="P1778" s="24"/>
    </row>
    <row r="1779" spans="2:16" x14ac:dyDescent="0.25">
      <c r="B1779" s="24"/>
      <c r="E1779" s="24"/>
      <c r="G1779" s="24"/>
      <c r="H1779" s="24"/>
      <c r="J1779" s="24"/>
      <c r="K1779" s="24"/>
      <c r="M1779" s="24"/>
      <c r="N1779" s="24"/>
      <c r="P1779" s="24"/>
    </row>
    <row r="1780" spans="2:16" x14ac:dyDescent="0.25">
      <c r="B1780" s="24"/>
      <c r="E1780" s="24"/>
      <c r="G1780" s="24"/>
      <c r="H1780" s="24"/>
      <c r="J1780" s="24"/>
      <c r="K1780" s="24"/>
      <c r="M1780" s="24"/>
      <c r="N1780" s="24"/>
      <c r="P1780" s="24"/>
    </row>
    <row r="1781" spans="2:16" x14ac:dyDescent="0.25">
      <c r="B1781" s="24"/>
      <c r="E1781" s="24"/>
      <c r="G1781" s="24"/>
      <c r="H1781" s="24"/>
      <c r="J1781" s="24"/>
      <c r="K1781" s="24"/>
      <c r="M1781" s="24"/>
      <c r="N1781" s="24"/>
      <c r="P1781" s="24"/>
    </row>
    <row r="1782" spans="2:16" x14ac:dyDescent="0.25">
      <c r="B1782" s="24"/>
      <c r="E1782" s="24"/>
      <c r="G1782" s="24"/>
      <c r="H1782" s="24"/>
      <c r="J1782" s="24"/>
      <c r="K1782" s="24"/>
      <c r="M1782" s="24"/>
      <c r="N1782" s="24"/>
      <c r="P1782" s="24"/>
    </row>
    <row r="1783" spans="2:16" x14ac:dyDescent="0.25">
      <c r="B1783" s="24"/>
      <c r="E1783" s="24"/>
      <c r="G1783" s="24"/>
      <c r="H1783" s="24"/>
      <c r="J1783" s="24"/>
      <c r="K1783" s="24"/>
      <c r="M1783" s="24"/>
      <c r="N1783" s="24"/>
      <c r="P1783" s="24"/>
    </row>
    <row r="1784" spans="2:16" x14ac:dyDescent="0.25">
      <c r="B1784" s="24"/>
      <c r="E1784" s="24"/>
      <c r="G1784" s="24"/>
      <c r="H1784" s="24"/>
      <c r="J1784" s="24"/>
      <c r="K1784" s="24"/>
      <c r="M1784" s="24"/>
      <c r="N1784" s="24"/>
      <c r="P1784" s="24"/>
    </row>
    <row r="1785" spans="2:16" x14ac:dyDescent="0.25">
      <c r="B1785" s="24"/>
      <c r="E1785" s="24"/>
      <c r="G1785" s="24"/>
      <c r="H1785" s="24"/>
      <c r="J1785" s="24"/>
      <c r="K1785" s="24"/>
      <c r="M1785" s="24"/>
      <c r="N1785" s="24"/>
      <c r="P1785" s="24"/>
    </row>
    <row r="1786" spans="2:16" x14ac:dyDescent="0.25">
      <c r="B1786" s="24"/>
      <c r="E1786" s="24"/>
      <c r="G1786" s="24"/>
      <c r="H1786" s="24"/>
      <c r="J1786" s="24"/>
      <c r="K1786" s="24"/>
      <c r="M1786" s="24"/>
      <c r="N1786" s="24"/>
      <c r="P1786" s="24"/>
    </row>
    <row r="1787" spans="2:16" x14ac:dyDescent="0.25">
      <c r="B1787" s="24"/>
      <c r="E1787" s="24"/>
      <c r="G1787" s="24"/>
      <c r="H1787" s="24"/>
      <c r="J1787" s="24"/>
      <c r="K1787" s="24"/>
      <c r="M1787" s="24"/>
      <c r="N1787" s="24"/>
      <c r="P1787" s="24"/>
    </row>
    <row r="1788" spans="2:16" x14ac:dyDescent="0.25">
      <c r="B1788" s="24"/>
      <c r="E1788" s="24"/>
      <c r="G1788" s="24"/>
      <c r="H1788" s="24"/>
      <c r="J1788" s="24"/>
      <c r="K1788" s="24"/>
      <c r="M1788" s="24"/>
      <c r="N1788" s="24"/>
      <c r="P1788" s="24"/>
    </row>
    <row r="1789" spans="2:16" x14ac:dyDescent="0.25">
      <c r="B1789" s="24"/>
      <c r="E1789" s="24"/>
      <c r="G1789" s="24"/>
      <c r="H1789" s="24"/>
      <c r="J1789" s="24"/>
      <c r="K1789" s="24"/>
      <c r="M1789" s="24"/>
      <c r="N1789" s="24"/>
      <c r="P1789" s="24"/>
    </row>
    <row r="1790" spans="2:16" x14ac:dyDescent="0.25">
      <c r="B1790" s="24"/>
      <c r="E1790" s="24"/>
      <c r="G1790" s="24"/>
      <c r="H1790" s="24"/>
      <c r="J1790" s="24"/>
      <c r="K1790" s="24"/>
      <c r="M1790" s="24"/>
      <c r="N1790" s="24"/>
      <c r="P1790" s="24"/>
    </row>
    <row r="1791" spans="2:16" x14ac:dyDescent="0.25">
      <c r="B1791" s="24"/>
      <c r="E1791" s="24"/>
      <c r="G1791" s="24"/>
      <c r="H1791" s="24"/>
      <c r="J1791" s="24"/>
      <c r="K1791" s="24"/>
      <c r="M1791" s="24"/>
      <c r="N1791" s="24"/>
      <c r="P1791" s="24"/>
    </row>
    <row r="1792" spans="2:16" x14ac:dyDescent="0.25">
      <c r="B1792" s="24"/>
      <c r="E1792" s="24"/>
      <c r="G1792" s="24"/>
      <c r="H1792" s="24"/>
      <c r="J1792" s="24"/>
      <c r="K1792" s="24"/>
      <c r="M1792" s="24"/>
      <c r="N1792" s="24"/>
      <c r="P1792" s="24"/>
    </row>
    <row r="1793" spans="2:16" x14ac:dyDescent="0.25">
      <c r="B1793" s="24"/>
      <c r="E1793" s="24"/>
      <c r="G1793" s="24"/>
      <c r="H1793" s="24"/>
      <c r="J1793" s="24"/>
      <c r="K1793" s="24"/>
      <c r="M1793" s="24"/>
      <c r="N1793" s="24"/>
      <c r="P1793" s="24"/>
    </row>
    <row r="1794" spans="2:16" x14ac:dyDescent="0.25">
      <c r="B1794" s="24"/>
      <c r="E1794" s="24"/>
      <c r="G1794" s="24"/>
      <c r="H1794" s="24"/>
      <c r="J1794" s="24"/>
      <c r="K1794" s="24"/>
      <c r="M1794" s="24"/>
      <c r="N1794" s="24"/>
      <c r="P1794" s="24"/>
    </row>
    <row r="1795" spans="2:16" x14ac:dyDescent="0.25">
      <c r="B1795" s="24"/>
      <c r="E1795" s="24"/>
      <c r="G1795" s="24"/>
      <c r="H1795" s="24"/>
      <c r="J1795" s="24"/>
      <c r="K1795" s="24"/>
      <c r="M1795" s="24"/>
      <c r="N1795" s="24"/>
      <c r="P1795" s="24"/>
    </row>
    <row r="1796" spans="2:16" x14ac:dyDescent="0.25">
      <c r="B1796" s="24"/>
      <c r="E1796" s="24"/>
      <c r="G1796" s="24"/>
      <c r="H1796" s="24"/>
      <c r="J1796" s="24"/>
      <c r="K1796" s="24"/>
      <c r="M1796" s="24"/>
      <c r="N1796" s="24"/>
      <c r="P1796" s="24"/>
    </row>
    <row r="1797" spans="2:16" x14ac:dyDescent="0.25">
      <c r="B1797" s="24"/>
      <c r="E1797" s="24"/>
      <c r="G1797" s="24"/>
      <c r="H1797" s="24"/>
      <c r="J1797" s="24"/>
      <c r="K1797" s="24"/>
      <c r="M1797" s="24"/>
      <c r="N1797" s="24"/>
      <c r="P1797" s="24"/>
    </row>
    <row r="1798" spans="2:16" x14ac:dyDescent="0.25">
      <c r="B1798" s="24"/>
      <c r="E1798" s="24"/>
      <c r="G1798" s="24"/>
      <c r="H1798" s="24"/>
      <c r="J1798" s="24"/>
      <c r="K1798" s="24"/>
      <c r="M1798" s="24"/>
      <c r="N1798" s="24"/>
      <c r="P1798" s="24"/>
    </row>
    <row r="1799" spans="2:16" x14ac:dyDescent="0.25">
      <c r="B1799" s="24"/>
      <c r="E1799" s="24"/>
      <c r="G1799" s="24"/>
      <c r="H1799" s="24"/>
      <c r="J1799" s="24"/>
      <c r="K1799" s="24"/>
      <c r="M1799" s="24"/>
      <c r="N1799" s="24"/>
      <c r="P1799" s="24"/>
    </row>
    <row r="1800" spans="2:16" x14ac:dyDescent="0.25">
      <c r="B1800" s="24"/>
      <c r="E1800" s="24"/>
      <c r="G1800" s="24"/>
      <c r="H1800" s="24"/>
      <c r="J1800" s="24"/>
      <c r="K1800" s="24"/>
      <c r="M1800" s="24"/>
      <c r="N1800" s="24"/>
      <c r="P1800" s="24"/>
    </row>
    <row r="1801" spans="2:16" x14ac:dyDescent="0.25">
      <c r="B1801" s="24"/>
      <c r="E1801" s="24"/>
      <c r="G1801" s="24"/>
      <c r="H1801" s="24"/>
      <c r="J1801" s="24"/>
      <c r="K1801" s="24"/>
      <c r="M1801" s="24"/>
      <c r="N1801" s="24"/>
      <c r="P1801" s="24"/>
    </row>
    <row r="1802" spans="2:16" x14ac:dyDescent="0.25">
      <c r="B1802" s="24"/>
      <c r="E1802" s="24"/>
      <c r="G1802" s="24"/>
      <c r="H1802" s="24"/>
      <c r="J1802" s="24"/>
      <c r="K1802" s="24"/>
      <c r="M1802" s="24"/>
      <c r="N1802" s="24"/>
      <c r="P1802" s="24"/>
    </row>
    <row r="1803" spans="2:16" x14ac:dyDescent="0.25">
      <c r="B1803" s="24"/>
      <c r="E1803" s="24"/>
      <c r="G1803" s="24"/>
      <c r="H1803" s="24"/>
      <c r="J1803" s="24"/>
      <c r="K1803" s="24"/>
      <c r="M1803" s="24"/>
      <c r="N1803" s="24"/>
      <c r="P1803" s="24"/>
    </row>
    <row r="1804" spans="2:16" x14ac:dyDescent="0.25">
      <c r="B1804" s="24"/>
      <c r="E1804" s="24"/>
      <c r="G1804" s="24"/>
      <c r="H1804" s="24"/>
      <c r="J1804" s="24"/>
      <c r="K1804" s="24"/>
      <c r="M1804" s="24"/>
      <c r="N1804" s="24"/>
      <c r="P1804" s="24"/>
    </row>
    <row r="1805" spans="2:16" x14ac:dyDescent="0.25">
      <c r="B1805" s="24"/>
      <c r="E1805" s="24"/>
      <c r="G1805" s="24"/>
      <c r="H1805" s="24"/>
      <c r="J1805" s="24"/>
      <c r="K1805" s="24"/>
      <c r="M1805" s="24"/>
      <c r="N1805" s="24"/>
      <c r="P1805" s="24"/>
    </row>
    <row r="1806" spans="2:16" x14ac:dyDescent="0.25">
      <c r="B1806" s="24"/>
      <c r="E1806" s="24"/>
      <c r="G1806" s="24"/>
      <c r="H1806" s="24"/>
      <c r="J1806" s="24"/>
      <c r="K1806" s="24"/>
      <c r="M1806" s="24"/>
      <c r="N1806" s="24"/>
      <c r="P1806" s="24"/>
    </row>
    <row r="1807" spans="2:16" x14ac:dyDescent="0.25">
      <c r="B1807" s="24"/>
      <c r="E1807" s="24"/>
      <c r="G1807" s="24"/>
      <c r="H1807" s="24"/>
      <c r="J1807" s="24"/>
      <c r="K1807" s="24"/>
      <c r="M1807" s="24"/>
      <c r="N1807" s="24"/>
      <c r="P1807" s="24"/>
    </row>
    <row r="1808" spans="2:16" x14ac:dyDescent="0.25">
      <c r="B1808" s="24"/>
      <c r="E1808" s="24"/>
      <c r="G1808" s="24"/>
      <c r="H1808" s="24"/>
      <c r="J1808" s="24"/>
      <c r="K1808" s="24"/>
      <c r="M1808" s="24"/>
      <c r="N1808" s="24"/>
      <c r="P1808" s="24"/>
    </row>
    <row r="1809" spans="2:16" x14ac:dyDescent="0.25">
      <c r="B1809" s="24"/>
      <c r="E1809" s="24"/>
      <c r="G1809" s="24"/>
      <c r="H1809" s="24"/>
      <c r="J1809" s="24"/>
      <c r="K1809" s="24"/>
      <c r="M1809" s="24"/>
      <c r="N1809" s="24"/>
      <c r="P1809" s="24"/>
    </row>
    <row r="1810" spans="2:16" x14ac:dyDescent="0.25">
      <c r="B1810" s="24"/>
      <c r="E1810" s="24"/>
      <c r="G1810" s="24"/>
      <c r="H1810" s="24"/>
      <c r="J1810" s="24"/>
      <c r="K1810" s="24"/>
      <c r="M1810" s="24"/>
      <c r="N1810" s="24"/>
      <c r="P1810" s="24"/>
    </row>
    <row r="1811" spans="2:16" x14ac:dyDescent="0.25">
      <c r="B1811" s="24"/>
      <c r="E1811" s="24"/>
      <c r="G1811" s="24"/>
      <c r="H1811" s="24"/>
      <c r="J1811" s="24"/>
      <c r="K1811" s="24"/>
      <c r="M1811" s="24"/>
      <c r="N1811" s="24"/>
      <c r="P1811" s="24"/>
    </row>
    <row r="1812" spans="2:16" x14ac:dyDescent="0.25">
      <c r="B1812" s="24"/>
      <c r="E1812" s="24"/>
      <c r="G1812" s="24"/>
      <c r="H1812" s="24"/>
      <c r="J1812" s="24"/>
      <c r="K1812" s="24"/>
      <c r="M1812" s="24"/>
      <c r="N1812" s="24"/>
      <c r="P1812" s="24"/>
    </row>
    <row r="1813" spans="2:16" x14ac:dyDescent="0.25">
      <c r="B1813" s="24"/>
      <c r="E1813" s="24"/>
      <c r="G1813" s="24"/>
      <c r="H1813" s="24"/>
      <c r="J1813" s="24"/>
      <c r="K1813" s="24"/>
      <c r="M1813" s="24"/>
      <c r="N1813" s="24"/>
      <c r="P1813" s="24"/>
    </row>
    <row r="1814" spans="2:16" x14ac:dyDescent="0.25">
      <c r="B1814" s="24"/>
      <c r="E1814" s="24"/>
      <c r="G1814" s="24"/>
      <c r="H1814" s="24"/>
      <c r="J1814" s="24"/>
      <c r="K1814" s="24"/>
      <c r="M1814" s="24"/>
      <c r="N1814" s="24"/>
      <c r="P1814" s="24"/>
    </row>
    <row r="1815" spans="2:16" x14ac:dyDescent="0.25">
      <c r="B1815" s="24"/>
      <c r="E1815" s="24"/>
      <c r="G1815" s="24"/>
      <c r="H1815" s="24"/>
      <c r="J1815" s="24"/>
      <c r="K1815" s="24"/>
      <c r="M1815" s="24"/>
      <c r="N1815" s="24"/>
      <c r="P1815" s="24"/>
    </row>
    <row r="1816" spans="2:16" x14ac:dyDescent="0.25">
      <c r="B1816" s="24"/>
      <c r="E1816" s="24"/>
      <c r="G1816" s="24"/>
      <c r="H1816" s="24"/>
      <c r="J1816" s="24"/>
      <c r="K1816" s="24"/>
      <c r="M1816" s="24"/>
      <c r="N1816" s="24"/>
      <c r="P1816" s="24"/>
    </row>
    <row r="1817" spans="2:16" x14ac:dyDescent="0.25">
      <c r="B1817" s="24"/>
      <c r="E1817" s="24"/>
      <c r="G1817" s="24"/>
      <c r="H1817" s="24"/>
      <c r="J1817" s="24"/>
      <c r="K1817" s="24"/>
      <c r="M1817" s="24"/>
      <c r="N1817" s="24"/>
      <c r="P1817" s="24"/>
    </row>
    <row r="1818" spans="2:16" x14ac:dyDescent="0.25">
      <c r="B1818" s="24"/>
      <c r="E1818" s="24"/>
      <c r="G1818" s="24"/>
      <c r="H1818" s="24"/>
      <c r="J1818" s="24"/>
      <c r="K1818" s="24"/>
      <c r="M1818" s="24"/>
      <c r="N1818" s="24"/>
      <c r="P1818" s="24"/>
    </row>
    <row r="1819" spans="2:16" x14ac:dyDescent="0.25">
      <c r="B1819" s="24"/>
      <c r="E1819" s="24"/>
      <c r="G1819" s="24"/>
      <c r="H1819" s="24"/>
      <c r="J1819" s="24"/>
      <c r="K1819" s="24"/>
      <c r="M1819" s="24"/>
      <c r="N1819" s="24"/>
      <c r="P1819" s="24"/>
    </row>
    <row r="1820" spans="2:16" x14ac:dyDescent="0.25">
      <c r="B1820" s="24"/>
      <c r="E1820" s="24"/>
      <c r="G1820" s="24"/>
      <c r="H1820" s="24"/>
      <c r="J1820" s="24"/>
      <c r="K1820" s="24"/>
      <c r="M1820" s="24"/>
      <c r="N1820" s="24"/>
      <c r="P1820" s="24"/>
    </row>
    <row r="1821" spans="2:16" x14ac:dyDescent="0.25">
      <c r="B1821" s="24"/>
      <c r="E1821" s="24"/>
      <c r="G1821" s="24"/>
      <c r="H1821" s="24"/>
      <c r="J1821" s="24"/>
      <c r="K1821" s="24"/>
      <c r="M1821" s="24"/>
      <c r="N1821" s="24"/>
      <c r="P1821" s="24"/>
    </row>
    <row r="1822" spans="2:16" x14ac:dyDescent="0.25">
      <c r="B1822" s="24"/>
      <c r="E1822" s="24"/>
      <c r="G1822" s="24"/>
      <c r="H1822" s="24"/>
      <c r="J1822" s="24"/>
      <c r="K1822" s="24"/>
      <c r="M1822" s="24"/>
      <c r="N1822" s="24"/>
      <c r="P1822" s="24"/>
    </row>
    <row r="1823" spans="2:16" x14ac:dyDescent="0.25">
      <c r="B1823" s="24"/>
      <c r="E1823" s="24"/>
      <c r="G1823" s="24"/>
      <c r="H1823" s="24"/>
      <c r="J1823" s="24"/>
      <c r="K1823" s="24"/>
      <c r="M1823" s="24"/>
      <c r="N1823" s="24"/>
      <c r="P1823" s="24"/>
    </row>
    <row r="1824" spans="2:16" x14ac:dyDescent="0.25">
      <c r="B1824" s="24"/>
      <c r="E1824" s="24"/>
      <c r="G1824" s="24"/>
      <c r="H1824" s="24"/>
      <c r="J1824" s="24"/>
      <c r="K1824" s="24"/>
      <c r="M1824" s="24"/>
      <c r="N1824" s="24"/>
      <c r="P1824" s="24"/>
    </row>
    <row r="1825" spans="2:16" x14ac:dyDescent="0.25">
      <c r="B1825" s="24"/>
      <c r="E1825" s="24"/>
      <c r="G1825" s="24"/>
      <c r="H1825" s="24"/>
      <c r="J1825" s="24"/>
      <c r="K1825" s="24"/>
      <c r="M1825" s="24"/>
      <c r="N1825" s="24"/>
      <c r="P1825" s="24"/>
    </row>
    <row r="1826" spans="2:16" x14ac:dyDescent="0.25">
      <c r="B1826" s="24"/>
      <c r="E1826" s="24"/>
      <c r="G1826" s="24"/>
      <c r="H1826" s="24"/>
      <c r="J1826" s="24"/>
      <c r="K1826" s="24"/>
      <c r="M1826" s="24"/>
      <c r="N1826" s="24"/>
      <c r="P1826" s="24"/>
    </row>
    <row r="1827" spans="2:16" x14ac:dyDescent="0.25">
      <c r="B1827" s="24"/>
      <c r="E1827" s="24"/>
      <c r="G1827" s="24"/>
      <c r="H1827" s="24"/>
      <c r="J1827" s="24"/>
      <c r="K1827" s="24"/>
      <c r="M1827" s="24"/>
      <c r="N1827" s="24"/>
      <c r="P1827" s="24"/>
    </row>
    <row r="1828" spans="2:16" x14ac:dyDescent="0.25">
      <c r="B1828" s="24"/>
      <c r="E1828" s="24"/>
      <c r="G1828" s="24"/>
      <c r="H1828" s="24"/>
      <c r="J1828" s="24"/>
      <c r="K1828" s="24"/>
      <c r="M1828" s="24"/>
      <c r="N1828" s="24"/>
      <c r="P1828" s="24"/>
    </row>
    <row r="1829" spans="2:16" x14ac:dyDescent="0.25">
      <c r="B1829" s="24"/>
      <c r="E1829" s="24"/>
      <c r="G1829" s="24"/>
      <c r="H1829" s="24"/>
      <c r="J1829" s="24"/>
      <c r="K1829" s="24"/>
      <c r="M1829" s="24"/>
      <c r="N1829" s="24"/>
      <c r="P1829" s="24"/>
    </row>
    <row r="1830" spans="2:16" x14ac:dyDescent="0.25">
      <c r="B1830" s="24"/>
      <c r="E1830" s="24"/>
      <c r="G1830" s="24"/>
      <c r="H1830" s="24"/>
      <c r="J1830" s="24"/>
      <c r="K1830" s="24"/>
      <c r="M1830" s="24"/>
      <c r="N1830" s="24"/>
      <c r="P1830" s="24"/>
    </row>
    <row r="1831" spans="2:16" x14ac:dyDescent="0.25">
      <c r="B1831" s="24"/>
      <c r="E1831" s="24"/>
      <c r="G1831" s="24"/>
      <c r="H1831" s="24"/>
      <c r="J1831" s="24"/>
      <c r="K1831" s="24"/>
      <c r="M1831" s="24"/>
      <c r="N1831" s="24"/>
      <c r="P1831" s="24"/>
    </row>
    <row r="1832" spans="2:16" x14ac:dyDescent="0.25">
      <c r="B1832" s="24"/>
      <c r="E1832" s="24"/>
      <c r="G1832" s="24"/>
      <c r="H1832" s="24"/>
      <c r="J1832" s="24"/>
      <c r="K1832" s="24"/>
      <c r="M1832" s="24"/>
      <c r="N1832" s="24"/>
      <c r="P1832" s="24"/>
    </row>
    <row r="1833" spans="2:16" x14ac:dyDescent="0.25">
      <c r="B1833" s="24"/>
      <c r="E1833" s="24"/>
      <c r="G1833" s="24"/>
      <c r="H1833" s="24"/>
      <c r="J1833" s="24"/>
      <c r="K1833" s="24"/>
      <c r="M1833" s="24"/>
      <c r="N1833" s="24"/>
      <c r="P1833" s="24"/>
    </row>
    <row r="1834" spans="2:16" x14ac:dyDescent="0.25">
      <c r="B1834" s="24"/>
      <c r="E1834" s="24"/>
      <c r="G1834" s="24"/>
      <c r="H1834" s="24"/>
      <c r="J1834" s="24"/>
      <c r="K1834" s="24"/>
      <c r="M1834" s="24"/>
      <c r="N1834" s="24"/>
      <c r="P1834" s="24"/>
    </row>
    <row r="1835" spans="2:16" x14ac:dyDescent="0.25">
      <c r="B1835" s="24"/>
      <c r="E1835" s="24"/>
      <c r="G1835" s="24"/>
      <c r="H1835" s="24"/>
      <c r="J1835" s="24"/>
      <c r="K1835" s="24"/>
      <c r="M1835" s="24"/>
      <c r="N1835" s="24"/>
      <c r="P1835" s="24"/>
    </row>
    <row r="1836" spans="2:16" x14ac:dyDescent="0.25">
      <c r="B1836" s="24"/>
      <c r="E1836" s="24"/>
      <c r="G1836" s="24"/>
      <c r="H1836" s="24"/>
      <c r="J1836" s="24"/>
      <c r="K1836" s="24"/>
      <c r="M1836" s="24"/>
      <c r="N1836" s="24"/>
      <c r="P1836" s="24"/>
    </row>
    <row r="1837" spans="2:16" x14ac:dyDescent="0.25">
      <c r="B1837" s="24"/>
      <c r="E1837" s="24"/>
      <c r="G1837" s="24"/>
      <c r="H1837" s="24"/>
      <c r="J1837" s="24"/>
      <c r="K1837" s="24"/>
      <c r="M1837" s="24"/>
      <c r="N1837" s="24"/>
      <c r="P1837" s="24"/>
    </row>
    <row r="1838" spans="2:16" x14ac:dyDescent="0.25">
      <c r="B1838" s="24"/>
      <c r="E1838" s="24"/>
      <c r="G1838" s="24"/>
      <c r="H1838" s="24"/>
      <c r="J1838" s="24"/>
      <c r="K1838" s="24"/>
      <c r="M1838" s="24"/>
      <c r="N1838" s="24"/>
      <c r="P1838" s="24"/>
    </row>
    <row r="1839" spans="2:16" x14ac:dyDescent="0.25">
      <c r="B1839" s="24"/>
      <c r="E1839" s="24"/>
      <c r="G1839" s="24"/>
      <c r="H1839" s="24"/>
      <c r="J1839" s="24"/>
      <c r="K1839" s="24"/>
      <c r="M1839" s="24"/>
      <c r="N1839" s="24"/>
      <c r="P1839" s="24"/>
    </row>
    <row r="1840" spans="2:16" x14ac:dyDescent="0.25">
      <c r="B1840" s="24"/>
      <c r="E1840" s="24"/>
      <c r="G1840" s="24"/>
      <c r="H1840" s="24"/>
      <c r="J1840" s="24"/>
      <c r="K1840" s="24"/>
      <c r="M1840" s="24"/>
      <c r="N1840" s="24"/>
      <c r="P1840" s="24"/>
    </row>
    <row r="1841" spans="2:16" x14ac:dyDescent="0.25">
      <c r="B1841" s="24"/>
      <c r="E1841" s="24"/>
      <c r="G1841" s="24"/>
      <c r="H1841" s="24"/>
      <c r="J1841" s="24"/>
      <c r="K1841" s="24"/>
      <c r="M1841" s="24"/>
      <c r="N1841" s="24"/>
      <c r="P1841" s="24"/>
    </row>
    <row r="1842" spans="2:16" x14ac:dyDescent="0.25">
      <c r="B1842" s="24"/>
      <c r="E1842" s="24"/>
      <c r="G1842" s="24"/>
      <c r="H1842" s="24"/>
      <c r="J1842" s="24"/>
      <c r="K1842" s="24"/>
      <c r="M1842" s="24"/>
      <c r="N1842" s="24"/>
      <c r="P1842" s="24"/>
    </row>
    <row r="1843" spans="2:16" x14ac:dyDescent="0.25">
      <c r="B1843" s="24"/>
      <c r="E1843" s="24"/>
      <c r="G1843" s="24"/>
      <c r="H1843" s="24"/>
      <c r="J1843" s="24"/>
      <c r="K1843" s="24"/>
      <c r="M1843" s="24"/>
      <c r="N1843" s="24"/>
      <c r="P1843" s="24"/>
    </row>
    <row r="1844" spans="2:16" x14ac:dyDescent="0.25">
      <c r="B1844" s="24"/>
      <c r="E1844" s="24"/>
      <c r="G1844" s="24"/>
      <c r="H1844" s="24"/>
      <c r="J1844" s="24"/>
      <c r="K1844" s="24"/>
      <c r="M1844" s="24"/>
      <c r="N1844" s="24"/>
      <c r="P1844" s="24"/>
    </row>
    <row r="1845" spans="2:16" x14ac:dyDescent="0.25">
      <c r="B1845" s="24"/>
      <c r="E1845" s="24"/>
      <c r="G1845" s="24"/>
      <c r="H1845" s="24"/>
      <c r="J1845" s="24"/>
      <c r="K1845" s="24"/>
      <c r="M1845" s="24"/>
      <c r="N1845" s="24"/>
      <c r="P1845" s="24"/>
    </row>
    <row r="1846" spans="2:16" x14ac:dyDescent="0.25">
      <c r="B1846" s="24"/>
      <c r="E1846" s="24"/>
      <c r="G1846" s="24"/>
      <c r="H1846" s="24"/>
      <c r="J1846" s="24"/>
      <c r="K1846" s="24"/>
      <c r="M1846" s="24"/>
      <c r="N1846" s="24"/>
      <c r="P1846" s="24"/>
    </row>
    <row r="1847" spans="2:16" x14ac:dyDescent="0.25">
      <c r="B1847" s="24"/>
      <c r="E1847" s="24"/>
      <c r="G1847" s="24"/>
      <c r="H1847" s="24"/>
      <c r="J1847" s="24"/>
      <c r="K1847" s="24"/>
      <c r="M1847" s="24"/>
      <c r="N1847" s="24"/>
      <c r="P1847" s="24"/>
    </row>
    <row r="1848" spans="2:16" x14ac:dyDescent="0.25">
      <c r="B1848" s="24"/>
      <c r="E1848" s="24"/>
      <c r="G1848" s="24"/>
      <c r="H1848" s="24"/>
      <c r="J1848" s="24"/>
      <c r="K1848" s="24"/>
      <c r="M1848" s="24"/>
      <c r="N1848" s="24"/>
      <c r="P1848" s="24"/>
    </row>
    <row r="1849" spans="2:16" x14ac:dyDescent="0.25">
      <c r="B1849" s="24"/>
      <c r="E1849" s="24"/>
      <c r="G1849" s="24"/>
      <c r="H1849" s="24"/>
      <c r="J1849" s="24"/>
      <c r="K1849" s="24"/>
      <c r="M1849" s="24"/>
      <c r="N1849" s="24"/>
      <c r="P1849" s="24"/>
    </row>
    <row r="1850" spans="2:16" x14ac:dyDescent="0.25">
      <c r="B1850" s="24"/>
      <c r="E1850" s="24"/>
      <c r="G1850" s="24"/>
      <c r="H1850" s="24"/>
      <c r="J1850" s="24"/>
      <c r="K1850" s="24"/>
      <c r="M1850" s="24"/>
      <c r="N1850" s="24"/>
      <c r="P1850" s="24"/>
    </row>
    <row r="1851" spans="2:16" x14ac:dyDescent="0.25">
      <c r="B1851" s="24"/>
      <c r="E1851" s="24"/>
      <c r="G1851" s="24"/>
      <c r="H1851" s="24"/>
      <c r="J1851" s="24"/>
      <c r="K1851" s="24"/>
      <c r="M1851" s="24"/>
      <c r="N1851" s="24"/>
      <c r="P1851" s="24"/>
    </row>
    <row r="1852" spans="2:16" x14ac:dyDescent="0.25">
      <c r="B1852" s="24"/>
      <c r="E1852" s="24"/>
      <c r="G1852" s="24"/>
      <c r="H1852" s="24"/>
      <c r="J1852" s="24"/>
      <c r="K1852" s="24"/>
      <c r="M1852" s="24"/>
      <c r="N1852" s="24"/>
      <c r="P1852" s="24"/>
    </row>
    <row r="1853" spans="2:16" x14ac:dyDescent="0.25">
      <c r="B1853" s="24"/>
      <c r="E1853" s="24"/>
      <c r="G1853" s="24"/>
      <c r="H1853" s="24"/>
      <c r="J1853" s="24"/>
      <c r="K1853" s="24"/>
      <c r="M1853" s="24"/>
      <c r="N1853" s="24"/>
      <c r="P1853" s="24"/>
    </row>
    <row r="1854" spans="2:16" x14ac:dyDescent="0.25">
      <c r="B1854" s="24"/>
      <c r="E1854" s="24"/>
      <c r="G1854" s="24"/>
      <c r="H1854" s="24"/>
      <c r="J1854" s="24"/>
      <c r="K1854" s="24"/>
      <c r="M1854" s="24"/>
      <c r="N1854" s="24"/>
      <c r="P1854" s="24"/>
    </row>
    <row r="1855" spans="2:16" x14ac:dyDescent="0.25">
      <c r="B1855" s="24"/>
      <c r="E1855" s="24"/>
      <c r="G1855" s="24"/>
      <c r="H1855" s="24"/>
      <c r="J1855" s="24"/>
      <c r="K1855" s="24"/>
      <c r="M1855" s="24"/>
      <c r="N1855" s="24"/>
      <c r="P1855" s="24"/>
    </row>
    <row r="1856" spans="2:16" x14ac:dyDescent="0.25">
      <c r="B1856" s="24"/>
      <c r="E1856" s="24"/>
      <c r="G1856" s="24"/>
      <c r="H1856" s="24"/>
      <c r="J1856" s="24"/>
      <c r="K1856" s="24"/>
      <c r="M1856" s="24"/>
      <c r="N1856" s="24"/>
      <c r="P1856" s="24"/>
    </row>
    <row r="1857" spans="2:16" x14ac:dyDescent="0.25">
      <c r="B1857" s="24"/>
      <c r="E1857" s="24"/>
      <c r="G1857" s="24"/>
      <c r="H1857" s="24"/>
      <c r="J1857" s="24"/>
      <c r="K1857" s="24"/>
      <c r="M1857" s="24"/>
      <c r="N1857" s="24"/>
      <c r="P1857" s="24"/>
    </row>
    <row r="1858" spans="2:16" x14ac:dyDescent="0.25">
      <c r="B1858" s="24"/>
      <c r="E1858" s="24"/>
      <c r="G1858" s="24"/>
      <c r="H1858" s="24"/>
      <c r="J1858" s="24"/>
      <c r="K1858" s="24"/>
      <c r="M1858" s="24"/>
      <c r="N1858" s="24"/>
      <c r="P1858" s="24"/>
    </row>
    <row r="1859" spans="2:16" x14ac:dyDescent="0.25">
      <c r="B1859" s="24"/>
      <c r="E1859" s="24"/>
      <c r="G1859" s="24"/>
      <c r="H1859" s="24"/>
      <c r="J1859" s="24"/>
      <c r="K1859" s="24"/>
      <c r="M1859" s="24"/>
      <c r="N1859" s="24"/>
      <c r="P1859" s="24"/>
    </row>
    <row r="1860" spans="2:16" x14ac:dyDescent="0.25">
      <c r="B1860" s="24"/>
      <c r="E1860" s="24"/>
      <c r="G1860" s="24"/>
      <c r="H1860" s="24"/>
      <c r="J1860" s="24"/>
      <c r="K1860" s="24"/>
      <c r="M1860" s="24"/>
      <c r="N1860" s="24"/>
      <c r="P1860" s="24"/>
    </row>
    <row r="1861" spans="2:16" x14ac:dyDescent="0.25">
      <c r="B1861" s="24"/>
      <c r="E1861" s="24"/>
      <c r="G1861" s="24"/>
      <c r="H1861" s="24"/>
      <c r="J1861" s="24"/>
      <c r="K1861" s="24"/>
      <c r="M1861" s="24"/>
      <c r="N1861" s="24"/>
      <c r="P1861" s="24"/>
    </row>
    <row r="1862" spans="2:16" x14ac:dyDescent="0.25">
      <c r="B1862" s="24"/>
      <c r="E1862" s="24"/>
      <c r="G1862" s="24"/>
      <c r="H1862" s="24"/>
      <c r="J1862" s="24"/>
      <c r="K1862" s="24"/>
      <c r="M1862" s="24"/>
      <c r="N1862" s="24"/>
      <c r="P1862" s="24"/>
    </row>
    <row r="1863" spans="2:16" x14ac:dyDescent="0.25">
      <c r="B1863" s="24"/>
      <c r="E1863" s="24"/>
      <c r="G1863" s="24"/>
      <c r="H1863" s="24"/>
      <c r="J1863" s="24"/>
      <c r="K1863" s="24"/>
      <c r="M1863" s="24"/>
      <c r="N1863" s="24"/>
      <c r="P1863" s="24"/>
    </row>
    <row r="1864" spans="2:16" x14ac:dyDescent="0.25">
      <c r="B1864" s="24"/>
      <c r="E1864" s="24"/>
      <c r="G1864" s="24"/>
      <c r="H1864" s="24"/>
      <c r="J1864" s="24"/>
      <c r="K1864" s="24"/>
      <c r="M1864" s="24"/>
      <c r="N1864" s="24"/>
      <c r="P1864" s="24"/>
    </row>
    <row r="1865" spans="2:16" x14ac:dyDescent="0.25">
      <c r="B1865" s="24"/>
      <c r="E1865" s="24"/>
      <c r="G1865" s="24"/>
      <c r="H1865" s="24"/>
      <c r="J1865" s="24"/>
      <c r="K1865" s="24"/>
      <c r="M1865" s="24"/>
      <c r="N1865" s="24"/>
      <c r="P1865" s="24"/>
    </row>
    <row r="1866" spans="2:16" x14ac:dyDescent="0.25">
      <c r="B1866" s="24"/>
      <c r="E1866" s="24"/>
      <c r="G1866" s="24"/>
      <c r="H1866" s="24"/>
      <c r="J1866" s="24"/>
      <c r="K1866" s="24"/>
      <c r="M1866" s="24"/>
      <c r="N1866" s="24"/>
      <c r="P1866" s="24"/>
    </row>
    <row r="1867" spans="2:16" x14ac:dyDescent="0.25">
      <c r="B1867" s="24"/>
      <c r="E1867" s="24"/>
      <c r="G1867" s="24"/>
      <c r="H1867" s="24"/>
      <c r="J1867" s="24"/>
      <c r="K1867" s="24"/>
      <c r="M1867" s="24"/>
      <c r="N1867" s="24"/>
      <c r="P1867" s="24"/>
    </row>
    <row r="1868" spans="2:16" x14ac:dyDescent="0.25">
      <c r="B1868" s="24"/>
      <c r="E1868" s="24"/>
      <c r="G1868" s="24"/>
      <c r="H1868" s="24"/>
      <c r="J1868" s="24"/>
      <c r="K1868" s="24"/>
      <c r="M1868" s="24"/>
      <c r="N1868" s="24"/>
      <c r="P1868" s="24"/>
    </row>
    <row r="1869" spans="2:16" x14ac:dyDescent="0.25">
      <c r="B1869" s="24"/>
      <c r="E1869" s="24"/>
      <c r="G1869" s="24"/>
      <c r="H1869" s="24"/>
      <c r="J1869" s="24"/>
      <c r="K1869" s="24"/>
      <c r="M1869" s="24"/>
      <c r="N1869" s="24"/>
      <c r="P1869" s="24"/>
    </row>
    <row r="1870" spans="2:16" x14ac:dyDescent="0.25">
      <c r="B1870" s="24"/>
      <c r="E1870" s="24"/>
      <c r="G1870" s="24"/>
      <c r="H1870" s="24"/>
      <c r="J1870" s="24"/>
      <c r="K1870" s="24"/>
      <c r="M1870" s="24"/>
      <c r="N1870" s="24"/>
      <c r="P1870" s="24"/>
    </row>
    <row r="1871" spans="2:16" x14ac:dyDescent="0.25">
      <c r="B1871" s="24"/>
      <c r="E1871" s="24"/>
      <c r="G1871" s="24"/>
      <c r="H1871" s="24"/>
      <c r="J1871" s="24"/>
      <c r="K1871" s="24"/>
      <c r="M1871" s="24"/>
      <c r="N1871" s="24"/>
      <c r="P1871" s="24"/>
    </row>
    <row r="1872" spans="2:16" x14ac:dyDescent="0.25">
      <c r="B1872" s="24"/>
      <c r="E1872" s="24"/>
      <c r="G1872" s="24"/>
      <c r="H1872" s="24"/>
      <c r="J1872" s="24"/>
      <c r="K1872" s="24"/>
      <c r="M1872" s="24"/>
      <c r="N1872" s="24"/>
      <c r="P1872" s="24"/>
    </row>
    <row r="1873" spans="2:16" x14ac:dyDescent="0.25">
      <c r="B1873" s="24"/>
      <c r="E1873" s="24"/>
      <c r="G1873" s="24"/>
      <c r="H1873" s="24"/>
      <c r="J1873" s="24"/>
      <c r="K1873" s="24"/>
      <c r="M1873" s="24"/>
      <c r="N1873" s="24"/>
      <c r="P1873" s="24"/>
    </row>
    <row r="1874" spans="2:16" x14ac:dyDescent="0.25">
      <c r="B1874" s="24"/>
      <c r="E1874" s="24"/>
      <c r="G1874" s="24"/>
      <c r="H1874" s="24"/>
      <c r="J1874" s="24"/>
      <c r="K1874" s="24"/>
      <c r="M1874" s="24"/>
      <c r="N1874" s="24"/>
      <c r="P1874" s="24"/>
    </row>
    <row r="1875" spans="2:16" x14ac:dyDescent="0.25">
      <c r="B1875" s="24"/>
      <c r="E1875" s="24"/>
      <c r="G1875" s="24"/>
      <c r="H1875" s="24"/>
      <c r="J1875" s="24"/>
      <c r="K1875" s="24"/>
      <c r="M1875" s="24"/>
      <c r="N1875" s="24"/>
      <c r="P1875" s="24"/>
    </row>
    <row r="1876" spans="2:16" x14ac:dyDescent="0.25">
      <c r="B1876" s="24"/>
      <c r="E1876" s="24"/>
      <c r="G1876" s="24"/>
      <c r="H1876" s="24"/>
      <c r="J1876" s="24"/>
      <c r="K1876" s="24"/>
      <c r="M1876" s="24"/>
      <c r="N1876" s="24"/>
      <c r="P1876" s="24"/>
    </row>
    <row r="1877" spans="2:16" x14ac:dyDescent="0.25">
      <c r="B1877" s="24"/>
      <c r="E1877" s="24"/>
      <c r="G1877" s="24"/>
      <c r="H1877" s="24"/>
      <c r="J1877" s="24"/>
      <c r="K1877" s="24"/>
      <c r="M1877" s="24"/>
      <c r="N1877" s="24"/>
      <c r="P1877" s="24"/>
    </row>
    <row r="1878" spans="2:16" x14ac:dyDescent="0.25">
      <c r="B1878" s="24"/>
      <c r="E1878" s="24"/>
      <c r="G1878" s="24"/>
      <c r="H1878" s="24"/>
      <c r="J1878" s="24"/>
      <c r="K1878" s="24"/>
      <c r="M1878" s="24"/>
      <c r="N1878" s="24"/>
      <c r="P1878" s="24"/>
    </row>
    <row r="1879" spans="2:16" x14ac:dyDescent="0.25">
      <c r="B1879" s="24"/>
      <c r="E1879" s="24"/>
      <c r="G1879" s="24"/>
      <c r="H1879" s="24"/>
      <c r="J1879" s="24"/>
      <c r="K1879" s="24"/>
      <c r="M1879" s="24"/>
      <c r="N1879" s="24"/>
      <c r="P1879" s="24"/>
    </row>
    <row r="1880" spans="2:16" x14ac:dyDescent="0.25">
      <c r="B1880" s="24"/>
      <c r="E1880" s="24"/>
      <c r="G1880" s="24"/>
      <c r="H1880" s="24"/>
      <c r="J1880" s="24"/>
      <c r="K1880" s="24"/>
      <c r="M1880" s="24"/>
      <c r="N1880" s="24"/>
      <c r="P1880" s="24"/>
    </row>
    <row r="1881" spans="2:16" x14ac:dyDescent="0.25">
      <c r="B1881" s="24"/>
      <c r="E1881" s="24"/>
      <c r="G1881" s="24"/>
      <c r="H1881" s="24"/>
      <c r="J1881" s="24"/>
      <c r="K1881" s="24"/>
      <c r="M1881" s="24"/>
      <c r="N1881" s="24"/>
      <c r="P1881" s="24"/>
    </row>
    <row r="1882" spans="2:16" x14ac:dyDescent="0.25">
      <c r="B1882" s="24"/>
      <c r="E1882" s="24"/>
      <c r="G1882" s="24"/>
      <c r="H1882" s="24"/>
      <c r="J1882" s="24"/>
      <c r="K1882" s="24"/>
      <c r="M1882" s="24"/>
      <c r="N1882" s="24"/>
      <c r="P1882" s="24"/>
    </row>
    <row r="1883" spans="2:16" x14ac:dyDescent="0.25">
      <c r="B1883" s="24"/>
      <c r="E1883" s="24"/>
      <c r="G1883" s="24"/>
      <c r="H1883" s="24"/>
      <c r="J1883" s="24"/>
      <c r="K1883" s="24"/>
      <c r="M1883" s="24"/>
      <c r="N1883" s="24"/>
      <c r="P1883" s="24"/>
    </row>
    <row r="1884" spans="2:16" x14ac:dyDescent="0.25">
      <c r="B1884" s="24"/>
      <c r="E1884" s="24"/>
      <c r="G1884" s="24"/>
      <c r="H1884" s="24"/>
      <c r="J1884" s="24"/>
      <c r="K1884" s="24"/>
      <c r="M1884" s="24"/>
      <c r="N1884" s="24"/>
      <c r="P1884" s="24"/>
    </row>
    <row r="1885" spans="2:16" x14ac:dyDescent="0.25">
      <c r="B1885" s="24"/>
      <c r="E1885" s="24"/>
      <c r="G1885" s="24"/>
      <c r="H1885" s="24"/>
      <c r="J1885" s="24"/>
      <c r="K1885" s="24"/>
      <c r="M1885" s="24"/>
      <c r="N1885" s="24"/>
      <c r="P1885" s="24"/>
    </row>
    <row r="1886" spans="2:16" x14ac:dyDescent="0.25">
      <c r="B1886" s="24"/>
      <c r="E1886" s="24"/>
      <c r="G1886" s="24"/>
      <c r="H1886" s="24"/>
      <c r="J1886" s="24"/>
      <c r="K1886" s="24"/>
      <c r="M1886" s="24"/>
      <c r="N1886" s="24"/>
      <c r="P1886" s="24"/>
    </row>
    <row r="1887" spans="2:16" x14ac:dyDescent="0.25">
      <c r="B1887" s="24"/>
      <c r="E1887" s="24"/>
      <c r="G1887" s="24"/>
      <c r="H1887" s="24"/>
      <c r="J1887" s="24"/>
      <c r="K1887" s="24"/>
      <c r="M1887" s="24"/>
      <c r="N1887" s="24"/>
      <c r="P1887" s="24"/>
    </row>
    <row r="1888" spans="2:16" x14ac:dyDescent="0.25">
      <c r="B1888" s="24"/>
      <c r="E1888" s="24"/>
      <c r="G1888" s="24"/>
      <c r="H1888" s="24"/>
      <c r="J1888" s="24"/>
      <c r="K1888" s="24"/>
      <c r="M1888" s="24"/>
      <c r="N1888" s="24"/>
      <c r="P1888" s="24"/>
    </row>
    <row r="1889" spans="2:16" x14ac:dyDescent="0.25">
      <c r="B1889" s="24"/>
      <c r="E1889" s="24"/>
      <c r="G1889" s="24"/>
      <c r="H1889" s="24"/>
      <c r="J1889" s="24"/>
      <c r="K1889" s="24"/>
      <c r="M1889" s="24"/>
      <c r="N1889" s="24"/>
      <c r="P1889" s="24"/>
    </row>
    <row r="1890" spans="2:16" x14ac:dyDescent="0.25">
      <c r="B1890" s="24"/>
      <c r="E1890" s="24"/>
      <c r="G1890" s="24"/>
      <c r="H1890" s="24"/>
      <c r="J1890" s="24"/>
      <c r="K1890" s="24"/>
      <c r="M1890" s="24"/>
      <c r="N1890" s="24"/>
      <c r="P1890" s="24"/>
    </row>
    <row r="1891" spans="2:16" x14ac:dyDescent="0.25">
      <c r="B1891" s="24"/>
      <c r="E1891" s="24"/>
      <c r="G1891" s="24"/>
      <c r="H1891" s="24"/>
      <c r="J1891" s="24"/>
      <c r="K1891" s="24"/>
      <c r="M1891" s="24"/>
      <c r="N1891" s="24"/>
      <c r="P1891" s="24"/>
    </row>
    <row r="1892" spans="2:16" x14ac:dyDescent="0.25">
      <c r="B1892" s="24"/>
      <c r="E1892" s="24"/>
      <c r="G1892" s="24"/>
      <c r="H1892" s="24"/>
      <c r="J1892" s="24"/>
      <c r="K1892" s="24"/>
      <c r="M1892" s="24"/>
      <c r="N1892" s="24"/>
      <c r="P1892" s="24"/>
    </row>
    <row r="1893" spans="2:16" x14ac:dyDescent="0.25">
      <c r="B1893" s="24"/>
      <c r="E1893" s="24"/>
      <c r="G1893" s="24"/>
      <c r="H1893" s="24"/>
      <c r="J1893" s="24"/>
      <c r="K1893" s="24"/>
      <c r="M1893" s="24"/>
      <c r="N1893" s="24"/>
      <c r="P1893" s="24"/>
    </row>
    <row r="1894" spans="2:16" x14ac:dyDescent="0.25">
      <c r="B1894" s="24"/>
      <c r="E1894" s="24"/>
      <c r="G1894" s="24"/>
      <c r="H1894" s="24"/>
      <c r="J1894" s="24"/>
      <c r="K1894" s="24"/>
      <c r="M1894" s="24"/>
      <c r="N1894" s="24"/>
      <c r="P1894" s="24"/>
    </row>
    <row r="1895" spans="2:16" x14ac:dyDescent="0.25">
      <c r="B1895" s="24"/>
      <c r="E1895" s="24"/>
      <c r="G1895" s="24"/>
      <c r="H1895" s="24"/>
      <c r="J1895" s="24"/>
      <c r="K1895" s="24"/>
      <c r="M1895" s="24"/>
      <c r="N1895" s="24"/>
      <c r="P1895" s="24"/>
    </row>
    <row r="1896" spans="2:16" x14ac:dyDescent="0.25">
      <c r="B1896" s="24"/>
      <c r="E1896" s="24"/>
      <c r="G1896" s="24"/>
      <c r="H1896" s="24"/>
      <c r="J1896" s="24"/>
      <c r="K1896" s="24"/>
      <c r="M1896" s="24"/>
      <c r="N1896" s="24"/>
      <c r="P1896" s="24"/>
    </row>
    <row r="1897" spans="2:16" x14ac:dyDescent="0.25">
      <c r="B1897" s="24"/>
      <c r="E1897" s="24"/>
      <c r="G1897" s="24"/>
      <c r="H1897" s="24"/>
      <c r="J1897" s="24"/>
      <c r="K1897" s="24"/>
      <c r="M1897" s="24"/>
      <c r="N1897" s="24"/>
      <c r="P1897" s="24"/>
    </row>
    <row r="1898" spans="2:16" x14ac:dyDescent="0.25">
      <c r="B1898" s="24"/>
      <c r="E1898" s="24"/>
      <c r="G1898" s="24"/>
      <c r="H1898" s="24"/>
      <c r="J1898" s="24"/>
      <c r="K1898" s="24"/>
      <c r="M1898" s="24"/>
      <c r="N1898" s="24"/>
      <c r="P1898" s="24"/>
    </row>
    <row r="1899" spans="2:16" x14ac:dyDescent="0.25">
      <c r="B1899" s="24"/>
      <c r="E1899" s="24"/>
      <c r="G1899" s="24"/>
      <c r="H1899" s="24"/>
      <c r="J1899" s="24"/>
      <c r="K1899" s="24"/>
      <c r="M1899" s="24"/>
      <c r="N1899" s="24"/>
      <c r="P1899" s="24"/>
    </row>
    <row r="1900" spans="2:16" x14ac:dyDescent="0.25">
      <c r="B1900" s="24"/>
      <c r="E1900" s="24"/>
      <c r="G1900" s="24"/>
      <c r="H1900" s="24"/>
      <c r="J1900" s="24"/>
      <c r="K1900" s="24"/>
      <c r="M1900" s="24"/>
      <c r="N1900" s="24"/>
      <c r="P1900" s="24"/>
    </row>
    <row r="1901" spans="2:16" x14ac:dyDescent="0.25">
      <c r="B1901" s="24"/>
      <c r="E1901" s="24"/>
      <c r="G1901" s="24"/>
      <c r="H1901" s="24"/>
      <c r="J1901" s="24"/>
      <c r="K1901" s="24"/>
      <c r="M1901" s="24"/>
      <c r="N1901" s="24"/>
      <c r="P1901" s="24"/>
    </row>
    <row r="1902" spans="2:16" x14ac:dyDescent="0.25">
      <c r="B1902" s="24"/>
      <c r="E1902" s="24"/>
      <c r="G1902" s="24"/>
      <c r="H1902" s="24"/>
      <c r="J1902" s="24"/>
      <c r="K1902" s="24"/>
      <c r="M1902" s="24"/>
      <c r="N1902" s="24"/>
      <c r="P1902" s="24"/>
    </row>
    <row r="1903" spans="2:16" x14ac:dyDescent="0.25">
      <c r="B1903" s="24"/>
      <c r="E1903" s="24"/>
      <c r="G1903" s="24"/>
      <c r="H1903" s="24"/>
      <c r="J1903" s="24"/>
      <c r="K1903" s="24"/>
      <c r="M1903" s="24"/>
      <c r="N1903" s="24"/>
      <c r="P1903" s="24"/>
    </row>
    <row r="1904" spans="2:16" x14ac:dyDescent="0.25">
      <c r="B1904" s="24"/>
      <c r="E1904" s="24"/>
      <c r="G1904" s="24"/>
      <c r="H1904" s="24"/>
      <c r="J1904" s="24"/>
      <c r="K1904" s="24"/>
      <c r="M1904" s="24"/>
      <c r="N1904" s="24"/>
      <c r="P1904" s="24"/>
    </row>
    <row r="1905" spans="2:16" x14ac:dyDescent="0.25">
      <c r="B1905" s="24"/>
      <c r="E1905" s="24"/>
      <c r="G1905" s="24"/>
      <c r="H1905" s="24"/>
      <c r="J1905" s="24"/>
      <c r="K1905" s="24"/>
      <c r="M1905" s="24"/>
      <c r="N1905" s="24"/>
      <c r="P1905" s="24"/>
    </row>
    <row r="1906" spans="2:16" x14ac:dyDescent="0.25">
      <c r="B1906" s="24"/>
      <c r="E1906" s="24"/>
      <c r="G1906" s="24"/>
      <c r="H1906" s="24"/>
      <c r="J1906" s="24"/>
      <c r="K1906" s="24"/>
      <c r="M1906" s="24"/>
      <c r="N1906" s="24"/>
      <c r="P1906" s="24"/>
    </row>
    <row r="1907" spans="2:16" x14ac:dyDescent="0.25">
      <c r="B1907" s="24"/>
      <c r="E1907" s="24"/>
      <c r="G1907" s="24"/>
      <c r="H1907" s="24"/>
      <c r="J1907" s="24"/>
      <c r="K1907" s="24"/>
      <c r="M1907" s="24"/>
      <c r="N1907" s="24"/>
      <c r="P1907" s="24"/>
    </row>
    <row r="1908" spans="2:16" x14ac:dyDescent="0.25">
      <c r="B1908" s="24"/>
      <c r="E1908" s="24"/>
      <c r="G1908" s="24"/>
      <c r="H1908" s="24"/>
      <c r="J1908" s="24"/>
      <c r="K1908" s="24"/>
      <c r="M1908" s="24"/>
      <c r="N1908" s="24"/>
      <c r="P1908" s="24"/>
    </row>
    <row r="1909" spans="2:16" x14ac:dyDescent="0.25">
      <c r="B1909" s="24"/>
      <c r="E1909" s="24"/>
      <c r="G1909" s="24"/>
      <c r="H1909" s="24"/>
      <c r="J1909" s="24"/>
      <c r="K1909" s="24"/>
      <c r="M1909" s="24"/>
      <c r="N1909" s="24"/>
      <c r="P1909" s="24"/>
    </row>
    <row r="1910" spans="2:16" x14ac:dyDescent="0.25">
      <c r="B1910" s="24"/>
      <c r="E1910" s="24"/>
      <c r="G1910" s="24"/>
      <c r="H1910" s="24"/>
      <c r="J1910" s="24"/>
      <c r="K1910" s="24"/>
      <c r="M1910" s="24"/>
      <c r="N1910" s="24"/>
      <c r="P1910" s="24"/>
    </row>
    <row r="1911" spans="2:16" x14ac:dyDescent="0.25">
      <c r="B1911" s="24"/>
      <c r="E1911" s="24"/>
      <c r="G1911" s="24"/>
      <c r="H1911" s="24"/>
      <c r="J1911" s="24"/>
      <c r="K1911" s="24"/>
      <c r="M1911" s="24"/>
      <c r="N1911" s="24"/>
      <c r="P1911" s="24"/>
    </row>
    <row r="1912" spans="2:16" x14ac:dyDescent="0.25">
      <c r="B1912" s="24"/>
      <c r="E1912" s="24"/>
      <c r="G1912" s="24"/>
      <c r="H1912" s="24"/>
      <c r="J1912" s="24"/>
      <c r="K1912" s="24"/>
      <c r="M1912" s="24"/>
      <c r="N1912" s="24"/>
      <c r="P1912" s="24"/>
    </row>
    <row r="1913" spans="2:16" x14ac:dyDescent="0.25">
      <c r="B1913" s="24"/>
      <c r="E1913" s="24"/>
      <c r="G1913" s="24"/>
      <c r="H1913" s="24"/>
      <c r="J1913" s="24"/>
      <c r="K1913" s="24"/>
      <c r="M1913" s="24"/>
      <c r="N1913" s="24"/>
      <c r="P1913" s="24"/>
    </row>
    <row r="1914" spans="2:16" x14ac:dyDescent="0.25">
      <c r="B1914" s="24"/>
      <c r="E1914" s="24"/>
      <c r="G1914" s="24"/>
      <c r="H1914" s="24"/>
      <c r="J1914" s="24"/>
      <c r="K1914" s="24"/>
      <c r="M1914" s="24"/>
      <c r="N1914" s="24"/>
      <c r="P1914" s="24"/>
    </row>
    <row r="1915" spans="2:16" x14ac:dyDescent="0.25">
      <c r="B1915" s="24"/>
      <c r="E1915" s="24"/>
      <c r="G1915" s="24"/>
      <c r="H1915" s="24"/>
      <c r="J1915" s="24"/>
      <c r="K1915" s="24"/>
      <c r="M1915" s="24"/>
      <c r="N1915" s="24"/>
      <c r="P1915" s="24"/>
    </row>
    <row r="1916" spans="2:16" x14ac:dyDescent="0.25">
      <c r="B1916" s="24"/>
      <c r="E1916" s="24"/>
      <c r="G1916" s="24"/>
      <c r="H1916" s="24"/>
      <c r="J1916" s="24"/>
      <c r="K1916" s="24"/>
      <c r="M1916" s="24"/>
      <c r="N1916" s="24"/>
      <c r="P1916" s="24"/>
    </row>
    <row r="1917" spans="2:16" x14ac:dyDescent="0.25">
      <c r="B1917" s="24"/>
      <c r="E1917" s="24"/>
      <c r="G1917" s="24"/>
      <c r="H1917" s="24"/>
      <c r="J1917" s="24"/>
      <c r="K1917" s="24"/>
      <c r="M1917" s="24"/>
      <c r="N1917" s="24"/>
      <c r="P1917" s="24"/>
    </row>
    <row r="1918" spans="2:16" x14ac:dyDescent="0.25">
      <c r="B1918" s="24"/>
      <c r="E1918" s="24"/>
      <c r="G1918" s="24"/>
      <c r="H1918" s="24"/>
      <c r="J1918" s="24"/>
      <c r="K1918" s="24"/>
      <c r="M1918" s="24"/>
      <c r="N1918" s="24"/>
      <c r="P1918" s="24"/>
    </row>
    <row r="1919" spans="2:16" x14ac:dyDescent="0.25">
      <c r="B1919" s="24"/>
      <c r="E1919" s="24"/>
      <c r="G1919" s="24"/>
      <c r="H1919" s="24"/>
      <c r="J1919" s="24"/>
      <c r="K1919" s="24"/>
      <c r="M1919" s="24"/>
      <c r="N1919" s="24"/>
      <c r="P1919" s="24"/>
    </row>
    <row r="1920" spans="2:16" x14ac:dyDescent="0.25">
      <c r="B1920" s="24"/>
      <c r="E1920" s="24"/>
      <c r="G1920" s="24"/>
      <c r="H1920" s="24"/>
      <c r="J1920" s="24"/>
      <c r="K1920" s="24"/>
      <c r="M1920" s="24"/>
      <c r="N1920" s="24"/>
      <c r="P1920" s="24"/>
    </row>
    <row r="1921" spans="2:16" x14ac:dyDescent="0.25">
      <c r="B1921" s="24"/>
      <c r="E1921" s="24"/>
      <c r="G1921" s="24"/>
      <c r="H1921" s="24"/>
      <c r="J1921" s="24"/>
      <c r="K1921" s="24"/>
      <c r="M1921" s="24"/>
      <c r="N1921" s="24"/>
      <c r="P1921" s="24"/>
    </row>
    <row r="1922" spans="2:16" x14ac:dyDescent="0.25">
      <c r="B1922" s="24"/>
      <c r="E1922" s="24"/>
      <c r="G1922" s="24"/>
      <c r="H1922" s="24"/>
      <c r="J1922" s="24"/>
      <c r="K1922" s="24"/>
      <c r="M1922" s="24"/>
      <c r="N1922" s="24"/>
      <c r="P1922" s="24"/>
    </row>
    <row r="1923" spans="2:16" x14ac:dyDescent="0.25">
      <c r="B1923" s="24"/>
      <c r="E1923" s="24"/>
      <c r="G1923" s="24"/>
      <c r="H1923" s="24"/>
      <c r="J1923" s="24"/>
      <c r="K1923" s="24"/>
      <c r="M1923" s="24"/>
      <c r="N1923" s="24"/>
      <c r="P1923" s="24"/>
    </row>
    <row r="1924" spans="2:16" x14ac:dyDescent="0.25">
      <c r="B1924" s="24"/>
      <c r="E1924" s="24"/>
      <c r="G1924" s="24"/>
      <c r="H1924" s="24"/>
      <c r="J1924" s="24"/>
      <c r="K1924" s="24"/>
      <c r="M1924" s="24"/>
      <c r="N1924" s="24"/>
      <c r="P1924" s="24"/>
    </row>
    <row r="1925" spans="2:16" x14ac:dyDescent="0.25">
      <c r="B1925" s="24"/>
      <c r="E1925" s="24"/>
      <c r="G1925" s="24"/>
      <c r="H1925" s="24"/>
      <c r="J1925" s="24"/>
      <c r="K1925" s="24"/>
      <c r="M1925" s="24"/>
      <c r="N1925" s="24"/>
      <c r="P1925" s="24"/>
    </row>
    <row r="1926" spans="2:16" x14ac:dyDescent="0.25">
      <c r="B1926" s="24"/>
      <c r="E1926" s="24"/>
      <c r="G1926" s="24"/>
      <c r="H1926" s="24"/>
      <c r="J1926" s="24"/>
      <c r="K1926" s="24"/>
      <c r="M1926" s="24"/>
      <c r="N1926" s="24"/>
      <c r="P1926" s="24"/>
    </row>
    <row r="1927" spans="2:16" x14ac:dyDescent="0.25">
      <c r="B1927" s="24"/>
      <c r="E1927" s="24"/>
      <c r="G1927" s="24"/>
      <c r="H1927" s="24"/>
      <c r="J1927" s="24"/>
      <c r="K1927" s="24"/>
      <c r="M1927" s="24"/>
      <c r="N1927" s="24"/>
      <c r="P1927" s="24"/>
    </row>
    <row r="1928" spans="2:16" x14ac:dyDescent="0.25">
      <c r="B1928" s="24"/>
      <c r="E1928" s="24"/>
      <c r="G1928" s="24"/>
      <c r="H1928" s="24"/>
      <c r="J1928" s="24"/>
      <c r="K1928" s="24"/>
      <c r="M1928" s="24"/>
      <c r="N1928" s="24"/>
      <c r="P1928" s="24"/>
    </row>
    <row r="1929" spans="2:16" x14ac:dyDescent="0.25">
      <c r="B1929" s="24"/>
      <c r="E1929" s="24"/>
      <c r="G1929" s="24"/>
      <c r="H1929" s="24"/>
      <c r="J1929" s="24"/>
      <c r="K1929" s="24"/>
      <c r="M1929" s="24"/>
      <c r="N1929" s="24"/>
      <c r="P1929" s="24"/>
    </row>
    <row r="1930" spans="2:16" x14ac:dyDescent="0.25">
      <c r="B1930" s="24"/>
      <c r="E1930" s="24"/>
      <c r="G1930" s="24"/>
      <c r="H1930" s="24"/>
      <c r="J1930" s="24"/>
      <c r="K1930" s="24"/>
      <c r="M1930" s="24"/>
      <c r="N1930" s="24"/>
      <c r="P1930" s="24"/>
    </row>
    <row r="1931" spans="2:16" x14ac:dyDescent="0.25">
      <c r="B1931" s="24"/>
      <c r="E1931" s="24"/>
      <c r="G1931" s="24"/>
      <c r="H1931" s="24"/>
      <c r="J1931" s="24"/>
      <c r="K1931" s="24"/>
      <c r="M1931" s="24"/>
      <c r="N1931" s="24"/>
      <c r="P1931" s="24"/>
    </row>
    <row r="1932" spans="2:16" x14ac:dyDescent="0.25">
      <c r="B1932" s="24"/>
      <c r="E1932" s="24"/>
      <c r="G1932" s="24"/>
      <c r="H1932" s="24"/>
      <c r="J1932" s="24"/>
      <c r="K1932" s="24"/>
      <c r="M1932" s="24"/>
      <c r="N1932" s="24"/>
      <c r="P1932" s="24"/>
    </row>
    <row r="1933" spans="2:16" x14ac:dyDescent="0.25">
      <c r="B1933" s="24"/>
      <c r="E1933" s="24"/>
      <c r="G1933" s="24"/>
      <c r="H1933" s="24"/>
      <c r="J1933" s="24"/>
      <c r="K1933" s="24"/>
      <c r="M1933" s="24"/>
      <c r="N1933" s="24"/>
      <c r="P1933" s="24"/>
    </row>
    <row r="1934" spans="2:16" x14ac:dyDescent="0.25">
      <c r="B1934" s="24"/>
      <c r="E1934" s="24"/>
      <c r="G1934" s="24"/>
      <c r="H1934" s="24"/>
      <c r="J1934" s="24"/>
      <c r="K1934" s="24"/>
      <c r="M1934" s="24"/>
      <c r="N1934" s="24"/>
      <c r="P1934" s="24"/>
    </row>
    <row r="1935" spans="2:16" x14ac:dyDescent="0.25">
      <c r="B1935" s="24"/>
      <c r="E1935" s="24"/>
      <c r="G1935" s="24"/>
      <c r="H1935" s="24"/>
      <c r="J1935" s="24"/>
      <c r="K1935" s="24"/>
      <c r="M1935" s="24"/>
      <c r="N1935" s="24"/>
      <c r="P1935" s="24"/>
    </row>
    <row r="1936" spans="2:16" x14ac:dyDescent="0.25">
      <c r="B1936" s="24"/>
      <c r="E1936" s="24"/>
      <c r="G1936" s="24"/>
      <c r="H1936" s="24"/>
      <c r="J1936" s="24"/>
      <c r="K1936" s="24"/>
      <c r="M1936" s="24"/>
      <c r="N1936" s="24"/>
      <c r="P1936" s="24"/>
    </row>
    <row r="1937" spans="2:16" x14ac:dyDescent="0.25">
      <c r="B1937" s="24"/>
      <c r="E1937" s="24"/>
      <c r="G1937" s="24"/>
      <c r="H1937" s="24"/>
      <c r="J1937" s="24"/>
      <c r="K1937" s="24"/>
      <c r="M1937" s="24"/>
      <c r="N1937" s="24"/>
      <c r="P1937" s="24"/>
    </row>
    <row r="1938" spans="2:16" x14ac:dyDescent="0.25">
      <c r="B1938" s="24"/>
      <c r="E1938" s="24"/>
      <c r="G1938" s="24"/>
      <c r="H1938" s="24"/>
      <c r="J1938" s="24"/>
      <c r="K1938" s="24"/>
      <c r="M1938" s="24"/>
      <c r="N1938" s="24"/>
      <c r="P1938" s="24"/>
    </row>
    <row r="1939" spans="2:16" x14ac:dyDescent="0.25">
      <c r="B1939" s="24"/>
      <c r="E1939" s="24"/>
      <c r="G1939" s="24"/>
      <c r="H1939" s="24"/>
      <c r="J1939" s="24"/>
      <c r="K1939" s="24"/>
      <c r="M1939" s="24"/>
      <c r="N1939" s="24"/>
      <c r="P1939" s="24"/>
    </row>
    <row r="1940" spans="2:16" x14ac:dyDescent="0.25">
      <c r="B1940" s="24"/>
      <c r="E1940" s="24"/>
      <c r="G1940" s="24"/>
      <c r="H1940" s="24"/>
      <c r="J1940" s="24"/>
      <c r="K1940" s="24"/>
      <c r="M1940" s="24"/>
      <c r="N1940" s="24"/>
      <c r="P1940" s="24"/>
    </row>
    <row r="1941" spans="2:16" x14ac:dyDescent="0.25">
      <c r="B1941" s="24"/>
      <c r="E1941" s="24"/>
      <c r="G1941" s="24"/>
      <c r="H1941" s="24"/>
      <c r="J1941" s="24"/>
      <c r="K1941" s="24"/>
      <c r="M1941" s="24"/>
      <c r="N1941" s="24"/>
      <c r="P1941" s="24"/>
    </row>
    <row r="1942" spans="2:16" x14ac:dyDescent="0.25">
      <c r="B1942" s="24"/>
      <c r="E1942" s="24"/>
      <c r="G1942" s="24"/>
      <c r="H1942" s="24"/>
      <c r="J1942" s="24"/>
      <c r="K1942" s="24"/>
      <c r="M1942" s="24"/>
      <c r="N1942" s="24"/>
      <c r="P1942" s="24"/>
    </row>
    <row r="1943" spans="2:16" x14ac:dyDescent="0.25">
      <c r="B1943" s="24"/>
      <c r="E1943" s="24"/>
      <c r="G1943" s="24"/>
      <c r="H1943" s="24"/>
      <c r="J1943" s="24"/>
      <c r="K1943" s="24"/>
      <c r="M1943" s="24"/>
      <c r="N1943" s="24"/>
      <c r="P1943" s="24"/>
    </row>
    <row r="1944" spans="2:16" x14ac:dyDescent="0.25">
      <c r="B1944" s="24"/>
      <c r="E1944" s="24"/>
      <c r="G1944" s="24"/>
      <c r="H1944" s="24"/>
      <c r="J1944" s="24"/>
      <c r="K1944" s="24"/>
      <c r="M1944" s="24"/>
      <c r="N1944" s="24"/>
      <c r="P1944" s="24"/>
    </row>
    <row r="1945" spans="2:16" x14ac:dyDescent="0.25">
      <c r="B1945" s="24"/>
      <c r="E1945" s="24"/>
      <c r="G1945" s="24"/>
      <c r="H1945" s="24"/>
      <c r="J1945" s="24"/>
      <c r="K1945" s="24"/>
      <c r="M1945" s="24"/>
      <c r="N1945" s="24"/>
      <c r="P1945" s="24"/>
    </row>
    <row r="1946" spans="2:16" x14ac:dyDescent="0.25">
      <c r="B1946" s="24"/>
      <c r="E1946" s="24"/>
      <c r="G1946" s="24"/>
      <c r="H1946" s="24"/>
      <c r="J1946" s="24"/>
      <c r="K1946" s="24"/>
      <c r="M1946" s="24"/>
      <c r="N1946" s="24"/>
      <c r="P1946" s="24"/>
    </row>
    <row r="1947" spans="2:16" x14ac:dyDescent="0.25">
      <c r="B1947" s="24"/>
      <c r="E1947" s="24"/>
      <c r="G1947" s="24"/>
      <c r="H1947" s="24"/>
      <c r="J1947" s="24"/>
      <c r="K1947" s="24"/>
      <c r="M1947" s="24"/>
      <c r="N1947" s="24"/>
      <c r="P1947" s="24"/>
    </row>
    <row r="1948" spans="2:16" x14ac:dyDescent="0.25">
      <c r="B1948" s="24"/>
      <c r="E1948" s="24"/>
      <c r="G1948" s="24"/>
      <c r="H1948" s="24"/>
      <c r="J1948" s="24"/>
      <c r="K1948" s="24"/>
      <c r="M1948" s="24"/>
      <c r="N1948" s="24"/>
      <c r="P1948" s="24"/>
    </row>
    <row r="1949" spans="2:16" x14ac:dyDescent="0.25">
      <c r="B1949" s="24"/>
      <c r="E1949" s="24"/>
      <c r="G1949" s="24"/>
      <c r="H1949" s="24"/>
      <c r="J1949" s="24"/>
      <c r="K1949" s="24"/>
      <c r="M1949" s="24"/>
      <c r="N1949" s="24"/>
      <c r="P1949" s="24"/>
    </row>
    <row r="1950" spans="2:16" x14ac:dyDescent="0.25">
      <c r="B1950" s="24"/>
      <c r="E1950" s="24"/>
      <c r="G1950" s="24"/>
      <c r="H1950" s="24"/>
      <c r="J1950" s="24"/>
      <c r="K1950" s="24"/>
      <c r="M1950" s="24"/>
      <c r="N1950" s="24"/>
      <c r="P1950" s="24"/>
    </row>
    <row r="1951" spans="2:16" x14ac:dyDescent="0.25">
      <c r="B1951" s="24"/>
      <c r="E1951" s="24"/>
      <c r="G1951" s="24"/>
      <c r="H1951" s="24"/>
      <c r="J1951" s="24"/>
      <c r="K1951" s="24"/>
      <c r="M1951" s="24"/>
      <c r="N1951" s="24"/>
      <c r="P1951" s="24"/>
    </row>
    <row r="1952" spans="2:16" x14ac:dyDescent="0.25">
      <c r="B1952" s="24"/>
      <c r="E1952" s="24"/>
      <c r="G1952" s="24"/>
      <c r="H1952" s="24"/>
      <c r="J1952" s="24"/>
      <c r="K1952" s="24"/>
      <c r="M1952" s="24"/>
      <c r="N1952" s="24"/>
      <c r="P1952" s="24"/>
    </row>
    <row r="1953" spans="2:16" x14ac:dyDescent="0.25">
      <c r="B1953" s="24"/>
      <c r="E1953" s="24"/>
      <c r="G1953" s="24"/>
      <c r="H1953" s="24"/>
      <c r="J1953" s="24"/>
      <c r="K1953" s="24"/>
      <c r="M1953" s="24"/>
      <c r="N1953" s="24"/>
      <c r="P1953" s="24"/>
    </row>
    <row r="1954" spans="2:16" x14ac:dyDescent="0.25">
      <c r="B1954" s="24"/>
      <c r="E1954" s="24"/>
      <c r="G1954" s="24"/>
      <c r="H1954" s="24"/>
      <c r="J1954" s="24"/>
      <c r="K1954" s="24"/>
      <c r="M1954" s="24"/>
      <c r="N1954" s="24"/>
      <c r="P1954" s="24"/>
    </row>
    <row r="1955" spans="2:16" x14ac:dyDescent="0.25">
      <c r="B1955" s="24"/>
      <c r="E1955" s="24"/>
      <c r="G1955" s="24"/>
      <c r="H1955" s="24"/>
      <c r="J1955" s="24"/>
      <c r="K1955" s="24"/>
      <c r="M1955" s="24"/>
      <c r="N1955" s="24"/>
      <c r="P1955" s="24"/>
    </row>
    <row r="1956" spans="2:16" x14ac:dyDescent="0.25">
      <c r="B1956" s="24"/>
      <c r="E1956" s="24"/>
      <c r="G1956" s="24"/>
      <c r="H1956" s="24"/>
      <c r="J1956" s="24"/>
      <c r="K1956" s="24"/>
      <c r="M1956" s="24"/>
      <c r="N1956" s="24"/>
      <c r="P1956" s="24"/>
    </row>
    <row r="1957" spans="2:16" x14ac:dyDescent="0.25">
      <c r="B1957" s="24"/>
      <c r="E1957" s="24"/>
      <c r="G1957" s="24"/>
      <c r="H1957" s="24"/>
      <c r="J1957" s="24"/>
      <c r="K1957" s="24"/>
      <c r="M1957" s="24"/>
      <c r="N1957" s="24"/>
      <c r="P1957" s="24"/>
    </row>
    <row r="1958" spans="2:16" x14ac:dyDescent="0.25">
      <c r="B1958" s="24"/>
      <c r="E1958" s="24"/>
      <c r="G1958" s="24"/>
      <c r="H1958" s="24"/>
      <c r="J1958" s="24"/>
      <c r="K1958" s="24"/>
      <c r="M1958" s="24"/>
      <c r="N1958" s="24"/>
      <c r="P1958" s="24"/>
    </row>
    <row r="1959" spans="2:16" x14ac:dyDescent="0.25">
      <c r="B1959" s="24"/>
      <c r="E1959" s="24"/>
      <c r="G1959" s="24"/>
      <c r="H1959" s="24"/>
      <c r="J1959" s="24"/>
      <c r="K1959" s="24"/>
      <c r="M1959" s="24"/>
      <c r="N1959" s="24"/>
      <c r="P1959" s="24"/>
    </row>
    <row r="1960" spans="2:16" x14ac:dyDescent="0.25">
      <c r="B1960" s="24"/>
      <c r="E1960" s="24"/>
      <c r="G1960" s="24"/>
      <c r="H1960" s="24"/>
      <c r="J1960" s="24"/>
      <c r="K1960" s="24"/>
      <c r="M1960" s="24"/>
      <c r="N1960" s="24"/>
      <c r="P1960" s="24"/>
    </row>
    <row r="1961" spans="2:16" x14ac:dyDescent="0.25">
      <c r="B1961" s="24"/>
      <c r="E1961" s="24"/>
      <c r="G1961" s="24"/>
      <c r="H1961" s="24"/>
      <c r="J1961" s="24"/>
      <c r="K1961" s="24"/>
      <c r="M1961" s="24"/>
      <c r="N1961" s="24"/>
      <c r="P1961" s="24"/>
    </row>
    <row r="1962" spans="2:16" x14ac:dyDescent="0.25">
      <c r="B1962" s="24"/>
      <c r="E1962" s="24"/>
      <c r="G1962" s="24"/>
      <c r="H1962" s="24"/>
      <c r="J1962" s="24"/>
      <c r="K1962" s="24"/>
      <c r="M1962" s="24"/>
      <c r="N1962" s="24"/>
      <c r="P1962" s="24"/>
    </row>
    <row r="1963" spans="2:16" x14ac:dyDescent="0.25">
      <c r="B1963" s="24"/>
      <c r="E1963" s="24"/>
      <c r="G1963" s="24"/>
      <c r="H1963" s="24"/>
      <c r="J1963" s="24"/>
      <c r="K1963" s="24"/>
      <c r="M1963" s="24"/>
      <c r="N1963" s="24"/>
      <c r="P1963" s="24"/>
    </row>
    <row r="1964" spans="2:16" x14ac:dyDescent="0.25">
      <c r="B1964" s="24"/>
      <c r="E1964" s="24"/>
      <c r="G1964" s="24"/>
      <c r="H1964" s="24"/>
      <c r="J1964" s="24"/>
      <c r="K1964" s="24"/>
      <c r="M1964" s="24"/>
      <c r="N1964" s="24"/>
      <c r="P1964" s="24"/>
    </row>
    <row r="1965" spans="2:16" x14ac:dyDescent="0.25">
      <c r="B1965" s="24"/>
      <c r="E1965" s="24"/>
      <c r="G1965" s="24"/>
      <c r="H1965" s="24"/>
      <c r="J1965" s="24"/>
      <c r="K1965" s="24"/>
      <c r="M1965" s="24"/>
      <c r="N1965" s="24"/>
      <c r="P1965" s="24"/>
    </row>
    <row r="1966" spans="2:16" x14ac:dyDescent="0.25">
      <c r="B1966" s="24"/>
      <c r="E1966" s="24"/>
      <c r="G1966" s="24"/>
      <c r="H1966" s="24"/>
      <c r="J1966" s="24"/>
      <c r="K1966" s="24"/>
      <c r="M1966" s="24"/>
      <c r="N1966" s="24"/>
      <c r="P1966" s="24"/>
    </row>
    <row r="1967" spans="2:16" x14ac:dyDescent="0.25">
      <c r="B1967" s="24"/>
      <c r="E1967" s="24"/>
      <c r="G1967" s="24"/>
      <c r="H1967" s="24"/>
      <c r="J1967" s="24"/>
      <c r="K1967" s="24"/>
      <c r="M1967" s="24"/>
      <c r="N1967" s="24"/>
      <c r="P1967" s="24"/>
    </row>
    <row r="1968" spans="2:16" x14ac:dyDescent="0.25">
      <c r="B1968" s="24"/>
      <c r="E1968" s="24"/>
      <c r="G1968" s="24"/>
      <c r="H1968" s="24"/>
      <c r="J1968" s="24"/>
      <c r="K1968" s="24"/>
      <c r="M1968" s="24"/>
      <c r="N1968" s="24"/>
      <c r="P1968" s="24"/>
    </row>
    <row r="1969" spans="2:16" x14ac:dyDescent="0.25">
      <c r="B1969" s="24"/>
      <c r="E1969" s="24"/>
      <c r="G1969" s="24"/>
      <c r="H1969" s="24"/>
      <c r="J1969" s="24"/>
      <c r="K1969" s="24"/>
      <c r="M1969" s="24"/>
      <c r="N1969" s="24"/>
      <c r="P1969" s="24"/>
    </row>
    <row r="1970" spans="2:16" x14ac:dyDescent="0.25">
      <c r="B1970" s="24"/>
      <c r="E1970" s="24"/>
      <c r="G1970" s="24"/>
      <c r="H1970" s="24"/>
      <c r="J1970" s="24"/>
      <c r="K1970" s="24"/>
      <c r="M1970" s="24"/>
      <c r="N1970" s="24"/>
      <c r="P1970" s="24"/>
    </row>
    <row r="1971" spans="2:16" x14ac:dyDescent="0.25">
      <c r="B1971" s="24"/>
      <c r="E1971" s="24"/>
      <c r="G1971" s="24"/>
      <c r="H1971" s="24"/>
      <c r="J1971" s="24"/>
      <c r="K1971" s="24"/>
      <c r="M1971" s="24"/>
      <c r="N1971" s="24"/>
      <c r="P1971" s="24"/>
    </row>
    <row r="1972" spans="2:16" x14ac:dyDescent="0.25">
      <c r="B1972" s="24"/>
      <c r="E1972" s="24"/>
      <c r="G1972" s="24"/>
      <c r="H1972" s="24"/>
      <c r="J1972" s="24"/>
      <c r="K1972" s="24"/>
      <c r="M1972" s="24"/>
      <c r="N1972" s="24"/>
      <c r="P1972" s="24"/>
    </row>
    <row r="1973" spans="2:16" x14ac:dyDescent="0.25">
      <c r="B1973" s="24"/>
      <c r="E1973" s="24"/>
      <c r="G1973" s="24"/>
      <c r="H1973" s="24"/>
      <c r="J1973" s="24"/>
      <c r="K1973" s="24"/>
      <c r="M1973" s="24"/>
      <c r="N1973" s="24"/>
      <c r="P1973" s="24"/>
    </row>
    <row r="1974" spans="2:16" x14ac:dyDescent="0.25">
      <c r="B1974" s="24"/>
      <c r="E1974" s="24"/>
      <c r="G1974" s="24"/>
      <c r="H1974" s="24"/>
      <c r="J1974" s="24"/>
      <c r="K1974" s="24"/>
      <c r="M1974" s="24"/>
      <c r="N1974" s="24"/>
      <c r="P1974" s="24"/>
    </row>
    <row r="1975" spans="2:16" x14ac:dyDescent="0.25">
      <c r="B1975" s="24"/>
      <c r="E1975" s="24"/>
      <c r="G1975" s="24"/>
      <c r="H1975" s="24"/>
      <c r="J1975" s="24"/>
      <c r="K1975" s="24"/>
      <c r="M1975" s="24"/>
      <c r="N1975" s="24"/>
      <c r="P1975" s="24"/>
    </row>
    <row r="1976" spans="2:16" x14ac:dyDescent="0.25">
      <c r="B1976" s="24"/>
      <c r="E1976" s="24"/>
      <c r="G1976" s="24"/>
      <c r="H1976" s="24"/>
      <c r="J1976" s="24"/>
      <c r="K1976" s="24"/>
      <c r="M1976" s="24"/>
      <c r="N1976" s="24"/>
      <c r="P1976" s="24"/>
    </row>
    <row r="1977" spans="2:16" x14ac:dyDescent="0.25">
      <c r="B1977" s="24"/>
      <c r="E1977" s="24"/>
      <c r="G1977" s="24"/>
      <c r="H1977" s="24"/>
      <c r="J1977" s="24"/>
      <c r="K1977" s="24"/>
      <c r="M1977" s="24"/>
      <c r="N1977" s="24"/>
      <c r="P1977" s="24"/>
    </row>
    <row r="1978" spans="2:16" x14ac:dyDescent="0.25">
      <c r="B1978" s="24"/>
      <c r="E1978" s="24"/>
      <c r="G1978" s="24"/>
      <c r="H1978" s="24"/>
      <c r="J1978" s="24"/>
      <c r="K1978" s="24"/>
      <c r="M1978" s="24"/>
      <c r="N1978" s="24"/>
      <c r="P1978" s="24"/>
    </row>
    <row r="1979" spans="2:16" x14ac:dyDescent="0.25">
      <c r="B1979" s="24"/>
      <c r="E1979" s="24"/>
      <c r="G1979" s="24"/>
      <c r="H1979" s="24"/>
      <c r="J1979" s="24"/>
      <c r="K1979" s="24"/>
      <c r="M1979" s="24"/>
      <c r="N1979" s="24"/>
      <c r="P1979" s="24"/>
    </row>
    <row r="1980" spans="2:16" x14ac:dyDescent="0.25">
      <c r="B1980" s="24"/>
      <c r="E1980" s="24"/>
      <c r="G1980" s="24"/>
      <c r="H1980" s="24"/>
      <c r="J1980" s="24"/>
      <c r="K1980" s="24"/>
      <c r="M1980" s="24"/>
      <c r="N1980" s="24"/>
      <c r="P1980" s="24"/>
    </row>
    <row r="1981" spans="2:16" x14ac:dyDescent="0.25">
      <c r="B1981" s="24"/>
      <c r="E1981" s="24"/>
      <c r="G1981" s="24"/>
      <c r="H1981" s="24"/>
      <c r="J1981" s="24"/>
      <c r="K1981" s="24"/>
      <c r="M1981" s="24"/>
      <c r="N1981" s="24"/>
      <c r="P1981" s="24"/>
    </row>
    <row r="1982" spans="2:16" x14ac:dyDescent="0.25">
      <c r="B1982" s="24"/>
      <c r="E1982" s="24"/>
      <c r="G1982" s="24"/>
      <c r="H1982" s="24"/>
      <c r="J1982" s="24"/>
      <c r="K1982" s="24"/>
      <c r="M1982" s="24"/>
      <c r="N1982" s="24"/>
      <c r="P1982" s="24"/>
    </row>
    <row r="1983" spans="2:16" x14ac:dyDescent="0.25">
      <c r="B1983" s="24"/>
      <c r="E1983" s="24"/>
      <c r="G1983" s="24"/>
      <c r="H1983" s="24"/>
      <c r="J1983" s="24"/>
      <c r="K1983" s="24"/>
      <c r="M1983" s="24"/>
      <c r="N1983" s="24"/>
      <c r="P1983" s="24"/>
    </row>
    <row r="1984" spans="2:16" x14ac:dyDescent="0.25">
      <c r="B1984" s="24"/>
      <c r="E1984" s="24"/>
      <c r="G1984" s="24"/>
      <c r="H1984" s="24"/>
      <c r="J1984" s="24"/>
      <c r="K1984" s="24"/>
      <c r="M1984" s="24"/>
      <c r="N1984" s="24"/>
      <c r="P1984" s="24"/>
    </row>
    <row r="1985" spans="2:16" x14ac:dyDescent="0.25">
      <c r="B1985" s="24"/>
      <c r="E1985" s="24"/>
      <c r="G1985" s="24"/>
      <c r="H1985" s="24"/>
      <c r="J1985" s="24"/>
      <c r="K1985" s="24"/>
      <c r="M1985" s="24"/>
      <c r="N1985" s="24"/>
      <c r="P1985" s="24"/>
    </row>
    <row r="1986" spans="2:16" x14ac:dyDescent="0.25">
      <c r="B1986" s="24"/>
      <c r="E1986" s="24"/>
      <c r="G1986" s="24"/>
      <c r="H1986" s="24"/>
      <c r="J1986" s="24"/>
      <c r="K1986" s="24"/>
      <c r="M1986" s="24"/>
      <c r="N1986" s="24"/>
      <c r="P1986" s="24"/>
    </row>
    <row r="1987" spans="2:16" x14ac:dyDescent="0.25">
      <c r="B1987" s="24"/>
      <c r="E1987" s="24"/>
      <c r="G1987" s="24"/>
      <c r="H1987" s="24"/>
      <c r="J1987" s="24"/>
      <c r="K1987" s="24"/>
      <c r="M1987" s="24"/>
      <c r="N1987" s="24"/>
      <c r="P1987" s="24"/>
    </row>
    <row r="1988" spans="2:16" x14ac:dyDescent="0.25">
      <c r="B1988" s="24"/>
      <c r="E1988" s="24"/>
      <c r="G1988" s="24"/>
      <c r="H1988" s="24"/>
      <c r="J1988" s="24"/>
      <c r="K1988" s="24"/>
      <c r="M1988" s="24"/>
      <c r="N1988" s="24"/>
      <c r="P1988" s="24"/>
    </row>
    <row r="1989" spans="2:16" x14ac:dyDescent="0.25">
      <c r="B1989" s="24"/>
      <c r="E1989" s="24"/>
      <c r="G1989" s="24"/>
      <c r="H1989" s="24"/>
      <c r="J1989" s="24"/>
      <c r="K1989" s="24"/>
      <c r="M1989" s="24"/>
      <c r="N1989" s="24"/>
      <c r="P1989" s="24"/>
    </row>
    <row r="1990" spans="2:16" x14ac:dyDescent="0.25">
      <c r="B1990" s="24"/>
      <c r="E1990" s="24"/>
      <c r="G1990" s="24"/>
      <c r="H1990" s="24"/>
      <c r="J1990" s="24"/>
      <c r="K1990" s="24"/>
      <c r="M1990" s="24"/>
      <c r="N1990" s="24"/>
      <c r="P1990" s="24"/>
    </row>
    <row r="1991" spans="2:16" x14ac:dyDescent="0.25">
      <c r="B1991" s="24"/>
      <c r="E1991" s="24"/>
      <c r="G1991" s="24"/>
      <c r="H1991" s="24"/>
      <c r="J1991" s="24"/>
      <c r="K1991" s="24"/>
      <c r="M1991" s="24"/>
      <c r="N1991" s="24"/>
      <c r="P1991" s="24"/>
    </row>
    <row r="1992" spans="2:16" x14ac:dyDescent="0.25">
      <c r="B1992" s="24"/>
      <c r="E1992" s="24"/>
      <c r="G1992" s="24"/>
      <c r="H1992" s="24"/>
      <c r="J1992" s="24"/>
      <c r="K1992" s="24"/>
      <c r="M1992" s="24"/>
      <c r="N1992" s="24"/>
      <c r="P1992" s="24"/>
    </row>
    <row r="1993" spans="2:16" x14ac:dyDescent="0.25">
      <c r="B1993" s="24"/>
      <c r="E1993" s="24"/>
      <c r="G1993" s="24"/>
      <c r="H1993" s="24"/>
      <c r="J1993" s="24"/>
      <c r="K1993" s="24"/>
      <c r="M1993" s="24"/>
      <c r="N1993" s="24"/>
      <c r="P1993" s="24"/>
    </row>
    <row r="1994" spans="2:16" x14ac:dyDescent="0.25">
      <c r="B1994" s="24"/>
      <c r="E1994" s="24"/>
      <c r="G1994" s="24"/>
      <c r="H1994" s="24"/>
      <c r="J1994" s="24"/>
      <c r="K1994" s="24"/>
      <c r="M1994" s="24"/>
      <c r="N1994" s="24"/>
      <c r="P1994" s="24"/>
    </row>
    <row r="1995" spans="2:16" x14ac:dyDescent="0.25">
      <c r="B1995" s="24"/>
      <c r="E1995" s="24"/>
      <c r="G1995" s="24"/>
      <c r="H1995" s="24"/>
      <c r="J1995" s="24"/>
      <c r="K1995" s="24"/>
      <c r="M1995" s="24"/>
      <c r="N1995" s="24"/>
      <c r="P1995" s="24"/>
    </row>
    <row r="1996" spans="2:16" x14ac:dyDescent="0.25">
      <c r="B1996" s="24"/>
      <c r="E1996" s="24"/>
      <c r="G1996" s="24"/>
      <c r="H1996" s="24"/>
      <c r="J1996" s="24"/>
      <c r="K1996" s="24"/>
      <c r="M1996" s="24"/>
      <c r="N1996" s="24"/>
      <c r="P1996" s="24"/>
    </row>
    <row r="1997" spans="2:16" x14ac:dyDescent="0.25">
      <c r="B1997" s="24"/>
      <c r="E1997" s="24"/>
      <c r="G1997" s="24"/>
      <c r="H1997" s="24"/>
      <c r="J1997" s="24"/>
      <c r="K1997" s="24"/>
      <c r="M1997" s="24"/>
      <c r="N1997" s="24"/>
      <c r="P1997" s="24"/>
    </row>
    <row r="1998" spans="2:16" x14ac:dyDescent="0.25">
      <c r="B1998" s="24"/>
      <c r="E1998" s="24"/>
      <c r="G1998" s="24"/>
      <c r="H1998" s="24"/>
      <c r="J1998" s="24"/>
      <c r="K1998" s="24"/>
      <c r="M1998" s="24"/>
      <c r="N1998" s="24"/>
      <c r="P1998" s="24"/>
    </row>
    <row r="1999" spans="2:16" x14ac:dyDescent="0.25">
      <c r="B1999" s="24"/>
      <c r="E1999" s="24"/>
      <c r="G1999" s="24"/>
      <c r="H1999" s="24"/>
      <c r="J1999" s="24"/>
      <c r="K1999" s="24"/>
      <c r="M1999" s="24"/>
      <c r="N1999" s="24"/>
      <c r="P1999" s="24"/>
    </row>
    <row r="2000" spans="2:16" x14ac:dyDescent="0.25">
      <c r="B2000" s="24"/>
      <c r="E2000" s="24"/>
      <c r="G2000" s="24"/>
      <c r="H2000" s="24"/>
      <c r="J2000" s="24"/>
      <c r="K2000" s="24"/>
      <c r="M2000" s="24"/>
      <c r="N2000" s="24"/>
      <c r="P2000" s="24"/>
    </row>
    <row r="2001" spans="2:16" x14ac:dyDescent="0.25">
      <c r="B2001" s="24"/>
      <c r="E2001" s="24"/>
      <c r="G2001" s="24"/>
      <c r="H2001" s="24"/>
      <c r="J2001" s="24"/>
      <c r="K2001" s="24"/>
      <c r="M2001" s="24"/>
      <c r="N2001" s="24"/>
      <c r="P2001" s="24"/>
    </row>
    <row r="2002" spans="2:16" x14ac:dyDescent="0.25">
      <c r="B2002" s="24"/>
      <c r="E2002" s="24"/>
      <c r="G2002" s="24"/>
      <c r="H2002" s="24"/>
      <c r="J2002" s="24"/>
      <c r="K2002" s="24"/>
      <c r="M2002" s="24"/>
      <c r="N2002" s="24"/>
      <c r="P2002" s="24"/>
    </row>
    <row r="2003" spans="2:16" x14ac:dyDescent="0.25">
      <c r="B2003" s="24"/>
      <c r="E2003" s="24"/>
      <c r="G2003" s="24"/>
      <c r="H2003" s="24"/>
      <c r="J2003" s="24"/>
      <c r="K2003" s="24"/>
      <c r="M2003" s="24"/>
      <c r="N2003" s="24"/>
      <c r="P2003" s="24"/>
    </row>
    <row r="2004" spans="2:16" x14ac:dyDescent="0.25">
      <c r="B2004" s="24"/>
      <c r="E2004" s="24"/>
      <c r="G2004" s="24"/>
      <c r="H2004" s="24"/>
      <c r="J2004" s="24"/>
      <c r="K2004" s="24"/>
      <c r="M2004" s="24"/>
      <c r="N2004" s="24"/>
      <c r="P2004" s="24"/>
    </row>
    <row r="2005" spans="2:16" x14ac:dyDescent="0.25">
      <c r="B2005" s="24"/>
      <c r="E2005" s="24"/>
      <c r="G2005" s="24"/>
      <c r="H2005" s="24"/>
      <c r="J2005" s="24"/>
      <c r="K2005" s="24"/>
      <c r="M2005" s="24"/>
      <c r="N2005" s="24"/>
      <c r="P2005" s="24"/>
    </row>
    <row r="2006" spans="2:16" x14ac:dyDescent="0.25">
      <c r="B2006" s="24"/>
      <c r="E2006" s="24"/>
      <c r="G2006" s="24"/>
      <c r="H2006" s="24"/>
      <c r="J2006" s="24"/>
      <c r="K2006" s="24"/>
      <c r="M2006" s="24"/>
      <c r="N2006" s="24"/>
      <c r="P2006" s="24"/>
    </row>
    <row r="2007" spans="2:16" x14ac:dyDescent="0.25">
      <c r="B2007" s="24"/>
      <c r="E2007" s="24"/>
      <c r="G2007" s="24"/>
      <c r="H2007" s="24"/>
      <c r="J2007" s="24"/>
      <c r="K2007" s="24"/>
      <c r="M2007" s="24"/>
      <c r="N2007" s="24"/>
      <c r="P2007" s="24"/>
    </row>
    <row r="2008" spans="2:16" x14ac:dyDescent="0.25">
      <c r="B2008" s="24"/>
      <c r="E2008" s="24"/>
      <c r="G2008" s="24"/>
      <c r="H2008" s="24"/>
      <c r="J2008" s="24"/>
      <c r="K2008" s="24"/>
      <c r="M2008" s="24"/>
      <c r="N2008" s="24"/>
      <c r="P2008" s="24"/>
    </row>
    <row r="2009" spans="2:16" x14ac:dyDescent="0.25">
      <c r="B2009" s="24"/>
      <c r="E2009" s="24"/>
      <c r="G2009" s="24"/>
      <c r="H2009" s="24"/>
      <c r="J2009" s="24"/>
      <c r="K2009" s="24"/>
      <c r="M2009" s="24"/>
      <c r="N2009" s="24"/>
      <c r="P2009" s="24"/>
    </row>
    <row r="2010" spans="2:16" x14ac:dyDescent="0.25">
      <c r="B2010" s="24"/>
      <c r="E2010" s="24"/>
      <c r="G2010" s="24"/>
      <c r="H2010" s="24"/>
      <c r="J2010" s="24"/>
      <c r="K2010" s="24"/>
      <c r="M2010" s="24"/>
      <c r="N2010" s="24"/>
      <c r="P2010" s="24"/>
    </row>
    <row r="2011" spans="2:16" x14ac:dyDescent="0.25">
      <c r="B2011" s="24"/>
      <c r="E2011" s="24"/>
      <c r="G2011" s="24"/>
      <c r="H2011" s="24"/>
      <c r="J2011" s="24"/>
      <c r="K2011" s="24"/>
      <c r="M2011" s="24"/>
      <c r="N2011" s="24"/>
      <c r="P2011" s="24"/>
    </row>
    <row r="2012" spans="2:16" x14ac:dyDescent="0.25">
      <c r="B2012" s="24"/>
      <c r="E2012" s="24"/>
      <c r="G2012" s="24"/>
      <c r="H2012" s="24"/>
      <c r="J2012" s="24"/>
      <c r="K2012" s="24"/>
      <c r="M2012" s="24"/>
      <c r="N2012" s="24"/>
      <c r="P2012" s="24"/>
    </row>
    <row r="2013" spans="2:16" x14ac:dyDescent="0.25">
      <c r="B2013" s="24"/>
      <c r="E2013" s="24"/>
      <c r="G2013" s="24"/>
      <c r="H2013" s="24"/>
      <c r="J2013" s="24"/>
      <c r="K2013" s="24"/>
      <c r="M2013" s="24"/>
      <c r="N2013" s="24"/>
      <c r="P2013" s="24"/>
    </row>
    <row r="2014" spans="2:16" x14ac:dyDescent="0.25">
      <c r="B2014" s="24"/>
      <c r="E2014" s="24"/>
      <c r="G2014" s="24"/>
      <c r="H2014" s="24"/>
      <c r="J2014" s="24"/>
      <c r="K2014" s="24"/>
      <c r="M2014" s="24"/>
      <c r="N2014" s="24"/>
      <c r="P2014" s="24"/>
    </row>
    <row r="2015" spans="2:16" x14ac:dyDescent="0.25">
      <c r="B2015" s="24"/>
      <c r="E2015" s="24"/>
      <c r="G2015" s="24"/>
      <c r="H2015" s="24"/>
      <c r="J2015" s="24"/>
      <c r="K2015" s="24"/>
      <c r="M2015" s="24"/>
      <c r="N2015" s="24"/>
      <c r="P2015" s="24"/>
    </row>
    <row r="2016" spans="2:16" x14ac:dyDescent="0.25">
      <c r="B2016" s="24"/>
      <c r="E2016" s="24"/>
      <c r="G2016" s="24"/>
      <c r="H2016" s="24"/>
      <c r="J2016" s="24"/>
      <c r="K2016" s="24"/>
      <c r="M2016" s="24"/>
      <c r="N2016" s="24"/>
      <c r="P2016" s="24"/>
    </row>
    <row r="2017" spans="2:16" x14ac:dyDescent="0.25">
      <c r="B2017" s="24"/>
      <c r="E2017" s="24"/>
      <c r="G2017" s="24"/>
      <c r="H2017" s="24"/>
      <c r="J2017" s="24"/>
      <c r="K2017" s="24"/>
      <c r="M2017" s="24"/>
      <c r="N2017" s="24"/>
      <c r="P2017" s="24"/>
    </row>
    <row r="2018" spans="2:16" x14ac:dyDescent="0.25">
      <c r="B2018" s="24"/>
      <c r="E2018" s="24"/>
      <c r="G2018" s="24"/>
      <c r="H2018" s="24"/>
      <c r="J2018" s="24"/>
      <c r="K2018" s="24"/>
      <c r="M2018" s="24"/>
      <c r="N2018" s="24"/>
      <c r="P2018" s="24"/>
    </row>
    <row r="2019" spans="2:16" x14ac:dyDescent="0.25">
      <c r="B2019" s="24"/>
      <c r="E2019" s="24"/>
      <c r="G2019" s="24"/>
      <c r="H2019" s="24"/>
      <c r="J2019" s="24"/>
      <c r="K2019" s="24"/>
      <c r="M2019" s="24"/>
      <c r="N2019" s="24"/>
      <c r="P2019" s="24"/>
    </row>
    <row r="2020" spans="2:16" x14ac:dyDescent="0.25">
      <c r="B2020" s="24"/>
      <c r="E2020" s="24"/>
      <c r="G2020" s="24"/>
      <c r="H2020" s="24"/>
      <c r="J2020" s="24"/>
      <c r="K2020" s="24"/>
      <c r="M2020" s="24"/>
      <c r="N2020" s="24"/>
      <c r="P2020" s="24"/>
    </row>
    <row r="2021" spans="2:16" x14ac:dyDescent="0.25">
      <c r="B2021" s="24"/>
      <c r="E2021" s="24"/>
      <c r="G2021" s="24"/>
      <c r="H2021" s="24"/>
      <c r="J2021" s="24"/>
      <c r="K2021" s="24"/>
      <c r="M2021" s="24"/>
      <c r="N2021" s="24"/>
      <c r="P2021" s="24"/>
    </row>
    <row r="2022" spans="2:16" x14ac:dyDescent="0.25">
      <c r="B2022" s="24"/>
      <c r="E2022" s="24"/>
      <c r="G2022" s="24"/>
      <c r="H2022" s="24"/>
      <c r="J2022" s="24"/>
      <c r="K2022" s="24"/>
      <c r="M2022" s="24"/>
      <c r="N2022" s="24"/>
      <c r="P2022" s="24"/>
    </row>
    <row r="2023" spans="2:16" x14ac:dyDescent="0.25">
      <c r="B2023" s="24"/>
      <c r="E2023" s="24"/>
      <c r="G2023" s="24"/>
      <c r="H2023" s="24"/>
      <c r="J2023" s="24"/>
      <c r="K2023" s="24"/>
      <c r="M2023" s="24"/>
      <c r="N2023" s="24"/>
      <c r="P2023" s="24"/>
    </row>
    <row r="2024" spans="2:16" x14ac:dyDescent="0.25">
      <c r="B2024" s="24"/>
      <c r="E2024" s="24"/>
      <c r="G2024" s="24"/>
      <c r="H2024" s="24"/>
      <c r="J2024" s="24"/>
      <c r="K2024" s="24"/>
      <c r="M2024" s="24"/>
      <c r="N2024" s="24"/>
      <c r="P2024" s="24"/>
    </row>
    <row r="2025" spans="2:16" x14ac:dyDescent="0.25">
      <c r="B2025" s="24"/>
      <c r="E2025" s="24"/>
      <c r="G2025" s="24"/>
      <c r="H2025" s="24"/>
      <c r="J2025" s="24"/>
      <c r="K2025" s="24"/>
      <c r="M2025" s="24"/>
      <c r="N2025" s="24"/>
      <c r="P2025" s="24"/>
    </row>
    <row r="2026" spans="2:16" x14ac:dyDescent="0.25">
      <c r="B2026" s="24"/>
      <c r="E2026" s="24"/>
      <c r="G2026" s="24"/>
      <c r="H2026" s="24"/>
      <c r="J2026" s="24"/>
      <c r="K2026" s="24"/>
      <c r="M2026" s="24"/>
      <c r="N2026" s="24"/>
      <c r="P2026" s="24"/>
    </row>
    <row r="2027" spans="2:16" x14ac:dyDescent="0.25">
      <c r="B2027" s="24"/>
      <c r="E2027" s="24"/>
      <c r="G2027" s="24"/>
      <c r="H2027" s="24"/>
      <c r="J2027" s="24"/>
      <c r="K2027" s="24"/>
      <c r="M2027" s="24"/>
      <c r="N2027" s="24"/>
      <c r="P2027" s="24"/>
    </row>
    <row r="2028" spans="2:16" x14ac:dyDescent="0.25">
      <c r="B2028" s="24"/>
      <c r="E2028" s="24"/>
      <c r="G2028" s="24"/>
      <c r="H2028" s="24"/>
      <c r="J2028" s="24"/>
      <c r="K2028" s="24"/>
      <c r="M2028" s="24"/>
      <c r="N2028" s="24"/>
      <c r="P2028" s="24"/>
    </row>
    <row r="2029" spans="2:16" x14ac:dyDescent="0.25">
      <c r="B2029" s="24"/>
      <c r="E2029" s="24"/>
      <c r="G2029" s="24"/>
      <c r="H2029" s="24"/>
      <c r="J2029" s="24"/>
      <c r="K2029" s="24"/>
      <c r="M2029" s="24"/>
      <c r="N2029" s="24"/>
      <c r="P2029" s="24"/>
    </row>
    <row r="2030" spans="2:16" x14ac:dyDescent="0.25">
      <c r="B2030" s="24"/>
      <c r="E2030" s="24"/>
      <c r="G2030" s="24"/>
      <c r="H2030" s="24"/>
      <c r="J2030" s="24"/>
      <c r="K2030" s="24"/>
      <c r="M2030" s="24"/>
      <c r="N2030" s="24"/>
      <c r="P2030" s="24"/>
    </row>
    <row r="2031" spans="2:16" x14ac:dyDescent="0.25">
      <c r="B2031" s="24"/>
      <c r="E2031" s="24"/>
      <c r="G2031" s="24"/>
      <c r="H2031" s="24"/>
      <c r="J2031" s="24"/>
      <c r="K2031" s="24"/>
      <c r="M2031" s="24"/>
      <c r="N2031" s="24"/>
      <c r="P2031" s="24"/>
    </row>
    <row r="2032" spans="2:16" x14ac:dyDescent="0.25">
      <c r="B2032" s="24"/>
      <c r="E2032" s="24"/>
      <c r="G2032" s="24"/>
      <c r="H2032" s="24"/>
      <c r="J2032" s="24"/>
      <c r="K2032" s="24"/>
      <c r="M2032" s="24"/>
      <c r="N2032" s="24"/>
      <c r="P2032" s="24"/>
    </row>
    <row r="2033" spans="2:16" x14ac:dyDescent="0.25">
      <c r="B2033" s="24"/>
      <c r="E2033" s="24"/>
      <c r="G2033" s="24"/>
      <c r="H2033" s="24"/>
      <c r="J2033" s="24"/>
      <c r="K2033" s="24"/>
      <c r="M2033" s="24"/>
      <c r="N2033" s="24"/>
      <c r="P2033" s="24"/>
    </row>
    <row r="2034" spans="2:16" x14ac:dyDescent="0.25">
      <c r="B2034" s="24"/>
      <c r="E2034" s="24"/>
      <c r="G2034" s="24"/>
      <c r="H2034" s="24"/>
      <c r="J2034" s="24"/>
      <c r="K2034" s="24"/>
      <c r="M2034" s="24"/>
      <c r="N2034" s="24"/>
      <c r="P2034" s="24"/>
    </row>
    <row r="2035" spans="2:16" x14ac:dyDescent="0.25">
      <c r="B2035" s="24"/>
      <c r="E2035" s="24"/>
      <c r="G2035" s="24"/>
      <c r="H2035" s="24"/>
      <c r="J2035" s="24"/>
      <c r="K2035" s="24"/>
      <c r="M2035" s="24"/>
      <c r="N2035" s="24"/>
      <c r="P2035" s="24"/>
    </row>
    <row r="2036" spans="2:16" x14ac:dyDescent="0.25">
      <c r="B2036" s="24"/>
      <c r="E2036" s="24"/>
      <c r="G2036" s="24"/>
      <c r="H2036" s="24"/>
      <c r="J2036" s="24"/>
      <c r="K2036" s="24"/>
      <c r="M2036" s="24"/>
      <c r="N2036" s="24"/>
      <c r="P2036" s="24"/>
    </row>
    <row r="2037" spans="2:16" x14ac:dyDescent="0.25">
      <c r="B2037" s="24"/>
      <c r="E2037" s="24"/>
      <c r="G2037" s="24"/>
      <c r="H2037" s="24"/>
      <c r="J2037" s="24"/>
      <c r="K2037" s="24"/>
      <c r="M2037" s="24"/>
      <c r="N2037" s="24"/>
      <c r="P2037" s="24"/>
    </row>
    <row r="2038" spans="2:16" x14ac:dyDescent="0.25">
      <c r="B2038" s="24"/>
      <c r="E2038" s="24"/>
      <c r="G2038" s="24"/>
      <c r="H2038" s="24"/>
      <c r="J2038" s="24"/>
      <c r="K2038" s="24"/>
      <c r="M2038" s="24"/>
      <c r="N2038" s="24"/>
      <c r="P2038" s="24"/>
    </row>
    <row r="2039" spans="2:16" x14ac:dyDescent="0.25">
      <c r="B2039" s="24"/>
      <c r="E2039" s="24"/>
      <c r="G2039" s="24"/>
      <c r="H2039" s="24"/>
      <c r="J2039" s="24"/>
      <c r="K2039" s="24"/>
      <c r="M2039" s="24"/>
      <c r="N2039" s="24"/>
      <c r="P2039" s="24"/>
    </row>
    <row r="2040" spans="2:16" x14ac:dyDescent="0.25">
      <c r="B2040" s="24"/>
      <c r="E2040" s="24"/>
      <c r="G2040" s="24"/>
      <c r="H2040" s="24"/>
      <c r="J2040" s="24"/>
      <c r="K2040" s="24"/>
      <c r="M2040" s="24"/>
      <c r="N2040" s="24"/>
      <c r="P2040" s="24"/>
    </row>
    <row r="2041" spans="2:16" x14ac:dyDescent="0.25">
      <c r="B2041" s="24"/>
      <c r="E2041" s="24"/>
      <c r="G2041" s="24"/>
      <c r="H2041" s="24"/>
      <c r="J2041" s="24"/>
      <c r="K2041" s="24"/>
      <c r="M2041" s="24"/>
      <c r="N2041" s="24"/>
      <c r="P2041" s="24"/>
    </row>
    <row r="2042" spans="2:16" x14ac:dyDescent="0.25">
      <c r="B2042" s="24"/>
      <c r="E2042" s="24"/>
      <c r="G2042" s="24"/>
      <c r="H2042" s="24"/>
      <c r="J2042" s="24"/>
      <c r="K2042" s="24"/>
      <c r="M2042" s="24"/>
      <c r="N2042" s="24"/>
      <c r="P2042" s="24"/>
    </row>
    <row r="2043" spans="2:16" x14ac:dyDescent="0.25">
      <c r="B2043" s="24"/>
      <c r="E2043" s="24"/>
      <c r="G2043" s="24"/>
      <c r="H2043" s="24"/>
      <c r="J2043" s="24"/>
      <c r="K2043" s="24"/>
      <c r="M2043" s="24"/>
      <c r="N2043" s="24"/>
      <c r="P2043" s="24"/>
    </row>
    <row r="2044" spans="2:16" x14ac:dyDescent="0.25">
      <c r="B2044" s="24"/>
      <c r="E2044" s="24"/>
      <c r="G2044" s="24"/>
      <c r="H2044" s="24"/>
      <c r="J2044" s="24"/>
      <c r="K2044" s="24"/>
      <c r="M2044" s="24"/>
      <c r="N2044" s="24"/>
      <c r="P2044" s="24"/>
    </row>
    <row r="2045" spans="2:16" x14ac:dyDescent="0.25">
      <c r="B2045" s="24"/>
      <c r="E2045" s="24"/>
      <c r="G2045" s="24"/>
      <c r="H2045" s="24"/>
      <c r="J2045" s="24"/>
      <c r="K2045" s="24"/>
      <c r="M2045" s="24"/>
      <c r="N2045" s="24"/>
      <c r="P2045" s="24"/>
    </row>
    <row r="2046" spans="2:16" x14ac:dyDescent="0.25">
      <c r="B2046" s="24"/>
      <c r="E2046" s="24"/>
      <c r="G2046" s="24"/>
      <c r="H2046" s="24"/>
      <c r="J2046" s="24"/>
      <c r="K2046" s="24"/>
      <c r="M2046" s="24"/>
      <c r="N2046" s="24"/>
      <c r="P2046" s="24"/>
    </row>
    <row r="2047" spans="2:16" x14ac:dyDescent="0.25">
      <c r="B2047" s="24"/>
      <c r="E2047" s="24"/>
      <c r="G2047" s="24"/>
      <c r="H2047" s="24"/>
      <c r="J2047" s="24"/>
      <c r="K2047" s="24"/>
      <c r="M2047" s="24"/>
      <c r="N2047" s="24"/>
      <c r="P2047" s="24"/>
    </row>
    <row r="2048" spans="2:16" x14ac:dyDescent="0.25">
      <c r="B2048" s="24"/>
      <c r="E2048" s="24"/>
      <c r="G2048" s="24"/>
      <c r="H2048" s="24"/>
      <c r="J2048" s="24"/>
      <c r="K2048" s="24"/>
      <c r="M2048" s="24"/>
      <c r="N2048" s="24"/>
      <c r="P2048" s="24"/>
    </row>
    <row r="2049" spans="2:16" x14ac:dyDescent="0.25">
      <c r="B2049" s="24"/>
      <c r="E2049" s="24"/>
      <c r="G2049" s="24"/>
      <c r="H2049" s="24"/>
      <c r="J2049" s="24"/>
      <c r="K2049" s="24"/>
      <c r="M2049" s="24"/>
      <c r="N2049" s="24"/>
      <c r="P2049" s="24"/>
    </row>
    <row r="2050" spans="2:16" x14ac:dyDescent="0.25">
      <c r="B2050" s="24"/>
      <c r="E2050" s="24"/>
      <c r="G2050" s="24"/>
      <c r="H2050" s="24"/>
      <c r="J2050" s="24"/>
      <c r="K2050" s="24"/>
      <c r="M2050" s="24"/>
      <c r="N2050" s="24"/>
      <c r="P2050" s="24"/>
    </row>
    <row r="2051" spans="2:16" x14ac:dyDescent="0.25">
      <c r="B2051" s="24"/>
      <c r="E2051" s="24"/>
      <c r="G2051" s="24"/>
      <c r="H2051" s="24"/>
      <c r="J2051" s="24"/>
      <c r="K2051" s="24"/>
      <c r="M2051" s="24"/>
      <c r="N2051" s="24"/>
      <c r="P2051" s="24"/>
    </row>
    <row r="2052" spans="2:16" x14ac:dyDescent="0.25">
      <c r="B2052" s="24"/>
      <c r="E2052" s="24"/>
      <c r="G2052" s="24"/>
      <c r="H2052" s="24"/>
      <c r="J2052" s="24"/>
      <c r="K2052" s="24"/>
      <c r="M2052" s="24"/>
      <c r="N2052" s="24"/>
      <c r="P2052" s="24"/>
    </row>
    <row r="2053" spans="2:16" x14ac:dyDescent="0.25">
      <c r="B2053" s="24"/>
      <c r="E2053" s="24"/>
      <c r="G2053" s="24"/>
      <c r="H2053" s="24"/>
      <c r="J2053" s="24"/>
      <c r="K2053" s="24"/>
      <c r="M2053" s="24"/>
      <c r="N2053" s="24"/>
      <c r="P2053" s="24"/>
    </row>
    <row r="2054" spans="2:16" x14ac:dyDescent="0.25">
      <c r="B2054" s="24"/>
      <c r="E2054" s="24"/>
      <c r="G2054" s="24"/>
      <c r="H2054" s="24"/>
      <c r="J2054" s="24"/>
      <c r="K2054" s="24"/>
      <c r="M2054" s="24"/>
      <c r="N2054" s="24"/>
      <c r="P2054" s="24"/>
    </row>
    <row r="2055" spans="2:16" x14ac:dyDescent="0.25">
      <c r="B2055" s="24"/>
      <c r="E2055" s="24"/>
      <c r="G2055" s="24"/>
      <c r="H2055" s="24"/>
      <c r="J2055" s="24"/>
      <c r="K2055" s="24"/>
      <c r="M2055" s="24"/>
      <c r="N2055" s="24"/>
      <c r="P2055" s="24"/>
    </row>
    <row r="2056" spans="2:16" x14ac:dyDescent="0.25">
      <c r="B2056" s="24"/>
      <c r="E2056" s="24"/>
      <c r="G2056" s="24"/>
      <c r="H2056" s="24"/>
      <c r="J2056" s="24"/>
      <c r="K2056" s="24"/>
      <c r="M2056" s="24"/>
      <c r="N2056" s="24"/>
      <c r="P2056" s="24"/>
    </row>
    <row r="2057" spans="2:16" x14ac:dyDescent="0.25">
      <c r="B2057" s="24"/>
      <c r="E2057" s="24"/>
      <c r="G2057" s="24"/>
      <c r="H2057" s="24"/>
      <c r="J2057" s="24"/>
      <c r="K2057" s="24"/>
      <c r="M2057" s="24"/>
      <c r="N2057" s="24"/>
      <c r="P2057" s="24"/>
    </row>
    <row r="2058" spans="2:16" x14ac:dyDescent="0.25">
      <c r="B2058" s="24"/>
      <c r="E2058" s="24"/>
      <c r="G2058" s="24"/>
      <c r="H2058" s="24"/>
      <c r="J2058" s="24"/>
      <c r="K2058" s="24"/>
      <c r="M2058" s="24"/>
      <c r="N2058" s="24"/>
      <c r="P2058" s="24"/>
    </row>
    <row r="2059" spans="2:16" x14ac:dyDescent="0.25">
      <c r="B2059" s="24"/>
      <c r="E2059" s="24"/>
      <c r="G2059" s="24"/>
      <c r="H2059" s="24"/>
      <c r="J2059" s="24"/>
      <c r="K2059" s="24"/>
      <c r="M2059" s="24"/>
      <c r="N2059" s="24"/>
      <c r="P2059" s="24"/>
    </row>
    <row r="2060" spans="2:16" x14ac:dyDescent="0.25">
      <c r="B2060" s="24"/>
      <c r="E2060" s="24"/>
      <c r="G2060" s="24"/>
      <c r="H2060" s="24"/>
      <c r="J2060" s="24"/>
      <c r="K2060" s="24"/>
      <c r="M2060" s="24"/>
      <c r="N2060" s="24"/>
      <c r="P2060" s="24"/>
    </row>
    <row r="2061" spans="2:16" x14ac:dyDescent="0.25">
      <c r="B2061" s="24"/>
      <c r="E2061" s="24"/>
      <c r="G2061" s="24"/>
      <c r="H2061" s="24"/>
      <c r="J2061" s="24"/>
      <c r="K2061" s="24"/>
      <c r="M2061" s="24"/>
      <c r="N2061" s="24"/>
      <c r="P2061" s="24"/>
    </row>
    <row r="2062" spans="2:16" x14ac:dyDescent="0.25">
      <c r="B2062" s="24"/>
      <c r="E2062" s="24"/>
      <c r="G2062" s="24"/>
      <c r="H2062" s="24"/>
      <c r="J2062" s="24"/>
      <c r="K2062" s="24"/>
      <c r="M2062" s="24"/>
      <c r="N2062" s="24"/>
      <c r="P2062" s="24"/>
    </row>
    <row r="2063" spans="2:16" x14ac:dyDescent="0.25">
      <c r="B2063" s="24"/>
      <c r="E2063" s="24"/>
      <c r="G2063" s="24"/>
      <c r="H2063" s="24"/>
      <c r="J2063" s="24"/>
      <c r="K2063" s="24"/>
      <c r="M2063" s="24"/>
      <c r="N2063" s="24"/>
      <c r="P2063" s="24"/>
    </row>
    <row r="2064" spans="2:16" x14ac:dyDescent="0.25">
      <c r="B2064" s="24"/>
      <c r="E2064" s="24"/>
      <c r="G2064" s="24"/>
      <c r="H2064" s="24"/>
      <c r="J2064" s="24"/>
      <c r="K2064" s="24"/>
      <c r="M2064" s="24"/>
      <c r="N2064" s="24"/>
      <c r="P2064" s="24"/>
    </row>
    <row r="2065" spans="2:16" x14ac:dyDescent="0.25">
      <c r="B2065" s="24"/>
      <c r="E2065" s="24"/>
      <c r="G2065" s="24"/>
      <c r="H2065" s="24"/>
      <c r="J2065" s="24"/>
      <c r="K2065" s="24"/>
      <c r="M2065" s="24"/>
      <c r="N2065" s="24"/>
      <c r="P2065" s="24"/>
    </row>
    <row r="2066" spans="2:16" x14ac:dyDescent="0.25">
      <c r="B2066" s="24"/>
      <c r="E2066" s="24"/>
      <c r="G2066" s="24"/>
      <c r="H2066" s="24"/>
      <c r="J2066" s="24"/>
      <c r="K2066" s="24"/>
      <c r="M2066" s="24"/>
      <c r="N2066" s="24"/>
      <c r="P2066" s="24"/>
    </row>
    <row r="2067" spans="2:16" x14ac:dyDescent="0.25">
      <c r="B2067" s="24"/>
      <c r="E2067" s="24"/>
      <c r="G2067" s="24"/>
      <c r="H2067" s="24"/>
      <c r="J2067" s="24"/>
      <c r="K2067" s="24"/>
      <c r="M2067" s="24"/>
      <c r="N2067" s="24"/>
      <c r="P2067" s="24"/>
    </row>
    <row r="2068" spans="2:16" x14ac:dyDescent="0.25">
      <c r="B2068" s="24"/>
      <c r="E2068" s="24"/>
      <c r="G2068" s="24"/>
      <c r="H2068" s="24"/>
      <c r="J2068" s="24"/>
      <c r="K2068" s="24"/>
      <c r="M2068" s="24"/>
      <c r="N2068" s="24"/>
      <c r="P2068" s="24"/>
    </row>
    <row r="2069" spans="2:16" x14ac:dyDescent="0.25">
      <c r="B2069" s="24"/>
      <c r="E2069" s="24"/>
      <c r="G2069" s="24"/>
      <c r="H2069" s="24"/>
      <c r="J2069" s="24"/>
      <c r="K2069" s="24"/>
      <c r="M2069" s="24"/>
      <c r="N2069" s="24"/>
      <c r="P2069" s="24"/>
    </row>
    <row r="2070" spans="2:16" x14ac:dyDescent="0.25">
      <c r="B2070" s="24"/>
      <c r="E2070" s="24"/>
      <c r="G2070" s="24"/>
      <c r="H2070" s="24"/>
      <c r="J2070" s="24"/>
      <c r="K2070" s="24"/>
      <c r="M2070" s="24"/>
      <c r="N2070" s="24"/>
      <c r="P2070" s="24"/>
    </row>
    <row r="2071" spans="2:16" x14ac:dyDescent="0.25">
      <c r="B2071" s="24"/>
      <c r="E2071" s="24"/>
      <c r="G2071" s="24"/>
      <c r="H2071" s="24"/>
      <c r="J2071" s="24"/>
      <c r="K2071" s="24"/>
      <c r="M2071" s="24"/>
      <c r="N2071" s="24"/>
      <c r="P2071" s="24"/>
    </row>
    <row r="2072" spans="2:16" x14ac:dyDescent="0.25">
      <c r="B2072" s="24"/>
      <c r="E2072" s="24"/>
      <c r="G2072" s="24"/>
      <c r="H2072" s="24"/>
      <c r="J2072" s="24"/>
      <c r="K2072" s="24"/>
      <c r="M2072" s="24"/>
      <c r="N2072" s="24"/>
      <c r="P2072" s="24"/>
    </row>
    <row r="2073" spans="2:16" x14ac:dyDescent="0.25">
      <c r="B2073" s="24"/>
      <c r="E2073" s="24"/>
      <c r="G2073" s="24"/>
      <c r="H2073" s="24"/>
      <c r="J2073" s="24"/>
      <c r="K2073" s="24"/>
      <c r="M2073" s="24"/>
      <c r="N2073" s="24"/>
      <c r="P2073" s="24"/>
    </row>
    <row r="2074" spans="2:16" x14ac:dyDescent="0.25">
      <c r="B2074" s="24"/>
      <c r="E2074" s="24"/>
      <c r="G2074" s="24"/>
      <c r="H2074" s="24"/>
      <c r="J2074" s="24"/>
      <c r="K2074" s="24"/>
      <c r="M2074" s="24"/>
      <c r="N2074" s="24"/>
      <c r="P2074" s="24"/>
    </row>
    <row r="2075" spans="2:16" x14ac:dyDescent="0.25">
      <c r="B2075" s="24"/>
      <c r="E2075" s="24"/>
      <c r="G2075" s="24"/>
      <c r="H2075" s="24"/>
      <c r="J2075" s="24"/>
      <c r="K2075" s="24"/>
      <c r="M2075" s="24"/>
      <c r="N2075" s="24"/>
      <c r="P2075" s="24"/>
    </row>
    <row r="2076" spans="2:16" x14ac:dyDescent="0.25">
      <c r="B2076" s="24"/>
      <c r="E2076" s="24"/>
      <c r="G2076" s="24"/>
      <c r="H2076" s="24"/>
      <c r="J2076" s="24"/>
      <c r="K2076" s="24"/>
      <c r="M2076" s="24"/>
      <c r="N2076" s="24"/>
      <c r="P2076" s="24"/>
    </row>
    <row r="2077" spans="2:16" x14ac:dyDescent="0.25">
      <c r="B2077" s="24"/>
      <c r="E2077" s="24"/>
      <c r="G2077" s="24"/>
      <c r="H2077" s="24"/>
      <c r="J2077" s="24"/>
      <c r="K2077" s="24"/>
      <c r="M2077" s="24"/>
      <c r="N2077" s="24"/>
      <c r="P2077" s="24"/>
    </row>
    <row r="2078" spans="2:16" x14ac:dyDescent="0.25">
      <c r="B2078" s="24"/>
      <c r="E2078" s="24"/>
      <c r="G2078" s="24"/>
      <c r="H2078" s="24"/>
      <c r="J2078" s="24"/>
      <c r="K2078" s="24"/>
      <c r="M2078" s="24"/>
      <c r="N2078" s="24"/>
      <c r="P2078" s="24"/>
    </row>
    <row r="2079" spans="2:16" x14ac:dyDescent="0.25">
      <c r="B2079" s="24"/>
      <c r="E2079" s="24"/>
      <c r="G2079" s="24"/>
      <c r="H2079" s="24"/>
      <c r="J2079" s="24"/>
      <c r="K2079" s="24"/>
      <c r="M2079" s="24"/>
      <c r="N2079" s="24"/>
      <c r="P2079" s="24"/>
    </row>
    <row r="2080" spans="2:16" x14ac:dyDescent="0.25">
      <c r="B2080" s="24"/>
      <c r="E2080" s="24"/>
      <c r="G2080" s="24"/>
      <c r="H2080" s="24"/>
      <c r="J2080" s="24"/>
      <c r="K2080" s="24"/>
      <c r="M2080" s="24"/>
      <c r="N2080" s="24"/>
      <c r="P2080" s="24"/>
    </row>
    <row r="2081" spans="2:16" x14ac:dyDescent="0.25">
      <c r="B2081" s="24"/>
      <c r="E2081" s="24"/>
      <c r="G2081" s="24"/>
      <c r="H2081" s="24"/>
      <c r="J2081" s="24"/>
      <c r="K2081" s="24"/>
      <c r="M2081" s="24"/>
      <c r="N2081" s="24"/>
      <c r="P2081" s="24"/>
    </row>
    <row r="2082" spans="2:16" x14ac:dyDescent="0.25">
      <c r="B2082" s="24"/>
      <c r="E2082" s="24"/>
      <c r="G2082" s="24"/>
      <c r="H2082" s="24"/>
      <c r="J2082" s="24"/>
      <c r="K2082" s="24"/>
      <c r="M2082" s="24"/>
      <c r="N2082" s="24"/>
      <c r="P2082" s="24"/>
    </row>
    <row r="2083" spans="2:16" x14ac:dyDescent="0.25">
      <c r="B2083" s="24"/>
      <c r="E2083" s="24"/>
      <c r="G2083" s="24"/>
      <c r="H2083" s="24"/>
      <c r="J2083" s="24"/>
      <c r="K2083" s="24"/>
      <c r="M2083" s="24"/>
      <c r="N2083" s="24"/>
      <c r="P2083" s="24"/>
    </row>
    <row r="2084" spans="2:16" x14ac:dyDescent="0.25">
      <c r="B2084" s="24"/>
      <c r="E2084" s="24"/>
      <c r="G2084" s="24"/>
      <c r="H2084" s="24"/>
      <c r="J2084" s="24"/>
      <c r="K2084" s="24"/>
      <c r="M2084" s="24"/>
      <c r="N2084" s="24"/>
      <c r="P2084" s="24"/>
    </row>
    <row r="2085" spans="2:16" x14ac:dyDescent="0.25">
      <c r="B2085" s="24"/>
      <c r="E2085" s="24"/>
      <c r="G2085" s="24"/>
      <c r="H2085" s="24"/>
      <c r="J2085" s="24"/>
      <c r="K2085" s="24"/>
      <c r="M2085" s="24"/>
      <c r="N2085" s="24"/>
      <c r="P2085" s="24"/>
    </row>
    <row r="2086" spans="2:16" x14ac:dyDescent="0.25">
      <c r="B2086" s="24"/>
      <c r="E2086" s="24"/>
      <c r="G2086" s="24"/>
      <c r="H2086" s="24"/>
      <c r="J2086" s="24"/>
      <c r="K2086" s="24"/>
      <c r="M2086" s="24"/>
      <c r="N2086" s="24"/>
      <c r="P2086" s="24"/>
    </row>
    <row r="2087" spans="2:16" x14ac:dyDescent="0.25">
      <c r="B2087" s="24"/>
      <c r="E2087" s="24"/>
      <c r="G2087" s="24"/>
      <c r="H2087" s="24"/>
      <c r="J2087" s="24"/>
      <c r="K2087" s="24"/>
      <c r="M2087" s="24"/>
      <c r="N2087" s="24"/>
      <c r="P2087" s="24"/>
    </row>
    <row r="2088" spans="2:16" x14ac:dyDescent="0.25">
      <c r="B2088" s="24"/>
      <c r="E2088" s="24"/>
      <c r="G2088" s="24"/>
      <c r="H2088" s="24"/>
      <c r="J2088" s="24"/>
      <c r="K2088" s="24"/>
      <c r="M2088" s="24"/>
      <c r="N2088" s="24"/>
      <c r="P2088" s="24"/>
    </row>
    <row r="2089" spans="2:16" x14ac:dyDescent="0.25">
      <c r="B2089" s="24"/>
      <c r="E2089" s="24"/>
      <c r="G2089" s="24"/>
      <c r="H2089" s="24"/>
      <c r="J2089" s="24"/>
      <c r="K2089" s="24"/>
      <c r="M2089" s="24"/>
      <c r="N2089" s="24"/>
      <c r="P2089" s="24"/>
    </row>
    <row r="2090" spans="2:16" x14ac:dyDescent="0.25">
      <c r="B2090" s="24"/>
      <c r="E2090" s="24"/>
      <c r="G2090" s="24"/>
      <c r="H2090" s="24"/>
      <c r="J2090" s="24"/>
      <c r="K2090" s="24"/>
      <c r="M2090" s="24"/>
      <c r="N2090" s="24"/>
      <c r="P2090" s="24"/>
    </row>
    <row r="2091" spans="2:16" x14ac:dyDescent="0.25">
      <c r="B2091" s="24"/>
      <c r="E2091" s="24"/>
      <c r="G2091" s="24"/>
      <c r="H2091" s="24"/>
      <c r="J2091" s="24"/>
      <c r="K2091" s="24"/>
      <c r="M2091" s="24"/>
      <c r="N2091" s="24"/>
      <c r="P2091" s="24"/>
    </row>
    <row r="2092" spans="2:16" x14ac:dyDescent="0.25">
      <c r="B2092" s="24"/>
      <c r="E2092" s="24"/>
      <c r="G2092" s="24"/>
      <c r="H2092" s="24"/>
      <c r="J2092" s="24"/>
      <c r="K2092" s="24"/>
      <c r="M2092" s="24"/>
      <c r="N2092" s="24"/>
      <c r="P2092" s="24"/>
    </row>
    <row r="2093" spans="2:16" x14ac:dyDescent="0.25">
      <c r="B2093" s="24"/>
      <c r="E2093" s="24"/>
      <c r="G2093" s="24"/>
      <c r="H2093" s="24"/>
      <c r="J2093" s="24"/>
      <c r="K2093" s="24"/>
      <c r="M2093" s="24"/>
      <c r="N2093" s="24"/>
      <c r="P2093" s="24"/>
    </row>
    <row r="2094" spans="2:16" x14ac:dyDescent="0.25">
      <c r="B2094" s="24"/>
      <c r="E2094" s="24"/>
      <c r="G2094" s="24"/>
      <c r="H2094" s="24"/>
      <c r="J2094" s="24"/>
      <c r="K2094" s="24"/>
      <c r="M2094" s="24"/>
      <c r="N2094" s="24"/>
      <c r="P2094" s="24"/>
    </row>
    <row r="2095" spans="2:16" x14ac:dyDescent="0.25">
      <c r="B2095" s="24"/>
      <c r="E2095" s="24"/>
      <c r="G2095" s="24"/>
      <c r="H2095" s="24"/>
      <c r="J2095" s="24"/>
      <c r="K2095" s="24"/>
      <c r="M2095" s="24"/>
      <c r="N2095" s="24"/>
      <c r="P2095" s="24"/>
    </row>
    <row r="2096" spans="2:16" x14ac:dyDescent="0.25">
      <c r="B2096" s="24"/>
      <c r="E2096" s="24"/>
      <c r="G2096" s="24"/>
      <c r="H2096" s="24"/>
      <c r="J2096" s="24"/>
      <c r="K2096" s="24"/>
      <c r="M2096" s="24"/>
      <c r="N2096" s="24"/>
      <c r="P2096" s="24"/>
    </row>
    <row r="2097" spans="2:16" x14ac:dyDescent="0.25">
      <c r="B2097" s="24"/>
      <c r="E2097" s="24"/>
      <c r="G2097" s="24"/>
      <c r="H2097" s="24"/>
      <c r="J2097" s="24"/>
      <c r="K2097" s="24"/>
      <c r="M2097" s="24"/>
      <c r="N2097" s="24"/>
      <c r="P2097" s="24"/>
    </row>
    <row r="2098" spans="2:16" x14ac:dyDescent="0.25">
      <c r="B2098" s="24"/>
      <c r="E2098" s="24"/>
      <c r="G2098" s="24"/>
      <c r="H2098" s="24"/>
      <c r="J2098" s="24"/>
      <c r="K2098" s="24"/>
      <c r="M2098" s="24"/>
      <c r="N2098" s="24"/>
      <c r="P2098" s="24"/>
    </row>
    <row r="2099" spans="2:16" x14ac:dyDescent="0.25">
      <c r="B2099" s="24"/>
      <c r="E2099" s="24"/>
      <c r="G2099" s="24"/>
      <c r="H2099" s="24"/>
      <c r="J2099" s="24"/>
      <c r="K2099" s="24"/>
      <c r="M2099" s="24"/>
      <c r="N2099" s="24"/>
      <c r="P2099" s="24"/>
    </row>
    <row r="2100" spans="2:16" x14ac:dyDescent="0.25">
      <c r="B2100" s="24"/>
      <c r="E2100" s="24"/>
      <c r="G2100" s="24"/>
      <c r="H2100" s="24"/>
      <c r="J2100" s="24"/>
      <c r="K2100" s="24"/>
      <c r="M2100" s="24"/>
      <c r="N2100" s="24"/>
      <c r="P2100" s="24"/>
    </row>
    <row r="2101" spans="2:16" x14ac:dyDescent="0.25">
      <c r="B2101" s="24"/>
      <c r="E2101" s="24"/>
      <c r="G2101" s="24"/>
      <c r="H2101" s="24"/>
      <c r="J2101" s="24"/>
      <c r="K2101" s="24"/>
      <c r="M2101" s="24"/>
      <c r="N2101" s="24"/>
      <c r="P2101" s="24"/>
    </row>
    <row r="2102" spans="2:16" x14ac:dyDescent="0.25">
      <c r="B2102" s="24"/>
      <c r="E2102" s="24"/>
      <c r="G2102" s="24"/>
      <c r="H2102" s="24"/>
      <c r="J2102" s="24"/>
      <c r="K2102" s="24"/>
      <c r="M2102" s="24"/>
      <c r="N2102" s="24"/>
      <c r="P2102" s="24"/>
    </row>
    <row r="2103" spans="2:16" x14ac:dyDescent="0.25">
      <c r="B2103" s="24"/>
      <c r="E2103" s="24"/>
      <c r="G2103" s="24"/>
      <c r="H2103" s="24"/>
      <c r="J2103" s="24"/>
      <c r="K2103" s="24"/>
      <c r="M2103" s="24"/>
      <c r="N2103" s="24"/>
      <c r="P2103" s="24"/>
    </row>
    <row r="2104" spans="2:16" x14ac:dyDescent="0.25">
      <c r="B2104" s="24"/>
      <c r="E2104" s="24"/>
      <c r="G2104" s="24"/>
      <c r="H2104" s="24"/>
      <c r="J2104" s="24"/>
      <c r="K2104" s="24"/>
      <c r="M2104" s="24"/>
      <c r="N2104" s="24"/>
      <c r="P2104" s="24"/>
    </row>
    <row r="2105" spans="2:16" x14ac:dyDescent="0.25">
      <c r="B2105" s="24"/>
      <c r="E2105" s="24"/>
      <c r="G2105" s="24"/>
      <c r="H2105" s="24"/>
      <c r="J2105" s="24"/>
      <c r="K2105" s="24"/>
      <c r="M2105" s="24"/>
      <c r="N2105" s="24"/>
      <c r="P2105" s="24"/>
    </row>
    <row r="2106" spans="2:16" x14ac:dyDescent="0.25">
      <c r="B2106" s="24"/>
      <c r="E2106" s="24"/>
      <c r="G2106" s="24"/>
      <c r="H2106" s="24"/>
      <c r="J2106" s="24"/>
      <c r="K2106" s="24"/>
      <c r="M2106" s="24"/>
      <c r="N2106" s="24"/>
      <c r="P2106" s="24"/>
    </row>
    <row r="2107" spans="2:16" x14ac:dyDescent="0.25">
      <c r="B2107" s="24"/>
      <c r="E2107" s="24"/>
      <c r="G2107" s="24"/>
      <c r="H2107" s="24"/>
      <c r="J2107" s="24"/>
      <c r="K2107" s="24"/>
      <c r="M2107" s="24"/>
      <c r="N2107" s="24"/>
      <c r="P2107" s="24"/>
    </row>
    <row r="2108" spans="2:16" x14ac:dyDescent="0.25">
      <c r="B2108" s="24"/>
      <c r="E2108" s="24"/>
      <c r="G2108" s="24"/>
      <c r="H2108" s="24"/>
      <c r="J2108" s="24"/>
      <c r="K2108" s="24"/>
      <c r="M2108" s="24"/>
      <c r="N2108" s="24"/>
      <c r="P2108" s="24"/>
    </row>
    <row r="2109" spans="2:16" x14ac:dyDescent="0.25">
      <c r="B2109" s="24"/>
      <c r="E2109" s="24"/>
      <c r="G2109" s="24"/>
      <c r="H2109" s="24"/>
      <c r="J2109" s="24"/>
      <c r="K2109" s="24"/>
      <c r="M2109" s="24"/>
      <c r="N2109" s="24"/>
      <c r="P2109" s="24"/>
    </row>
    <row r="2110" spans="2:16" x14ac:dyDescent="0.25">
      <c r="B2110" s="24"/>
      <c r="E2110" s="24"/>
      <c r="G2110" s="24"/>
      <c r="H2110" s="24"/>
      <c r="J2110" s="24"/>
      <c r="K2110" s="24"/>
      <c r="M2110" s="24"/>
      <c r="N2110" s="24"/>
      <c r="P2110" s="24"/>
    </row>
    <row r="2111" spans="2:16" x14ac:dyDescent="0.25">
      <c r="B2111" s="24"/>
      <c r="E2111" s="24"/>
      <c r="G2111" s="24"/>
      <c r="H2111" s="24"/>
      <c r="J2111" s="24"/>
      <c r="K2111" s="24"/>
      <c r="M2111" s="24"/>
      <c r="N2111" s="24"/>
      <c r="P2111" s="24"/>
    </row>
    <row r="2112" spans="2:16" x14ac:dyDescent="0.25">
      <c r="B2112" s="24"/>
      <c r="E2112" s="24"/>
      <c r="G2112" s="24"/>
      <c r="H2112" s="24"/>
      <c r="J2112" s="24"/>
      <c r="K2112" s="24"/>
      <c r="M2112" s="24"/>
      <c r="N2112" s="24"/>
      <c r="P2112" s="24"/>
    </row>
    <row r="2113" spans="2:16" x14ac:dyDescent="0.25">
      <c r="B2113" s="24"/>
      <c r="E2113" s="24"/>
      <c r="G2113" s="24"/>
      <c r="H2113" s="24"/>
      <c r="J2113" s="24"/>
      <c r="K2113" s="24"/>
      <c r="M2113" s="24"/>
      <c r="N2113" s="24"/>
      <c r="P2113" s="24"/>
    </row>
    <row r="2114" spans="2:16" x14ac:dyDescent="0.25">
      <c r="B2114" s="24"/>
      <c r="E2114" s="24"/>
      <c r="G2114" s="24"/>
      <c r="H2114" s="24"/>
      <c r="J2114" s="24"/>
      <c r="K2114" s="24"/>
      <c r="M2114" s="24"/>
      <c r="N2114" s="24"/>
      <c r="P2114" s="24"/>
    </row>
    <row r="2115" spans="2:16" x14ac:dyDescent="0.25">
      <c r="B2115" s="24"/>
      <c r="E2115" s="24"/>
      <c r="G2115" s="24"/>
      <c r="H2115" s="24"/>
      <c r="J2115" s="24"/>
      <c r="K2115" s="24"/>
      <c r="M2115" s="24"/>
      <c r="N2115" s="24"/>
      <c r="P2115" s="24"/>
    </row>
    <row r="2116" spans="2:16" x14ac:dyDescent="0.25">
      <c r="B2116" s="24"/>
      <c r="E2116" s="24"/>
      <c r="G2116" s="24"/>
      <c r="H2116" s="24"/>
      <c r="J2116" s="24"/>
      <c r="K2116" s="24"/>
      <c r="M2116" s="24"/>
      <c r="N2116" s="24"/>
      <c r="P2116" s="24"/>
    </row>
    <row r="2117" spans="2:16" x14ac:dyDescent="0.25">
      <c r="B2117" s="24"/>
      <c r="E2117" s="24"/>
      <c r="G2117" s="24"/>
      <c r="H2117" s="24"/>
      <c r="J2117" s="24"/>
      <c r="K2117" s="24"/>
      <c r="M2117" s="24"/>
      <c r="N2117" s="24"/>
      <c r="P2117" s="24"/>
    </row>
    <row r="2118" spans="2:16" x14ac:dyDescent="0.25">
      <c r="B2118" s="24"/>
      <c r="E2118" s="24"/>
      <c r="G2118" s="24"/>
      <c r="H2118" s="24"/>
      <c r="J2118" s="24"/>
      <c r="K2118" s="24"/>
      <c r="M2118" s="24"/>
      <c r="N2118" s="24"/>
      <c r="P2118" s="24"/>
    </row>
    <row r="2119" spans="2:16" x14ac:dyDescent="0.25">
      <c r="B2119" s="24"/>
      <c r="E2119" s="24"/>
      <c r="G2119" s="24"/>
      <c r="H2119" s="24"/>
      <c r="J2119" s="24"/>
      <c r="K2119" s="24"/>
      <c r="M2119" s="24"/>
      <c r="N2119" s="24"/>
      <c r="P2119" s="24"/>
    </row>
    <row r="2120" spans="2:16" x14ac:dyDescent="0.25">
      <c r="B2120" s="24"/>
      <c r="E2120" s="24"/>
      <c r="G2120" s="24"/>
      <c r="H2120" s="24"/>
      <c r="J2120" s="24"/>
      <c r="K2120" s="24"/>
      <c r="M2120" s="24"/>
      <c r="N2120" s="24"/>
      <c r="P2120" s="24"/>
    </row>
    <row r="2121" spans="2:16" x14ac:dyDescent="0.25">
      <c r="B2121" s="24"/>
      <c r="E2121" s="24"/>
      <c r="G2121" s="24"/>
      <c r="H2121" s="24"/>
      <c r="J2121" s="24"/>
      <c r="K2121" s="24"/>
      <c r="M2121" s="24"/>
      <c r="N2121" s="24"/>
      <c r="P2121" s="24"/>
    </row>
    <row r="2122" spans="2:16" x14ac:dyDescent="0.25">
      <c r="B2122" s="24"/>
      <c r="E2122" s="24"/>
      <c r="G2122" s="24"/>
      <c r="H2122" s="24"/>
      <c r="J2122" s="24"/>
      <c r="K2122" s="24"/>
      <c r="M2122" s="24"/>
      <c r="N2122" s="24"/>
      <c r="P2122" s="24"/>
    </row>
    <row r="2123" spans="2:16" x14ac:dyDescent="0.25">
      <c r="B2123" s="24"/>
      <c r="E2123" s="24"/>
      <c r="G2123" s="24"/>
      <c r="H2123" s="24"/>
      <c r="J2123" s="24"/>
      <c r="K2123" s="24"/>
      <c r="M2123" s="24"/>
      <c r="N2123" s="24"/>
      <c r="P2123" s="24"/>
    </row>
    <row r="2124" spans="2:16" x14ac:dyDescent="0.25">
      <c r="B2124" s="24"/>
      <c r="E2124" s="24"/>
      <c r="G2124" s="24"/>
      <c r="H2124" s="24"/>
      <c r="J2124" s="24"/>
      <c r="K2124" s="24"/>
      <c r="M2124" s="24"/>
      <c r="N2124" s="24"/>
      <c r="P2124" s="24"/>
    </row>
    <row r="2125" spans="2:16" x14ac:dyDescent="0.25">
      <c r="B2125" s="24"/>
      <c r="E2125" s="24"/>
      <c r="G2125" s="24"/>
      <c r="H2125" s="24"/>
      <c r="J2125" s="24"/>
      <c r="K2125" s="24"/>
      <c r="M2125" s="24"/>
      <c r="N2125" s="24"/>
      <c r="P2125" s="24"/>
    </row>
    <row r="2126" spans="2:16" x14ac:dyDescent="0.25">
      <c r="B2126" s="24"/>
      <c r="E2126" s="24"/>
      <c r="G2126" s="24"/>
      <c r="H2126" s="24"/>
      <c r="J2126" s="24"/>
      <c r="K2126" s="24"/>
      <c r="M2126" s="24"/>
      <c r="N2126" s="24"/>
      <c r="P2126" s="24"/>
    </row>
    <row r="2127" spans="2:16" x14ac:dyDescent="0.25">
      <c r="B2127" s="24"/>
      <c r="E2127" s="24"/>
      <c r="G2127" s="24"/>
      <c r="H2127" s="24"/>
      <c r="J2127" s="24"/>
      <c r="K2127" s="24"/>
      <c r="M2127" s="24"/>
      <c r="N2127" s="24"/>
      <c r="P2127" s="24"/>
    </row>
    <row r="2128" spans="2:16" x14ac:dyDescent="0.25">
      <c r="B2128" s="24"/>
      <c r="E2128" s="24"/>
      <c r="G2128" s="24"/>
      <c r="H2128" s="24"/>
      <c r="J2128" s="24"/>
      <c r="K2128" s="24"/>
      <c r="M2128" s="24"/>
      <c r="N2128" s="24"/>
      <c r="P2128" s="24"/>
    </row>
    <row r="2129" spans="2:16" x14ac:dyDescent="0.25">
      <c r="B2129" s="24"/>
      <c r="E2129" s="24"/>
      <c r="G2129" s="24"/>
      <c r="H2129" s="24"/>
      <c r="J2129" s="24"/>
      <c r="K2129" s="24"/>
      <c r="M2129" s="24"/>
      <c r="N2129" s="24"/>
      <c r="P2129" s="24"/>
    </row>
    <row r="2130" spans="2:16" x14ac:dyDescent="0.25">
      <c r="B2130" s="24"/>
      <c r="E2130" s="24"/>
      <c r="G2130" s="24"/>
      <c r="H2130" s="24"/>
      <c r="J2130" s="24"/>
      <c r="K2130" s="24"/>
      <c r="M2130" s="24"/>
      <c r="N2130" s="24"/>
      <c r="P2130" s="24"/>
    </row>
    <row r="2131" spans="2:16" x14ac:dyDescent="0.25">
      <c r="B2131" s="24"/>
      <c r="E2131" s="24"/>
      <c r="G2131" s="24"/>
      <c r="H2131" s="24"/>
      <c r="J2131" s="24"/>
      <c r="K2131" s="24"/>
      <c r="M2131" s="24"/>
      <c r="N2131" s="24"/>
      <c r="P2131" s="24"/>
    </row>
    <row r="2132" spans="2:16" x14ac:dyDescent="0.25">
      <c r="B2132" s="24"/>
      <c r="E2132" s="24"/>
      <c r="G2132" s="24"/>
      <c r="H2132" s="24"/>
      <c r="J2132" s="24"/>
      <c r="K2132" s="24"/>
      <c r="M2132" s="24"/>
      <c r="N2132" s="24"/>
      <c r="P2132" s="24"/>
    </row>
    <row r="2133" spans="2:16" x14ac:dyDescent="0.25">
      <c r="B2133" s="24"/>
      <c r="E2133" s="24"/>
      <c r="G2133" s="24"/>
      <c r="H2133" s="24"/>
      <c r="J2133" s="24"/>
      <c r="K2133" s="24"/>
      <c r="M2133" s="24"/>
      <c r="N2133" s="24"/>
      <c r="P2133" s="24"/>
    </row>
    <row r="2134" spans="2:16" x14ac:dyDescent="0.25">
      <c r="B2134" s="24"/>
      <c r="E2134" s="24"/>
      <c r="G2134" s="24"/>
      <c r="H2134" s="24"/>
      <c r="J2134" s="24"/>
      <c r="K2134" s="24"/>
      <c r="M2134" s="24"/>
      <c r="N2134" s="24"/>
      <c r="P2134" s="24"/>
    </row>
    <row r="2135" spans="2:16" x14ac:dyDescent="0.25">
      <c r="B2135" s="24"/>
      <c r="E2135" s="24"/>
      <c r="G2135" s="24"/>
      <c r="H2135" s="24"/>
      <c r="J2135" s="24"/>
      <c r="K2135" s="24"/>
      <c r="M2135" s="24"/>
      <c r="N2135" s="24"/>
      <c r="P2135" s="24"/>
    </row>
    <row r="2136" spans="2:16" x14ac:dyDescent="0.25">
      <c r="B2136" s="24"/>
      <c r="E2136" s="24"/>
      <c r="G2136" s="24"/>
      <c r="H2136" s="24"/>
      <c r="J2136" s="24"/>
      <c r="K2136" s="24"/>
      <c r="M2136" s="24"/>
      <c r="N2136" s="24"/>
      <c r="P2136" s="24"/>
    </row>
    <row r="2137" spans="2:16" x14ac:dyDescent="0.25">
      <c r="B2137" s="24"/>
      <c r="E2137" s="24"/>
      <c r="G2137" s="24"/>
      <c r="H2137" s="24"/>
      <c r="J2137" s="24"/>
      <c r="K2137" s="24"/>
      <c r="M2137" s="24"/>
      <c r="N2137" s="24"/>
      <c r="P2137" s="24"/>
    </row>
    <row r="2138" spans="2:16" x14ac:dyDescent="0.25">
      <c r="B2138" s="24"/>
      <c r="E2138" s="24"/>
      <c r="G2138" s="24"/>
      <c r="H2138" s="24"/>
      <c r="J2138" s="24"/>
      <c r="K2138" s="24"/>
      <c r="M2138" s="24"/>
      <c r="N2138" s="24"/>
      <c r="P2138" s="24"/>
    </row>
    <row r="2139" spans="2:16" x14ac:dyDescent="0.25">
      <c r="B2139" s="24"/>
      <c r="E2139" s="24"/>
      <c r="G2139" s="24"/>
      <c r="H2139" s="24"/>
      <c r="J2139" s="24"/>
      <c r="K2139" s="24"/>
      <c r="M2139" s="24"/>
      <c r="N2139" s="24"/>
      <c r="P2139" s="24"/>
    </row>
    <row r="2140" spans="2:16" x14ac:dyDescent="0.25">
      <c r="B2140" s="24"/>
      <c r="E2140" s="24"/>
      <c r="G2140" s="24"/>
      <c r="H2140" s="24"/>
      <c r="J2140" s="24"/>
      <c r="K2140" s="24"/>
      <c r="M2140" s="24"/>
      <c r="N2140" s="24"/>
      <c r="P2140" s="24"/>
    </row>
    <row r="2141" spans="2:16" x14ac:dyDescent="0.25">
      <c r="B2141" s="24"/>
      <c r="E2141" s="24"/>
      <c r="G2141" s="24"/>
      <c r="H2141" s="24"/>
      <c r="J2141" s="24"/>
      <c r="K2141" s="24"/>
      <c r="M2141" s="24"/>
      <c r="N2141" s="24"/>
      <c r="P2141" s="24"/>
    </row>
    <row r="2142" spans="2:16" x14ac:dyDescent="0.25">
      <c r="B2142" s="24"/>
      <c r="E2142" s="24"/>
      <c r="G2142" s="24"/>
      <c r="H2142" s="24"/>
      <c r="J2142" s="24"/>
      <c r="K2142" s="24"/>
      <c r="M2142" s="24"/>
      <c r="N2142" s="24"/>
      <c r="P2142" s="24"/>
    </row>
    <row r="2143" spans="2:16" x14ac:dyDescent="0.25">
      <c r="B2143" s="24"/>
      <c r="E2143" s="24"/>
      <c r="G2143" s="24"/>
      <c r="H2143" s="24"/>
      <c r="J2143" s="24"/>
      <c r="K2143" s="24"/>
      <c r="M2143" s="24"/>
      <c r="N2143" s="24"/>
      <c r="P2143" s="24"/>
    </row>
    <row r="2144" spans="2:16" x14ac:dyDescent="0.25">
      <c r="B2144" s="24"/>
      <c r="E2144" s="24"/>
      <c r="G2144" s="24"/>
      <c r="H2144" s="24"/>
      <c r="J2144" s="24"/>
      <c r="K2144" s="24"/>
      <c r="M2144" s="24"/>
      <c r="N2144" s="24"/>
      <c r="P2144" s="24"/>
    </row>
    <row r="2145" spans="2:16" x14ac:dyDescent="0.25">
      <c r="B2145" s="24"/>
      <c r="E2145" s="24"/>
      <c r="G2145" s="24"/>
      <c r="H2145" s="24"/>
      <c r="J2145" s="24"/>
      <c r="K2145" s="24"/>
      <c r="M2145" s="24"/>
      <c r="N2145" s="24"/>
      <c r="P2145" s="24"/>
    </row>
    <row r="2146" spans="2:16" x14ac:dyDescent="0.25">
      <c r="B2146" s="24"/>
      <c r="E2146" s="24"/>
      <c r="G2146" s="24"/>
      <c r="H2146" s="24"/>
      <c r="J2146" s="24"/>
      <c r="K2146" s="24"/>
      <c r="M2146" s="24"/>
      <c r="N2146" s="24"/>
      <c r="P2146" s="24"/>
    </row>
    <row r="2147" spans="2:16" x14ac:dyDescent="0.25">
      <c r="B2147" s="24"/>
      <c r="E2147" s="24"/>
      <c r="G2147" s="24"/>
      <c r="H2147" s="24"/>
      <c r="J2147" s="24"/>
      <c r="K2147" s="24"/>
      <c r="M2147" s="24"/>
      <c r="N2147" s="24"/>
      <c r="P2147" s="24"/>
    </row>
    <row r="2148" spans="2:16" x14ac:dyDescent="0.25">
      <c r="B2148" s="24"/>
      <c r="E2148" s="24"/>
      <c r="G2148" s="24"/>
      <c r="H2148" s="24"/>
      <c r="J2148" s="24"/>
      <c r="K2148" s="24"/>
      <c r="M2148" s="24"/>
      <c r="N2148" s="24"/>
      <c r="P2148" s="24"/>
    </row>
    <row r="2149" spans="2:16" x14ac:dyDescent="0.25">
      <c r="B2149" s="24"/>
      <c r="E2149" s="24"/>
      <c r="G2149" s="24"/>
      <c r="H2149" s="24"/>
      <c r="J2149" s="24"/>
      <c r="K2149" s="24"/>
      <c r="M2149" s="24"/>
      <c r="N2149" s="24"/>
      <c r="P2149" s="24"/>
    </row>
    <row r="2150" spans="2:16" x14ac:dyDescent="0.25">
      <c r="B2150" s="24"/>
      <c r="E2150" s="24"/>
      <c r="G2150" s="24"/>
      <c r="H2150" s="24"/>
      <c r="J2150" s="24"/>
      <c r="K2150" s="24"/>
      <c r="M2150" s="24"/>
      <c r="N2150" s="24"/>
      <c r="P2150" s="24"/>
    </row>
    <row r="2151" spans="2:16" x14ac:dyDescent="0.25">
      <c r="B2151" s="24"/>
      <c r="E2151" s="24"/>
      <c r="G2151" s="24"/>
      <c r="H2151" s="24"/>
      <c r="J2151" s="24"/>
      <c r="K2151" s="24"/>
      <c r="M2151" s="24"/>
      <c r="N2151" s="24"/>
      <c r="P2151" s="24"/>
    </row>
    <row r="2152" spans="2:16" x14ac:dyDescent="0.25">
      <c r="B2152" s="24"/>
      <c r="E2152" s="24"/>
      <c r="G2152" s="24"/>
      <c r="H2152" s="24"/>
      <c r="J2152" s="24"/>
      <c r="K2152" s="24"/>
      <c r="M2152" s="24"/>
      <c r="N2152" s="24"/>
      <c r="P2152" s="24"/>
    </row>
    <row r="2153" spans="2:16" x14ac:dyDescent="0.25">
      <c r="B2153" s="24"/>
      <c r="E2153" s="24"/>
      <c r="G2153" s="24"/>
      <c r="H2153" s="24"/>
      <c r="J2153" s="24"/>
      <c r="K2153" s="24"/>
      <c r="M2153" s="24"/>
      <c r="N2153" s="24"/>
      <c r="P2153" s="24"/>
    </row>
    <row r="2154" spans="2:16" x14ac:dyDescent="0.25">
      <c r="B2154" s="24"/>
      <c r="E2154" s="24"/>
      <c r="G2154" s="24"/>
      <c r="H2154" s="24"/>
      <c r="J2154" s="24"/>
      <c r="K2154" s="24"/>
      <c r="M2154" s="24"/>
      <c r="N2154" s="24"/>
      <c r="P2154" s="24"/>
    </row>
    <row r="2155" spans="2:16" x14ac:dyDescent="0.25">
      <c r="B2155" s="24"/>
      <c r="E2155" s="24"/>
      <c r="G2155" s="24"/>
      <c r="H2155" s="24"/>
      <c r="J2155" s="24"/>
      <c r="K2155" s="24"/>
      <c r="M2155" s="24"/>
      <c r="N2155" s="24"/>
      <c r="P2155" s="24"/>
    </row>
    <row r="2156" spans="2:16" x14ac:dyDescent="0.25">
      <c r="B2156" s="24"/>
      <c r="E2156" s="24"/>
      <c r="G2156" s="24"/>
      <c r="H2156" s="24"/>
      <c r="J2156" s="24"/>
      <c r="K2156" s="24"/>
      <c r="M2156" s="24"/>
      <c r="N2156" s="24"/>
      <c r="P2156" s="24"/>
    </row>
    <row r="2157" spans="2:16" x14ac:dyDescent="0.25">
      <c r="B2157" s="24"/>
      <c r="E2157" s="24"/>
      <c r="G2157" s="24"/>
      <c r="H2157" s="24"/>
      <c r="J2157" s="24"/>
      <c r="K2157" s="24"/>
      <c r="M2157" s="24"/>
      <c r="N2157" s="24"/>
      <c r="P2157" s="24"/>
    </row>
    <row r="2158" spans="2:16" x14ac:dyDescent="0.25">
      <c r="B2158" s="24"/>
      <c r="E2158" s="24"/>
      <c r="G2158" s="24"/>
      <c r="H2158" s="24"/>
      <c r="J2158" s="24"/>
      <c r="K2158" s="24"/>
      <c r="M2158" s="24"/>
      <c r="N2158" s="24"/>
      <c r="P2158" s="24"/>
    </row>
    <row r="2159" spans="2:16" x14ac:dyDescent="0.25">
      <c r="B2159" s="24"/>
      <c r="E2159" s="24"/>
      <c r="G2159" s="24"/>
      <c r="H2159" s="24"/>
      <c r="J2159" s="24"/>
      <c r="K2159" s="24"/>
      <c r="M2159" s="24"/>
      <c r="N2159" s="24"/>
      <c r="P2159" s="24"/>
    </row>
    <row r="2160" spans="2:16" x14ac:dyDescent="0.25">
      <c r="B2160" s="24"/>
      <c r="E2160" s="24"/>
      <c r="G2160" s="24"/>
      <c r="H2160" s="24"/>
      <c r="J2160" s="24"/>
      <c r="K2160" s="24"/>
      <c r="M2160" s="24"/>
      <c r="N2160" s="24"/>
      <c r="P2160" s="24"/>
    </row>
    <row r="2161" spans="2:16" x14ac:dyDescent="0.25">
      <c r="B2161" s="24"/>
      <c r="E2161" s="24"/>
      <c r="G2161" s="24"/>
      <c r="H2161" s="24"/>
      <c r="J2161" s="24"/>
      <c r="K2161" s="24"/>
      <c r="M2161" s="24"/>
      <c r="N2161" s="24"/>
      <c r="P2161" s="24"/>
    </row>
    <row r="2162" spans="2:16" x14ac:dyDescent="0.25">
      <c r="B2162" s="24"/>
      <c r="E2162" s="24"/>
      <c r="G2162" s="24"/>
      <c r="H2162" s="24"/>
      <c r="J2162" s="24"/>
      <c r="K2162" s="24"/>
      <c r="M2162" s="24"/>
      <c r="N2162" s="24"/>
      <c r="P2162" s="24"/>
    </row>
    <row r="2163" spans="2:16" x14ac:dyDescent="0.25">
      <c r="B2163" s="24"/>
      <c r="E2163" s="24"/>
      <c r="G2163" s="24"/>
      <c r="H2163" s="24"/>
      <c r="J2163" s="24"/>
      <c r="K2163" s="24"/>
      <c r="M2163" s="24"/>
      <c r="N2163" s="24"/>
      <c r="P2163" s="24"/>
    </row>
    <row r="2164" spans="2:16" x14ac:dyDescent="0.25">
      <c r="B2164" s="24"/>
      <c r="E2164" s="24"/>
      <c r="G2164" s="24"/>
      <c r="H2164" s="24"/>
      <c r="J2164" s="24"/>
      <c r="K2164" s="24"/>
      <c r="M2164" s="24"/>
      <c r="N2164" s="24"/>
      <c r="P2164" s="24"/>
    </row>
    <row r="2165" spans="2:16" x14ac:dyDescent="0.25">
      <c r="B2165" s="24"/>
      <c r="E2165" s="24"/>
      <c r="G2165" s="24"/>
      <c r="H2165" s="24"/>
      <c r="J2165" s="24"/>
      <c r="K2165" s="24"/>
      <c r="M2165" s="24"/>
      <c r="N2165" s="24"/>
      <c r="P2165" s="24"/>
    </row>
    <row r="2166" spans="2:16" x14ac:dyDescent="0.25">
      <c r="B2166" s="24"/>
      <c r="E2166" s="24"/>
      <c r="G2166" s="24"/>
      <c r="H2166" s="24"/>
      <c r="J2166" s="24"/>
      <c r="K2166" s="24"/>
      <c r="M2166" s="24"/>
      <c r="N2166" s="24"/>
      <c r="P2166" s="24"/>
    </row>
    <row r="2167" spans="2:16" x14ac:dyDescent="0.25">
      <c r="B2167" s="24"/>
      <c r="E2167" s="24"/>
      <c r="G2167" s="24"/>
      <c r="H2167" s="24"/>
      <c r="J2167" s="24"/>
      <c r="K2167" s="24"/>
      <c r="M2167" s="24"/>
      <c r="N2167" s="24"/>
      <c r="P2167" s="24"/>
    </row>
    <row r="2168" spans="2:16" x14ac:dyDescent="0.25">
      <c r="B2168" s="24"/>
      <c r="E2168" s="24"/>
      <c r="G2168" s="24"/>
      <c r="H2168" s="24"/>
      <c r="J2168" s="24"/>
      <c r="K2168" s="24"/>
      <c r="M2168" s="24"/>
      <c r="N2168" s="24"/>
      <c r="P2168" s="24"/>
    </row>
    <row r="2169" spans="2:16" x14ac:dyDescent="0.25">
      <c r="B2169" s="24"/>
      <c r="E2169" s="24"/>
      <c r="G2169" s="24"/>
      <c r="H2169" s="24"/>
      <c r="J2169" s="24"/>
      <c r="K2169" s="24"/>
      <c r="M2169" s="24"/>
      <c r="N2169" s="24"/>
      <c r="P2169" s="24"/>
    </row>
    <row r="2170" spans="2:16" x14ac:dyDescent="0.25">
      <c r="B2170" s="24"/>
      <c r="E2170" s="24"/>
      <c r="G2170" s="24"/>
      <c r="H2170" s="24"/>
      <c r="J2170" s="24"/>
      <c r="K2170" s="24"/>
      <c r="M2170" s="24"/>
      <c r="N2170" s="24"/>
      <c r="P2170" s="24"/>
    </row>
    <row r="2171" spans="2:16" x14ac:dyDescent="0.25">
      <c r="B2171" s="24"/>
      <c r="E2171" s="24"/>
      <c r="G2171" s="24"/>
      <c r="H2171" s="24"/>
      <c r="J2171" s="24"/>
      <c r="K2171" s="24"/>
      <c r="M2171" s="24"/>
      <c r="N2171" s="24"/>
      <c r="P2171" s="24"/>
    </row>
    <row r="2172" spans="2:16" x14ac:dyDescent="0.25">
      <c r="B2172" s="24"/>
      <c r="E2172" s="24"/>
      <c r="G2172" s="24"/>
      <c r="H2172" s="24"/>
      <c r="J2172" s="24"/>
      <c r="K2172" s="24"/>
      <c r="M2172" s="24"/>
      <c r="N2172" s="24"/>
      <c r="P2172" s="24"/>
    </row>
    <row r="2173" spans="2:16" x14ac:dyDescent="0.25">
      <c r="B2173" s="24"/>
      <c r="E2173" s="24"/>
      <c r="G2173" s="24"/>
      <c r="H2173" s="24"/>
      <c r="J2173" s="24"/>
      <c r="K2173" s="24"/>
      <c r="M2173" s="24"/>
      <c r="N2173" s="24"/>
      <c r="P2173" s="24"/>
    </row>
    <row r="2174" spans="2:16" x14ac:dyDescent="0.25">
      <c r="B2174" s="24"/>
      <c r="E2174" s="24"/>
      <c r="G2174" s="24"/>
      <c r="H2174" s="24"/>
      <c r="J2174" s="24"/>
      <c r="K2174" s="24"/>
      <c r="M2174" s="24"/>
      <c r="N2174" s="24"/>
      <c r="P2174" s="24"/>
    </row>
    <row r="2175" spans="2:16" x14ac:dyDescent="0.25">
      <c r="B2175" s="24"/>
      <c r="E2175" s="24"/>
      <c r="G2175" s="24"/>
      <c r="H2175" s="24"/>
      <c r="J2175" s="24"/>
      <c r="K2175" s="24"/>
      <c r="M2175" s="24"/>
      <c r="N2175" s="24"/>
      <c r="P2175" s="24"/>
    </row>
    <row r="2176" spans="2:16" x14ac:dyDescent="0.25">
      <c r="B2176" s="24"/>
      <c r="E2176" s="24"/>
      <c r="G2176" s="24"/>
      <c r="H2176" s="24"/>
      <c r="J2176" s="24"/>
      <c r="K2176" s="24"/>
      <c r="M2176" s="24"/>
      <c r="N2176" s="24"/>
      <c r="P2176" s="24"/>
    </row>
    <row r="2177" spans="2:16" x14ac:dyDescent="0.25">
      <c r="B2177" s="24"/>
      <c r="E2177" s="24"/>
      <c r="G2177" s="24"/>
      <c r="H2177" s="24"/>
      <c r="J2177" s="24"/>
      <c r="K2177" s="24"/>
      <c r="M2177" s="24"/>
      <c r="N2177" s="24"/>
      <c r="P2177" s="24"/>
    </row>
    <row r="2178" spans="2:16" x14ac:dyDescent="0.25">
      <c r="B2178" s="24"/>
      <c r="E2178" s="24"/>
      <c r="G2178" s="24"/>
      <c r="H2178" s="24"/>
      <c r="J2178" s="24"/>
      <c r="K2178" s="24"/>
      <c r="M2178" s="24"/>
      <c r="N2178" s="24"/>
      <c r="P2178" s="24"/>
    </row>
    <row r="2179" spans="2:16" x14ac:dyDescent="0.25">
      <c r="B2179" s="24"/>
      <c r="E2179" s="24"/>
      <c r="G2179" s="24"/>
      <c r="H2179" s="24"/>
      <c r="J2179" s="24"/>
      <c r="K2179" s="24"/>
      <c r="M2179" s="24"/>
      <c r="N2179" s="24"/>
      <c r="P2179" s="24"/>
    </row>
    <row r="2180" spans="2:16" x14ac:dyDescent="0.25">
      <c r="B2180" s="24"/>
      <c r="E2180" s="24"/>
      <c r="G2180" s="24"/>
      <c r="H2180" s="24"/>
      <c r="J2180" s="24"/>
      <c r="K2180" s="24"/>
      <c r="M2180" s="24"/>
      <c r="N2180" s="24"/>
      <c r="P2180" s="24"/>
    </row>
    <row r="2181" spans="2:16" x14ac:dyDescent="0.25">
      <c r="B2181" s="24"/>
      <c r="E2181" s="24"/>
      <c r="G2181" s="24"/>
      <c r="H2181" s="24"/>
      <c r="J2181" s="24"/>
      <c r="K2181" s="24"/>
      <c r="M2181" s="24"/>
      <c r="N2181" s="24"/>
      <c r="P2181" s="24"/>
    </row>
    <row r="2182" spans="2:16" x14ac:dyDescent="0.25">
      <c r="B2182" s="24"/>
      <c r="E2182" s="24"/>
      <c r="G2182" s="24"/>
      <c r="H2182" s="24"/>
      <c r="J2182" s="24"/>
      <c r="K2182" s="24"/>
      <c r="M2182" s="24"/>
      <c r="N2182" s="24"/>
      <c r="P2182" s="24"/>
    </row>
    <row r="2183" spans="2:16" x14ac:dyDescent="0.25">
      <c r="B2183" s="24"/>
      <c r="E2183" s="24"/>
      <c r="G2183" s="24"/>
      <c r="H2183" s="24"/>
      <c r="J2183" s="24"/>
      <c r="K2183" s="24"/>
      <c r="M2183" s="24"/>
      <c r="N2183" s="24"/>
      <c r="P2183" s="24"/>
    </row>
    <row r="2184" spans="2:16" x14ac:dyDescent="0.25">
      <c r="B2184" s="24"/>
      <c r="E2184" s="24"/>
      <c r="G2184" s="24"/>
      <c r="H2184" s="24"/>
      <c r="J2184" s="24"/>
      <c r="K2184" s="24"/>
      <c r="M2184" s="24"/>
      <c r="N2184" s="24"/>
      <c r="P2184" s="24"/>
    </row>
    <row r="2185" spans="2:16" x14ac:dyDescent="0.25">
      <c r="B2185" s="24"/>
      <c r="E2185" s="24"/>
      <c r="G2185" s="24"/>
      <c r="H2185" s="24"/>
      <c r="J2185" s="24"/>
      <c r="K2185" s="24"/>
      <c r="M2185" s="24"/>
      <c r="N2185" s="24"/>
      <c r="P2185" s="24"/>
    </row>
    <row r="2186" spans="2:16" x14ac:dyDescent="0.25">
      <c r="B2186" s="24"/>
      <c r="E2186" s="24"/>
      <c r="G2186" s="24"/>
      <c r="H2186" s="24"/>
      <c r="J2186" s="24"/>
      <c r="K2186" s="24"/>
      <c r="M2186" s="24"/>
      <c r="N2186" s="24"/>
      <c r="P2186" s="24"/>
    </row>
    <row r="2187" spans="2:16" x14ac:dyDescent="0.25">
      <c r="B2187" s="24"/>
      <c r="E2187" s="24"/>
      <c r="G2187" s="24"/>
      <c r="H2187" s="24"/>
      <c r="J2187" s="24"/>
      <c r="K2187" s="24"/>
      <c r="M2187" s="24"/>
      <c r="N2187" s="24"/>
      <c r="P2187" s="24"/>
    </row>
    <row r="2188" spans="2:16" x14ac:dyDescent="0.25">
      <c r="B2188" s="24"/>
      <c r="E2188" s="24"/>
      <c r="G2188" s="24"/>
      <c r="H2188" s="24"/>
      <c r="J2188" s="24"/>
      <c r="K2188" s="24"/>
      <c r="M2188" s="24"/>
      <c r="N2188" s="24"/>
      <c r="P2188" s="24"/>
    </row>
    <row r="2189" spans="2:16" x14ac:dyDescent="0.25">
      <c r="B2189" s="24"/>
      <c r="E2189" s="24"/>
      <c r="G2189" s="24"/>
      <c r="H2189" s="24"/>
      <c r="J2189" s="24"/>
      <c r="K2189" s="24"/>
      <c r="M2189" s="24"/>
      <c r="N2189" s="24"/>
      <c r="P2189" s="24"/>
    </row>
    <row r="2190" spans="2:16" x14ac:dyDescent="0.25">
      <c r="B2190" s="24"/>
      <c r="E2190" s="24"/>
      <c r="G2190" s="24"/>
      <c r="H2190" s="24"/>
      <c r="J2190" s="24"/>
      <c r="K2190" s="24"/>
      <c r="M2190" s="24"/>
      <c r="N2190" s="24"/>
      <c r="P2190" s="24"/>
    </row>
    <row r="2191" spans="2:16" x14ac:dyDescent="0.25">
      <c r="B2191" s="24"/>
      <c r="E2191" s="24"/>
      <c r="G2191" s="24"/>
      <c r="H2191" s="24"/>
      <c r="J2191" s="24"/>
      <c r="K2191" s="24"/>
      <c r="M2191" s="24"/>
      <c r="N2191" s="24"/>
      <c r="P2191" s="24"/>
    </row>
    <row r="2192" spans="2:16" x14ac:dyDescent="0.25">
      <c r="B2192" s="24"/>
      <c r="E2192" s="24"/>
      <c r="G2192" s="24"/>
      <c r="H2192" s="24"/>
      <c r="J2192" s="24"/>
      <c r="K2192" s="24"/>
      <c r="M2192" s="24"/>
      <c r="N2192" s="24"/>
      <c r="P2192" s="24"/>
    </row>
    <row r="2193" spans="2:16" x14ac:dyDescent="0.25">
      <c r="B2193" s="24"/>
      <c r="E2193" s="24"/>
      <c r="G2193" s="24"/>
      <c r="H2193" s="24"/>
      <c r="J2193" s="24"/>
      <c r="K2193" s="24"/>
      <c r="M2193" s="24"/>
      <c r="N2193" s="24"/>
      <c r="P2193" s="24"/>
    </row>
    <row r="2194" spans="2:16" x14ac:dyDescent="0.25">
      <c r="B2194" s="24"/>
      <c r="E2194" s="24"/>
      <c r="G2194" s="24"/>
      <c r="H2194" s="24"/>
      <c r="J2194" s="24"/>
      <c r="K2194" s="24"/>
      <c r="M2194" s="24"/>
      <c r="N2194" s="24"/>
      <c r="P2194" s="24"/>
    </row>
    <row r="2195" spans="2:16" x14ac:dyDescent="0.25">
      <c r="B2195" s="24"/>
      <c r="E2195" s="24"/>
      <c r="G2195" s="24"/>
      <c r="H2195" s="24"/>
      <c r="J2195" s="24"/>
      <c r="K2195" s="24"/>
      <c r="M2195" s="24"/>
      <c r="N2195" s="24"/>
      <c r="P2195" s="24"/>
    </row>
    <row r="2196" spans="2:16" x14ac:dyDescent="0.25">
      <c r="B2196" s="24"/>
      <c r="E2196" s="24"/>
      <c r="G2196" s="24"/>
      <c r="H2196" s="24"/>
      <c r="J2196" s="24"/>
      <c r="K2196" s="24"/>
      <c r="M2196" s="24"/>
      <c r="N2196" s="24"/>
      <c r="P2196" s="24"/>
    </row>
    <row r="2197" spans="2:16" x14ac:dyDescent="0.25">
      <c r="B2197" s="24"/>
      <c r="E2197" s="24"/>
      <c r="G2197" s="24"/>
      <c r="H2197" s="24"/>
      <c r="J2197" s="24"/>
      <c r="K2197" s="24"/>
      <c r="M2197" s="24"/>
      <c r="N2197" s="24"/>
      <c r="P2197" s="24"/>
    </row>
    <row r="2198" spans="2:16" x14ac:dyDescent="0.25">
      <c r="B2198" s="24"/>
      <c r="E2198" s="24"/>
      <c r="G2198" s="24"/>
      <c r="H2198" s="24"/>
      <c r="J2198" s="24"/>
      <c r="K2198" s="24"/>
      <c r="M2198" s="24"/>
      <c r="N2198" s="24"/>
      <c r="P2198" s="24"/>
    </row>
    <row r="2199" spans="2:16" x14ac:dyDescent="0.25">
      <c r="B2199" s="24"/>
      <c r="E2199" s="24"/>
      <c r="G2199" s="24"/>
      <c r="H2199" s="24"/>
      <c r="J2199" s="24"/>
      <c r="K2199" s="24"/>
      <c r="M2199" s="24"/>
      <c r="N2199" s="24"/>
      <c r="P2199" s="24"/>
    </row>
    <row r="2200" spans="2:16" x14ac:dyDescent="0.25">
      <c r="B2200" s="24"/>
      <c r="E2200" s="24"/>
      <c r="G2200" s="24"/>
      <c r="H2200" s="24"/>
      <c r="J2200" s="24"/>
      <c r="K2200" s="24"/>
      <c r="M2200" s="24"/>
      <c r="N2200" s="24"/>
      <c r="P2200" s="24"/>
    </row>
    <row r="2201" spans="2:16" x14ac:dyDescent="0.25">
      <c r="B2201" s="24"/>
      <c r="E2201" s="24"/>
      <c r="G2201" s="24"/>
      <c r="H2201" s="24"/>
      <c r="J2201" s="24"/>
      <c r="K2201" s="24"/>
      <c r="M2201" s="24"/>
      <c r="N2201" s="24"/>
      <c r="P2201" s="24"/>
    </row>
    <row r="2202" spans="2:16" x14ac:dyDescent="0.25">
      <c r="B2202" s="24"/>
      <c r="E2202" s="24"/>
      <c r="G2202" s="24"/>
      <c r="H2202" s="24"/>
      <c r="J2202" s="24"/>
      <c r="K2202" s="24"/>
      <c r="M2202" s="24"/>
      <c r="N2202" s="24"/>
      <c r="P2202" s="24"/>
    </row>
    <row r="2203" spans="2:16" x14ac:dyDescent="0.25">
      <c r="B2203" s="24"/>
      <c r="E2203" s="24"/>
      <c r="G2203" s="24"/>
      <c r="H2203" s="24"/>
      <c r="J2203" s="24"/>
      <c r="K2203" s="24"/>
      <c r="M2203" s="24"/>
      <c r="N2203" s="24"/>
      <c r="P2203" s="24"/>
    </row>
    <row r="2204" spans="2:16" x14ac:dyDescent="0.25">
      <c r="B2204" s="24"/>
      <c r="E2204" s="24"/>
      <c r="G2204" s="24"/>
      <c r="H2204" s="24"/>
      <c r="J2204" s="24"/>
      <c r="K2204" s="24"/>
      <c r="M2204" s="24"/>
      <c r="N2204" s="24"/>
      <c r="P2204" s="24"/>
    </row>
    <row r="2205" spans="2:16" x14ac:dyDescent="0.25">
      <c r="B2205" s="24"/>
      <c r="E2205" s="24"/>
      <c r="G2205" s="24"/>
      <c r="H2205" s="24"/>
      <c r="J2205" s="24"/>
      <c r="K2205" s="24"/>
      <c r="M2205" s="24"/>
      <c r="N2205" s="24"/>
      <c r="P2205" s="24"/>
    </row>
    <row r="2206" spans="2:16" x14ac:dyDescent="0.25">
      <c r="B2206" s="24"/>
      <c r="E2206" s="24"/>
      <c r="G2206" s="24"/>
      <c r="H2206" s="24"/>
      <c r="J2206" s="24"/>
      <c r="K2206" s="24"/>
      <c r="M2206" s="24"/>
      <c r="N2206" s="24"/>
      <c r="P2206" s="24"/>
    </row>
    <row r="2207" spans="2:16" x14ac:dyDescent="0.25">
      <c r="B2207" s="24"/>
      <c r="E2207" s="24"/>
      <c r="G2207" s="24"/>
      <c r="H2207" s="24"/>
      <c r="J2207" s="24"/>
      <c r="K2207" s="24"/>
      <c r="M2207" s="24"/>
      <c r="N2207" s="24"/>
      <c r="P2207" s="24"/>
    </row>
    <row r="2208" spans="2:16" x14ac:dyDescent="0.25">
      <c r="B2208" s="24"/>
      <c r="E2208" s="24"/>
      <c r="G2208" s="24"/>
      <c r="H2208" s="24"/>
      <c r="J2208" s="24"/>
      <c r="K2208" s="24"/>
      <c r="M2208" s="24"/>
      <c r="N2208" s="24"/>
      <c r="P2208" s="24"/>
    </row>
    <row r="2209" spans="2:16" x14ac:dyDescent="0.25">
      <c r="B2209" s="24"/>
      <c r="E2209" s="24"/>
      <c r="G2209" s="24"/>
      <c r="H2209" s="24"/>
      <c r="J2209" s="24"/>
      <c r="K2209" s="24"/>
      <c r="M2209" s="24"/>
      <c r="N2209" s="24"/>
      <c r="P2209" s="24"/>
    </row>
    <row r="2210" spans="2:16" x14ac:dyDescent="0.25">
      <c r="B2210" s="24"/>
      <c r="E2210" s="24"/>
      <c r="G2210" s="24"/>
      <c r="H2210" s="24"/>
      <c r="J2210" s="24"/>
      <c r="K2210" s="24"/>
      <c r="M2210" s="24"/>
      <c r="N2210" s="24"/>
      <c r="P2210" s="24"/>
    </row>
    <row r="2211" spans="2:16" x14ac:dyDescent="0.25">
      <c r="B2211" s="24"/>
      <c r="E2211" s="24"/>
      <c r="G2211" s="24"/>
      <c r="H2211" s="24"/>
      <c r="J2211" s="24"/>
      <c r="K2211" s="24"/>
      <c r="M2211" s="24"/>
      <c r="N2211" s="24"/>
      <c r="P2211" s="24"/>
    </row>
    <row r="2212" spans="2:16" x14ac:dyDescent="0.25">
      <c r="B2212" s="24"/>
      <c r="E2212" s="24"/>
      <c r="G2212" s="24"/>
      <c r="H2212" s="24"/>
      <c r="J2212" s="24"/>
      <c r="K2212" s="24"/>
      <c r="M2212" s="24"/>
      <c r="N2212" s="24"/>
      <c r="P2212" s="24"/>
    </row>
    <row r="2213" spans="2:16" x14ac:dyDescent="0.25">
      <c r="B2213" s="24"/>
      <c r="E2213" s="24"/>
      <c r="G2213" s="24"/>
      <c r="H2213" s="24"/>
      <c r="J2213" s="24"/>
      <c r="K2213" s="24"/>
      <c r="M2213" s="24"/>
      <c r="N2213" s="24"/>
      <c r="P2213" s="24"/>
    </row>
    <row r="2214" spans="2:16" x14ac:dyDescent="0.25">
      <c r="B2214" s="24"/>
      <c r="E2214" s="24"/>
      <c r="G2214" s="24"/>
      <c r="H2214" s="24"/>
      <c r="J2214" s="24"/>
      <c r="K2214" s="24"/>
      <c r="M2214" s="24"/>
      <c r="N2214" s="24"/>
      <c r="P2214" s="24"/>
    </row>
    <row r="2215" spans="2:16" x14ac:dyDescent="0.25">
      <c r="B2215" s="24"/>
      <c r="E2215" s="24"/>
      <c r="G2215" s="24"/>
      <c r="H2215" s="24"/>
      <c r="J2215" s="24"/>
      <c r="K2215" s="24"/>
      <c r="M2215" s="24"/>
      <c r="N2215" s="24"/>
      <c r="P2215" s="24"/>
    </row>
    <row r="2216" spans="2:16" x14ac:dyDescent="0.25">
      <c r="B2216" s="24"/>
      <c r="E2216" s="24"/>
      <c r="G2216" s="24"/>
      <c r="H2216" s="24"/>
      <c r="J2216" s="24"/>
      <c r="K2216" s="24"/>
      <c r="M2216" s="24"/>
      <c r="N2216" s="24"/>
      <c r="P2216" s="24"/>
    </row>
    <row r="2217" spans="2:16" x14ac:dyDescent="0.25">
      <c r="B2217" s="24"/>
      <c r="E2217" s="24"/>
      <c r="G2217" s="24"/>
      <c r="H2217" s="24"/>
      <c r="J2217" s="24"/>
      <c r="K2217" s="24"/>
      <c r="M2217" s="24"/>
      <c r="N2217" s="24"/>
      <c r="P2217" s="24"/>
    </row>
    <row r="2218" spans="2:16" x14ac:dyDescent="0.25">
      <c r="B2218" s="24"/>
      <c r="E2218" s="24"/>
      <c r="G2218" s="24"/>
      <c r="H2218" s="24"/>
      <c r="J2218" s="24"/>
      <c r="K2218" s="24"/>
      <c r="M2218" s="24"/>
      <c r="N2218" s="24"/>
      <c r="P2218" s="24"/>
    </row>
    <row r="2219" spans="2:16" x14ac:dyDescent="0.25">
      <c r="B2219" s="24"/>
      <c r="E2219" s="24"/>
      <c r="G2219" s="24"/>
      <c r="H2219" s="24"/>
      <c r="J2219" s="24"/>
      <c r="K2219" s="24"/>
      <c r="M2219" s="24"/>
      <c r="N2219" s="24"/>
      <c r="P2219" s="24"/>
    </row>
    <row r="2220" spans="2:16" x14ac:dyDescent="0.25">
      <c r="B2220" s="24"/>
      <c r="E2220" s="24"/>
      <c r="G2220" s="24"/>
      <c r="H2220" s="24"/>
      <c r="J2220" s="24"/>
      <c r="K2220" s="24"/>
      <c r="M2220" s="24"/>
      <c r="N2220" s="24"/>
      <c r="P2220" s="24"/>
    </row>
    <row r="2221" spans="2:16" x14ac:dyDescent="0.25">
      <c r="B2221" s="24"/>
      <c r="E2221" s="24"/>
      <c r="G2221" s="24"/>
      <c r="H2221" s="24"/>
      <c r="J2221" s="24"/>
      <c r="K2221" s="24"/>
      <c r="M2221" s="24"/>
      <c r="N2221" s="24"/>
      <c r="P2221" s="24"/>
    </row>
    <row r="2222" spans="2:16" x14ac:dyDescent="0.25">
      <c r="B2222" s="24"/>
      <c r="E2222" s="24"/>
      <c r="G2222" s="24"/>
      <c r="H2222" s="24"/>
      <c r="J2222" s="24"/>
      <c r="K2222" s="24"/>
      <c r="M2222" s="24"/>
      <c r="N2222" s="24"/>
      <c r="P2222" s="24"/>
    </row>
    <row r="2223" spans="2:16" x14ac:dyDescent="0.25">
      <c r="B2223" s="24"/>
      <c r="E2223" s="24"/>
      <c r="G2223" s="24"/>
      <c r="H2223" s="24"/>
      <c r="J2223" s="24"/>
      <c r="K2223" s="24"/>
      <c r="M2223" s="24"/>
      <c r="N2223" s="24"/>
      <c r="P2223" s="24"/>
    </row>
    <row r="2224" spans="2:16" x14ac:dyDescent="0.25">
      <c r="B2224" s="24"/>
      <c r="E2224" s="24"/>
      <c r="G2224" s="24"/>
      <c r="H2224" s="24"/>
      <c r="J2224" s="24"/>
      <c r="K2224" s="24"/>
      <c r="M2224" s="24"/>
      <c r="N2224" s="24"/>
      <c r="P2224" s="24"/>
    </row>
    <row r="2225" spans="2:16" x14ac:dyDescent="0.25">
      <c r="B2225" s="24"/>
      <c r="E2225" s="24"/>
      <c r="G2225" s="24"/>
      <c r="H2225" s="24"/>
      <c r="J2225" s="24"/>
      <c r="K2225" s="24"/>
      <c r="M2225" s="24"/>
      <c r="N2225" s="24"/>
      <c r="P2225" s="24"/>
    </row>
    <row r="2226" spans="2:16" x14ac:dyDescent="0.25">
      <c r="B2226" s="24"/>
      <c r="E2226" s="24"/>
      <c r="G2226" s="24"/>
      <c r="H2226" s="24"/>
      <c r="J2226" s="24"/>
      <c r="K2226" s="24"/>
      <c r="M2226" s="24"/>
      <c r="N2226" s="24"/>
      <c r="P2226" s="24"/>
    </row>
    <row r="2227" spans="2:16" x14ac:dyDescent="0.25">
      <c r="B2227" s="24"/>
      <c r="E2227" s="24"/>
      <c r="G2227" s="24"/>
      <c r="H2227" s="24"/>
      <c r="J2227" s="24"/>
      <c r="K2227" s="24"/>
      <c r="M2227" s="24"/>
      <c r="N2227" s="24"/>
      <c r="P2227" s="24"/>
    </row>
    <row r="2228" spans="2:16" x14ac:dyDescent="0.25">
      <c r="B2228" s="24"/>
      <c r="E2228" s="24"/>
      <c r="G2228" s="24"/>
      <c r="H2228" s="24"/>
      <c r="J2228" s="24"/>
      <c r="K2228" s="24"/>
      <c r="M2228" s="24"/>
      <c r="N2228" s="24"/>
      <c r="P2228" s="24"/>
    </row>
    <row r="2229" spans="2:16" x14ac:dyDescent="0.25">
      <c r="B2229" s="24"/>
      <c r="E2229" s="24"/>
      <c r="G2229" s="24"/>
      <c r="H2229" s="24"/>
      <c r="J2229" s="24"/>
      <c r="K2229" s="24"/>
      <c r="M2229" s="24"/>
      <c r="N2229" s="24"/>
      <c r="P2229" s="24"/>
    </row>
    <row r="2230" spans="2:16" x14ac:dyDescent="0.25">
      <c r="B2230" s="24"/>
      <c r="E2230" s="24"/>
      <c r="G2230" s="24"/>
      <c r="H2230" s="24"/>
      <c r="J2230" s="24"/>
      <c r="K2230" s="24"/>
      <c r="M2230" s="24"/>
      <c r="N2230" s="24"/>
      <c r="P2230" s="24"/>
    </row>
    <row r="2231" spans="2:16" x14ac:dyDescent="0.25">
      <c r="B2231" s="24"/>
      <c r="E2231" s="24"/>
      <c r="G2231" s="24"/>
      <c r="H2231" s="24"/>
      <c r="J2231" s="24"/>
      <c r="K2231" s="24"/>
      <c r="M2231" s="24"/>
      <c r="N2231" s="24"/>
      <c r="P2231" s="24"/>
    </row>
    <row r="2232" spans="2:16" x14ac:dyDescent="0.25">
      <c r="B2232" s="24"/>
      <c r="E2232" s="24"/>
      <c r="G2232" s="24"/>
      <c r="H2232" s="24"/>
      <c r="J2232" s="24"/>
      <c r="K2232" s="24"/>
      <c r="M2232" s="24"/>
      <c r="N2232" s="24"/>
      <c r="P2232" s="24"/>
    </row>
    <row r="2233" spans="2:16" x14ac:dyDescent="0.25">
      <c r="B2233" s="24"/>
      <c r="E2233" s="24"/>
      <c r="G2233" s="24"/>
      <c r="H2233" s="24"/>
      <c r="J2233" s="24"/>
      <c r="K2233" s="24"/>
      <c r="M2233" s="24"/>
      <c r="N2233" s="24"/>
      <c r="P2233" s="24"/>
    </row>
    <row r="2234" spans="2:16" x14ac:dyDescent="0.25">
      <c r="B2234" s="24"/>
      <c r="E2234" s="24"/>
      <c r="G2234" s="24"/>
      <c r="H2234" s="24"/>
      <c r="J2234" s="24"/>
      <c r="K2234" s="24"/>
      <c r="M2234" s="24"/>
      <c r="N2234" s="24"/>
      <c r="P2234" s="24"/>
    </row>
    <row r="2235" spans="2:16" x14ac:dyDescent="0.25">
      <c r="B2235" s="24"/>
      <c r="E2235" s="24"/>
      <c r="G2235" s="24"/>
      <c r="H2235" s="24"/>
      <c r="J2235" s="24"/>
      <c r="K2235" s="24"/>
      <c r="M2235" s="24"/>
      <c r="N2235" s="24"/>
      <c r="P2235" s="24"/>
    </row>
    <row r="2236" spans="2:16" x14ac:dyDescent="0.25">
      <c r="B2236" s="24"/>
      <c r="E2236" s="24"/>
      <c r="G2236" s="24"/>
      <c r="H2236" s="24"/>
      <c r="J2236" s="24"/>
      <c r="K2236" s="24"/>
      <c r="M2236" s="24"/>
      <c r="N2236" s="24"/>
      <c r="P2236" s="24"/>
    </row>
    <row r="2237" spans="2:16" x14ac:dyDescent="0.25">
      <c r="B2237" s="24"/>
      <c r="E2237" s="24"/>
      <c r="G2237" s="24"/>
      <c r="H2237" s="24"/>
      <c r="J2237" s="24"/>
      <c r="K2237" s="24"/>
      <c r="M2237" s="24"/>
      <c r="N2237" s="24"/>
      <c r="P2237" s="24"/>
    </row>
    <row r="2238" spans="2:16" x14ac:dyDescent="0.25">
      <c r="B2238" s="24"/>
      <c r="E2238" s="24"/>
      <c r="G2238" s="24"/>
      <c r="H2238" s="24"/>
      <c r="J2238" s="24"/>
      <c r="K2238" s="24"/>
      <c r="M2238" s="24"/>
      <c r="N2238" s="24"/>
      <c r="P2238" s="24"/>
    </row>
    <row r="2239" spans="2:16" x14ac:dyDescent="0.25">
      <c r="B2239" s="24"/>
      <c r="E2239" s="24"/>
      <c r="G2239" s="24"/>
      <c r="H2239" s="24"/>
      <c r="J2239" s="24"/>
      <c r="K2239" s="24"/>
      <c r="M2239" s="24"/>
      <c r="N2239" s="24"/>
      <c r="P2239" s="24"/>
    </row>
    <row r="2240" spans="2:16" x14ac:dyDescent="0.25">
      <c r="B2240" s="24"/>
      <c r="E2240" s="24"/>
      <c r="G2240" s="24"/>
      <c r="H2240" s="24"/>
      <c r="J2240" s="24"/>
      <c r="K2240" s="24"/>
      <c r="M2240" s="24"/>
      <c r="N2240" s="24"/>
      <c r="P2240" s="24"/>
    </row>
    <row r="2241" spans="2:16" x14ac:dyDescent="0.25">
      <c r="B2241" s="24"/>
      <c r="E2241" s="24"/>
      <c r="G2241" s="24"/>
      <c r="H2241" s="24"/>
      <c r="J2241" s="24"/>
      <c r="K2241" s="24"/>
      <c r="M2241" s="24"/>
      <c r="N2241" s="24"/>
      <c r="P2241" s="24"/>
    </row>
    <row r="2242" spans="2:16" x14ac:dyDescent="0.25">
      <c r="B2242" s="24"/>
      <c r="E2242" s="24"/>
      <c r="G2242" s="24"/>
      <c r="H2242" s="24"/>
      <c r="J2242" s="24"/>
      <c r="K2242" s="24"/>
      <c r="M2242" s="24"/>
      <c r="N2242" s="24"/>
      <c r="P2242" s="24"/>
    </row>
    <row r="2243" spans="2:16" x14ac:dyDescent="0.25">
      <c r="B2243" s="24"/>
      <c r="E2243" s="24"/>
      <c r="G2243" s="24"/>
      <c r="H2243" s="24"/>
      <c r="J2243" s="24"/>
      <c r="K2243" s="24"/>
      <c r="M2243" s="24"/>
      <c r="N2243" s="24"/>
      <c r="P2243" s="24"/>
    </row>
    <row r="2244" spans="2:16" x14ac:dyDescent="0.25">
      <c r="B2244" s="24"/>
      <c r="E2244" s="24"/>
      <c r="G2244" s="24"/>
      <c r="H2244" s="24"/>
      <c r="J2244" s="24"/>
      <c r="K2244" s="24"/>
      <c r="M2244" s="24"/>
      <c r="N2244" s="24"/>
      <c r="P2244" s="24"/>
    </row>
    <row r="2245" spans="2:16" x14ac:dyDescent="0.25">
      <c r="B2245" s="24"/>
      <c r="E2245" s="24"/>
      <c r="G2245" s="24"/>
      <c r="H2245" s="24"/>
      <c r="J2245" s="24"/>
      <c r="K2245" s="24"/>
      <c r="M2245" s="24"/>
      <c r="N2245" s="24"/>
      <c r="P2245" s="24"/>
    </row>
    <row r="2246" spans="2:16" x14ac:dyDescent="0.25">
      <c r="B2246" s="24"/>
      <c r="E2246" s="24"/>
      <c r="G2246" s="24"/>
      <c r="H2246" s="24"/>
      <c r="J2246" s="24"/>
      <c r="K2246" s="24"/>
      <c r="M2246" s="24"/>
      <c r="N2246" s="24"/>
      <c r="P2246" s="24"/>
    </row>
    <row r="2247" spans="2:16" x14ac:dyDescent="0.25">
      <c r="B2247" s="24"/>
      <c r="E2247" s="24"/>
      <c r="G2247" s="24"/>
      <c r="H2247" s="24"/>
      <c r="J2247" s="24"/>
      <c r="K2247" s="24"/>
      <c r="M2247" s="24"/>
      <c r="N2247" s="24"/>
      <c r="P2247" s="24"/>
    </row>
    <row r="2248" spans="2:16" x14ac:dyDescent="0.25">
      <c r="B2248" s="24"/>
      <c r="E2248" s="24"/>
      <c r="G2248" s="24"/>
      <c r="H2248" s="24"/>
      <c r="J2248" s="24"/>
      <c r="K2248" s="24"/>
      <c r="M2248" s="24"/>
      <c r="N2248" s="24"/>
      <c r="P2248" s="24"/>
    </row>
    <row r="2249" spans="2:16" x14ac:dyDescent="0.25">
      <c r="B2249" s="24"/>
      <c r="E2249" s="24"/>
      <c r="G2249" s="24"/>
      <c r="H2249" s="24"/>
      <c r="J2249" s="24"/>
      <c r="K2249" s="24"/>
      <c r="M2249" s="24"/>
      <c r="N2249" s="24"/>
      <c r="P2249" s="24"/>
    </row>
    <row r="2250" spans="2:16" x14ac:dyDescent="0.25">
      <c r="B2250" s="24"/>
      <c r="E2250" s="24"/>
      <c r="G2250" s="24"/>
      <c r="H2250" s="24"/>
      <c r="J2250" s="24"/>
      <c r="K2250" s="24"/>
      <c r="M2250" s="24"/>
      <c r="N2250" s="24"/>
      <c r="P2250" s="24"/>
    </row>
    <row r="2251" spans="2:16" x14ac:dyDescent="0.25">
      <c r="B2251" s="24"/>
      <c r="E2251" s="24"/>
      <c r="G2251" s="24"/>
      <c r="H2251" s="24"/>
      <c r="J2251" s="24"/>
      <c r="K2251" s="24"/>
      <c r="M2251" s="24"/>
      <c r="N2251" s="24"/>
      <c r="P2251" s="24"/>
    </row>
    <row r="2252" spans="2:16" x14ac:dyDescent="0.25">
      <c r="B2252" s="24"/>
      <c r="E2252" s="24"/>
      <c r="G2252" s="24"/>
      <c r="H2252" s="24"/>
      <c r="J2252" s="24"/>
      <c r="K2252" s="24"/>
      <c r="M2252" s="24"/>
      <c r="N2252" s="24"/>
      <c r="P2252" s="24"/>
    </row>
    <row r="2253" spans="2:16" x14ac:dyDescent="0.25">
      <c r="B2253" s="24"/>
      <c r="E2253" s="24"/>
      <c r="G2253" s="24"/>
      <c r="H2253" s="24"/>
      <c r="J2253" s="24"/>
      <c r="K2253" s="24"/>
      <c r="M2253" s="24"/>
      <c r="N2253" s="24"/>
      <c r="P2253" s="24"/>
    </row>
    <row r="2254" spans="2:16" x14ac:dyDescent="0.25">
      <c r="B2254" s="24"/>
      <c r="E2254" s="24"/>
      <c r="G2254" s="24"/>
      <c r="H2254" s="24"/>
      <c r="J2254" s="24"/>
      <c r="K2254" s="24"/>
      <c r="M2254" s="24"/>
      <c r="N2254" s="24"/>
      <c r="P2254" s="24"/>
    </row>
    <row r="2255" spans="2:16" x14ac:dyDescent="0.25">
      <c r="B2255" s="24"/>
      <c r="E2255" s="24"/>
      <c r="G2255" s="24"/>
      <c r="H2255" s="24"/>
      <c r="J2255" s="24"/>
      <c r="K2255" s="24"/>
      <c r="M2255" s="24"/>
      <c r="N2255" s="24"/>
      <c r="P2255" s="24"/>
    </row>
    <row r="2256" spans="2:16" x14ac:dyDescent="0.25">
      <c r="B2256" s="24"/>
      <c r="E2256" s="24"/>
      <c r="G2256" s="24"/>
      <c r="H2256" s="24"/>
      <c r="J2256" s="24"/>
      <c r="K2256" s="24"/>
      <c r="M2256" s="24"/>
      <c r="N2256" s="24"/>
      <c r="P2256" s="24"/>
    </row>
    <row r="2257" spans="2:16" x14ac:dyDescent="0.25">
      <c r="B2257" s="24"/>
      <c r="E2257" s="24"/>
      <c r="G2257" s="24"/>
      <c r="H2257" s="24"/>
      <c r="J2257" s="24"/>
      <c r="K2257" s="24"/>
      <c r="M2257" s="24"/>
      <c r="N2257" s="24"/>
      <c r="P2257" s="24"/>
    </row>
    <row r="2258" spans="2:16" x14ac:dyDescent="0.25">
      <c r="B2258" s="24"/>
      <c r="E2258" s="24"/>
      <c r="G2258" s="24"/>
      <c r="H2258" s="24"/>
      <c r="J2258" s="24"/>
      <c r="K2258" s="24"/>
      <c r="M2258" s="24"/>
      <c r="N2258" s="24"/>
      <c r="P2258" s="24"/>
    </row>
    <row r="2259" spans="2:16" x14ac:dyDescent="0.25">
      <c r="B2259" s="24"/>
      <c r="E2259" s="24"/>
      <c r="G2259" s="24"/>
      <c r="H2259" s="24"/>
      <c r="J2259" s="24"/>
      <c r="K2259" s="24"/>
      <c r="M2259" s="24"/>
      <c r="N2259" s="24"/>
      <c r="P2259" s="24"/>
    </row>
    <row r="2260" spans="2:16" x14ac:dyDescent="0.25">
      <c r="B2260" s="24"/>
      <c r="E2260" s="24"/>
      <c r="G2260" s="24"/>
      <c r="H2260" s="24"/>
      <c r="J2260" s="24"/>
      <c r="K2260" s="24"/>
      <c r="M2260" s="24"/>
      <c r="N2260" s="24"/>
      <c r="P2260" s="24"/>
    </row>
    <row r="2261" spans="2:16" x14ac:dyDescent="0.25">
      <c r="B2261" s="24"/>
      <c r="E2261" s="24"/>
      <c r="G2261" s="24"/>
      <c r="H2261" s="24"/>
      <c r="J2261" s="24"/>
      <c r="K2261" s="24"/>
      <c r="M2261" s="24"/>
      <c r="N2261" s="24"/>
      <c r="P2261" s="24"/>
    </row>
    <row r="2262" spans="2:16" x14ac:dyDescent="0.25">
      <c r="B2262" s="24"/>
      <c r="E2262" s="24"/>
      <c r="G2262" s="24"/>
      <c r="H2262" s="24"/>
      <c r="J2262" s="24"/>
      <c r="K2262" s="24"/>
      <c r="M2262" s="24"/>
      <c r="N2262" s="24"/>
      <c r="P2262" s="24"/>
    </row>
    <row r="2263" spans="2:16" x14ac:dyDescent="0.25">
      <c r="B2263" s="24"/>
      <c r="E2263" s="24"/>
      <c r="G2263" s="24"/>
      <c r="H2263" s="24"/>
      <c r="J2263" s="24"/>
      <c r="K2263" s="24"/>
      <c r="M2263" s="24"/>
      <c r="N2263" s="24"/>
      <c r="P2263" s="24"/>
    </row>
    <row r="2264" spans="2:16" x14ac:dyDescent="0.25">
      <c r="B2264" s="24"/>
      <c r="E2264" s="24"/>
      <c r="G2264" s="24"/>
      <c r="H2264" s="24"/>
      <c r="J2264" s="24"/>
      <c r="K2264" s="24"/>
      <c r="M2264" s="24"/>
      <c r="N2264" s="24"/>
      <c r="P2264" s="24"/>
    </row>
    <row r="2265" spans="2:16" x14ac:dyDescent="0.25">
      <c r="B2265" s="24"/>
      <c r="E2265" s="24"/>
      <c r="G2265" s="24"/>
      <c r="H2265" s="24"/>
      <c r="J2265" s="24"/>
      <c r="K2265" s="24"/>
      <c r="M2265" s="24"/>
      <c r="N2265" s="24"/>
      <c r="P2265" s="24"/>
    </row>
    <row r="2266" spans="2:16" x14ac:dyDescent="0.25">
      <c r="B2266" s="24"/>
      <c r="E2266" s="24"/>
      <c r="G2266" s="24"/>
      <c r="H2266" s="24"/>
      <c r="J2266" s="24"/>
      <c r="K2266" s="24"/>
      <c r="M2266" s="24"/>
      <c r="N2266" s="24"/>
      <c r="P2266" s="24"/>
    </row>
    <row r="2267" spans="2:16" x14ac:dyDescent="0.25">
      <c r="B2267" s="24"/>
      <c r="E2267" s="24"/>
      <c r="G2267" s="24"/>
      <c r="H2267" s="24"/>
      <c r="J2267" s="24"/>
      <c r="K2267" s="24"/>
      <c r="M2267" s="24"/>
      <c r="N2267" s="24"/>
      <c r="P2267" s="24"/>
    </row>
    <row r="2268" spans="2:16" x14ac:dyDescent="0.25">
      <c r="B2268" s="24"/>
      <c r="E2268" s="24"/>
      <c r="G2268" s="24"/>
      <c r="H2268" s="24"/>
      <c r="J2268" s="24"/>
      <c r="K2268" s="24"/>
      <c r="M2268" s="24"/>
      <c r="N2268" s="24"/>
      <c r="P2268" s="24"/>
    </row>
    <row r="2269" spans="2:16" x14ac:dyDescent="0.25">
      <c r="B2269" s="24"/>
      <c r="E2269" s="24"/>
      <c r="G2269" s="24"/>
      <c r="H2269" s="24"/>
      <c r="J2269" s="24"/>
      <c r="K2269" s="24"/>
      <c r="M2269" s="24"/>
      <c r="N2269" s="24"/>
      <c r="P2269" s="24"/>
    </row>
    <row r="2270" spans="2:16" x14ac:dyDescent="0.25">
      <c r="B2270" s="24"/>
      <c r="E2270" s="24"/>
      <c r="G2270" s="24"/>
      <c r="H2270" s="24"/>
      <c r="J2270" s="24"/>
      <c r="K2270" s="24"/>
      <c r="M2270" s="24"/>
      <c r="N2270" s="24"/>
      <c r="P2270" s="24"/>
    </row>
    <row r="2271" spans="2:16" x14ac:dyDescent="0.25">
      <c r="B2271" s="24"/>
      <c r="E2271" s="24"/>
      <c r="G2271" s="24"/>
      <c r="H2271" s="24"/>
      <c r="J2271" s="24"/>
      <c r="K2271" s="24"/>
      <c r="M2271" s="24"/>
      <c r="N2271" s="24"/>
      <c r="P2271" s="24"/>
    </row>
    <row r="2272" spans="2:16" x14ac:dyDescent="0.25">
      <c r="B2272" s="24"/>
      <c r="E2272" s="24"/>
      <c r="G2272" s="24"/>
      <c r="H2272" s="24"/>
      <c r="J2272" s="24"/>
      <c r="K2272" s="24"/>
      <c r="M2272" s="24"/>
      <c r="N2272" s="24"/>
      <c r="P2272" s="24"/>
    </row>
    <row r="2273" spans="2:16" x14ac:dyDescent="0.25">
      <c r="B2273" s="24"/>
      <c r="E2273" s="24"/>
      <c r="G2273" s="24"/>
      <c r="H2273" s="24"/>
      <c r="J2273" s="24"/>
      <c r="K2273" s="24"/>
      <c r="M2273" s="24"/>
      <c r="N2273" s="24"/>
      <c r="P2273" s="24"/>
    </row>
    <row r="2274" spans="2:16" x14ac:dyDescent="0.25">
      <c r="B2274" s="24"/>
      <c r="E2274" s="24"/>
      <c r="G2274" s="24"/>
      <c r="H2274" s="24"/>
      <c r="J2274" s="24"/>
      <c r="K2274" s="24"/>
      <c r="M2274" s="24"/>
      <c r="N2274" s="24"/>
      <c r="P2274" s="24"/>
    </row>
    <row r="2275" spans="2:16" x14ac:dyDescent="0.25">
      <c r="B2275" s="24"/>
      <c r="E2275" s="24"/>
      <c r="G2275" s="24"/>
      <c r="H2275" s="24"/>
      <c r="J2275" s="24"/>
      <c r="K2275" s="24"/>
      <c r="M2275" s="24"/>
      <c r="N2275" s="24"/>
      <c r="P2275" s="24"/>
    </row>
    <row r="2276" spans="2:16" x14ac:dyDescent="0.25">
      <c r="B2276" s="24"/>
      <c r="E2276" s="24"/>
      <c r="G2276" s="24"/>
      <c r="H2276" s="24"/>
      <c r="J2276" s="24"/>
      <c r="K2276" s="24"/>
      <c r="M2276" s="24"/>
      <c r="N2276" s="24"/>
      <c r="P2276" s="24"/>
    </row>
    <row r="2277" spans="2:16" x14ac:dyDescent="0.25">
      <c r="B2277" s="24"/>
      <c r="E2277" s="24"/>
      <c r="G2277" s="24"/>
      <c r="H2277" s="24"/>
      <c r="J2277" s="24"/>
      <c r="K2277" s="24"/>
      <c r="M2277" s="24"/>
      <c r="N2277" s="24"/>
      <c r="P2277" s="24"/>
    </row>
    <row r="2278" spans="2:16" x14ac:dyDescent="0.25">
      <c r="B2278" s="24"/>
      <c r="E2278" s="24"/>
      <c r="G2278" s="24"/>
      <c r="H2278" s="24"/>
      <c r="J2278" s="24"/>
      <c r="K2278" s="24"/>
      <c r="M2278" s="24"/>
      <c r="N2278" s="24"/>
      <c r="P2278" s="24"/>
    </row>
    <row r="2279" spans="2:16" x14ac:dyDescent="0.25">
      <c r="B2279" s="24"/>
      <c r="E2279" s="24"/>
      <c r="G2279" s="24"/>
      <c r="H2279" s="24"/>
      <c r="J2279" s="24"/>
      <c r="K2279" s="24"/>
      <c r="M2279" s="24"/>
      <c r="N2279" s="24"/>
      <c r="P2279" s="24"/>
    </row>
    <row r="2280" spans="2:16" x14ac:dyDescent="0.25">
      <c r="B2280" s="24"/>
      <c r="E2280" s="24"/>
      <c r="G2280" s="24"/>
      <c r="H2280" s="24"/>
      <c r="J2280" s="24"/>
      <c r="K2280" s="24"/>
      <c r="M2280" s="24"/>
      <c r="N2280" s="24"/>
      <c r="P2280" s="24"/>
    </row>
    <row r="2281" spans="2:16" x14ac:dyDescent="0.25">
      <c r="B2281" s="24"/>
      <c r="E2281" s="24"/>
      <c r="G2281" s="24"/>
      <c r="H2281" s="24"/>
      <c r="J2281" s="24"/>
      <c r="K2281" s="24"/>
      <c r="M2281" s="24"/>
      <c r="N2281" s="24"/>
      <c r="P2281" s="24"/>
    </row>
    <row r="2282" spans="2:16" x14ac:dyDescent="0.25">
      <c r="B2282" s="24"/>
      <c r="E2282" s="24"/>
      <c r="G2282" s="24"/>
      <c r="H2282" s="24"/>
      <c r="J2282" s="24"/>
      <c r="K2282" s="24"/>
      <c r="M2282" s="24"/>
      <c r="N2282" s="24"/>
      <c r="P2282" s="24"/>
    </row>
    <row r="2283" spans="2:16" x14ac:dyDescent="0.25">
      <c r="B2283" s="24"/>
      <c r="E2283" s="24"/>
      <c r="G2283" s="24"/>
      <c r="H2283" s="24"/>
      <c r="J2283" s="24"/>
      <c r="K2283" s="24"/>
      <c r="M2283" s="24"/>
      <c r="N2283" s="24"/>
      <c r="P2283" s="24"/>
    </row>
    <row r="2284" spans="2:16" x14ac:dyDescent="0.25">
      <c r="B2284" s="24"/>
      <c r="E2284" s="24"/>
      <c r="G2284" s="24"/>
      <c r="H2284" s="24"/>
      <c r="J2284" s="24"/>
      <c r="K2284" s="24"/>
      <c r="M2284" s="24"/>
      <c r="N2284" s="24"/>
      <c r="P2284" s="24"/>
    </row>
    <row r="2285" spans="2:16" x14ac:dyDescent="0.25">
      <c r="B2285" s="24"/>
      <c r="E2285" s="24"/>
      <c r="G2285" s="24"/>
      <c r="H2285" s="24"/>
      <c r="J2285" s="24"/>
      <c r="K2285" s="24"/>
      <c r="M2285" s="24"/>
      <c r="N2285" s="24"/>
      <c r="P2285" s="24"/>
    </row>
    <row r="2286" spans="2:16" x14ac:dyDescent="0.25">
      <c r="B2286" s="24"/>
      <c r="E2286" s="24"/>
      <c r="G2286" s="24"/>
      <c r="H2286" s="24"/>
      <c r="J2286" s="24"/>
      <c r="K2286" s="24"/>
      <c r="M2286" s="24"/>
      <c r="N2286" s="24"/>
      <c r="P2286" s="24"/>
    </row>
    <row r="2287" spans="2:16" x14ac:dyDescent="0.25">
      <c r="B2287" s="24"/>
      <c r="E2287" s="24"/>
      <c r="G2287" s="24"/>
      <c r="H2287" s="24"/>
      <c r="J2287" s="24"/>
      <c r="K2287" s="24"/>
      <c r="M2287" s="24"/>
      <c r="N2287" s="24"/>
      <c r="P2287" s="24"/>
    </row>
    <row r="2288" spans="2:16" x14ac:dyDescent="0.25">
      <c r="B2288" s="24"/>
      <c r="E2288" s="24"/>
      <c r="G2288" s="24"/>
      <c r="H2288" s="24"/>
      <c r="J2288" s="24"/>
      <c r="K2288" s="24"/>
      <c r="M2288" s="24"/>
      <c r="N2288" s="24"/>
      <c r="P2288" s="24"/>
    </row>
    <row r="2289" spans="2:16" x14ac:dyDescent="0.25">
      <c r="B2289" s="24"/>
      <c r="E2289" s="24"/>
      <c r="G2289" s="24"/>
      <c r="H2289" s="24"/>
      <c r="J2289" s="24"/>
      <c r="K2289" s="24"/>
      <c r="M2289" s="24"/>
      <c r="N2289" s="24"/>
      <c r="P2289" s="24"/>
    </row>
    <row r="2290" spans="2:16" x14ac:dyDescent="0.25">
      <c r="B2290" s="24"/>
      <c r="E2290" s="24"/>
      <c r="G2290" s="24"/>
      <c r="H2290" s="24"/>
      <c r="J2290" s="24"/>
      <c r="K2290" s="24"/>
      <c r="M2290" s="24"/>
      <c r="N2290" s="24"/>
      <c r="P2290" s="24"/>
    </row>
    <row r="2291" spans="2:16" x14ac:dyDescent="0.25">
      <c r="B2291" s="24"/>
      <c r="E2291" s="24"/>
      <c r="G2291" s="24"/>
      <c r="H2291" s="24"/>
      <c r="J2291" s="24"/>
      <c r="K2291" s="24"/>
      <c r="M2291" s="24"/>
      <c r="N2291" s="24"/>
      <c r="P2291" s="24"/>
    </row>
    <row r="2292" spans="2:16" x14ac:dyDescent="0.25">
      <c r="B2292" s="24"/>
      <c r="E2292" s="24"/>
      <c r="G2292" s="24"/>
      <c r="H2292" s="24"/>
      <c r="J2292" s="24"/>
      <c r="K2292" s="24"/>
      <c r="M2292" s="24"/>
      <c r="N2292" s="24"/>
      <c r="P2292" s="24"/>
    </row>
    <row r="2293" spans="2:16" x14ac:dyDescent="0.25">
      <c r="B2293" s="24"/>
      <c r="E2293" s="24"/>
      <c r="G2293" s="24"/>
      <c r="H2293" s="24"/>
      <c r="J2293" s="24"/>
      <c r="K2293" s="24"/>
      <c r="M2293" s="24"/>
      <c r="N2293" s="24"/>
      <c r="P2293" s="24"/>
    </row>
    <row r="2294" spans="2:16" x14ac:dyDescent="0.25">
      <c r="B2294" s="24"/>
      <c r="E2294" s="24"/>
      <c r="G2294" s="24"/>
      <c r="H2294" s="24"/>
      <c r="J2294" s="24"/>
      <c r="K2294" s="24"/>
      <c r="M2294" s="24"/>
      <c r="N2294" s="24"/>
      <c r="P2294" s="24"/>
    </row>
    <row r="2295" spans="2:16" x14ac:dyDescent="0.25">
      <c r="B2295" s="24"/>
      <c r="E2295" s="24"/>
      <c r="G2295" s="24"/>
      <c r="H2295" s="24"/>
      <c r="J2295" s="24"/>
      <c r="K2295" s="24"/>
      <c r="M2295" s="24"/>
      <c r="N2295" s="24"/>
      <c r="P2295" s="24"/>
    </row>
    <row r="2296" spans="2:16" x14ac:dyDescent="0.25">
      <c r="B2296" s="24"/>
      <c r="E2296" s="24"/>
      <c r="G2296" s="24"/>
      <c r="H2296" s="24"/>
      <c r="J2296" s="24"/>
      <c r="K2296" s="24"/>
      <c r="M2296" s="24"/>
      <c r="N2296" s="24"/>
      <c r="P2296" s="24"/>
    </row>
    <row r="2297" spans="2:16" x14ac:dyDescent="0.25">
      <c r="B2297" s="24"/>
      <c r="E2297" s="24"/>
      <c r="G2297" s="24"/>
      <c r="H2297" s="24"/>
      <c r="J2297" s="24"/>
      <c r="K2297" s="24"/>
      <c r="M2297" s="24"/>
      <c r="N2297" s="24"/>
      <c r="P2297" s="24"/>
    </row>
    <row r="2298" spans="2:16" x14ac:dyDescent="0.25">
      <c r="B2298" s="24"/>
      <c r="E2298" s="24"/>
      <c r="G2298" s="24"/>
      <c r="H2298" s="24"/>
      <c r="J2298" s="24"/>
      <c r="K2298" s="24"/>
      <c r="M2298" s="24"/>
      <c r="N2298" s="24"/>
      <c r="P2298" s="24"/>
    </row>
    <row r="2299" spans="2:16" x14ac:dyDescent="0.25">
      <c r="B2299" s="24"/>
      <c r="E2299" s="24"/>
      <c r="G2299" s="24"/>
      <c r="H2299" s="24"/>
      <c r="J2299" s="24"/>
      <c r="K2299" s="24"/>
      <c r="M2299" s="24"/>
      <c r="N2299" s="24"/>
      <c r="P2299" s="24"/>
    </row>
    <row r="2300" spans="2:16" x14ac:dyDescent="0.25">
      <c r="B2300" s="24"/>
      <c r="E2300" s="24"/>
      <c r="G2300" s="24"/>
      <c r="H2300" s="24"/>
      <c r="J2300" s="24"/>
      <c r="K2300" s="24"/>
      <c r="M2300" s="24"/>
      <c r="N2300" s="24"/>
      <c r="P2300" s="24"/>
    </row>
    <row r="2301" spans="2:16" x14ac:dyDescent="0.25">
      <c r="B2301" s="24"/>
      <c r="E2301" s="24"/>
      <c r="G2301" s="24"/>
      <c r="H2301" s="24"/>
      <c r="J2301" s="24"/>
      <c r="K2301" s="24"/>
      <c r="M2301" s="24"/>
      <c r="N2301" s="24"/>
      <c r="P2301" s="24"/>
    </row>
    <row r="2302" spans="2:16" x14ac:dyDescent="0.25">
      <c r="B2302" s="24"/>
      <c r="E2302" s="24"/>
      <c r="G2302" s="24"/>
      <c r="H2302" s="24"/>
      <c r="J2302" s="24"/>
      <c r="K2302" s="24"/>
      <c r="M2302" s="24"/>
      <c r="N2302" s="24"/>
      <c r="P2302" s="24"/>
    </row>
    <row r="2303" spans="2:16" x14ac:dyDescent="0.25">
      <c r="B2303" s="24"/>
      <c r="E2303" s="24"/>
      <c r="G2303" s="24"/>
      <c r="H2303" s="24"/>
      <c r="J2303" s="24"/>
      <c r="K2303" s="24"/>
      <c r="M2303" s="24"/>
      <c r="N2303" s="24"/>
      <c r="P2303" s="24"/>
    </row>
    <row r="2304" spans="2:16" x14ac:dyDescent="0.25">
      <c r="B2304" s="24"/>
      <c r="E2304" s="24"/>
      <c r="G2304" s="24"/>
      <c r="H2304" s="24"/>
      <c r="J2304" s="24"/>
      <c r="K2304" s="24"/>
      <c r="M2304" s="24"/>
      <c r="N2304" s="24"/>
      <c r="P2304" s="24"/>
    </row>
    <row r="2305" spans="2:16" x14ac:dyDescent="0.25">
      <c r="B2305" s="24"/>
      <c r="E2305" s="24"/>
      <c r="G2305" s="24"/>
      <c r="H2305" s="24"/>
      <c r="J2305" s="24"/>
      <c r="K2305" s="24"/>
      <c r="M2305" s="24"/>
      <c r="N2305" s="24"/>
      <c r="P2305" s="24"/>
    </row>
    <row r="2306" spans="2:16" x14ac:dyDescent="0.25">
      <c r="B2306" s="24"/>
      <c r="E2306" s="24"/>
      <c r="G2306" s="24"/>
      <c r="H2306" s="24"/>
      <c r="J2306" s="24"/>
      <c r="K2306" s="24"/>
      <c r="M2306" s="24"/>
      <c r="N2306" s="24"/>
      <c r="P2306" s="24"/>
    </row>
    <row r="2307" spans="2:16" x14ac:dyDescent="0.25">
      <c r="B2307" s="24"/>
      <c r="E2307" s="24"/>
      <c r="G2307" s="24"/>
      <c r="H2307" s="24"/>
      <c r="J2307" s="24"/>
      <c r="K2307" s="24"/>
      <c r="M2307" s="24"/>
      <c r="N2307" s="24"/>
      <c r="P2307" s="24"/>
    </row>
    <row r="2308" spans="2:16" x14ac:dyDescent="0.25">
      <c r="B2308" s="24"/>
      <c r="E2308" s="24"/>
      <c r="G2308" s="24"/>
      <c r="H2308" s="24"/>
      <c r="J2308" s="24"/>
      <c r="K2308" s="24"/>
      <c r="M2308" s="24"/>
      <c r="N2308" s="24"/>
      <c r="P2308" s="24"/>
    </row>
    <row r="2309" spans="2:16" x14ac:dyDescent="0.25">
      <c r="B2309" s="24"/>
      <c r="E2309" s="24"/>
      <c r="G2309" s="24"/>
      <c r="H2309" s="24"/>
      <c r="J2309" s="24"/>
      <c r="K2309" s="24"/>
      <c r="M2309" s="24"/>
      <c r="N2309" s="24"/>
      <c r="P2309" s="24"/>
    </row>
    <row r="2310" spans="2:16" x14ac:dyDescent="0.25">
      <c r="B2310" s="24"/>
      <c r="E2310" s="24"/>
      <c r="G2310" s="24"/>
      <c r="H2310" s="24"/>
      <c r="J2310" s="24"/>
      <c r="K2310" s="24"/>
      <c r="M2310" s="24"/>
      <c r="N2310" s="24"/>
      <c r="P2310" s="24"/>
    </row>
    <row r="2311" spans="2:16" x14ac:dyDescent="0.25">
      <c r="B2311" s="24"/>
      <c r="E2311" s="24"/>
      <c r="G2311" s="24"/>
      <c r="H2311" s="24"/>
      <c r="J2311" s="24"/>
      <c r="K2311" s="24"/>
      <c r="M2311" s="24"/>
      <c r="N2311" s="24"/>
      <c r="P2311" s="24"/>
    </row>
    <row r="2312" spans="2:16" x14ac:dyDescent="0.25">
      <c r="B2312" s="24"/>
      <c r="E2312" s="24"/>
      <c r="G2312" s="24"/>
      <c r="H2312" s="24"/>
      <c r="J2312" s="24"/>
      <c r="K2312" s="24"/>
      <c r="M2312" s="24"/>
      <c r="N2312" s="24"/>
      <c r="P2312" s="24"/>
    </row>
    <row r="2313" spans="2:16" x14ac:dyDescent="0.25">
      <c r="B2313" s="24"/>
      <c r="E2313" s="24"/>
      <c r="G2313" s="24"/>
      <c r="H2313" s="24"/>
      <c r="J2313" s="24"/>
      <c r="K2313" s="24"/>
      <c r="M2313" s="24"/>
      <c r="N2313" s="24"/>
      <c r="P2313" s="24"/>
    </row>
    <row r="2314" spans="2:16" x14ac:dyDescent="0.25">
      <c r="B2314" s="24"/>
      <c r="E2314" s="24"/>
      <c r="G2314" s="24"/>
      <c r="H2314" s="24"/>
      <c r="J2314" s="24"/>
      <c r="K2314" s="24"/>
      <c r="M2314" s="24"/>
      <c r="N2314" s="24"/>
      <c r="P2314" s="24"/>
    </row>
    <row r="2315" spans="2:16" x14ac:dyDescent="0.25">
      <c r="B2315" s="24"/>
      <c r="E2315" s="24"/>
      <c r="G2315" s="24"/>
      <c r="H2315" s="24"/>
      <c r="J2315" s="24"/>
      <c r="K2315" s="24"/>
      <c r="M2315" s="24"/>
      <c r="N2315" s="24"/>
      <c r="P2315" s="24"/>
    </row>
    <row r="2316" spans="2:16" x14ac:dyDescent="0.25">
      <c r="B2316" s="24"/>
      <c r="E2316" s="24"/>
      <c r="G2316" s="24"/>
      <c r="H2316" s="24"/>
      <c r="J2316" s="24"/>
      <c r="K2316" s="24"/>
      <c r="M2316" s="24"/>
      <c r="N2316" s="24"/>
      <c r="P2316" s="24"/>
    </row>
    <row r="2317" spans="2:16" x14ac:dyDescent="0.25">
      <c r="B2317" s="24"/>
      <c r="E2317" s="24"/>
      <c r="G2317" s="24"/>
      <c r="H2317" s="24"/>
      <c r="J2317" s="24"/>
      <c r="K2317" s="24"/>
      <c r="M2317" s="24"/>
      <c r="N2317" s="24"/>
      <c r="P2317" s="24"/>
    </row>
    <row r="2318" spans="2:16" x14ac:dyDescent="0.25">
      <c r="B2318" s="24"/>
      <c r="E2318" s="24"/>
      <c r="G2318" s="24"/>
      <c r="H2318" s="24"/>
      <c r="J2318" s="24"/>
      <c r="K2318" s="24"/>
      <c r="M2318" s="24"/>
      <c r="N2318" s="24"/>
      <c r="P2318" s="24"/>
    </row>
    <row r="2319" spans="2:16" x14ac:dyDescent="0.25">
      <c r="B2319" s="24"/>
      <c r="E2319" s="24"/>
      <c r="G2319" s="24"/>
      <c r="H2319" s="24"/>
      <c r="J2319" s="24"/>
      <c r="K2319" s="24"/>
      <c r="M2319" s="24"/>
      <c r="N2319" s="24"/>
      <c r="P2319" s="24"/>
    </row>
    <row r="2320" spans="2:16" x14ac:dyDescent="0.25">
      <c r="B2320" s="24"/>
      <c r="E2320" s="24"/>
      <c r="G2320" s="24"/>
      <c r="H2320" s="24"/>
      <c r="J2320" s="24"/>
      <c r="K2320" s="24"/>
      <c r="M2320" s="24"/>
      <c r="N2320" s="24"/>
      <c r="P2320" s="24"/>
    </row>
    <row r="2321" spans="2:16" x14ac:dyDescent="0.25">
      <c r="B2321" s="24"/>
      <c r="E2321" s="24"/>
      <c r="G2321" s="24"/>
      <c r="H2321" s="24"/>
      <c r="J2321" s="24"/>
      <c r="K2321" s="24"/>
      <c r="M2321" s="24"/>
      <c r="N2321" s="24"/>
      <c r="P2321" s="24"/>
    </row>
    <row r="2322" spans="2:16" x14ac:dyDescent="0.25">
      <c r="B2322" s="24"/>
      <c r="E2322" s="24"/>
      <c r="G2322" s="24"/>
      <c r="H2322" s="24"/>
      <c r="J2322" s="24"/>
      <c r="K2322" s="24"/>
      <c r="M2322" s="24"/>
      <c r="N2322" s="24"/>
      <c r="P2322" s="24"/>
    </row>
    <row r="2323" spans="2:16" x14ac:dyDescent="0.25">
      <c r="B2323" s="24"/>
      <c r="E2323" s="24"/>
      <c r="G2323" s="24"/>
      <c r="H2323" s="24"/>
      <c r="J2323" s="24"/>
      <c r="K2323" s="24"/>
      <c r="M2323" s="24"/>
      <c r="N2323" s="24"/>
      <c r="P2323" s="24"/>
    </row>
    <row r="2324" spans="2:16" x14ac:dyDescent="0.25">
      <c r="B2324" s="24"/>
      <c r="E2324" s="24"/>
      <c r="G2324" s="24"/>
      <c r="H2324" s="24"/>
      <c r="J2324" s="24"/>
      <c r="K2324" s="24"/>
      <c r="M2324" s="24"/>
      <c r="N2324" s="24"/>
      <c r="P2324" s="24"/>
    </row>
    <row r="2325" spans="2:16" x14ac:dyDescent="0.25">
      <c r="B2325" s="24"/>
      <c r="E2325" s="24"/>
      <c r="G2325" s="24"/>
      <c r="H2325" s="24"/>
      <c r="J2325" s="24"/>
      <c r="K2325" s="24"/>
      <c r="M2325" s="24"/>
      <c r="N2325" s="24"/>
      <c r="P2325" s="24"/>
    </row>
    <row r="2326" spans="2:16" x14ac:dyDescent="0.25">
      <c r="B2326" s="24"/>
      <c r="E2326" s="24"/>
      <c r="G2326" s="24"/>
      <c r="H2326" s="24"/>
      <c r="J2326" s="24"/>
      <c r="K2326" s="24"/>
      <c r="M2326" s="24"/>
      <c r="N2326" s="24"/>
      <c r="P2326" s="24"/>
    </row>
    <row r="2327" spans="2:16" x14ac:dyDescent="0.25">
      <c r="B2327" s="24"/>
      <c r="E2327" s="24"/>
      <c r="G2327" s="24"/>
      <c r="H2327" s="24"/>
      <c r="J2327" s="24"/>
      <c r="K2327" s="24"/>
      <c r="M2327" s="24"/>
      <c r="N2327" s="24"/>
      <c r="P2327" s="24"/>
    </row>
    <row r="2328" spans="2:16" x14ac:dyDescent="0.25">
      <c r="B2328" s="24"/>
      <c r="E2328" s="24"/>
      <c r="G2328" s="24"/>
      <c r="H2328" s="24"/>
      <c r="J2328" s="24"/>
      <c r="K2328" s="24"/>
      <c r="M2328" s="24"/>
      <c r="N2328" s="24"/>
      <c r="P2328" s="24"/>
    </row>
    <row r="2329" spans="2:16" x14ac:dyDescent="0.25">
      <c r="B2329" s="24"/>
      <c r="E2329" s="24"/>
      <c r="G2329" s="24"/>
      <c r="H2329" s="24"/>
      <c r="J2329" s="24"/>
      <c r="K2329" s="24"/>
      <c r="M2329" s="24"/>
      <c r="N2329" s="24"/>
      <c r="P2329" s="24"/>
    </row>
    <row r="2330" spans="2:16" x14ac:dyDescent="0.25">
      <c r="B2330" s="24"/>
      <c r="E2330" s="24"/>
      <c r="G2330" s="24"/>
      <c r="H2330" s="24"/>
      <c r="J2330" s="24"/>
      <c r="K2330" s="24"/>
      <c r="M2330" s="24"/>
      <c r="N2330" s="24"/>
      <c r="P2330" s="24"/>
    </row>
    <row r="2331" spans="2:16" x14ac:dyDescent="0.25">
      <c r="B2331" s="24"/>
      <c r="E2331" s="24"/>
      <c r="G2331" s="24"/>
      <c r="H2331" s="24"/>
      <c r="J2331" s="24"/>
      <c r="K2331" s="24"/>
      <c r="M2331" s="24"/>
      <c r="N2331" s="24"/>
      <c r="P2331" s="24"/>
    </row>
    <row r="2332" spans="2:16" x14ac:dyDescent="0.25">
      <c r="B2332" s="24"/>
      <c r="E2332" s="24"/>
      <c r="G2332" s="24"/>
      <c r="H2332" s="24"/>
      <c r="J2332" s="24"/>
      <c r="K2332" s="24"/>
      <c r="M2332" s="24"/>
      <c r="N2332" s="24"/>
      <c r="P2332" s="24"/>
    </row>
    <row r="2333" spans="2:16" x14ac:dyDescent="0.25">
      <c r="B2333" s="24"/>
      <c r="E2333" s="24"/>
      <c r="G2333" s="24"/>
      <c r="H2333" s="24"/>
      <c r="J2333" s="24"/>
      <c r="K2333" s="24"/>
      <c r="M2333" s="24"/>
      <c r="N2333" s="24"/>
      <c r="P2333" s="24"/>
    </row>
    <row r="2334" spans="2:16" x14ac:dyDescent="0.25">
      <c r="B2334" s="24"/>
      <c r="E2334" s="24"/>
      <c r="G2334" s="24"/>
      <c r="H2334" s="24"/>
      <c r="J2334" s="24"/>
      <c r="K2334" s="24"/>
      <c r="M2334" s="24"/>
      <c r="N2334" s="24"/>
      <c r="P2334" s="24"/>
    </row>
    <row r="2335" spans="2:16" x14ac:dyDescent="0.25">
      <c r="B2335" s="24"/>
      <c r="E2335" s="24"/>
      <c r="G2335" s="24"/>
      <c r="H2335" s="24"/>
      <c r="J2335" s="24"/>
      <c r="K2335" s="24"/>
      <c r="M2335" s="24"/>
      <c r="N2335" s="24"/>
      <c r="P2335" s="24"/>
    </row>
    <row r="2336" spans="2:16" x14ac:dyDescent="0.25">
      <c r="B2336" s="24"/>
      <c r="E2336" s="24"/>
      <c r="G2336" s="24"/>
      <c r="H2336" s="24"/>
      <c r="J2336" s="24"/>
      <c r="K2336" s="24"/>
      <c r="M2336" s="24"/>
      <c r="N2336" s="24"/>
      <c r="P2336" s="24"/>
    </row>
    <row r="2337" spans="2:16" x14ac:dyDescent="0.25">
      <c r="B2337" s="24"/>
      <c r="E2337" s="24"/>
      <c r="G2337" s="24"/>
      <c r="H2337" s="24"/>
      <c r="J2337" s="24"/>
      <c r="K2337" s="24"/>
      <c r="M2337" s="24"/>
      <c r="N2337" s="24"/>
      <c r="P2337" s="24"/>
    </row>
    <row r="2338" spans="2:16" x14ac:dyDescent="0.25">
      <c r="B2338" s="24"/>
      <c r="E2338" s="24"/>
      <c r="G2338" s="24"/>
      <c r="H2338" s="24"/>
      <c r="J2338" s="24"/>
      <c r="K2338" s="24"/>
      <c r="M2338" s="24"/>
      <c r="N2338" s="24"/>
      <c r="P2338" s="24"/>
    </row>
    <row r="2339" spans="2:16" x14ac:dyDescent="0.25">
      <c r="B2339" s="24"/>
      <c r="E2339" s="24"/>
      <c r="G2339" s="24"/>
      <c r="H2339" s="24"/>
      <c r="J2339" s="24"/>
      <c r="K2339" s="24"/>
      <c r="M2339" s="24"/>
      <c r="N2339" s="24"/>
      <c r="P2339" s="24"/>
    </row>
    <row r="2340" spans="2:16" x14ac:dyDescent="0.25">
      <c r="B2340" s="24"/>
      <c r="E2340" s="24"/>
      <c r="G2340" s="24"/>
      <c r="H2340" s="24"/>
      <c r="J2340" s="24"/>
      <c r="K2340" s="24"/>
      <c r="M2340" s="24"/>
      <c r="N2340" s="24"/>
      <c r="P2340" s="24"/>
    </row>
    <row r="2341" spans="2:16" x14ac:dyDescent="0.25">
      <c r="B2341" s="24"/>
      <c r="E2341" s="24"/>
      <c r="G2341" s="24"/>
      <c r="H2341" s="24"/>
      <c r="J2341" s="24"/>
      <c r="K2341" s="24"/>
      <c r="M2341" s="24"/>
      <c r="N2341" s="24"/>
      <c r="P2341" s="24"/>
    </row>
    <row r="2342" spans="2:16" x14ac:dyDescent="0.25">
      <c r="B2342" s="24"/>
      <c r="E2342" s="24"/>
      <c r="G2342" s="24"/>
      <c r="H2342" s="24"/>
      <c r="J2342" s="24"/>
      <c r="K2342" s="24"/>
      <c r="M2342" s="24"/>
      <c r="N2342" s="24"/>
      <c r="P2342" s="24"/>
    </row>
    <row r="2343" spans="2:16" x14ac:dyDescent="0.25">
      <c r="B2343" s="24"/>
      <c r="E2343" s="24"/>
      <c r="G2343" s="24"/>
      <c r="H2343" s="24"/>
      <c r="J2343" s="24"/>
      <c r="K2343" s="24"/>
      <c r="M2343" s="24"/>
      <c r="N2343" s="24"/>
      <c r="P2343" s="24"/>
    </row>
    <row r="2344" spans="2:16" x14ac:dyDescent="0.25">
      <c r="B2344" s="24"/>
      <c r="E2344" s="24"/>
      <c r="G2344" s="24"/>
      <c r="H2344" s="24"/>
      <c r="J2344" s="24"/>
      <c r="K2344" s="24"/>
      <c r="M2344" s="24"/>
      <c r="N2344" s="24"/>
      <c r="P2344" s="24"/>
    </row>
    <row r="2345" spans="2:16" x14ac:dyDescent="0.25">
      <c r="B2345" s="24"/>
      <c r="E2345" s="24"/>
      <c r="G2345" s="24"/>
      <c r="H2345" s="24"/>
      <c r="J2345" s="24"/>
      <c r="K2345" s="24"/>
      <c r="M2345" s="24"/>
      <c r="N2345" s="24"/>
      <c r="P2345" s="24"/>
    </row>
    <row r="2346" spans="2:16" x14ac:dyDescent="0.25">
      <c r="B2346" s="24"/>
      <c r="E2346" s="24"/>
      <c r="G2346" s="24"/>
      <c r="H2346" s="24"/>
      <c r="J2346" s="24"/>
      <c r="K2346" s="24"/>
      <c r="M2346" s="24"/>
      <c r="N2346" s="24"/>
      <c r="P2346" s="24"/>
    </row>
    <row r="2347" spans="2:16" x14ac:dyDescent="0.25">
      <c r="B2347" s="24"/>
      <c r="E2347" s="24"/>
      <c r="G2347" s="24"/>
      <c r="H2347" s="24"/>
      <c r="J2347" s="24"/>
      <c r="K2347" s="24"/>
      <c r="M2347" s="24"/>
      <c r="N2347" s="24"/>
      <c r="P2347" s="24"/>
    </row>
    <row r="2348" spans="2:16" x14ac:dyDescent="0.25">
      <c r="B2348" s="24"/>
      <c r="E2348" s="24"/>
      <c r="G2348" s="24"/>
      <c r="H2348" s="24"/>
      <c r="J2348" s="24"/>
      <c r="K2348" s="24"/>
      <c r="M2348" s="24"/>
      <c r="N2348" s="24"/>
      <c r="P2348" s="24"/>
    </row>
    <row r="2349" spans="2:16" x14ac:dyDescent="0.25">
      <c r="B2349" s="24"/>
      <c r="E2349" s="24"/>
      <c r="G2349" s="24"/>
      <c r="H2349" s="24"/>
      <c r="J2349" s="24"/>
      <c r="K2349" s="24"/>
      <c r="M2349" s="24"/>
      <c r="N2349" s="24"/>
      <c r="P2349" s="24"/>
    </row>
    <row r="2350" spans="2:16" x14ac:dyDescent="0.25">
      <c r="B2350" s="24"/>
      <c r="E2350" s="24"/>
      <c r="G2350" s="24"/>
      <c r="H2350" s="24"/>
      <c r="J2350" s="24"/>
      <c r="K2350" s="24"/>
      <c r="M2350" s="24"/>
      <c r="N2350" s="24"/>
      <c r="P2350" s="24"/>
    </row>
    <row r="2351" spans="2:16" x14ac:dyDescent="0.25">
      <c r="B2351" s="24"/>
      <c r="E2351" s="24"/>
      <c r="G2351" s="24"/>
      <c r="H2351" s="24"/>
      <c r="J2351" s="24"/>
      <c r="K2351" s="24"/>
      <c r="M2351" s="24"/>
      <c r="N2351" s="24"/>
      <c r="P2351" s="24"/>
    </row>
    <row r="2352" spans="2:16" x14ac:dyDescent="0.25">
      <c r="B2352" s="24"/>
      <c r="E2352" s="24"/>
      <c r="G2352" s="24"/>
      <c r="H2352" s="24"/>
      <c r="J2352" s="24"/>
      <c r="K2352" s="24"/>
      <c r="M2352" s="24"/>
      <c r="N2352" s="24"/>
      <c r="P2352" s="24"/>
    </row>
    <row r="2353" spans="2:16" x14ac:dyDescent="0.25">
      <c r="B2353" s="24"/>
      <c r="E2353" s="24"/>
      <c r="G2353" s="24"/>
      <c r="H2353" s="24"/>
      <c r="J2353" s="24"/>
      <c r="K2353" s="24"/>
      <c r="M2353" s="24"/>
      <c r="N2353" s="24"/>
      <c r="P2353" s="24"/>
    </row>
    <row r="2354" spans="2:16" x14ac:dyDescent="0.25">
      <c r="B2354" s="24"/>
      <c r="E2354" s="24"/>
      <c r="G2354" s="24"/>
      <c r="H2354" s="24"/>
      <c r="J2354" s="24"/>
      <c r="K2354" s="24"/>
      <c r="M2354" s="24"/>
      <c r="N2354" s="24"/>
      <c r="P2354" s="24"/>
    </row>
    <row r="2355" spans="2:16" x14ac:dyDescent="0.25">
      <c r="B2355" s="24"/>
      <c r="E2355" s="24"/>
      <c r="G2355" s="24"/>
      <c r="H2355" s="24"/>
      <c r="J2355" s="24"/>
      <c r="K2355" s="24"/>
      <c r="M2355" s="24"/>
      <c r="N2355" s="24"/>
      <c r="P2355" s="24"/>
    </row>
    <row r="2356" spans="2:16" x14ac:dyDescent="0.25">
      <c r="B2356" s="24"/>
      <c r="E2356" s="24"/>
      <c r="G2356" s="24"/>
      <c r="H2356" s="24"/>
      <c r="J2356" s="24"/>
      <c r="K2356" s="24"/>
      <c r="M2356" s="24"/>
      <c r="N2356" s="24"/>
      <c r="P2356" s="24"/>
    </row>
    <row r="2357" spans="2:16" x14ac:dyDescent="0.25">
      <c r="B2357" s="24"/>
      <c r="E2357" s="24"/>
      <c r="G2357" s="24"/>
      <c r="H2357" s="24"/>
      <c r="J2357" s="24"/>
      <c r="K2357" s="24"/>
      <c r="M2357" s="24"/>
      <c r="N2357" s="24"/>
      <c r="P2357" s="24"/>
    </row>
    <row r="2358" spans="2:16" x14ac:dyDescent="0.25">
      <c r="B2358" s="24"/>
      <c r="E2358" s="24"/>
      <c r="G2358" s="24"/>
      <c r="H2358" s="24"/>
      <c r="J2358" s="24"/>
      <c r="K2358" s="24"/>
      <c r="M2358" s="24"/>
      <c r="N2358" s="24"/>
      <c r="P2358" s="24"/>
    </row>
    <row r="2359" spans="2:16" x14ac:dyDescent="0.25">
      <c r="B2359" s="24"/>
      <c r="E2359" s="24"/>
      <c r="G2359" s="24"/>
      <c r="H2359" s="24"/>
      <c r="J2359" s="24"/>
      <c r="K2359" s="24"/>
      <c r="M2359" s="24"/>
      <c r="N2359" s="24"/>
      <c r="P2359" s="24"/>
    </row>
    <row r="2360" spans="2:16" x14ac:dyDescent="0.25">
      <c r="B2360" s="24"/>
      <c r="E2360" s="24"/>
      <c r="G2360" s="24"/>
      <c r="H2360" s="24"/>
      <c r="J2360" s="24"/>
      <c r="K2360" s="24"/>
      <c r="M2360" s="24"/>
      <c r="N2360" s="24"/>
      <c r="P2360" s="24"/>
    </row>
    <row r="2361" spans="2:16" x14ac:dyDescent="0.25">
      <c r="B2361" s="24"/>
      <c r="E2361" s="24"/>
      <c r="G2361" s="24"/>
      <c r="H2361" s="24"/>
      <c r="J2361" s="24"/>
      <c r="K2361" s="24"/>
      <c r="M2361" s="24"/>
      <c r="N2361" s="24"/>
      <c r="P2361" s="24"/>
    </row>
    <row r="2362" spans="2:16" x14ac:dyDescent="0.25">
      <c r="B2362" s="24"/>
      <c r="E2362" s="24"/>
      <c r="G2362" s="24"/>
      <c r="H2362" s="24"/>
      <c r="J2362" s="24"/>
      <c r="K2362" s="24"/>
      <c r="M2362" s="24"/>
      <c r="N2362" s="24"/>
      <c r="P2362" s="24"/>
    </row>
    <row r="2363" spans="2:16" x14ac:dyDescent="0.25">
      <c r="B2363" s="24"/>
      <c r="E2363" s="24"/>
      <c r="G2363" s="24"/>
      <c r="H2363" s="24"/>
      <c r="J2363" s="24"/>
      <c r="K2363" s="24"/>
      <c r="M2363" s="24"/>
      <c r="N2363" s="24"/>
      <c r="P2363" s="24"/>
    </row>
    <row r="2364" spans="2:16" x14ac:dyDescent="0.25">
      <c r="B2364" s="24"/>
      <c r="E2364" s="24"/>
      <c r="G2364" s="24"/>
      <c r="H2364" s="24"/>
      <c r="J2364" s="24"/>
      <c r="K2364" s="24"/>
      <c r="M2364" s="24"/>
      <c r="N2364" s="24"/>
      <c r="P2364" s="24"/>
    </row>
    <row r="2365" spans="2:16" x14ac:dyDescent="0.25">
      <c r="B2365" s="24"/>
      <c r="E2365" s="24"/>
      <c r="G2365" s="24"/>
      <c r="H2365" s="24"/>
      <c r="J2365" s="24"/>
      <c r="K2365" s="24"/>
      <c r="M2365" s="24"/>
      <c r="N2365" s="24"/>
      <c r="P2365" s="24"/>
    </row>
    <row r="2366" spans="2:16" x14ac:dyDescent="0.25">
      <c r="B2366" s="24"/>
      <c r="E2366" s="24"/>
      <c r="G2366" s="24"/>
      <c r="H2366" s="24"/>
      <c r="J2366" s="24"/>
      <c r="K2366" s="24"/>
      <c r="M2366" s="24"/>
      <c r="N2366" s="24"/>
      <c r="P2366" s="24"/>
    </row>
    <row r="2367" spans="2:16" x14ac:dyDescent="0.25">
      <c r="B2367" s="24"/>
      <c r="E2367" s="24"/>
      <c r="G2367" s="24"/>
      <c r="H2367" s="24"/>
      <c r="J2367" s="24"/>
      <c r="K2367" s="24"/>
      <c r="M2367" s="24"/>
      <c r="N2367" s="24"/>
      <c r="P2367" s="24"/>
    </row>
    <row r="2368" spans="2:16" x14ac:dyDescent="0.25">
      <c r="B2368" s="24"/>
      <c r="E2368" s="24"/>
      <c r="G2368" s="24"/>
      <c r="H2368" s="24"/>
      <c r="J2368" s="24"/>
      <c r="K2368" s="24"/>
      <c r="M2368" s="24"/>
      <c r="N2368" s="24"/>
      <c r="P2368" s="24"/>
    </row>
    <row r="2369" spans="2:16" x14ac:dyDescent="0.25">
      <c r="B2369" s="24"/>
      <c r="E2369" s="24"/>
      <c r="G2369" s="24"/>
      <c r="H2369" s="24"/>
      <c r="J2369" s="24"/>
      <c r="K2369" s="24"/>
      <c r="M2369" s="24"/>
      <c r="N2369" s="24"/>
      <c r="P2369" s="24"/>
    </row>
    <row r="2370" spans="2:16" x14ac:dyDescent="0.25">
      <c r="B2370" s="24"/>
      <c r="E2370" s="24"/>
      <c r="G2370" s="24"/>
      <c r="H2370" s="24"/>
      <c r="J2370" s="24"/>
      <c r="K2370" s="24"/>
      <c r="M2370" s="24"/>
      <c r="N2370" s="24"/>
      <c r="P2370" s="24"/>
    </row>
    <row r="2371" spans="2:16" x14ac:dyDescent="0.25">
      <c r="B2371" s="24"/>
      <c r="E2371" s="24"/>
      <c r="G2371" s="24"/>
      <c r="H2371" s="24"/>
      <c r="J2371" s="24"/>
      <c r="K2371" s="24"/>
      <c r="M2371" s="24"/>
      <c r="N2371" s="24"/>
      <c r="P2371" s="24"/>
    </row>
    <row r="2372" spans="2:16" x14ac:dyDescent="0.25">
      <c r="B2372" s="24"/>
      <c r="E2372" s="24"/>
      <c r="G2372" s="24"/>
      <c r="H2372" s="24"/>
      <c r="J2372" s="24"/>
      <c r="K2372" s="24"/>
      <c r="M2372" s="24"/>
      <c r="N2372" s="24"/>
      <c r="P2372" s="24"/>
    </row>
    <row r="2373" spans="2:16" x14ac:dyDescent="0.25">
      <c r="B2373" s="24"/>
      <c r="E2373" s="24"/>
      <c r="G2373" s="24"/>
      <c r="H2373" s="24"/>
      <c r="J2373" s="24"/>
      <c r="K2373" s="24"/>
      <c r="M2373" s="24"/>
      <c r="N2373" s="24"/>
      <c r="P2373" s="24"/>
    </row>
    <row r="2374" spans="2:16" x14ac:dyDescent="0.25">
      <c r="B2374" s="24"/>
      <c r="E2374" s="24"/>
      <c r="G2374" s="24"/>
      <c r="H2374" s="24"/>
      <c r="J2374" s="24"/>
      <c r="K2374" s="24"/>
      <c r="M2374" s="24"/>
      <c r="N2374" s="24"/>
      <c r="P2374" s="24"/>
    </row>
    <row r="2375" spans="2:16" x14ac:dyDescent="0.25">
      <c r="B2375" s="24"/>
      <c r="E2375" s="24"/>
      <c r="G2375" s="24"/>
      <c r="H2375" s="24"/>
      <c r="J2375" s="24"/>
      <c r="K2375" s="24"/>
      <c r="M2375" s="24"/>
      <c r="N2375" s="24"/>
      <c r="P2375" s="24"/>
    </row>
    <row r="2376" spans="2:16" x14ac:dyDescent="0.25">
      <c r="B2376" s="24"/>
      <c r="E2376" s="24"/>
      <c r="G2376" s="24"/>
      <c r="H2376" s="24"/>
      <c r="J2376" s="24"/>
      <c r="K2376" s="24"/>
      <c r="M2376" s="24"/>
      <c r="N2376" s="24"/>
      <c r="P2376" s="24"/>
    </row>
    <row r="2377" spans="2:16" x14ac:dyDescent="0.25">
      <c r="B2377" s="24"/>
      <c r="E2377" s="24"/>
      <c r="G2377" s="24"/>
      <c r="H2377" s="24"/>
      <c r="J2377" s="24"/>
      <c r="K2377" s="24"/>
      <c r="M2377" s="24"/>
      <c r="N2377" s="24"/>
      <c r="P2377" s="24"/>
    </row>
    <row r="2378" spans="2:16" x14ac:dyDescent="0.25">
      <c r="B2378" s="24"/>
      <c r="E2378" s="24"/>
      <c r="G2378" s="24"/>
      <c r="H2378" s="24"/>
      <c r="J2378" s="24"/>
      <c r="K2378" s="24"/>
      <c r="M2378" s="24"/>
      <c r="N2378" s="24"/>
      <c r="P2378" s="24"/>
    </row>
    <row r="2379" spans="2:16" x14ac:dyDescent="0.25">
      <c r="B2379" s="24"/>
      <c r="E2379" s="24"/>
      <c r="G2379" s="24"/>
      <c r="H2379" s="24"/>
      <c r="J2379" s="24"/>
      <c r="K2379" s="24"/>
      <c r="M2379" s="24"/>
      <c r="N2379" s="24"/>
      <c r="P2379" s="24"/>
    </row>
    <row r="2380" spans="2:16" x14ac:dyDescent="0.25">
      <c r="B2380" s="24"/>
      <c r="E2380" s="24"/>
      <c r="G2380" s="24"/>
      <c r="H2380" s="24"/>
      <c r="J2380" s="24"/>
      <c r="K2380" s="24"/>
      <c r="M2380" s="24"/>
      <c r="N2380" s="24"/>
      <c r="P2380" s="24"/>
    </row>
    <row r="2381" spans="2:16" x14ac:dyDescent="0.25">
      <c r="B2381" s="24"/>
      <c r="E2381" s="24"/>
      <c r="G2381" s="24"/>
      <c r="H2381" s="24"/>
      <c r="J2381" s="24"/>
      <c r="K2381" s="24"/>
      <c r="M2381" s="24"/>
      <c r="N2381" s="24"/>
      <c r="P2381" s="24"/>
    </row>
    <row r="2382" spans="2:16" x14ac:dyDescent="0.25">
      <c r="B2382" s="24"/>
      <c r="E2382" s="24"/>
      <c r="G2382" s="24"/>
      <c r="H2382" s="24"/>
      <c r="J2382" s="24"/>
      <c r="K2382" s="24"/>
      <c r="M2382" s="24"/>
      <c r="N2382" s="24"/>
      <c r="P2382" s="24"/>
    </row>
    <row r="2383" spans="2:16" x14ac:dyDescent="0.25">
      <c r="B2383" s="24"/>
      <c r="E2383" s="24"/>
      <c r="G2383" s="24"/>
      <c r="H2383" s="24"/>
      <c r="J2383" s="24"/>
      <c r="K2383" s="24"/>
      <c r="M2383" s="24"/>
      <c r="N2383" s="24"/>
      <c r="P2383" s="24"/>
    </row>
    <row r="2384" spans="2:16" x14ac:dyDescent="0.25">
      <c r="B2384" s="24"/>
      <c r="E2384" s="24"/>
      <c r="G2384" s="24"/>
      <c r="H2384" s="24"/>
      <c r="J2384" s="24"/>
      <c r="K2384" s="24"/>
      <c r="M2384" s="24"/>
      <c r="N2384" s="24"/>
      <c r="P2384" s="24"/>
    </row>
    <row r="2385" spans="2:16" x14ac:dyDescent="0.25">
      <c r="B2385" s="24"/>
      <c r="E2385" s="24"/>
      <c r="G2385" s="24"/>
      <c r="H2385" s="24"/>
      <c r="J2385" s="24"/>
      <c r="K2385" s="24"/>
      <c r="M2385" s="24"/>
      <c r="N2385" s="24"/>
      <c r="P2385" s="24"/>
    </row>
    <row r="2386" spans="2:16" x14ac:dyDescent="0.25">
      <c r="B2386" s="24"/>
      <c r="E2386" s="24"/>
      <c r="G2386" s="24"/>
      <c r="H2386" s="24"/>
      <c r="J2386" s="24"/>
      <c r="K2386" s="24"/>
      <c r="M2386" s="24"/>
      <c r="N2386" s="24"/>
      <c r="P2386" s="24"/>
    </row>
    <row r="2387" spans="2:16" x14ac:dyDescent="0.25">
      <c r="B2387" s="24"/>
      <c r="E2387" s="24"/>
      <c r="G2387" s="24"/>
      <c r="H2387" s="24"/>
      <c r="J2387" s="24"/>
      <c r="K2387" s="24"/>
      <c r="M2387" s="24"/>
      <c r="N2387" s="24"/>
      <c r="P2387" s="24"/>
    </row>
    <row r="2388" spans="2:16" x14ac:dyDescent="0.25">
      <c r="B2388" s="24"/>
      <c r="E2388" s="24"/>
      <c r="G2388" s="24"/>
      <c r="H2388" s="24"/>
      <c r="J2388" s="24"/>
      <c r="K2388" s="24"/>
      <c r="M2388" s="24"/>
      <c r="N2388" s="24"/>
      <c r="P2388" s="24"/>
    </row>
    <row r="2389" spans="2:16" x14ac:dyDescent="0.25">
      <c r="B2389" s="24"/>
      <c r="E2389" s="24"/>
      <c r="G2389" s="24"/>
      <c r="H2389" s="24"/>
      <c r="J2389" s="24"/>
      <c r="K2389" s="24"/>
      <c r="M2389" s="24"/>
      <c r="N2389" s="24"/>
      <c r="P2389" s="24"/>
    </row>
    <row r="2390" spans="2:16" x14ac:dyDescent="0.25">
      <c r="B2390" s="24"/>
      <c r="E2390" s="24"/>
      <c r="G2390" s="24"/>
      <c r="H2390" s="24"/>
      <c r="J2390" s="24"/>
      <c r="K2390" s="24"/>
      <c r="M2390" s="24"/>
      <c r="N2390" s="24"/>
      <c r="P2390" s="24"/>
    </row>
    <row r="2391" spans="2:16" x14ac:dyDescent="0.25">
      <c r="B2391" s="24"/>
      <c r="E2391" s="24"/>
      <c r="G2391" s="24"/>
      <c r="H2391" s="24"/>
      <c r="J2391" s="24"/>
      <c r="K2391" s="24"/>
      <c r="M2391" s="24"/>
      <c r="N2391" s="24"/>
      <c r="P2391" s="24"/>
    </row>
    <row r="2392" spans="2:16" x14ac:dyDescent="0.25">
      <c r="B2392" s="24"/>
      <c r="E2392" s="24"/>
      <c r="G2392" s="24"/>
      <c r="H2392" s="24"/>
      <c r="J2392" s="24"/>
      <c r="K2392" s="24"/>
      <c r="M2392" s="24"/>
      <c r="N2392" s="24"/>
      <c r="P2392" s="24"/>
    </row>
    <row r="2393" spans="2:16" x14ac:dyDescent="0.25">
      <c r="B2393" s="24"/>
      <c r="E2393" s="24"/>
      <c r="G2393" s="24"/>
      <c r="H2393" s="24"/>
      <c r="J2393" s="24"/>
      <c r="K2393" s="24"/>
      <c r="M2393" s="24"/>
      <c r="N2393" s="24"/>
      <c r="P2393" s="24"/>
    </row>
    <row r="2394" spans="2:16" x14ac:dyDescent="0.25">
      <c r="B2394" s="24"/>
      <c r="E2394" s="24"/>
      <c r="G2394" s="24"/>
      <c r="H2394" s="24"/>
      <c r="J2394" s="24"/>
      <c r="K2394" s="24"/>
      <c r="M2394" s="24"/>
      <c r="N2394" s="24"/>
      <c r="P2394" s="24"/>
    </row>
    <row r="2395" spans="2:16" x14ac:dyDescent="0.25">
      <c r="B2395" s="24"/>
      <c r="E2395" s="24"/>
      <c r="G2395" s="24"/>
      <c r="H2395" s="24"/>
      <c r="J2395" s="24"/>
      <c r="K2395" s="24"/>
      <c r="M2395" s="24"/>
      <c r="N2395" s="24"/>
      <c r="P2395" s="24"/>
    </row>
    <row r="2396" spans="2:16" x14ac:dyDescent="0.25">
      <c r="B2396" s="24"/>
      <c r="E2396" s="24"/>
      <c r="G2396" s="24"/>
      <c r="H2396" s="24"/>
      <c r="J2396" s="24"/>
      <c r="K2396" s="24"/>
      <c r="M2396" s="24"/>
      <c r="N2396" s="24"/>
      <c r="P2396" s="24"/>
    </row>
    <row r="2397" spans="2:16" x14ac:dyDescent="0.25">
      <c r="B2397" s="24"/>
      <c r="E2397" s="24"/>
      <c r="G2397" s="24"/>
      <c r="H2397" s="24"/>
      <c r="J2397" s="24"/>
      <c r="K2397" s="24"/>
      <c r="M2397" s="24"/>
      <c r="N2397" s="24"/>
      <c r="P2397" s="24"/>
    </row>
    <row r="2398" spans="2:16" x14ac:dyDescent="0.25">
      <c r="B2398" s="24"/>
      <c r="E2398" s="24"/>
      <c r="G2398" s="24"/>
      <c r="H2398" s="24"/>
      <c r="J2398" s="24"/>
      <c r="K2398" s="24"/>
      <c r="M2398" s="24"/>
      <c r="N2398" s="24"/>
      <c r="P2398" s="24"/>
    </row>
    <row r="2399" spans="2:16" x14ac:dyDescent="0.25">
      <c r="B2399" s="24"/>
      <c r="E2399" s="24"/>
      <c r="G2399" s="24"/>
      <c r="H2399" s="24"/>
      <c r="J2399" s="24"/>
      <c r="K2399" s="24"/>
      <c r="M2399" s="24"/>
      <c r="N2399" s="24"/>
      <c r="P2399" s="24"/>
    </row>
    <row r="2400" spans="2:16" x14ac:dyDescent="0.25">
      <c r="B2400" s="24"/>
      <c r="E2400" s="24"/>
      <c r="G2400" s="24"/>
      <c r="H2400" s="24"/>
      <c r="J2400" s="24"/>
      <c r="K2400" s="24"/>
      <c r="M2400" s="24"/>
      <c r="N2400" s="24"/>
      <c r="P2400" s="24"/>
    </row>
    <row r="2401" spans="2:16" x14ac:dyDescent="0.25">
      <c r="B2401" s="24"/>
      <c r="E2401" s="24"/>
      <c r="G2401" s="24"/>
      <c r="H2401" s="24"/>
      <c r="J2401" s="24"/>
      <c r="K2401" s="24"/>
      <c r="M2401" s="24"/>
      <c r="N2401" s="24"/>
      <c r="P2401" s="24"/>
    </row>
    <row r="2402" spans="2:16" x14ac:dyDescent="0.25">
      <c r="B2402" s="24"/>
      <c r="E2402" s="24"/>
      <c r="G2402" s="24"/>
      <c r="H2402" s="24"/>
      <c r="J2402" s="24"/>
      <c r="K2402" s="24"/>
      <c r="M2402" s="24"/>
      <c r="N2402" s="24"/>
      <c r="P2402" s="24"/>
    </row>
    <row r="2403" spans="2:16" x14ac:dyDescent="0.25">
      <c r="B2403" s="24"/>
      <c r="E2403" s="24"/>
      <c r="G2403" s="24"/>
      <c r="H2403" s="24"/>
      <c r="J2403" s="24"/>
      <c r="K2403" s="24"/>
      <c r="M2403" s="24"/>
      <c r="N2403" s="24"/>
      <c r="P2403" s="24"/>
    </row>
    <row r="2404" spans="2:16" x14ac:dyDescent="0.25">
      <c r="B2404" s="24"/>
      <c r="E2404" s="24"/>
      <c r="G2404" s="24"/>
      <c r="H2404" s="24"/>
      <c r="J2404" s="24"/>
      <c r="K2404" s="24"/>
      <c r="M2404" s="24"/>
      <c r="N2404" s="24"/>
      <c r="P2404" s="24"/>
    </row>
    <row r="2405" spans="2:16" x14ac:dyDescent="0.25">
      <c r="B2405" s="24"/>
      <c r="E2405" s="24"/>
      <c r="G2405" s="24"/>
      <c r="H2405" s="24"/>
      <c r="J2405" s="24"/>
      <c r="K2405" s="24"/>
      <c r="M2405" s="24"/>
      <c r="N2405" s="24"/>
      <c r="P2405" s="24"/>
    </row>
    <row r="2406" spans="2:16" x14ac:dyDescent="0.25">
      <c r="B2406" s="24"/>
      <c r="E2406" s="24"/>
      <c r="G2406" s="24"/>
      <c r="H2406" s="24"/>
      <c r="J2406" s="24"/>
      <c r="K2406" s="24"/>
      <c r="M2406" s="24"/>
      <c r="N2406" s="24"/>
      <c r="P2406" s="24"/>
    </row>
    <row r="2407" spans="2:16" x14ac:dyDescent="0.25">
      <c r="B2407" s="24"/>
      <c r="E2407" s="24"/>
      <c r="G2407" s="24"/>
      <c r="H2407" s="24"/>
      <c r="J2407" s="24"/>
      <c r="K2407" s="24"/>
      <c r="M2407" s="24"/>
      <c r="N2407" s="24"/>
      <c r="P2407" s="24"/>
    </row>
    <row r="2408" spans="2:16" x14ac:dyDescent="0.25">
      <c r="B2408" s="24"/>
      <c r="E2408" s="24"/>
      <c r="G2408" s="24"/>
      <c r="H2408" s="24"/>
      <c r="J2408" s="24"/>
      <c r="K2408" s="24"/>
      <c r="M2408" s="24"/>
      <c r="N2408" s="24"/>
      <c r="P2408" s="24"/>
    </row>
    <row r="2409" spans="2:16" x14ac:dyDescent="0.25">
      <c r="B2409" s="24"/>
      <c r="E2409" s="24"/>
      <c r="G2409" s="24"/>
      <c r="H2409" s="24"/>
      <c r="J2409" s="24"/>
      <c r="K2409" s="24"/>
      <c r="M2409" s="24"/>
      <c r="N2409" s="24"/>
      <c r="P2409" s="24"/>
    </row>
    <row r="2410" spans="2:16" x14ac:dyDescent="0.25">
      <c r="B2410" s="24"/>
      <c r="E2410" s="24"/>
      <c r="G2410" s="24"/>
      <c r="H2410" s="24"/>
      <c r="J2410" s="24"/>
      <c r="K2410" s="24"/>
      <c r="M2410" s="24"/>
      <c r="N2410" s="24"/>
      <c r="P2410" s="24"/>
    </row>
    <row r="2411" spans="2:16" x14ac:dyDescent="0.25">
      <c r="B2411" s="24"/>
      <c r="E2411" s="24"/>
      <c r="G2411" s="24"/>
      <c r="H2411" s="24"/>
      <c r="J2411" s="24"/>
      <c r="K2411" s="24"/>
      <c r="M2411" s="24"/>
      <c r="N2411" s="24"/>
      <c r="P2411" s="24"/>
    </row>
    <row r="2412" spans="2:16" x14ac:dyDescent="0.25">
      <c r="B2412" s="24"/>
      <c r="E2412" s="24"/>
      <c r="G2412" s="24"/>
      <c r="H2412" s="24"/>
      <c r="J2412" s="24"/>
      <c r="K2412" s="24"/>
      <c r="M2412" s="24"/>
      <c r="N2412" s="24"/>
      <c r="P2412" s="24"/>
    </row>
    <row r="2413" spans="2:16" x14ac:dyDescent="0.25">
      <c r="B2413" s="24"/>
      <c r="E2413" s="24"/>
      <c r="G2413" s="24"/>
      <c r="H2413" s="24"/>
      <c r="J2413" s="24"/>
      <c r="K2413" s="24"/>
      <c r="M2413" s="24"/>
      <c r="N2413" s="24"/>
      <c r="P2413" s="24"/>
    </row>
    <row r="2414" spans="2:16" x14ac:dyDescent="0.25">
      <c r="B2414" s="24"/>
      <c r="E2414" s="24"/>
      <c r="G2414" s="24"/>
      <c r="H2414" s="24"/>
      <c r="J2414" s="24"/>
      <c r="K2414" s="24"/>
      <c r="M2414" s="24"/>
      <c r="N2414" s="24"/>
      <c r="P2414" s="24"/>
    </row>
    <row r="2415" spans="2:16" x14ac:dyDescent="0.25">
      <c r="B2415" s="24"/>
      <c r="E2415" s="24"/>
      <c r="G2415" s="24"/>
      <c r="H2415" s="24"/>
      <c r="J2415" s="24"/>
      <c r="K2415" s="24"/>
      <c r="M2415" s="24"/>
      <c r="N2415" s="24"/>
      <c r="P2415" s="24"/>
    </row>
    <row r="2416" spans="2:16" x14ac:dyDescent="0.25">
      <c r="B2416" s="24"/>
      <c r="E2416" s="24"/>
      <c r="G2416" s="24"/>
      <c r="H2416" s="24"/>
      <c r="J2416" s="24"/>
      <c r="K2416" s="24"/>
      <c r="M2416" s="24"/>
      <c r="N2416" s="24"/>
      <c r="P2416" s="24"/>
    </row>
    <row r="2417" spans="2:16" x14ac:dyDescent="0.25">
      <c r="B2417" s="24"/>
      <c r="E2417" s="24"/>
      <c r="G2417" s="24"/>
      <c r="H2417" s="24"/>
      <c r="J2417" s="24"/>
      <c r="K2417" s="24"/>
      <c r="M2417" s="24"/>
      <c r="N2417" s="24"/>
      <c r="P2417" s="24"/>
    </row>
    <row r="2418" spans="2:16" x14ac:dyDescent="0.25">
      <c r="B2418" s="24"/>
      <c r="E2418" s="24"/>
      <c r="G2418" s="24"/>
      <c r="H2418" s="24"/>
      <c r="J2418" s="24"/>
      <c r="K2418" s="24"/>
      <c r="M2418" s="24"/>
      <c r="N2418" s="24"/>
      <c r="P2418" s="24"/>
    </row>
    <row r="2419" spans="2:16" x14ac:dyDescent="0.25">
      <c r="B2419" s="24"/>
      <c r="E2419" s="24"/>
      <c r="G2419" s="24"/>
      <c r="H2419" s="24"/>
      <c r="J2419" s="24"/>
      <c r="K2419" s="24"/>
      <c r="M2419" s="24"/>
      <c r="N2419" s="24"/>
      <c r="P2419" s="24"/>
    </row>
    <row r="2420" spans="2:16" x14ac:dyDescent="0.25">
      <c r="B2420" s="24"/>
      <c r="E2420" s="24"/>
      <c r="G2420" s="24"/>
      <c r="H2420" s="24"/>
      <c r="J2420" s="24"/>
      <c r="K2420" s="24"/>
      <c r="M2420" s="24"/>
      <c r="N2420" s="24"/>
      <c r="P2420" s="24"/>
    </row>
    <row r="2421" spans="2:16" x14ac:dyDescent="0.25">
      <c r="B2421" s="24"/>
      <c r="E2421" s="24"/>
      <c r="G2421" s="24"/>
      <c r="H2421" s="24"/>
      <c r="J2421" s="24"/>
      <c r="K2421" s="24"/>
      <c r="M2421" s="24"/>
      <c r="N2421" s="24"/>
      <c r="P2421" s="24"/>
    </row>
    <row r="2422" spans="2:16" x14ac:dyDescent="0.25">
      <c r="B2422" s="24"/>
      <c r="E2422" s="24"/>
      <c r="G2422" s="24"/>
      <c r="H2422" s="24"/>
      <c r="J2422" s="24"/>
      <c r="K2422" s="24"/>
      <c r="M2422" s="24"/>
      <c r="N2422" s="24"/>
      <c r="P2422" s="24"/>
    </row>
    <row r="2423" spans="2:16" x14ac:dyDescent="0.25">
      <c r="B2423" s="24"/>
      <c r="E2423" s="24"/>
      <c r="G2423" s="24"/>
      <c r="H2423" s="24"/>
      <c r="J2423" s="24"/>
      <c r="K2423" s="24"/>
      <c r="M2423" s="24"/>
      <c r="N2423" s="24"/>
      <c r="P2423" s="24"/>
    </row>
    <row r="2424" spans="2:16" x14ac:dyDescent="0.25">
      <c r="B2424" s="24"/>
      <c r="E2424" s="24"/>
      <c r="G2424" s="24"/>
      <c r="H2424" s="24"/>
      <c r="J2424" s="24"/>
      <c r="K2424" s="24"/>
      <c r="M2424" s="24"/>
      <c r="N2424" s="24"/>
      <c r="P2424" s="24"/>
    </row>
    <row r="2425" spans="2:16" x14ac:dyDescent="0.25">
      <c r="B2425" s="24"/>
      <c r="E2425" s="24"/>
      <c r="G2425" s="24"/>
      <c r="H2425" s="24"/>
      <c r="J2425" s="24"/>
      <c r="K2425" s="24"/>
      <c r="M2425" s="24"/>
      <c r="N2425" s="24"/>
      <c r="P2425" s="24"/>
    </row>
    <row r="2426" spans="2:16" x14ac:dyDescent="0.25">
      <c r="B2426" s="24"/>
      <c r="E2426" s="24"/>
      <c r="G2426" s="24"/>
      <c r="H2426" s="24"/>
      <c r="J2426" s="24"/>
      <c r="K2426" s="24"/>
      <c r="M2426" s="24"/>
      <c r="N2426" s="24"/>
      <c r="P2426" s="24"/>
    </row>
    <row r="2427" spans="2:16" x14ac:dyDescent="0.25">
      <c r="B2427" s="24"/>
      <c r="E2427" s="24"/>
      <c r="G2427" s="24"/>
      <c r="H2427" s="24"/>
      <c r="J2427" s="24"/>
      <c r="K2427" s="24"/>
      <c r="M2427" s="24"/>
      <c r="N2427" s="24"/>
      <c r="P2427" s="24"/>
    </row>
    <row r="2428" spans="2:16" x14ac:dyDescent="0.25">
      <c r="B2428" s="24"/>
      <c r="E2428" s="24"/>
      <c r="G2428" s="24"/>
      <c r="H2428" s="24"/>
      <c r="J2428" s="24"/>
      <c r="K2428" s="24"/>
      <c r="M2428" s="24"/>
      <c r="N2428" s="24"/>
      <c r="P2428" s="24"/>
    </row>
    <row r="2429" spans="2:16" x14ac:dyDescent="0.25">
      <c r="B2429" s="24"/>
      <c r="E2429" s="24"/>
      <c r="G2429" s="24"/>
      <c r="H2429" s="24"/>
      <c r="J2429" s="24"/>
      <c r="K2429" s="24"/>
      <c r="M2429" s="24"/>
      <c r="N2429" s="24"/>
      <c r="P2429" s="24"/>
    </row>
    <row r="2430" spans="2:16" x14ac:dyDescent="0.25">
      <c r="B2430" s="24"/>
      <c r="E2430" s="24"/>
      <c r="G2430" s="24"/>
      <c r="H2430" s="24"/>
      <c r="J2430" s="24"/>
      <c r="K2430" s="24"/>
      <c r="M2430" s="24"/>
      <c r="N2430" s="24"/>
      <c r="P2430" s="24"/>
    </row>
    <row r="2431" spans="2:16" x14ac:dyDescent="0.25">
      <c r="B2431" s="24"/>
      <c r="E2431" s="24"/>
      <c r="G2431" s="24"/>
      <c r="H2431" s="24"/>
      <c r="J2431" s="24"/>
      <c r="K2431" s="24"/>
      <c r="M2431" s="24"/>
      <c r="N2431" s="24"/>
      <c r="P2431" s="24"/>
    </row>
    <row r="2432" spans="2:16" x14ac:dyDescent="0.25">
      <c r="B2432" s="24"/>
      <c r="E2432" s="24"/>
      <c r="G2432" s="24"/>
      <c r="H2432" s="24"/>
      <c r="J2432" s="24"/>
      <c r="K2432" s="24"/>
      <c r="M2432" s="24"/>
      <c r="N2432" s="24"/>
      <c r="P2432" s="24"/>
    </row>
    <row r="2433" spans="2:16" x14ac:dyDescent="0.25">
      <c r="B2433" s="24"/>
      <c r="E2433" s="24"/>
      <c r="G2433" s="24"/>
      <c r="H2433" s="24"/>
      <c r="J2433" s="24"/>
      <c r="K2433" s="24"/>
      <c r="M2433" s="24"/>
      <c r="N2433" s="24"/>
      <c r="P2433" s="24"/>
    </row>
    <row r="2434" spans="2:16" x14ac:dyDescent="0.25">
      <c r="B2434" s="24"/>
      <c r="E2434" s="24"/>
      <c r="G2434" s="24"/>
      <c r="H2434" s="24"/>
      <c r="J2434" s="24"/>
      <c r="K2434" s="24"/>
      <c r="M2434" s="24"/>
      <c r="N2434" s="24"/>
      <c r="P2434" s="24"/>
    </row>
    <row r="2435" spans="2:16" x14ac:dyDescent="0.25">
      <c r="B2435" s="24"/>
      <c r="E2435" s="24"/>
      <c r="G2435" s="24"/>
      <c r="H2435" s="24"/>
      <c r="J2435" s="24"/>
      <c r="K2435" s="24"/>
      <c r="M2435" s="24"/>
      <c r="N2435" s="24"/>
      <c r="P2435" s="24"/>
    </row>
    <row r="2436" spans="2:16" x14ac:dyDescent="0.25">
      <c r="B2436" s="24"/>
      <c r="E2436" s="24"/>
      <c r="G2436" s="24"/>
      <c r="H2436" s="24"/>
      <c r="J2436" s="24"/>
      <c r="K2436" s="24"/>
      <c r="M2436" s="24"/>
      <c r="N2436" s="24"/>
      <c r="P2436" s="24"/>
    </row>
    <row r="2437" spans="2:16" x14ac:dyDescent="0.25">
      <c r="B2437" s="24"/>
      <c r="E2437" s="24"/>
      <c r="G2437" s="24"/>
      <c r="H2437" s="24"/>
      <c r="J2437" s="24"/>
      <c r="K2437" s="24"/>
      <c r="M2437" s="24"/>
      <c r="N2437" s="24"/>
      <c r="P2437" s="24"/>
    </row>
    <row r="2438" spans="2:16" x14ac:dyDescent="0.25">
      <c r="B2438" s="24"/>
      <c r="E2438" s="24"/>
      <c r="G2438" s="24"/>
      <c r="H2438" s="24"/>
      <c r="J2438" s="24"/>
      <c r="K2438" s="24"/>
      <c r="M2438" s="24"/>
      <c r="N2438" s="24"/>
      <c r="P2438" s="24"/>
    </row>
    <row r="2439" spans="2:16" x14ac:dyDescent="0.25">
      <c r="B2439" s="24"/>
      <c r="E2439" s="24"/>
      <c r="G2439" s="24"/>
      <c r="H2439" s="24"/>
      <c r="J2439" s="24"/>
      <c r="K2439" s="24"/>
      <c r="M2439" s="24"/>
      <c r="N2439" s="24"/>
      <c r="P2439" s="24"/>
    </row>
    <row r="2440" spans="2:16" x14ac:dyDescent="0.25">
      <c r="B2440" s="24"/>
      <c r="E2440" s="24"/>
      <c r="G2440" s="24"/>
      <c r="H2440" s="24"/>
      <c r="J2440" s="24"/>
      <c r="K2440" s="24"/>
      <c r="M2440" s="24"/>
      <c r="N2440" s="24"/>
      <c r="P2440" s="24"/>
    </row>
    <row r="2441" spans="2:16" x14ac:dyDescent="0.25">
      <c r="B2441" s="24"/>
      <c r="E2441" s="24"/>
      <c r="G2441" s="24"/>
      <c r="H2441" s="24"/>
      <c r="J2441" s="24"/>
      <c r="K2441" s="24"/>
      <c r="M2441" s="24"/>
      <c r="N2441" s="24"/>
      <c r="P2441" s="24"/>
    </row>
    <row r="2442" spans="2:16" x14ac:dyDescent="0.25">
      <c r="B2442" s="24"/>
      <c r="E2442" s="24"/>
      <c r="G2442" s="24"/>
      <c r="H2442" s="24"/>
      <c r="J2442" s="24"/>
      <c r="K2442" s="24"/>
      <c r="M2442" s="24"/>
      <c r="N2442" s="24"/>
      <c r="P2442" s="24"/>
    </row>
    <row r="2443" spans="2:16" x14ac:dyDescent="0.25">
      <c r="B2443" s="24"/>
      <c r="E2443" s="24"/>
      <c r="G2443" s="24"/>
      <c r="H2443" s="24"/>
      <c r="J2443" s="24"/>
      <c r="K2443" s="24"/>
      <c r="M2443" s="24"/>
      <c r="N2443" s="24"/>
      <c r="P2443" s="24"/>
    </row>
    <row r="2444" spans="2:16" x14ac:dyDescent="0.25">
      <c r="B2444" s="24"/>
      <c r="E2444" s="24"/>
      <c r="G2444" s="24"/>
      <c r="H2444" s="24"/>
      <c r="J2444" s="24"/>
      <c r="K2444" s="24"/>
      <c r="M2444" s="24"/>
      <c r="N2444" s="24"/>
      <c r="P2444" s="24"/>
    </row>
    <row r="2445" spans="2:16" x14ac:dyDescent="0.25">
      <c r="B2445" s="24"/>
      <c r="E2445" s="24"/>
      <c r="G2445" s="24"/>
      <c r="H2445" s="24"/>
      <c r="J2445" s="24"/>
      <c r="K2445" s="24"/>
      <c r="M2445" s="24"/>
      <c r="N2445" s="24"/>
      <c r="P2445" s="24"/>
    </row>
    <row r="2446" spans="2:16" x14ac:dyDescent="0.25">
      <c r="B2446" s="24"/>
      <c r="E2446" s="24"/>
      <c r="G2446" s="24"/>
      <c r="H2446" s="24"/>
      <c r="J2446" s="24"/>
      <c r="K2446" s="24"/>
      <c r="M2446" s="24"/>
      <c r="N2446" s="24"/>
      <c r="P2446" s="24"/>
    </row>
    <row r="2447" spans="2:16" x14ac:dyDescent="0.25">
      <c r="B2447" s="24"/>
      <c r="E2447" s="24"/>
      <c r="G2447" s="24"/>
      <c r="H2447" s="24"/>
      <c r="J2447" s="24"/>
      <c r="K2447" s="24"/>
      <c r="M2447" s="24"/>
      <c r="N2447" s="24"/>
      <c r="P2447" s="24"/>
    </row>
    <row r="2448" spans="2:16" x14ac:dyDescent="0.25">
      <c r="B2448" s="24"/>
      <c r="E2448" s="24"/>
      <c r="G2448" s="24"/>
      <c r="H2448" s="24"/>
      <c r="J2448" s="24"/>
      <c r="K2448" s="24"/>
      <c r="M2448" s="24"/>
      <c r="N2448" s="24"/>
      <c r="P2448" s="24"/>
    </row>
    <row r="2449" spans="2:16" x14ac:dyDescent="0.25">
      <c r="B2449" s="24"/>
      <c r="E2449" s="24"/>
      <c r="G2449" s="24"/>
      <c r="H2449" s="24"/>
      <c r="J2449" s="24"/>
      <c r="K2449" s="24"/>
      <c r="M2449" s="24"/>
      <c r="N2449" s="24"/>
      <c r="P2449" s="24"/>
    </row>
    <row r="2450" spans="2:16" x14ac:dyDescent="0.25">
      <c r="B2450" s="24"/>
      <c r="E2450" s="24"/>
      <c r="G2450" s="24"/>
      <c r="H2450" s="24"/>
      <c r="J2450" s="24"/>
      <c r="K2450" s="24"/>
      <c r="M2450" s="24"/>
      <c r="N2450" s="24"/>
      <c r="P2450" s="24"/>
    </row>
    <row r="2451" spans="2:16" x14ac:dyDescent="0.25">
      <c r="B2451" s="24"/>
      <c r="E2451" s="24"/>
      <c r="G2451" s="24"/>
      <c r="H2451" s="24"/>
      <c r="J2451" s="24"/>
      <c r="K2451" s="24"/>
      <c r="M2451" s="24"/>
      <c r="N2451" s="24"/>
      <c r="P2451" s="24"/>
    </row>
    <row r="2452" spans="2:16" x14ac:dyDescent="0.25">
      <c r="B2452" s="24"/>
      <c r="E2452" s="24"/>
      <c r="G2452" s="24"/>
      <c r="H2452" s="24"/>
      <c r="J2452" s="24"/>
      <c r="K2452" s="24"/>
      <c r="M2452" s="24"/>
      <c r="N2452" s="24"/>
      <c r="P2452" s="24"/>
    </row>
    <row r="2453" spans="2:16" x14ac:dyDescent="0.25">
      <c r="B2453" s="24"/>
      <c r="E2453" s="24"/>
      <c r="G2453" s="24"/>
      <c r="H2453" s="24"/>
      <c r="J2453" s="24"/>
      <c r="K2453" s="24"/>
      <c r="M2453" s="24"/>
      <c r="N2453" s="24"/>
      <c r="P2453" s="24"/>
    </row>
    <row r="2454" spans="2:16" x14ac:dyDescent="0.25">
      <c r="B2454" s="24"/>
      <c r="E2454" s="24"/>
      <c r="G2454" s="24"/>
      <c r="H2454" s="24"/>
      <c r="J2454" s="24"/>
      <c r="K2454" s="24"/>
      <c r="M2454" s="24"/>
      <c r="N2454" s="24"/>
      <c r="P2454" s="24"/>
    </row>
    <row r="2455" spans="2:16" x14ac:dyDescent="0.25">
      <c r="B2455" s="24"/>
      <c r="E2455" s="24"/>
      <c r="G2455" s="24"/>
      <c r="H2455" s="24"/>
      <c r="J2455" s="24"/>
      <c r="K2455" s="24"/>
      <c r="M2455" s="24"/>
      <c r="N2455" s="24"/>
      <c r="P2455" s="24"/>
    </row>
    <row r="2456" spans="2:16" x14ac:dyDescent="0.25">
      <c r="B2456" s="24"/>
      <c r="E2456" s="24"/>
      <c r="G2456" s="24"/>
      <c r="H2456" s="24"/>
      <c r="J2456" s="24"/>
      <c r="K2456" s="24"/>
      <c r="M2456" s="24"/>
      <c r="N2456" s="24"/>
      <c r="P2456" s="24"/>
    </row>
    <row r="2457" spans="2:16" x14ac:dyDescent="0.25">
      <c r="B2457" s="24"/>
      <c r="E2457" s="24"/>
      <c r="G2457" s="24"/>
      <c r="H2457" s="24"/>
      <c r="J2457" s="24"/>
      <c r="K2457" s="24"/>
      <c r="M2457" s="24"/>
      <c r="N2457" s="24"/>
      <c r="P2457" s="24"/>
    </row>
    <row r="2458" spans="2:16" x14ac:dyDescent="0.25">
      <c r="B2458" s="24"/>
      <c r="E2458" s="24"/>
      <c r="G2458" s="24"/>
      <c r="H2458" s="24"/>
      <c r="J2458" s="24"/>
      <c r="K2458" s="24"/>
      <c r="M2458" s="24"/>
      <c r="N2458" s="24"/>
      <c r="P2458" s="24"/>
    </row>
    <row r="2459" spans="2:16" x14ac:dyDescent="0.25">
      <c r="B2459" s="24"/>
      <c r="E2459" s="24"/>
      <c r="G2459" s="24"/>
      <c r="H2459" s="24"/>
      <c r="J2459" s="24"/>
      <c r="K2459" s="24"/>
      <c r="M2459" s="24"/>
      <c r="N2459" s="24"/>
      <c r="P2459" s="24"/>
    </row>
    <row r="2460" spans="2:16" x14ac:dyDescent="0.25">
      <c r="B2460" s="24"/>
      <c r="E2460" s="24"/>
      <c r="G2460" s="24"/>
      <c r="H2460" s="24"/>
      <c r="J2460" s="24"/>
      <c r="K2460" s="24"/>
      <c r="M2460" s="24"/>
      <c r="N2460" s="24"/>
      <c r="P2460" s="24"/>
    </row>
    <row r="2461" spans="2:16" x14ac:dyDescent="0.25">
      <c r="B2461" s="24"/>
      <c r="E2461" s="24"/>
      <c r="G2461" s="24"/>
      <c r="H2461" s="24"/>
      <c r="J2461" s="24"/>
      <c r="K2461" s="24"/>
      <c r="M2461" s="24"/>
      <c r="N2461" s="24"/>
      <c r="P2461" s="24"/>
    </row>
    <row r="2462" spans="2:16" x14ac:dyDescent="0.25">
      <c r="B2462" s="24"/>
      <c r="E2462" s="24"/>
      <c r="G2462" s="24"/>
      <c r="H2462" s="24"/>
      <c r="J2462" s="24"/>
      <c r="K2462" s="24"/>
      <c r="M2462" s="24"/>
      <c r="N2462" s="24"/>
      <c r="P2462" s="24"/>
    </row>
    <row r="2463" spans="2:16" x14ac:dyDescent="0.25">
      <c r="B2463" s="24"/>
      <c r="E2463" s="24"/>
      <c r="G2463" s="24"/>
      <c r="H2463" s="24"/>
      <c r="J2463" s="24"/>
      <c r="K2463" s="24"/>
      <c r="M2463" s="24"/>
      <c r="N2463" s="24"/>
      <c r="P2463" s="24"/>
    </row>
    <row r="2464" spans="2:16" x14ac:dyDescent="0.25">
      <c r="B2464" s="24"/>
      <c r="E2464" s="24"/>
      <c r="G2464" s="24"/>
      <c r="H2464" s="24"/>
      <c r="J2464" s="24"/>
      <c r="K2464" s="24"/>
      <c r="M2464" s="24"/>
      <c r="N2464" s="24"/>
      <c r="P2464" s="24"/>
    </row>
    <row r="2465" spans="2:16" x14ac:dyDescent="0.25">
      <c r="B2465" s="24"/>
      <c r="E2465" s="24"/>
      <c r="G2465" s="24"/>
      <c r="H2465" s="24"/>
      <c r="J2465" s="24"/>
      <c r="K2465" s="24"/>
      <c r="M2465" s="24"/>
      <c r="N2465" s="24"/>
      <c r="P2465" s="24"/>
    </row>
    <row r="2466" spans="2:16" x14ac:dyDescent="0.25">
      <c r="B2466" s="24"/>
      <c r="E2466" s="24"/>
      <c r="G2466" s="24"/>
      <c r="H2466" s="24"/>
      <c r="J2466" s="24"/>
      <c r="K2466" s="24"/>
      <c r="M2466" s="24"/>
      <c r="N2466" s="24"/>
      <c r="P2466" s="24"/>
    </row>
    <row r="2467" spans="2:16" x14ac:dyDescent="0.25">
      <c r="B2467" s="24"/>
      <c r="E2467" s="24"/>
      <c r="G2467" s="24"/>
      <c r="H2467" s="24"/>
      <c r="J2467" s="24"/>
      <c r="K2467" s="24"/>
      <c r="M2467" s="24"/>
      <c r="N2467" s="24"/>
      <c r="P2467" s="24"/>
    </row>
    <row r="2468" spans="2:16" x14ac:dyDescent="0.25">
      <c r="B2468" s="24"/>
      <c r="E2468" s="24"/>
      <c r="G2468" s="24"/>
      <c r="H2468" s="24"/>
      <c r="J2468" s="24"/>
      <c r="K2468" s="24"/>
      <c r="M2468" s="24"/>
      <c r="N2468" s="24"/>
      <c r="P2468" s="24"/>
    </row>
    <row r="2469" spans="2:16" x14ac:dyDescent="0.25">
      <c r="B2469" s="24"/>
      <c r="E2469" s="24"/>
      <c r="G2469" s="24"/>
      <c r="H2469" s="24"/>
      <c r="J2469" s="24"/>
      <c r="K2469" s="24"/>
      <c r="M2469" s="24"/>
      <c r="N2469" s="24"/>
      <c r="P2469" s="24"/>
    </row>
    <row r="2470" spans="2:16" x14ac:dyDescent="0.25">
      <c r="B2470" s="24"/>
      <c r="E2470" s="24"/>
      <c r="G2470" s="24"/>
      <c r="H2470" s="24"/>
      <c r="J2470" s="24"/>
      <c r="K2470" s="24"/>
      <c r="M2470" s="24"/>
      <c r="N2470" s="24"/>
      <c r="P2470" s="24"/>
    </row>
    <row r="2471" spans="2:16" x14ac:dyDescent="0.25">
      <c r="B2471" s="24"/>
      <c r="E2471" s="24"/>
      <c r="G2471" s="24"/>
      <c r="H2471" s="24"/>
      <c r="J2471" s="24"/>
      <c r="K2471" s="24"/>
      <c r="M2471" s="24"/>
      <c r="N2471" s="24"/>
      <c r="P2471" s="24"/>
    </row>
    <row r="2472" spans="2:16" x14ac:dyDescent="0.25">
      <c r="B2472" s="24"/>
      <c r="E2472" s="24"/>
      <c r="G2472" s="24"/>
      <c r="H2472" s="24"/>
      <c r="J2472" s="24"/>
      <c r="K2472" s="24"/>
      <c r="M2472" s="24"/>
      <c r="N2472" s="24"/>
      <c r="P2472" s="24"/>
    </row>
    <row r="2473" spans="2:16" x14ac:dyDescent="0.25">
      <c r="B2473" s="24"/>
      <c r="E2473" s="24"/>
      <c r="G2473" s="24"/>
      <c r="H2473" s="24"/>
      <c r="J2473" s="24"/>
      <c r="K2473" s="24"/>
      <c r="M2473" s="24"/>
      <c r="N2473" s="24"/>
      <c r="P2473" s="24"/>
    </row>
    <row r="2474" spans="2:16" x14ac:dyDescent="0.25">
      <c r="B2474" s="24"/>
      <c r="E2474" s="24"/>
      <c r="G2474" s="24"/>
      <c r="H2474" s="24"/>
      <c r="J2474" s="24"/>
      <c r="K2474" s="24"/>
      <c r="M2474" s="24"/>
      <c r="N2474" s="24"/>
      <c r="P2474" s="24"/>
    </row>
    <row r="2475" spans="2:16" x14ac:dyDescent="0.25">
      <c r="B2475" s="24"/>
      <c r="E2475" s="24"/>
      <c r="G2475" s="24"/>
      <c r="H2475" s="24"/>
      <c r="J2475" s="24"/>
      <c r="K2475" s="24"/>
      <c r="M2475" s="24"/>
      <c r="N2475" s="24"/>
      <c r="P2475" s="24"/>
    </row>
    <row r="2476" spans="2:16" x14ac:dyDescent="0.25">
      <c r="B2476" s="24"/>
      <c r="E2476" s="24"/>
      <c r="G2476" s="24"/>
      <c r="H2476" s="24"/>
      <c r="J2476" s="24"/>
      <c r="K2476" s="24"/>
      <c r="M2476" s="24"/>
      <c r="N2476" s="24"/>
      <c r="P2476" s="24"/>
    </row>
    <row r="2477" spans="2:16" x14ac:dyDescent="0.25">
      <c r="B2477" s="24"/>
      <c r="E2477" s="24"/>
      <c r="G2477" s="24"/>
      <c r="H2477" s="24"/>
      <c r="J2477" s="24"/>
      <c r="K2477" s="24"/>
      <c r="M2477" s="24"/>
      <c r="N2477" s="24"/>
      <c r="P2477" s="24"/>
    </row>
    <row r="2478" spans="2:16" x14ac:dyDescent="0.25">
      <c r="B2478" s="24"/>
      <c r="E2478" s="24"/>
      <c r="G2478" s="24"/>
      <c r="H2478" s="24"/>
      <c r="J2478" s="24"/>
      <c r="K2478" s="24"/>
      <c r="M2478" s="24"/>
      <c r="N2478" s="24"/>
      <c r="P2478" s="24"/>
    </row>
    <row r="2479" spans="2:16" x14ac:dyDescent="0.25">
      <c r="B2479" s="24"/>
      <c r="E2479" s="24"/>
      <c r="G2479" s="24"/>
      <c r="H2479" s="24"/>
      <c r="J2479" s="24"/>
      <c r="K2479" s="24"/>
      <c r="M2479" s="24"/>
      <c r="N2479" s="24"/>
      <c r="P2479" s="24"/>
    </row>
    <row r="2480" spans="2:16" x14ac:dyDescent="0.25">
      <c r="B2480" s="24"/>
      <c r="E2480" s="24"/>
      <c r="G2480" s="24"/>
      <c r="H2480" s="24"/>
      <c r="J2480" s="24"/>
      <c r="K2480" s="24"/>
      <c r="M2480" s="24"/>
      <c r="N2480" s="24"/>
      <c r="P2480" s="24"/>
    </row>
    <row r="2481" spans="2:16" x14ac:dyDescent="0.25">
      <c r="B2481" s="24"/>
      <c r="E2481" s="24"/>
      <c r="G2481" s="24"/>
      <c r="H2481" s="24"/>
      <c r="J2481" s="24"/>
      <c r="K2481" s="24"/>
      <c r="M2481" s="24"/>
      <c r="N2481" s="24"/>
      <c r="P2481" s="24"/>
    </row>
    <row r="2482" spans="2:16" x14ac:dyDescent="0.25">
      <c r="B2482" s="24"/>
      <c r="E2482" s="24"/>
      <c r="G2482" s="24"/>
      <c r="H2482" s="24"/>
      <c r="J2482" s="24"/>
      <c r="K2482" s="24"/>
      <c r="M2482" s="24"/>
      <c r="N2482" s="24"/>
      <c r="P2482" s="24"/>
    </row>
    <row r="2483" spans="2:16" x14ac:dyDescent="0.25">
      <c r="B2483" s="24"/>
      <c r="E2483" s="24"/>
      <c r="G2483" s="24"/>
      <c r="H2483" s="24"/>
      <c r="J2483" s="24"/>
      <c r="K2483" s="24"/>
      <c r="M2483" s="24"/>
      <c r="N2483" s="24"/>
      <c r="P2483" s="24"/>
    </row>
    <row r="2484" spans="2:16" x14ac:dyDescent="0.25">
      <c r="B2484" s="24"/>
      <c r="E2484" s="24"/>
      <c r="G2484" s="24"/>
      <c r="H2484" s="24"/>
      <c r="J2484" s="24"/>
      <c r="K2484" s="24"/>
      <c r="M2484" s="24"/>
      <c r="N2484" s="24"/>
      <c r="P2484" s="24"/>
    </row>
    <row r="2485" spans="2:16" x14ac:dyDescent="0.25">
      <c r="B2485" s="24"/>
      <c r="E2485" s="24"/>
      <c r="G2485" s="24"/>
      <c r="H2485" s="24"/>
      <c r="J2485" s="24"/>
      <c r="K2485" s="24"/>
      <c r="M2485" s="24"/>
      <c r="N2485" s="24"/>
      <c r="P2485" s="24"/>
    </row>
    <row r="2486" spans="2:16" x14ac:dyDescent="0.25">
      <c r="B2486" s="24"/>
      <c r="E2486" s="24"/>
      <c r="G2486" s="24"/>
      <c r="H2486" s="24"/>
      <c r="J2486" s="24"/>
      <c r="K2486" s="24"/>
      <c r="M2486" s="24"/>
      <c r="N2486" s="24"/>
      <c r="P2486" s="24"/>
    </row>
    <row r="2487" spans="2:16" x14ac:dyDescent="0.25">
      <c r="B2487" s="24"/>
      <c r="E2487" s="24"/>
      <c r="G2487" s="24"/>
      <c r="H2487" s="24"/>
      <c r="J2487" s="24"/>
      <c r="K2487" s="24"/>
      <c r="M2487" s="24"/>
      <c r="N2487" s="24"/>
      <c r="P2487" s="24"/>
    </row>
    <row r="2488" spans="2:16" x14ac:dyDescent="0.25">
      <c r="B2488" s="24"/>
      <c r="E2488" s="24"/>
      <c r="G2488" s="24"/>
      <c r="H2488" s="24"/>
      <c r="J2488" s="24"/>
      <c r="K2488" s="24"/>
      <c r="M2488" s="24"/>
      <c r="N2488" s="24"/>
      <c r="P2488" s="24"/>
    </row>
    <row r="2489" spans="2:16" x14ac:dyDescent="0.25">
      <c r="B2489" s="24"/>
      <c r="E2489" s="24"/>
      <c r="G2489" s="24"/>
      <c r="H2489" s="24"/>
      <c r="J2489" s="24"/>
      <c r="K2489" s="24"/>
      <c r="M2489" s="24"/>
      <c r="N2489" s="24"/>
      <c r="P2489" s="24"/>
    </row>
    <row r="2490" spans="2:16" x14ac:dyDescent="0.25">
      <c r="B2490" s="24"/>
      <c r="E2490" s="24"/>
      <c r="G2490" s="24"/>
      <c r="H2490" s="24"/>
      <c r="J2490" s="24"/>
      <c r="K2490" s="24"/>
      <c r="M2490" s="24"/>
      <c r="N2490" s="24"/>
      <c r="P2490" s="24"/>
    </row>
    <row r="2491" spans="2:16" x14ac:dyDescent="0.25">
      <c r="B2491" s="24"/>
      <c r="E2491" s="24"/>
      <c r="G2491" s="24"/>
      <c r="H2491" s="24"/>
      <c r="J2491" s="24"/>
      <c r="K2491" s="24"/>
      <c r="M2491" s="24"/>
      <c r="N2491" s="24"/>
      <c r="P2491" s="24"/>
    </row>
    <row r="2492" spans="2:16" x14ac:dyDescent="0.25">
      <c r="B2492" s="24"/>
      <c r="E2492" s="24"/>
      <c r="G2492" s="24"/>
      <c r="H2492" s="24"/>
      <c r="J2492" s="24"/>
      <c r="K2492" s="24"/>
      <c r="M2492" s="24"/>
      <c r="N2492" s="24"/>
      <c r="P2492" s="24"/>
    </row>
    <row r="2493" spans="2:16" x14ac:dyDescent="0.25">
      <c r="B2493" s="24"/>
      <c r="E2493" s="24"/>
      <c r="G2493" s="24"/>
      <c r="H2493" s="24"/>
      <c r="J2493" s="24"/>
      <c r="K2493" s="24"/>
      <c r="M2493" s="24"/>
      <c r="N2493" s="24"/>
      <c r="P2493" s="24"/>
    </row>
    <row r="2494" spans="2:16" x14ac:dyDescent="0.25">
      <c r="B2494" s="24"/>
      <c r="E2494" s="24"/>
      <c r="G2494" s="24"/>
      <c r="H2494" s="24"/>
      <c r="J2494" s="24"/>
      <c r="K2494" s="24"/>
      <c r="M2494" s="24"/>
      <c r="N2494" s="24"/>
      <c r="P2494" s="24"/>
    </row>
    <row r="2495" spans="2:16" x14ac:dyDescent="0.25">
      <c r="B2495" s="24"/>
      <c r="E2495" s="24"/>
      <c r="G2495" s="24"/>
      <c r="H2495" s="24"/>
      <c r="J2495" s="24"/>
      <c r="K2495" s="24"/>
      <c r="M2495" s="24"/>
      <c r="N2495" s="24"/>
      <c r="P2495" s="24"/>
    </row>
    <row r="2496" spans="2:16" x14ac:dyDescent="0.25">
      <c r="B2496" s="24"/>
      <c r="E2496" s="24"/>
      <c r="G2496" s="24"/>
      <c r="H2496" s="24"/>
      <c r="J2496" s="24"/>
      <c r="K2496" s="24"/>
      <c r="M2496" s="24"/>
      <c r="N2496" s="24"/>
      <c r="P2496" s="24"/>
    </row>
    <row r="2497" spans="2:16" x14ac:dyDescent="0.25">
      <c r="B2497" s="24"/>
      <c r="E2497" s="24"/>
      <c r="G2497" s="24"/>
      <c r="H2497" s="24"/>
      <c r="J2497" s="24"/>
      <c r="K2497" s="24"/>
      <c r="M2497" s="24"/>
      <c r="N2497" s="24"/>
      <c r="P2497" s="24"/>
    </row>
    <row r="2498" spans="2:16" x14ac:dyDescent="0.25">
      <c r="B2498" s="24"/>
      <c r="E2498" s="24"/>
      <c r="G2498" s="24"/>
      <c r="H2498" s="24"/>
      <c r="J2498" s="24"/>
      <c r="K2498" s="24"/>
      <c r="M2498" s="24"/>
      <c r="N2498" s="24"/>
      <c r="P2498" s="24"/>
    </row>
    <row r="2499" spans="2:16" x14ac:dyDescent="0.25">
      <c r="B2499" s="24"/>
      <c r="E2499" s="24"/>
      <c r="G2499" s="24"/>
      <c r="H2499" s="24"/>
      <c r="J2499" s="24"/>
      <c r="K2499" s="24"/>
      <c r="M2499" s="24"/>
      <c r="N2499" s="24"/>
      <c r="P2499" s="24"/>
    </row>
    <row r="2500" spans="2:16" x14ac:dyDescent="0.25">
      <c r="B2500" s="24"/>
      <c r="E2500" s="24"/>
      <c r="G2500" s="24"/>
      <c r="H2500" s="24"/>
      <c r="J2500" s="24"/>
      <c r="K2500" s="24"/>
      <c r="M2500" s="24"/>
      <c r="N2500" s="24"/>
      <c r="P2500" s="24"/>
    </row>
    <row r="2501" spans="2:16" x14ac:dyDescent="0.25">
      <c r="B2501" s="24"/>
      <c r="E2501" s="24"/>
      <c r="G2501" s="24"/>
      <c r="H2501" s="24"/>
      <c r="J2501" s="24"/>
      <c r="K2501" s="24"/>
      <c r="M2501" s="24"/>
      <c r="N2501" s="24"/>
      <c r="P2501" s="24"/>
    </row>
    <row r="2502" spans="2:16" x14ac:dyDescent="0.25">
      <c r="B2502" s="24"/>
      <c r="E2502" s="24"/>
      <c r="G2502" s="24"/>
      <c r="H2502" s="24"/>
      <c r="J2502" s="24"/>
      <c r="K2502" s="24"/>
      <c r="M2502" s="24"/>
      <c r="N2502" s="24"/>
      <c r="P2502" s="24"/>
    </row>
    <row r="2503" spans="2:16" x14ac:dyDescent="0.25">
      <c r="B2503" s="24"/>
      <c r="E2503" s="24"/>
      <c r="G2503" s="24"/>
      <c r="H2503" s="24"/>
      <c r="J2503" s="24"/>
      <c r="K2503" s="24"/>
      <c r="M2503" s="24"/>
      <c r="N2503" s="24"/>
      <c r="P2503" s="24"/>
    </row>
    <row r="2504" spans="2:16" x14ac:dyDescent="0.25">
      <c r="B2504" s="24"/>
      <c r="E2504" s="24"/>
      <c r="G2504" s="24"/>
      <c r="H2504" s="24"/>
      <c r="J2504" s="24"/>
      <c r="K2504" s="24"/>
      <c r="M2504" s="24"/>
      <c r="N2504" s="24"/>
      <c r="P2504" s="24"/>
    </row>
    <row r="2505" spans="2:16" x14ac:dyDescent="0.25">
      <c r="B2505" s="24"/>
      <c r="E2505" s="24"/>
      <c r="G2505" s="24"/>
      <c r="H2505" s="24"/>
      <c r="J2505" s="24"/>
      <c r="K2505" s="24"/>
      <c r="M2505" s="24"/>
      <c r="N2505" s="24"/>
      <c r="P2505" s="24"/>
    </row>
    <row r="2506" spans="2:16" x14ac:dyDescent="0.25">
      <c r="B2506" s="24"/>
      <c r="E2506" s="24"/>
      <c r="G2506" s="24"/>
      <c r="H2506" s="24"/>
      <c r="J2506" s="24"/>
      <c r="K2506" s="24"/>
      <c r="M2506" s="24"/>
      <c r="N2506" s="24"/>
      <c r="P2506" s="24"/>
    </row>
    <row r="2507" spans="2:16" x14ac:dyDescent="0.25">
      <c r="B2507" s="24"/>
      <c r="E2507" s="24"/>
      <c r="G2507" s="24"/>
      <c r="H2507" s="24"/>
      <c r="J2507" s="24"/>
      <c r="K2507" s="24"/>
      <c r="M2507" s="24"/>
      <c r="N2507" s="24"/>
      <c r="P2507" s="24"/>
    </row>
    <row r="2508" spans="2:16" x14ac:dyDescent="0.25">
      <c r="B2508" s="24"/>
      <c r="E2508" s="24"/>
      <c r="G2508" s="24"/>
      <c r="H2508" s="24"/>
      <c r="J2508" s="24"/>
      <c r="K2508" s="24"/>
      <c r="M2508" s="24"/>
      <c r="N2508" s="24"/>
      <c r="P2508" s="24"/>
    </row>
    <row r="2509" spans="2:16" x14ac:dyDescent="0.25">
      <c r="B2509" s="24"/>
      <c r="E2509" s="24"/>
      <c r="G2509" s="24"/>
      <c r="H2509" s="24"/>
      <c r="J2509" s="24"/>
      <c r="K2509" s="24"/>
      <c r="M2509" s="24"/>
      <c r="N2509" s="24"/>
      <c r="P2509" s="24"/>
    </row>
    <row r="2510" spans="2:16" x14ac:dyDescent="0.25">
      <c r="B2510" s="24"/>
      <c r="E2510" s="24"/>
      <c r="G2510" s="24"/>
      <c r="H2510" s="24"/>
      <c r="J2510" s="24"/>
      <c r="K2510" s="24"/>
      <c r="M2510" s="24"/>
      <c r="N2510" s="24"/>
      <c r="P2510" s="24"/>
    </row>
    <row r="2511" spans="2:16" x14ac:dyDescent="0.25">
      <c r="B2511" s="24"/>
      <c r="E2511" s="24"/>
      <c r="G2511" s="24"/>
      <c r="H2511" s="24"/>
      <c r="J2511" s="24"/>
      <c r="K2511" s="24"/>
      <c r="M2511" s="24"/>
      <c r="N2511" s="24"/>
      <c r="P2511" s="24"/>
    </row>
    <row r="2512" spans="2:16" x14ac:dyDescent="0.25">
      <c r="B2512" s="24"/>
      <c r="E2512" s="24"/>
      <c r="G2512" s="24"/>
      <c r="H2512" s="24"/>
      <c r="J2512" s="24"/>
      <c r="K2512" s="24"/>
      <c r="M2512" s="24"/>
      <c r="N2512" s="24"/>
      <c r="P2512" s="24"/>
    </row>
    <row r="2513" spans="2:16" x14ac:dyDescent="0.25">
      <c r="B2513" s="24"/>
      <c r="E2513" s="24"/>
      <c r="G2513" s="24"/>
      <c r="H2513" s="24"/>
      <c r="J2513" s="24"/>
      <c r="K2513" s="24"/>
      <c r="M2513" s="24"/>
      <c r="N2513" s="24"/>
      <c r="P2513" s="24"/>
    </row>
    <row r="2514" spans="2:16" x14ac:dyDescent="0.25">
      <c r="B2514" s="24"/>
      <c r="E2514" s="24"/>
      <c r="G2514" s="24"/>
      <c r="H2514" s="24"/>
      <c r="J2514" s="24"/>
      <c r="K2514" s="24"/>
      <c r="M2514" s="24"/>
      <c r="N2514" s="24"/>
      <c r="P2514" s="24"/>
    </row>
    <row r="2515" spans="2:16" x14ac:dyDescent="0.25">
      <c r="B2515" s="24"/>
      <c r="E2515" s="24"/>
      <c r="G2515" s="24"/>
      <c r="H2515" s="24"/>
      <c r="J2515" s="24"/>
      <c r="K2515" s="24"/>
      <c r="M2515" s="24"/>
      <c r="N2515" s="24"/>
      <c r="P2515" s="24"/>
    </row>
    <row r="2516" spans="2:16" x14ac:dyDescent="0.25">
      <c r="B2516" s="24"/>
      <c r="E2516" s="24"/>
      <c r="G2516" s="24"/>
      <c r="H2516" s="24"/>
      <c r="J2516" s="24"/>
      <c r="K2516" s="24"/>
      <c r="M2516" s="24"/>
      <c r="N2516" s="24"/>
      <c r="P2516" s="24"/>
    </row>
    <row r="2517" spans="2:16" x14ac:dyDescent="0.25">
      <c r="B2517" s="24"/>
      <c r="E2517" s="24"/>
      <c r="G2517" s="24"/>
      <c r="H2517" s="24"/>
      <c r="J2517" s="24"/>
      <c r="K2517" s="24"/>
      <c r="M2517" s="24"/>
      <c r="N2517" s="24"/>
      <c r="P2517" s="24"/>
    </row>
    <row r="2518" spans="2:16" x14ac:dyDescent="0.25">
      <c r="B2518" s="24"/>
      <c r="E2518" s="24"/>
      <c r="G2518" s="24"/>
      <c r="H2518" s="24"/>
      <c r="J2518" s="24"/>
      <c r="K2518" s="24"/>
      <c r="M2518" s="24"/>
      <c r="N2518" s="24"/>
      <c r="P2518" s="24"/>
    </row>
    <row r="2519" spans="2:16" x14ac:dyDescent="0.25">
      <c r="B2519" s="24"/>
      <c r="E2519" s="24"/>
      <c r="G2519" s="24"/>
      <c r="H2519" s="24"/>
      <c r="J2519" s="24"/>
      <c r="K2519" s="24"/>
      <c r="M2519" s="24"/>
      <c r="N2519" s="24"/>
      <c r="P2519" s="24"/>
    </row>
    <row r="2520" spans="2:16" x14ac:dyDescent="0.25">
      <c r="B2520" s="24"/>
      <c r="E2520" s="24"/>
      <c r="G2520" s="24"/>
      <c r="H2520" s="24"/>
      <c r="J2520" s="24"/>
      <c r="K2520" s="24"/>
      <c r="M2520" s="24"/>
      <c r="N2520" s="24"/>
      <c r="P2520" s="24"/>
    </row>
    <row r="2521" spans="2:16" x14ac:dyDescent="0.25">
      <c r="B2521" s="24"/>
      <c r="E2521" s="24"/>
      <c r="G2521" s="24"/>
      <c r="H2521" s="24"/>
      <c r="J2521" s="24"/>
      <c r="K2521" s="24"/>
      <c r="M2521" s="24"/>
      <c r="N2521" s="24"/>
      <c r="P2521" s="24"/>
    </row>
    <row r="2522" spans="2:16" x14ac:dyDescent="0.25">
      <c r="B2522" s="24"/>
      <c r="E2522" s="24"/>
      <c r="G2522" s="24"/>
      <c r="H2522" s="24"/>
      <c r="J2522" s="24"/>
      <c r="K2522" s="24"/>
      <c r="M2522" s="24"/>
      <c r="N2522" s="24"/>
      <c r="P2522" s="24"/>
    </row>
    <row r="2523" spans="2:16" x14ac:dyDescent="0.25">
      <c r="B2523" s="24"/>
      <c r="E2523" s="24"/>
      <c r="G2523" s="24"/>
      <c r="H2523" s="24"/>
      <c r="J2523" s="24"/>
      <c r="K2523" s="24"/>
      <c r="M2523" s="24"/>
      <c r="N2523" s="24"/>
      <c r="P2523" s="24"/>
    </row>
    <row r="2524" spans="2:16" x14ac:dyDescent="0.25">
      <c r="B2524" s="24"/>
      <c r="E2524" s="24"/>
      <c r="G2524" s="24"/>
      <c r="H2524" s="24"/>
      <c r="J2524" s="24"/>
      <c r="K2524" s="24"/>
      <c r="M2524" s="24"/>
      <c r="N2524" s="24"/>
      <c r="P2524" s="24"/>
    </row>
    <row r="2525" spans="2:16" x14ac:dyDescent="0.25">
      <c r="B2525" s="24"/>
      <c r="E2525" s="24"/>
      <c r="G2525" s="24"/>
      <c r="H2525" s="24"/>
      <c r="J2525" s="24"/>
      <c r="K2525" s="24"/>
      <c r="M2525" s="24"/>
      <c r="N2525" s="24"/>
      <c r="P2525" s="24"/>
    </row>
    <row r="2526" spans="2:16" x14ac:dyDescent="0.25">
      <c r="B2526" s="24"/>
      <c r="E2526" s="24"/>
      <c r="G2526" s="24"/>
      <c r="H2526" s="24"/>
      <c r="J2526" s="24"/>
      <c r="K2526" s="24"/>
      <c r="M2526" s="24"/>
      <c r="N2526" s="24"/>
      <c r="P2526" s="24"/>
    </row>
    <row r="2527" spans="2:16" x14ac:dyDescent="0.25">
      <c r="B2527" s="24"/>
      <c r="E2527" s="24"/>
      <c r="G2527" s="24"/>
      <c r="H2527" s="24"/>
      <c r="J2527" s="24"/>
      <c r="K2527" s="24"/>
      <c r="M2527" s="24"/>
      <c r="N2527" s="24"/>
      <c r="P2527" s="24"/>
    </row>
    <row r="2528" spans="2:16" x14ac:dyDescent="0.25">
      <c r="B2528" s="24"/>
      <c r="E2528" s="24"/>
      <c r="G2528" s="24"/>
      <c r="H2528" s="24"/>
      <c r="J2528" s="24"/>
      <c r="K2528" s="24"/>
      <c r="M2528" s="24"/>
      <c r="N2528" s="24"/>
      <c r="P2528" s="24"/>
    </row>
    <row r="2529" spans="2:16" x14ac:dyDescent="0.25">
      <c r="B2529" s="24"/>
      <c r="E2529" s="24"/>
      <c r="G2529" s="24"/>
      <c r="H2529" s="24"/>
      <c r="J2529" s="24"/>
      <c r="K2529" s="24"/>
      <c r="M2529" s="24"/>
      <c r="N2529" s="24"/>
      <c r="P2529" s="24"/>
    </row>
    <row r="2530" spans="2:16" x14ac:dyDescent="0.25">
      <c r="B2530" s="24"/>
      <c r="E2530" s="24"/>
      <c r="G2530" s="24"/>
      <c r="H2530" s="24"/>
      <c r="J2530" s="24"/>
      <c r="K2530" s="24"/>
      <c r="M2530" s="24"/>
      <c r="N2530" s="24"/>
      <c r="P2530" s="24"/>
    </row>
    <row r="2531" spans="2:16" x14ac:dyDescent="0.25">
      <c r="B2531" s="24"/>
      <c r="E2531" s="24"/>
      <c r="G2531" s="24"/>
      <c r="H2531" s="24"/>
      <c r="J2531" s="24"/>
      <c r="K2531" s="24"/>
      <c r="M2531" s="24"/>
      <c r="N2531" s="24"/>
      <c r="P2531" s="24"/>
    </row>
    <row r="2532" spans="2:16" x14ac:dyDescent="0.25">
      <c r="B2532" s="24"/>
      <c r="E2532" s="24"/>
      <c r="G2532" s="24"/>
      <c r="H2532" s="24"/>
      <c r="J2532" s="24"/>
      <c r="K2532" s="24"/>
      <c r="M2532" s="24"/>
      <c r="N2532" s="24"/>
      <c r="P2532" s="24"/>
    </row>
    <row r="2533" spans="2:16" x14ac:dyDescent="0.25">
      <c r="B2533" s="24"/>
      <c r="E2533" s="24"/>
      <c r="G2533" s="24"/>
      <c r="H2533" s="24"/>
      <c r="J2533" s="24"/>
      <c r="K2533" s="24"/>
      <c r="M2533" s="24"/>
      <c r="N2533" s="24"/>
      <c r="P2533" s="24"/>
    </row>
    <row r="2534" spans="2:16" x14ac:dyDescent="0.25">
      <c r="B2534" s="24"/>
      <c r="E2534" s="24"/>
      <c r="G2534" s="24"/>
      <c r="H2534" s="24"/>
      <c r="J2534" s="24"/>
      <c r="K2534" s="24"/>
      <c r="M2534" s="24"/>
      <c r="N2534" s="24"/>
      <c r="P2534" s="24"/>
    </row>
    <row r="2535" spans="2:16" x14ac:dyDescent="0.25">
      <c r="B2535" s="24"/>
      <c r="E2535" s="24"/>
      <c r="G2535" s="24"/>
      <c r="H2535" s="24"/>
      <c r="J2535" s="24"/>
      <c r="K2535" s="24"/>
      <c r="M2535" s="24"/>
      <c r="N2535" s="24"/>
      <c r="P2535" s="24"/>
    </row>
    <row r="2536" spans="2:16" x14ac:dyDescent="0.25">
      <c r="B2536" s="24"/>
      <c r="E2536" s="24"/>
      <c r="G2536" s="24"/>
      <c r="H2536" s="24"/>
      <c r="J2536" s="24"/>
      <c r="K2536" s="24"/>
      <c r="M2536" s="24"/>
      <c r="N2536" s="24"/>
      <c r="P2536" s="24"/>
    </row>
    <row r="2537" spans="2:16" x14ac:dyDescent="0.25">
      <c r="B2537" s="24"/>
      <c r="E2537" s="24"/>
      <c r="G2537" s="24"/>
      <c r="H2537" s="24"/>
      <c r="J2537" s="24"/>
      <c r="K2537" s="24"/>
      <c r="M2537" s="24"/>
      <c r="N2537" s="24"/>
      <c r="P2537" s="24"/>
    </row>
    <row r="2538" spans="2:16" x14ac:dyDescent="0.25">
      <c r="B2538" s="24"/>
      <c r="E2538" s="24"/>
      <c r="G2538" s="24"/>
      <c r="H2538" s="24"/>
      <c r="J2538" s="24"/>
      <c r="K2538" s="24"/>
      <c r="M2538" s="24"/>
      <c r="N2538" s="24"/>
      <c r="P2538" s="24"/>
    </row>
    <row r="2539" spans="2:16" x14ac:dyDescent="0.25">
      <c r="B2539" s="24"/>
      <c r="E2539" s="24"/>
      <c r="G2539" s="24"/>
      <c r="H2539" s="24"/>
      <c r="J2539" s="24"/>
      <c r="K2539" s="24"/>
      <c r="M2539" s="24"/>
      <c r="N2539" s="24"/>
      <c r="P2539" s="24"/>
    </row>
    <row r="2540" spans="2:16" x14ac:dyDescent="0.25">
      <c r="B2540" s="24"/>
      <c r="E2540" s="24"/>
      <c r="G2540" s="24"/>
      <c r="H2540" s="24"/>
      <c r="J2540" s="24"/>
      <c r="K2540" s="24"/>
      <c r="M2540" s="24"/>
      <c r="N2540" s="24"/>
      <c r="P2540" s="24"/>
    </row>
    <row r="2541" spans="2:16" x14ac:dyDescent="0.25">
      <c r="B2541" s="24"/>
      <c r="E2541" s="24"/>
      <c r="G2541" s="24"/>
      <c r="H2541" s="24"/>
      <c r="J2541" s="24"/>
      <c r="K2541" s="24"/>
      <c r="M2541" s="24"/>
      <c r="N2541" s="24"/>
      <c r="P2541" s="24"/>
    </row>
    <row r="2542" spans="2:16" x14ac:dyDescent="0.25">
      <c r="B2542" s="24"/>
      <c r="E2542" s="24"/>
      <c r="G2542" s="24"/>
      <c r="H2542" s="24"/>
      <c r="J2542" s="24"/>
      <c r="K2542" s="24"/>
      <c r="M2542" s="24"/>
      <c r="N2542" s="24"/>
      <c r="P2542" s="24"/>
    </row>
    <row r="2543" spans="2:16" x14ac:dyDescent="0.25">
      <c r="B2543" s="24"/>
      <c r="E2543" s="24"/>
      <c r="G2543" s="24"/>
      <c r="H2543" s="24"/>
      <c r="J2543" s="24"/>
      <c r="K2543" s="24"/>
      <c r="M2543" s="24"/>
      <c r="N2543" s="24"/>
      <c r="P2543" s="24"/>
    </row>
    <row r="2544" spans="2:16" x14ac:dyDescent="0.25">
      <c r="B2544" s="24"/>
      <c r="E2544" s="24"/>
      <c r="G2544" s="24"/>
      <c r="H2544" s="24"/>
      <c r="J2544" s="24"/>
      <c r="K2544" s="24"/>
      <c r="M2544" s="24"/>
      <c r="N2544" s="24"/>
      <c r="P2544" s="24"/>
    </row>
    <row r="2545" spans="2:16" x14ac:dyDescent="0.25">
      <c r="B2545" s="24"/>
      <c r="E2545" s="24"/>
      <c r="G2545" s="24"/>
      <c r="H2545" s="24"/>
      <c r="J2545" s="24"/>
      <c r="K2545" s="24"/>
      <c r="M2545" s="24"/>
      <c r="N2545" s="24"/>
      <c r="P2545" s="24"/>
    </row>
    <row r="2546" spans="2:16" x14ac:dyDescent="0.25">
      <c r="B2546" s="24"/>
      <c r="E2546" s="24"/>
      <c r="G2546" s="24"/>
      <c r="H2546" s="24"/>
      <c r="J2546" s="24"/>
      <c r="K2546" s="24"/>
      <c r="M2546" s="24"/>
      <c r="N2546" s="24"/>
      <c r="P2546" s="24"/>
    </row>
    <row r="2547" spans="2:16" x14ac:dyDescent="0.25">
      <c r="B2547" s="24"/>
      <c r="E2547" s="24"/>
      <c r="G2547" s="24"/>
      <c r="H2547" s="24"/>
      <c r="J2547" s="24"/>
      <c r="K2547" s="24"/>
      <c r="M2547" s="24"/>
      <c r="N2547" s="24"/>
      <c r="P2547" s="24"/>
    </row>
    <row r="2548" spans="2:16" x14ac:dyDescent="0.25">
      <c r="B2548" s="24"/>
      <c r="E2548" s="24"/>
      <c r="G2548" s="24"/>
      <c r="H2548" s="24"/>
      <c r="J2548" s="24"/>
      <c r="K2548" s="24"/>
      <c r="M2548" s="24"/>
      <c r="N2548" s="24"/>
      <c r="P2548" s="24"/>
    </row>
    <row r="2549" spans="2:16" x14ac:dyDescent="0.25">
      <c r="B2549" s="24"/>
      <c r="E2549" s="24"/>
      <c r="G2549" s="24"/>
      <c r="H2549" s="24"/>
      <c r="J2549" s="24"/>
      <c r="K2549" s="24"/>
      <c r="M2549" s="24"/>
      <c r="N2549" s="24"/>
      <c r="P2549" s="24"/>
    </row>
    <row r="2550" spans="2:16" x14ac:dyDescent="0.25">
      <c r="B2550" s="24"/>
      <c r="E2550" s="24"/>
      <c r="G2550" s="24"/>
      <c r="H2550" s="24"/>
      <c r="J2550" s="24"/>
      <c r="K2550" s="24"/>
      <c r="M2550" s="24"/>
      <c r="N2550" s="24"/>
      <c r="P2550" s="24"/>
    </row>
    <row r="2551" spans="2:16" x14ac:dyDescent="0.25">
      <c r="B2551" s="24"/>
      <c r="E2551" s="24"/>
      <c r="G2551" s="24"/>
      <c r="H2551" s="24"/>
      <c r="J2551" s="24"/>
      <c r="K2551" s="24"/>
      <c r="M2551" s="24"/>
      <c r="N2551" s="24"/>
      <c r="P2551" s="24"/>
    </row>
    <row r="2552" spans="2:16" x14ac:dyDescent="0.25">
      <c r="B2552" s="24"/>
      <c r="E2552" s="24"/>
      <c r="G2552" s="24"/>
      <c r="H2552" s="24"/>
      <c r="J2552" s="24"/>
      <c r="K2552" s="24"/>
      <c r="M2552" s="24"/>
      <c r="N2552" s="24"/>
      <c r="P2552" s="24"/>
    </row>
    <row r="2553" spans="2:16" x14ac:dyDescent="0.25">
      <c r="B2553" s="24"/>
      <c r="E2553" s="24"/>
      <c r="G2553" s="24"/>
      <c r="H2553" s="24"/>
      <c r="J2553" s="24"/>
      <c r="K2553" s="24"/>
      <c r="M2553" s="24"/>
      <c r="N2553" s="24"/>
      <c r="P2553" s="24"/>
    </row>
    <row r="2554" spans="2:16" x14ac:dyDescent="0.25">
      <c r="B2554" s="24"/>
      <c r="E2554" s="24"/>
      <c r="G2554" s="24"/>
      <c r="H2554" s="24"/>
      <c r="J2554" s="24"/>
      <c r="K2554" s="24"/>
      <c r="M2554" s="24"/>
      <c r="N2554" s="24"/>
      <c r="P2554" s="24"/>
    </row>
    <row r="2555" spans="2:16" x14ac:dyDescent="0.25">
      <c r="B2555" s="24"/>
      <c r="E2555" s="24"/>
      <c r="G2555" s="24"/>
      <c r="H2555" s="24"/>
      <c r="J2555" s="24"/>
      <c r="K2555" s="24"/>
      <c r="M2555" s="24"/>
      <c r="N2555" s="24"/>
      <c r="P2555" s="24"/>
    </row>
    <row r="2556" spans="2:16" x14ac:dyDescent="0.25">
      <c r="B2556" s="24"/>
      <c r="E2556" s="24"/>
      <c r="G2556" s="24"/>
      <c r="H2556" s="24"/>
      <c r="J2556" s="24"/>
      <c r="K2556" s="24"/>
      <c r="M2556" s="24"/>
      <c r="N2556" s="24"/>
      <c r="P2556" s="24"/>
    </row>
    <row r="2557" spans="2:16" x14ac:dyDescent="0.25">
      <c r="B2557" s="24"/>
      <c r="E2557" s="24"/>
      <c r="G2557" s="24"/>
      <c r="H2557" s="24"/>
      <c r="J2557" s="24"/>
      <c r="K2557" s="24"/>
      <c r="M2557" s="24"/>
      <c r="N2557" s="24"/>
      <c r="P2557" s="24"/>
    </row>
    <row r="2558" spans="2:16" x14ac:dyDescent="0.25">
      <c r="B2558" s="24"/>
      <c r="E2558" s="24"/>
      <c r="G2558" s="24"/>
      <c r="H2558" s="24"/>
      <c r="J2558" s="24"/>
      <c r="K2558" s="24"/>
      <c r="M2558" s="24"/>
      <c r="N2558" s="24"/>
      <c r="P2558" s="24"/>
    </row>
    <row r="2559" spans="2:16" x14ac:dyDescent="0.25">
      <c r="B2559" s="24"/>
      <c r="E2559" s="24"/>
      <c r="G2559" s="24"/>
      <c r="H2559" s="24"/>
      <c r="J2559" s="24"/>
      <c r="K2559" s="24"/>
      <c r="M2559" s="24"/>
      <c r="N2559" s="24"/>
      <c r="P2559" s="24"/>
    </row>
    <row r="2560" spans="2:16" x14ac:dyDescent="0.25">
      <c r="B2560" s="24"/>
      <c r="E2560" s="24"/>
      <c r="G2560" s="24"/>
      <c r="H2560" s="24"/>
      <c r="J2560" s="24"/>
      <c r="K2560" s="24"/>
      <c r="M2560" s="24"/>
      <c r="N2560" s="24"/>
      <c r="P2560" s="24"/>
    </row>
    <row r="2561" spans="2:16" x14ac:dyDescent="0.25">
      <c r="B2561" s="24"/>
      <c r="E2561" s="24"/>
      <c r="G2561" s="24"/>
      <c r="H2561" s="24"/>
      <c r="J2561" s="24"/>
      <c r="K2561" s="24"/>
      <c r="M2561" s="24"/>
      <c r="N2561" s="24"/>
      <c r="P2561" s="24"/>
    </row>
    <row r="2562" spans="2:16" x14ac:dyDescent="0.25">
      <c r="B2562" s="24"/>
      <c r="E2562" s="24"/>
      <c r="G2562" s="24"/>
      <c r="H2562" s="24"/>
      <c r="J2562" s="24"/>
      <c r="K2562" s="24"/>
      <c r="M2562" s="24"/>
      <c r="N2562" s="24"/>
      <c r="P2562" s="24"/>
    </row>
    <row r="2563" spans="2:16" x14ac:dyDescent="0.25">
      <c r="B2563" s="24"/>
      <c r="E2563" s="24"/>
      <c r="G2563" s="24"/>
      <c r="H2563" s="24"/>
      <c r="J2563" s="24"/>
      <c r="K2563" s="24"/>
      <c r="M2563" s="24"/>
      <c r="N2563" s="24"/>
      <c r="P2563" s="24"/>
    </row>
    <row r="2564" spans="2:16" x14ac:dyDescent="0.25">
      <c r="B2564" s="24"/>
      <c r="E2564" s="24"/>
      <c r="G2564" s="24"/>
      <c r="H2564" s="24"/>
      <c r="J2564" s="24"/>
      <c r="K2564" s="24"/>
      <c r="M2564" s="24"/>
      <c r="N2564" s="24"/>
      <c r="P2564" s="24"/>
    </row>
    <row r="2565" spans="2:16" x14ac:dyDescent="0.25">
      <c r="B2565" s="24"/>
      <c r="E2565" s="24"/>
      <c r="G2565" s="24"/>
      <c r="H2565" s="24"/>
      <c r="J2565" s="24"/>
      <c r="K2565" s="24"/>
      <c r="M2565" s="24"/>
      <c r="N2565" s="24"/>
      <c r="P2565" s="24"/>
    </row>
    <row r="2566" spans="2:16" x14ac:dyDescent="0.25">
      <c r="B2566" s="24"/>
      <c r="E2566" s="24"/>
      <c r="G2566" s="24"/>
      <c r="H2566" s="24"/>
      <c r="J2566" s="24"/>
      <c r="K2566" s="24"/>
      <c r="M2566" s="24"/>
      <c r="N2566" s="24"/>
      <c r="P2566" s="24"/>
    </row>
    <row r="2567" spans="2:16" x14ac:dyDescent="0.25">
      <c r="B2567" s="24"/>
      <c r="E2567" s="24"/>
      <c r="G2567" s="24"/>
      <c r="H2567" s="24"/>
      <c r="J2567" s="24"/>
      <c r="K2567" s="24"/>
      <c r="M2567" s="24"/>
      <c r="N2567" s="24"/>
      <c r="P2567" s="24"/>
    </row>
    <row r="2568" spans="2:16" x14ac:dyDescent="0.25">
      <c r="B2568" s="24"/>
      <c r="E2568" s="24"/>
      <c r="G2568" s="24"/>
      <c r="H2568" s="24"/>
      <c r="J2568" s="24"/>
      <c r="K2568" s="24"/>
      <c r="M2568" s="24"/>
      <c r="N2568" s="24"/>
      <c r="P2568" s="24"/>
    </row>
    <row r="2569" spans="2:16" x14ac:dyDescent="0.25">
      <c r="B2569" s="24"/>
      <c r="E2569" s="24"/>
      <c r="G2569" s="24"/>
      <c r="H2569" s="24"/>
      <c r="J2569" s="24"/>
      <c r="K2569" s="24"/>
      <c r="M2569" s="24"/>
      <c r="N2569" s="24"/>
      <c r="P2569" s="24"/>
    </row>
    <row r="2570" spans="2:16" x14ac:dyDescent="0.25">
      <c r="B2570" s="24"/>
      <c r="E2570" s="24"/>
      <c r="G2570" s="24"/>
      <c r="H2570" s="24"/>
      <c r="J2570" s="24"/>
      <c r="K2570" s="24"/>
      <c r="M2570" s="24"/>
      <c r="N2570" s="24"/>
      <c r="P2570" s="24"/>
    </row>
    <row r="2571" spans="2:16" x14ac:dyDescent="0.25">
      <c r="B2571" s="24"/>
      <c r="E2571" s="24"/>
      <c r="G2571" s="24"/>
      <c r="H2571" s="24"/>
      <c r="J2571" s="24"/>
      <c r="K2571" s="24"/>
      <c r="M2571" s="24"/>
      <c r="N2571" s="24"/>
      <c r="P2571" s="24"/>
    </row>
    <row r="2572" spans="2:16" x14ac:dyDescent="0.25">
      <c r="B2572" s="24"/>
      <c r="E2572" s="24"/>
      <c r="G2572" s="24"/>
      <c r="H2572" s="24"/>
      <c r="J2572" s="24"/>
      <c r="K2572" s="24"/>
      <c r="M2572" s="24"/>
      <c r="N2572" s="24"/>
      <c r="P2572" s="24"/>
    </row>
    <row r="2573" spans="2:16" x14ac:dyDescent="0.25">
      <c r="B2573" s="24"/>
      <c r="E2573" s="24"/>
      <c r="G2573" s="24"/>
      <c r="H2573" s="24"/>
      <c r="J2573" s="24"/>
      <c r="K2573" s="24"/>
      <c r="M2573" s="24"/>
      <c r="N2573" s="24"/>
      <c r="P2573" s="24"/>
    </row>
    <row r="2574" spans="2:16" x14ac:dyDescent="0.25">
      <c r="B2574" s="24"/>
      <c r="E2574" s="24"/>
      <c r="G2574" s="24"/>
      <c r="H2574" s="24"/>
      <c r="J2574" s="24"/>
      <c r="K2574" s="24"/>
      <c r="M2574" s="24"/>
      <c r="N2574" s="24"/>
      <c r="P2574" s="24"/>
    </row>
    <row r="2575" spans="2:16" x14ac:dyDescent="0.25">
      <c r="B2575" s="24"/>
      <c r="E2575" s="24"/>
      <c r="G2575" s="24"/>
      <c r="H2575" s="24"/>
      <c r="J2575" s="24"/>
      <c r="K2575" s="24"/>
      <c r="M2575" s="24"/>
      <c r="N2575" s="24"/>
      <c r="P2575" s="24"/>
    </row>
    <row r="2576" spans="2:16" x14ac:dyDescent="0.25">
      <c r="B2576" s="24"/>
      <c r="E2576" s="24"/>
      <c r="G2576" s="24"/>
      <c r="H2576" s="24"/>
      <c r="J2576" s="24"/>
      <c r="K2576" s="24"/>
      <c r="M2576" s="24"/>
      <c r="N2576" s="24"/>
      <c r="P2576" s="24"/>
    </row>
    <row r="2577" spans="2:16" x14ac:dyDescent="0.25">
      <c r="B2577" s="24"/>
      <c r="E2577" s="24"/>
      <c r="G2577" s="24"/>
      <c r="H2577" s="24"/>
      <c r="J2577" s="24"/>
      <c r="K2577" s="24"/>
      <c r="M2577" s="24"/>
      <c r="N2577" s="24"/>
      <c r="P2577" s="24"/>
    </row>
    <row r="2578" spans="2:16" x14ac:dyDescent="0.25">
      <c r="B2578" s="24"/>
      <c r="E2578" s="24"/>
      <c r="G2578" s="24"/>
      <c r="H2578" s="24"/>
      <c r="J2578" s="24"/>
      <c r="K2578" s="24"/>
      <c r="M2578" s="24"/>
      <c r="N2578" s="24"/>
      <c r="P2578" s="24"/>
    </row>
    <row r="2579" spans="2:16" x14ac:dyDescent="0.25">
      <c r="B2579" s="24"/>
      <c r="E2579" s="24"/>
      <c r="G2579" s="24"/>
      <c r="H2579" s="24"/>
      <c r="J2579" s="24"/>
      <c r="K2579" s="24"/>
      <c r="M2579" s="24"/>
      <c r="N2579" s="24"/>
      <c r="P2579" s="24"/>
    </row>
    <row r="2580" spans="2:16" x14ac:dyDescent="0.25">
      <c r="B2580" s="24"/>
      <c r="E2580" s="24"/>
      <c r="G2580" s="24"/>
      <c r="H2580" s="24"/>
      <c r="J2580" s="24"/>
      <c r="K2580" s="24"/>
      <c r="M2580" s="24"/>
      <c r="N2580" s="24"/>
      <c r="P2580" s="24"/>
    </row>
    <row r="2581" spans="2:16" x14ac:dyDescent="0.25">
      <c r="B2581" s="24"/>
      <c r="E2581" s="24"/>
      <c r="G2581" s="24"/>
      <c r="H2581" s="24"/>
      <c r="J2581" s="24"/>
      <c r="K2581" s="24"/>
      <c r="M2581" s="24"/>
      <c r="N2581" s="24"/>
      <c r="P2581" s="24"/>
    </row>
    <row r="2582" spans="2:16" x14ac:dyDescent="0.25">
      <c r="B2582" s="24"/>
      <c r="E2582" s="24"/>
      <c r="G2582" s="24"/>
      <c r="H2582" s="24"/>
      <c r="J2582" s="24"/>
      <c r="K2582" s="24"/>
      <c r="M2582" s="24"/>
      <c r="N2582" s="24"/>
      <c r="P2582" s="24"/>
    </row>
    <row r="2583" spans="2:16" x14ac:dyDescent="0.25">
      <c r="B2583" s="24"/>
      <c r="E2583" s="24"/>
      <c r="G2583" s="24"/>
      <c r="H2583" s="24"/>
      <c r="J2583" s="24"/>
      <c r="K2583" s="24"/>
      <c r="M2583" s="24"/>
      <c r="N2583" s="24"/>
      <c r="P2583" s="24"/>
    </row>
    <row r="2584" spans="2:16" x14ac:dyDescent="0.25">
      <c r="B2584" s="24"/>
      <c r="E2584" s="24"/>
      <c r="G2584" s="24"/>
      <c r="H2584" s="24"/>
      <c r="J2584" s="24"/>
      <c r="K2584" s="24"/>
      <c r="M2584" s="24"/>
      <c r="N2584" s="24"/>
      <c r="P2584" s="24"/>
    </row>
    <row r="2585" spans="2:16" x14ac:dyDescent="0.25">
      <c r="B2585" s="24"/>
      <c r="E2585" s="24"/>
      <c r="G2585" s="24"/>
      <c r="H2585" s="24"/>
      <c r="J2585" s="24"/>
      <c r="K2585" s="24"/>
      <c r="M2585" s="24"/>
      <c r="N2585" s="24"/>
      <c r="P2585" s="24"/>
    </row>
    <row r="2586" spans="2:16" x14ac:dyDescent="0.25">
      <c r="B2586" s="24"/>
      <c r="E2586" s="24"/>
      <c r="G2586" s="24"/>
      <c r="H2586" s="24"/>
      <c r="J2586" s="24"/>
      <c r="K2586" s="24"/>
      <c r="M2586" s="24"/>
      <c r="N2586" s="24"/>
      <c r="P2586" s="24"/>
    </row>
    <row r="2587" spans="2:16" x14ac:dyDescent="0.25">
      <c r="B2587" s="24"/>
      <c r="E2587" s="24"/>
      <c r="G2587" s="24"/>
      <c r="H2587" s="24"/>
      <c r="J2587" s="24"/>
      <c r="K2587" s="24"/>
      <c r="M2587" s="24"/>
      <c r="N2587" s="24"/>
      <c r="P2587" s="24"/>
    </row>
    <row r="2588" spans="2:16" x14ac:dyDescent="0.25">
      <c r="B2588" s="24"/>
      <c r="E2588" s="24"/>
      <c r="G2588" s="24"/>
      <c r="H2588" s="24"/>
      <c r="J2588" s="24"/>
      <c r="K2588" s="24"/>
      <c r="M2588" s="24"/>
      <c r="N2588" s="24"/>
      <c r="P2588" s="24"/>
    </row>
    <row r="2589" spans="2:16" x14ac:dyDescent="0.25">
      <c r="B2589" s="24"/>
      <c r="E2589" s="24"/>
      <c r="G2589" s="24"/>
      <c r="H2589" s="24"/>
      <c r="J2589" s="24"/>
      <c r="K2589" s="24"/>
      <c r="M2589" s="24"/>
      <c r="N2589" s="24"/>
      <c r="P2589" s="24"/>
    </row>
    <row r="2590" spans="2:16" x14ac:dyDescent="0.25">
      <c r="B2590" s="24"/>
      <c r="E2590" s="24"/>
      <c r="G2590" s="24"/>
      <c r="H2590" s="24"/>
      <c r="J2590" s="24"/>
      <c r="K2590" s="24"/>
      <c r="M2590" s="24"/>
      <c r="N2590" s="24"/>
      <c r="P2590" s="24"/>
    </row>
    <row r="2591" spans="2:16" x14ac:dyDescent="0.25">
      <c r="B2591" s="24"/>
      <c r="E2591" s="24"/>
      <c r="G2591" s="24"/>
      <c r="H2591" s="24"/>
      <c r="J2591" s="24"/>
      <c r="K2591" s="24"/>
      <c r="M2591" s="24"/>
      <c r="N2591" s="24"/>
      <c r="P2591" s="24"/>
    </row>
    <row r="2592" spans="2:16" x14ac:dyDescent="0.25">
      <c r="B2592" s="24"/>
      <c r="E2592" s="24"/>
      <c r="G2592" s="24"/>
      <c r="H2592" s="24"/>
      <c r="J2592" s="24"/>
      <c r="K2592" s="24"/>
      <c r="M2592" s="24"/>
      <c r="N2592" s="24"/>
      <c r="P2592" s="24"/>
    </row>
    <row r="2593" spans="2:16" x14ac:dyDescent="0.25">
      <c r="B2593" s="24"/>
      <c r="E2593" s="24"/>
      <c r="G2593" s="24"/>
      <c r="H2593" s="24"/>
      <c r="J2593" s="24"/>
      <c r="K2593" s="24"/>
      <c r="M2593" s="24"/>
      <c r="N2593" s="24"/>
      <c r="P2593" s="24"/>
    </row>
    <row r="2594" spans="2:16" x14ac:dyDescent="0.25">
      <c r="B2594" s="24"/>
      <c r="E2594" s="24"/>
      <c r="G2594" s="24"/>
      <c r="H2594" s="24"/>
      <c r="J2594" s="24"/>
      <c r="K2594" s="24"/>
      <c r="M2594" s="24"/>
      <c r="N2594" s="24"/>
      <c r="P2594" s="24"/>
    </row>
    <row r="2595" spans="2:16" x14ac:dyDescent="0.25">
      <c r="B2595" s="24"/>
      <c r="E2595" s="24"/>
      <c r="G2595" s="24"/>
      <c r="H2595" s="24"/>
      <c r="J2595" s="24"/>
      <c r="K2595" s="24"/>
      <c r="M2595" s="24"/>
      <c r="N2595" s="24"/>
      <c r="P2595" s="24"/>
    </row>
    <row r="2596" spans="2:16" x14ac:dyDescent="0.25">
      <c r="B2596" s="24"/>
      <c r="E2596" s="24"/>
      <c r="G2596" s="24"/>
      <c r="H2596" s="24"/>
      <c r="J2596" s="24"/>
      <c r="K2596" s="24"/>
      <c r="M2596" s="24"/>
      <c r="N2596" s="24"/>
      <c r="P2596" s="24"/>
    </row>
    <row r="2597" spans="2:16" x14ac:dyDescent="0.25">
      <c r="B2597" s="24"/>
      <c r="E2597" s="24"/>
      <c r="G2597" s="24"/>
      <c r="H2597" s="24"/>
      <c r="J2597" s="24"/>
      <c r="K2597" s="24"/>
      <c r="M2597" s="24"/>
      <c r="N2597" s="24"/>
      <c r="P2597" s="24"/>
    </row>
    <row r="2598" spans="2:16" x14ac:dyDescent="0.25">
      <c r="B2598" s="24"/>
      <c r="E2598" s="24"/>
      <c r="G2598" s="24"/>
      <c r="H2598" s="24"/>
      <c r="J2598" s="24"/>
      <c r="K2598" s="24"/>
      <c r="M2598" s="24"/>
      <c r="N2598" s="24"/>
      <c r="P2598" s="24"/>
    </row>
    <row r="2599" spans="2:16" x14ac:dyDescent="0.25">
      <c r="B2599" s="24"/>
      <c r="E2599" s="24"/>
      <c r="G2599" s="24"/>
      <c r="H2599" s="24"/>
      <c r="J2599" s="24"/>
      <c r="K2599" s="24"/>
      <c r="M2599" s="24"/>
      <c r="N2599" s="24"/>
      <c r="P2599" s="24"/>
    </row>
    <row r="2600" spans="2:16" x14ac:dyDescent="0.25">
      <c r="B2600" s="24"/>
      <c r="E2600" s="24"/>
      <c r="G2600" s="24"/>
      <c r="H2600" s="24"/>
      <c r="J2600" s="24"/>
      <c r="K2600" s="24"/>
      <c r="M2600" s="24"/>
      <c r="N2600" s="24"/>
      <c r="P2600" s="24"/>
    </row>
    <row r="2601" spans="2:16" x14ac:dyDescent="0.25">
      <c r="B2601" s="24"/>
      <c r="E2601" s="24"/>
      <c r="G2601" s="24"/>
      <c r="H2601" s="24"/>
      <c r="J2601" s="24"/>
      <c r="K2601" s="24"/>
      <c r="M2601" s="24"/>
      <c r="N2601" s="24"/>
      <c r="P2601" s="24"/>
    </row>
    <row r="2602" spans="2:16" x14ac:dyDescent="0.25">
      <c r="B2602" s="24"/>
      <c r="E2602" s="24"/>
      <c r="G2602" s="24"/>
      <c r="H2602" s="24"/>
      <c r="J2602" s="24"/>
      <c r="K2602" s="24"/>
      <c r="M2602" s="24"/>
      <c r="N2602" s="24"/>
      <c r="P2602" s="24"/>
    </row>
    <row r="2603" spans="2:16" x14ac:dyDescent="0.25">
      <c r="B2603" s="24"/>
      <c r="E2603" s="24"/>
      <c r="G2603" s="24"/>
      <c r="H2603" s="24"/>
      <c r="J2603" s="24"/>
      <c r="K2603" s="24"/>
      <c r="M2603" s="24"/>
      <c r="N2603" s="24"/>
      <c r="P2603" s="24"/>
    </row>
    <row r="2604" spans="2:16" x14ac:dyDescent="0.25">
      <c r="B2604" s="24"/>
      <c r="E2604" s="24"/>
      <c r="G2604" s="24"/>
      <c r="H2604" s="24"/>
      <c r="J2604" s="24"/>
      <c r="K2604" s="24"/>
      <c r="M2604" s="24"/>
      <c r="N2604" s="24"/>
      <c r="P2604" s="24"/>
    </row>
    <row r="2605" spans="2:16" x14ac:dyDescent="0.25">
      <c r="B2605" s="24"/>
      <c r="E2605" s="24"/>
      <c r="G2605" s="24"/>
      <c r="H2605" s="24"/>
      <c r="J2605" s="24"/>
      <c r="K2605" s="24"/>
      <c r="M2605" s="24"/>
      <c r="N2605" s="24"/>
      <c r="P2605" s="24"/>
    </row>
    <row r="2606" spans="2:16" x14ac:dyDescent="0.25">
      <c r="B2606" s="24"/>
      <c r="E2606" s="24"/>
      <c r="G2606" s="24"/>
      <c r="H2606" s="24"/>
      <c r="J2606" s="24"/>
      <c r="K2606" s="24"/>
      <c r="M2606" s="24"/>
      <c r="N2606" s="24"/>
      <c r="P2606" s="24"/>
    </row>
    <row r="2607" spans="2:16" x14ac:dyDescent="0.25">
      <c r="B2607" s="24"/>
      <c r="E2607" s="24"/>
      <c r="G2607" s="24"/>
      <c r="H2607" s="24"/>
      <c r="J2607" s="24"/>
      <c r="K2607" s="24"/>
      <c r="M2607" s="24"/>
      <c r="N2607" s="24"/>
      <c r="P2607" s="24"/>
    </row>
    <row r="2608" spans="2:16" x14ac:dyDescent="0.25">
      <c r="B2608" s="24"/>
      <c r="E2608" s="24"/>
      <c r="G2608" s="24"/>
      <c r="H2608" s="24"/>
      <c r="J2608" s="24"/>
      <c r="K2608" s="24"/>
      <c r="M2608" s="24"/>
      <c r="N2608" s="24"/>
      <c r="P2608" s="24"/>
    </row>
    <row r="2609" spans="2:16" x14ac:dyDescent="0.25">
      <c r="B2609" s="24"/>
      <c r="E2609" s="24"/>
      <c r="G2609" s="24"/>
      <c r="H2609" s="24"/>
      <c r="J2609" s="24"/>
      <c r="K2609" s="24"/>
      <c r="M2609" s="24"/>
      <c r="N2609" s="24"/>
      <c r="P2609" s="24"/>
    </row>
    <row r="2610" spans="2:16" x14ac:dyDescent="0.25">
      <c r="B2610" s="24"/>
      <c r="E2610" s="24"/>
      <c r="G2610" s="24"/>
      <c r="H2610" s="24"/>
      <c r="J2610" s="24"/>
      <c r="K2610" s="24"/>
      <c r="M2610" s="24"/>
      <c r="N2610" s="24"/>
      <c r="P2610" s="24"/>
    </row>
    <row r="2611" spans="2:16" x14ac:dyDescent="0.25">
      <c r="B2611" s="24"/>
      <c r="E2611" s="24"/>
      <c r="G2611" s="24"/>
      <c r="H2611" s="24"/>
      <c r="J2611" s="24"/>
      <c r="K2611" s="24"/>
      <c r="M2611" s="24"/>
      <c r="N2611" s="24"/>
      <c r="P2611" s="24"/>
    </row>
    <row r="2612" spans="2:16" x14ac:dyDescent="0.25">
      <c r="B2612" s="24"/>
      <c r="E2612" s="24"/>
      <c r="G2612" s="24"/>
      <c r="H2612" s="24"/>
      <c r="J2612" s="24"/>
      <c r="K2612" s="24"/>
      <c r="M2612" s="24"/>
      <c r="N2612" s="24"/>
      <c r="P2612" s="24"/>
    </row>
    <row r="2613" spans="2:16" x14ac:dyDescent="0.25">
      <c r="B2613" s="24"/>
      <c r="E2613" s="24"/>
      <c r="G2613" s="24"/>
      <c r="H2613" s="24"/>
      <c r="J2613" s="24"/>
      <c r="K2613" s="24"/>
      <c r="M2613" s="24"/>
      <c r="N2613" s="24"/>
      <c r="P2613" s="24"/>
    </row>
    <row r="2614" spans="2:16" x14ac:dyDescent="0.25">
      <c r="B2614" s="24"/>
      <c r="E2614" s="24"/>
      <c r="G2614" s="24"/>
      <c r="H2614" s="24"/>
      <c r="J2614" s="24"/>
      <c r="K2614" s="24"/>
      <c r="M2614" s="24"/>
      <c r="N2614" s="24"/>
      <c r="P2614" s="24"/>
    </row>
    <row r="2615" spans="2:16" x14ac:dyDescent="0.25">
      <c r="B2615" s="24"/>
      <c r="E2615" s="24"/>
      <c r="G2615" s="24"/>
      <c r="H2615" s="24"/>
      <c r="J2615" s="24"/>
      <c r="K2615" s="24"/>
      <c r="M2615" s="24"/>
      <c r="N2615" s="24"/>
      <c r="P2615" s="24"/>
    </row>
    <row r="2616" spans="2:16" x14ac:dyDescent="0.25">
      <c r="B2616" s="24"/>
      <c r="E2616" s="24"/>
      <c r="G2616" s="24"/>
      <c r="H2616" s="24"/>
      <c r="J2616" s="24"/>
      <c r="K2616" s="24"/>
      <c r="M2616" s="24"/>
      <c r="N2616" s="24"/>
      <c r="P2616" s="24"/>
    </row>
    <row r="2617" spans="2:16" x14ac:dyDescent="0.25">
      <c r="B2617" s="24"/>
      <c r="E2617" s="24"/>
      <c r="G2617" s="24"/>
      <c r="H2617" s="24"/>
      <c r="J2617" s="24"/>
      <c r="K2617" s="24"/>
      <c r="M2617" s="24"/>
      <c r="N2617" s="24"/>
      <c r="P2617" s="24"/>
    </row>
    <row r="2618" spans="2:16" x14ac:dyDescent="0.25">
      <c r="B2618" s="24"/>
      <c r="E2618" s="24"/>
      <c r="G2618" s="24"/>
      <c r="H2618" s="24"/>
      <c r="J2618" s="24"/>
      <c r="K2618" s="24"/>
      <c r="M2618" s="24"/>
      <c r="N2618" s="24"/>
      <c r="P2618" s="24"/>
    </row>
    <row r="2619" spans="2:16" x14ac:dyDescent="0.25">
      <c r="B2619" s="24"/>
      <c r="E2619" s="24"/>
      <c r="G2619" s="24"/>
      <c r="H2619" s="24"/>
      <c r="J2619" s="24"/>
      <c r="K2619" s="24"/>
      <c r="M2619" s="24"/>
      <c r="N2619" s="24"/>
      <c r="P2619" s="24"/>
    </row>
    <row r="2620" spans="2:16" x14ac:dyDescent="0.25">
      <c r="B2620" s="24"/>
      <c r="E2620" s="24"/>
      <c r="G2620" s="24"/>
      <c r="H2620" s="24"/>
      <c r="J2620" s="24"/>
      <c r="K2620" s="24"/>
      <c r="M2620" s="24"/>
      <c r="N2620" s="24"/>
      <c r="P2620" s="24"/>
    </row>
    <row r="2621" spans="2:16" x14ac:dyDescent="0.25">
      <c r="B2621" s="24"/>
      <c r="E2621" s="24"/>
      <c r="G2621" s="24"/>
      <c r="H2621" s="24"/>
      <c r="J2621" s="24"/>
      <c r="K2621" s="24"/>
      <c r="M2621" s="24"/>
      <c r="N2621" s="24"/>
      <c r="P2621" s="24"/>
    </row>
    <row r="2622" spans="2:16" x14ac:dyDescent="0.25">
      <c r="B2622" s="24"/>
      <c r="E2622" s="24"/>
      <c r="G2622" s="24"/>
      <c r="H2622" s="24"/>
      <c r="J2622" s="24"/>
      <c r="K2622" s="24"/>
      <c r="M2622" s="24"/>
      <c r="N2622" s="24"/>
      <c r="P2622" s="24"/>
    </row>
    <row r="2623" spans="2:16" x14ac:dyDescent="0.25">
      <c r="B2623" s="24"/>
      <c r="E2623" s="24"/>
      <c r="G2623" s="24"/>
      <c r="H2623" s="24"/>
      <c r="J2623" s="24"/>
      <c r="K2623" s="24"/>
      <c r="M2623" s="24"/>
      <c r="N2623" s="24"/>
      <c r="P2623" s="24"/>
    </row>
    <row r="2624" spans="2:16" x14ac:dyDescent="0.25">
      <c r="B2624" s="24"/>
      <c r="E2624" s="24"/>
      <c r="G2624" s="24"/>
      <c r="H2624" s="24"/>
      <c r="J2624" s="24"/>
      <c r="K2624" s="24"/>
      <c r="M2624" s="24"/>
      <c r="N2624" s="24"/>
      <c r="P2624" s="24"/>
    </row>
    <row r="2625" spans="2:16" x14ac:dyDescent="0.25">
      <c r="B2625" s="24"/>
      <c r="E2625" s="24"/>
      <c r="G2625" s="24"/>
      <c r="H2625" s="24"/>
      <c r="J2625" s="24"/>
      <c r="K2625" s="24"/>
      <c r="M2625" s="24"/>
      <c r="N2625" s="24"/>
      <c r="P2625" s="24"/>
    </row>
    <row r="2626" spans="2:16" x14ac:dyDescent="0.25">
      <c r="B2626" s="24"/>
      <c r="E2626" s="24"/>
      <c r="G2626" s="24"/>
      <c r="H2626" s="24"/>
      <c r="J2626" s="24"/>
      <c r="K2626" s="24"/>
      <c r="M2626" s="24"/>
      <c r="N2626" s="24"/>
      <c r="P2626" s="24"/>
    </row>
    <row r="2627" spans="2:16" x14ac:dyDescent="0.25">
      <c r="B2627" s="24"/>
      <c r="E2627" s="24"/>
      <c r="G2627" s="24"/>
      <c r="H2627" s="24"/>
      <c r="J2627" s="24"/>
      <c r="K2627" s="24"/>
      <c r="M2627" s="24"/>
      <c r="N2627" s="24"/>
      <c r="P2627" s="24"/>
    </row>
    <row r="2628" spans="2:16" x14ac:dyDescent="0.25">
      <c r="B2628" s="24"/>
      <c r="E2628" s="24"/>
      <c r="G2628" s="24"/>
      <c r="H2628" s="24"/>
      <c r="J2628" s="24"/>
      <c r="K2628" s="24"/>
      <c r="M2628" s="24"/>
      <c r="N2628" s="24"/>
      <c r="P2628" s="24"/>
    </row>
    <row r="2629" spans="2:16" x14ac:dyDescent="0.25">
      <c r="B2629" s="24"/>
      <c r="E2629" s="24"/>
      <c r="G2629" s="24"/>
      <c r="H2629" s="24"/>
      <c r="J2629" s="24"/>
      <c r="K2629" s="24"/>
      <c r="M2629" s="24"/>
      <c r="N2629" s="24"/>
      <c r="P2629" s="24"/>
    </row>
    <row r="2630" spans="2:16" x14ac:dyDescent="0.25">
      <c r="B2630" s="24"/>
      <c r="E2630" s="24"/>
      <c r="G2630" s="24"/>
      <c r="H2630" s="24"/>
      <c r="J2630" s="24"/>
      <c r="K2630" s="24"/>
      <c r="M2630" s="24"/>
      <c r="N2630" s="24"/>
      <c r="P2630" s="24"/>
    </row>
    <row r="2631" spans="2:16" x14ac:dyDescent="0.25">
      <c r="B2631" s="24"/>
      <c r="E2631" s="24"/>
      <c r="G2631" s="24"/>
      <c r="H2631" s="24"/>
      <c r="J2631" s="24"/>
      <c r="K2631" s="24"/>
      <c r="M2631" s="24"/>
      <c r="N2631" s="24"/>
      <c r="P2631" s="24"/>
    </row>
    <row r="2632" spans="2:16" x14ac:dyDescent="0.25">
      <c r="B2632" s="24"/>
      <c r="E2632" s="24"/>
      <c r="G2632" s="24"/>
      <c r="H2632" s="24"/>
      <c r="J2632" s="24"/>
      <c r="K2632" s="24"/>
      <c r="M2632" s="24"/>
      <c r="N2632" s="24"/>
      <c r="P2632" s="24"/>
    </row>
    <row r="2633" spans="2:16" x14ac:dyDescent="0.25">
      <c r="B2633" s="24"/>
      <c r="E2633" s="24"/>
      <c r="G2633" s="24"/>
      <c r="H2633" s="24"/>
      <c r="J2633" s="24"/>
      <c r="K2633" s="24"/>
      <c r="M2633" s="24"/>
      <c r="N2633" s="24"/>
      <c r="P2633" s="24"/>
    </row>
    <row r="2634" spans="2:16" x14ac:dyDescent="0.25">
      <c r="B2634" s="24"/>
      <c r="E2634" s="24"/>
      <c r="G2634" s="24"/>
      <c r="H2634" s="24"/>
      <c r="J2634" s="24"/>
      <c r="K2634" s="24"/>
      <c r="M2634" s="24"/>
      <c r="N2634" s="24"/>
      <c r="P2634" s="24"/>
    </row>
    <row r="2635" spans="2:16" x14ac:dyDescent="0.25">
      <c r="B2635" s="24"/>
      <c r="E2635" s="24"/>
      <c r="G2635" s="24"/>
      <c r="H2635" s="24"/>
      <c r="J2635" s="24"/>
      <c r="K2635" s="24"/>
      <c r="M2635" s="24"/>
      <c r="N2635" s="24"/>
      <c r="P2635" s="24"/>
    </row>
    <row r="2636" spans="2:16" x14ac:dyDescent="0.25">
      <c r="B2636" s="24"/>
      <c r="E2636" s="24"/>
      <c r="G2636" s="24"/>
      <c r="H2636" s="24"/>
      <c r="J2636" s="24"/>
      <c r="K2636" s="24"/>
      <c r="M2636" s="24"/>
      <c r="N2636" s="24"/>
      <c r="P2636" s="24"/>
    </row>
    <row r="2637" spans="2:16" x14ac:dyDescent="0.25">
      <c r="B2637" s="24"/>
      <c r="E2637" s="24"/>
      <c r="G2637" s="24"/>
      <c r="H2637" s="24"/>
      <c r="J2637" s="24"/>
      <c r="K2637" s="24"/>
      <c r="M2637" s="24"/>
      <c r="N2637" s="24"/>
      <c r="P2637" s="24"/>
    </row>
    <row r="2638" spans="2:16" x14ac:dyDescent="0.25">
      <c r="B2638" s="24"/>
      <c r="E2638" s="24"/>
      <c r="G2638" s="24"/>
      <c r="H2638" s="24"/>
      <c r="J2638" s="24"/>
      <c r="K2638" s="24"/>
      <c r="M2638" s="24"/>
      <c r="N2638" s="24"/>
      <c r="P2638" s="24"/>
    </row>
    <row r="2639" spans="2:16" x14ac:dyDescent="0.25">
      <c r="B2639" s="24"/>
      <c r="E2639" s="24"/>
      <c r="G2639" s="24"/>
      <c r="H2639" s="24"/>
      <c r="J2639" s="24"/>
      <c r="K2639" s="24"/>
      <c r="M2639" s="24"/>
      <c r="N2639" s="24"/>
      <c r="P2639" s="24"/>
    </row>
    <row r="2640" spans="2:16" x14ac:dyDescent="0.25">
      <c r="B2640" s="24"/>
      <c r="E2640" s="24"/>
      <c r="G2640" s="24"/>
      <c r="H2640" s="24"/>
      <c r="J2640" s="24"/>
      <c r="K2640" s="24"/>
      <c r="M2640" s="24"/>
      <c r="N2640" s="24"/>
      <c r="P2640" s="24"/>
    </row>
    <row r="2641" spans="2:16" x14ac:dyDescent="0.25">
      <c r="B2641" s="24"/>
      <c r="E2641" s="24"/>
      <c r="G2641" s="24"/>
      <c r="H2641" s="24"/>
      <c r="J2641" s="24"/>
      <c r="K2641" s="24"/>
      <c r="M2641" s="24"/>
      <c r="N2641" s="24"/>
      <c r="P2641" s="24"/>
    </row>
    <row r="2642" spans="2:16" x14ac:dyDescent="0.25">
      <c r="B2642" s="24"/>
      <c r="E2642" s="24"/>
      <c r="G2642" s="24"/>
      <c r="H2642" s="24"/>
      <c r="J2642" s="24"/>
      <c r="K2642" s="24"/>
      <c r="M2642" s="24"/>
      <c r="N2642" s="24"/>
      <c r="P2642" s="24"/>
    </row>
    <row r="2643" spans="2:16" x14ac:dyDescent="0.25">
      <c r="B2643" s="24"/>
      <c r="E2643" s="24"/>
      <c r="G2643" s="24"/>
      <c r="H2643" s="24"/>
      <c r="J2643" s="24"/>
      <c r="K2643" s="24"/>
      <c r="M2643" s="24"/>
      <c r="N2643" s="24"/>
      <c r="P2643" s="24"/>
    </row>
    <row r="2644" spans="2:16" x14ac:dyDescent="0.25">
      <c r="B2644" s="24"/>
      <c r="E2644" s="24"/>
      <c r="G2644" s="24"/>
      <c r="H2644" s="24"/>
      <c r="J2644" s="24"/>
      <c r="K2644" s="24"/>
      <c r="M2644" s="24"/>
      <c r="N2644" s="24"/>
      <c r="P2644" s="24"/>
    </row>
    <row r="2645" spans="2:16" x14ac:dyDescent="0.25">
      <c r="B2645" s="24"/>
      <c r="E2645" s="24"/>
      <c r="G2645" s="24"/>
      <c r="H2645" s="24"/>
      <c r="J2645" s="24"/>
      <c r="K2645" s="24"/>
      <c r="M2645" s="24"/>
      <c r="N2645" s="24"/>
      <c r="P2645" s="24"/>
    </row>
    <row r="2646" spans="2:16" x14ac:dyDescent="0.25">
      <c r="B2646" s="24"/>
      <c r="E2646" s="24"/>
      <c r="G2646" s="24"/>
      <c r="H2646" s="24"/>
      <c r="J2646" s="24"/>
      <c r="K2646" s="24"/>
      <c r="M2646" s="24"/>
      <c r="N2646" s="24"/>
      <c r="P2646" s="24"/>
    </row>
    <row r="2647" spans="2:16" x14ac:dyDescent="0.25">
      <c r="B2647" s="24"/>
      <c r="E2647" s="24"/>
      <c r="G2647" s="24"/>
      <c r="H2647" s="24"/>
      <c r="J2647" s="24"/>
      <c r="K2647" s="24"/>
      <c r="M2647" s="24"/>
      <c r="N2647" s="24"/>
      <c r="P2647" s="24"/>
    </row>
    <row r="2648" spans="2:16" x14ac:dyDescent="0.25">
      <c r="B2648" s="24"/>
      <c r="E2648" s="24"/>
      <c r="G2648" s="24"/>
      <c r="H2648" s="24"/>
      <c r="J2648" s="24"/>
      <c r="K2648" s="24"/>
      <c r="M2648" s="24"/>
      <c r="N2648" s="24"/>
      <c r="P2648" s="24"/>
    </row>
    <row r="2649" spans="2:16" x14ac:dyDescent="0.25">
      <c r="B2649" s="24"/>
      <c r="E2649" s="24"/>
      <c r="G2649" s="24"/>
      <c r="H2649" s="24"/>
      <c r="J2649" s="24"/>
      <c r="K2649" s="24"/>
      <c r="M2649" s="24"/>
      <c r="N2649" s="24"/>
      <c r="P2649" s="24"/>
    </row>
    <row r="2650" spans="2:16" x14ac:dyDescent="0.25">
      <c r="B2650" s="24"/>
      <c r="E2650" s="24"/>
      <c r="G2650" s="24"/>
      <c r="H2650" s="24"/>
      <c r="J2650" s="24"/>
      <c r="K2650" s="24"/>
      <c r="M2650" s="24"/>
      <c r="N2650" s="24"/>
      <c r="P2650" s="24"/>
    </row>
    <row r="2651" spans="2:16" x14ac:dyDescent="0.25">
      <c r="B2651" s="24"/>
      <c r="E2651" s="24"/>
      <c r="G2651" s="24"/>
      <c r="H2651" s="24"/>
      <c r="J2651" s="24"/>
      <c r="K2651" s="24"/>
      <c r="M2651" s="24"/>
      <c r="N2651" s="24"/>
      <c r="P2651" s="24"/>
    </row>
    <row r="2652" spans="2:16" x14ac:dyDescent="0.25">
      <c r="B2652" s="24"/>
      <c r="E2652" s="24"/>
      <c r="G2652" s="24"/>
      <c r="H2652" s="24"/>
      <c r="J2652" s="24"/>
      <c r="K2652" s="24"/>
      <c r="M2652" s="24"/>
      <c r="N2652" s="24"/>
      <c r="P2652" s="24"/>
    </row>
    <row r="2653" spans="2:16" x14ac:dyDescent="0.25">
      <c r="B2653" s="24"/>
      <c r="E2653" s="24"/>
      <c r="G2653" s="24"/>
      <c r="H2653" s="24"/>
      <c r="J2653" s="24"/>
      <c r="K2653" s="24"/>
      <c r="M2653" s="24"/>
      <c r="N2653" s="24"/>
      <c r="P2653" s="24"/>
    </row>
    <row r="2654" spans="2:16" x14ac:dyDescent="0.25">
      <c r="B2654" s="24"/>
      <c r="E2654" s="24"/>
      <c r="G2654" s="24"/>
      <c r="H2654" s="24"/>
      <c r="J2654" s="24"/>
      <c r="K2654" s="24"/>
      <c r="M2654" s="24"/>
      <c r="N2654" s="24"/>
      <c r="P2654" s="24"/>
    </row>
    <row r="2655" spans="2:16" x14ac:dyDescent="0.25">
      <c r="B2655" s="24"/>
      <c r="E2655" s="24"/>
      <c r="G2655" s="24"/>
      <c r="H2655" s="24"/>
      <c r="J2655" s="24"/>
      <c r="K2655" s="24"/>
      <c r="M2655" s="24"/>
      <c r="N2655" s="24"/>
      <c r="P2655" s="24"/>
    </row>
    <row r="2656" spans="2:16" x14ac:dyDescent="0.25">
      <c r="B2656" s="24"/>
      <c r="E2656" s="24"/>
      <c r="G2656" s="24"/>
      <c r="H2656" s="24"/>
      <c r="J2656" s="24"/>
      <c r="K2656" s="24"/>
      <c r="M2656" s="24"/>
      <c r="N2656" s="24"/>
      <c r="P2656" s="24"/>
    </row>
    <row r="2657" spans="2:16" x14ac:dyDescent="0.25">
      <c r="B2657" s="24"/>
      <c r="E2657" s="24"/>
      <c r="G2657" s="24"/>
      <c r="H2657" s="24"/>
      <c r="J2657" s="24"/>
      <c r="K2657" s="24"/>
      <c r="M2657" s="24"/>
      <c r="N2657" s="24"/>
      <c r="P2657" s="24"/>
    </row>
    <row r="2658" spans="2:16" x14ac:dyDescent="0.25">
      <c r="B2658" s="24"/>
      <c r="E2658" s="24"/>
      <c r="G2658" s="24"/>
      <c r="H2658" s="24"/>
      <c r="J2658" s="24"/>
      <c r="K2658" s="24"/>
      <c r="M2658" s="24"/>
      <c r="N2658" s="24"/>
      <c r="P2658" s="24"/>
    </row>
    <row r="2659" spans="2:16" x14ac:dyDescent="0.25">
      <c r="B2659" s="24"/>
      <c r="E2659" s="24"/>
      <c r="G2659" s="24"/>
      <c r="H2659" s="24"/>
      <c r="J2659" s="24"/>
      <c r="K2659" s="24"/>
      <c r="M2659" s="24"/>
      <c r="N2659" s="24"/>
      <c r="P2659" s="24"/>
    </row>
    <row r="2660" spans="2:16" x14ac:dyDescent="0.25">
      <c r="B2660" s="24"/>
      <c r="E2660" s="24"/>
      <c r="G2660" s="24"/>
      <c r="H2660" s="24"/>
      <c r="J2660" s="24"/>
      <c r="K2660" s="24"/>
      <c r="M2660" s="24"/>
      <c r="N2660" s="24"/>
      <c r="P2660" s="24"/>
    </row>
    <row r="2661" spans="2:16" x14ac:dyDescent="0.25">
      <c r="B2661" s="24"/>
      <c r="E2661" s="24"/>
      <c r="G2661" s="24"/>
      <c r="H2661" s="24"/>
      <c r="J2661" s="24"/>
      <c r="K2661" s="24"/>
      <c r="M2661" s="24"/>
      <c r="N2661" s="24"/>
      <c r="P2661" s="24"/>
    </row>
    <row r="2662" spans="2:16" x14ac:dyDescent="0.25">
      <c r="B2662" s="24"/>
      <c r="E2662" s="24"/>
      <c r="G2662" s="24"/>
      <c r="H2662" s="24"/>
      <c r="J2662" s="24"/>
      <c r="K2662" s="24"/>
      <c r="M2662" s="24"/>
      <c r="N2662" s="24"/>
      <c r="P2662" s="24"/>
    </row>
    <row r="2663" spans="2:16" x14ac:dyDescent="0.25">
      <c r="B2663" s="24"/>
      <c r="E2663" s="24"/>
      <c r="G2663" s="24"/>
      <c r="H2663" s="24"/>
      <c r="J2663" s="24"/>
      <c r="K2663" s="24"/>
      <c r="M2663" s="24"/>
      <c r="N2663" s="24"/>
      <c r="P2663" s="24"/>
    </row>
    <row r="2664" spans="2:16" x14ac:dyDescent="0.25">
      <c r="B2664" s="24"/>
      <c r="E2664" s="24"/>
      <c r="G2664" s="24"/>
      <c r="H2664" s="24"/>
      <c r="J2664" s="24"/>
      <c r="K2664" s="24"/>
      <c r="M2664" s="24"/>
      <c r="N2664" s="24"/>
      <c r="P2664" s="24"/>
    </row>
    <row r="2665" spans="2:16" x14ac:dyDescent="0.25">
      <c r="B2665" s="24"/>
      <c r="E2665" s="24"/>
      <c r="G2665" s="24"/>
      <c r="H2665" s="24"/>
      <c r="J2665" s="24"/>
      <c r="K2665" s="24"/>
      <c r="M2665" s="24"/>
      <c r="N2665" s="24"/>
      <c r="P2665" s="24"/>
    </row>
    <row r="2666" spans="2:16" x14ac:dyDescent="0.25">
      <c r="B2666" s="24"/>
      <c r="E2666" s="24"/>
      <c r="G2666" s="24"/>
      <c r="H2666" s="24"/>
      <c r="J2666" s="24"/>
      <c r="K2666" s="24"/>
      <c r="M2666" s="24"/>
      <c r="N2666" s="24"/>
      <c r="P2666" s="24"/>
    </row>
    <row r="2667" spans="2:16" x14ac:dyDescent="0.25">
      <c r="B2667" s="24"/>
      <c r="E2667" s="24"/>
      <c r="G2667" s="24"/>
      <c r="H2667" s="24"/>
      <c r="J2667" s="24"/>
      <c r="K2667" s="24"/>
      <c r="M2667" s="24"/>
      <c r="N2667" s="24"/>
      <c r="P2667" s="24"/>
    </row>
    <row r="2668" spans="2:16" x14ac:dyDescent="0.25">
      <c r="B2668" s="24"/>
      <c r="E2668" s="24"/>
      <c r="G2668" s="24"/>
      <c r="H2668" s="24"/>
      <c r="J2668" s="24"/>
      <c r="K2668" s="24"/>
      <c r="M2668" s="24"/>
      <c r="N2668" s="24"/>
      <c r="P2668" s="24"/>
    </row>
    <row r="2669" spans="2:16" x14ac:dyDescent="0.25">
      <c r="B2669" s="24"/>
      <c r="E2669" s="24"/>
      <c r="G2669" s="24"/>
      <c r="H2669" s="24"/>
      <c r="J2669" s="24"/>
      <c r="K2669" s="24"/>
      <c r="M2669" s="24"/>
      <c r="N2669" s="24"/>
      <c r="P2669" s="24"/>
    </row>
    <row r="2670" spans="2:16" x14ac:dyDescent="0.25">
      <c r="B2670" s="24"/>
      <c r="E2670" s="24"/>
      <c r="G2670" s="24"/>
      <c r="H2670" s="24"/>
      <c r="J2670" s="24"/>
      <c r="K2670" s="24"/>
      <c r="M2670" s="24"/>
      <c r="N2670" s="24"/>
      <c r="P2670" s="24"/>
    </row>
    <row r="2671" spans="2:16" x14ac:dyDescent="0.25">
      <c r="B2671" s="24"/>
      <c r="E2671" s="24"/>
      <c r="G2671" s="24"/>
      <c r="H2671" s="24"/>
      <c r="J2671" s="24"/>
      <c r="K2671" s="24"/>
      <c r="M2671" s="24"/>
      <c r="N2671" s="24"/>
      <c r="P2671" s="24"/>
    </row>
    <row r="2672" spans="2:16" x14ac:dyDescent="0.25">
      <c r="B2672" s="24"/>
      <c r="E2672" s="24"/>
      <c r="G2672" s="24"/>
      <c r="H2672" s="24"/>
      <c r="J2672" s="24"/>
      <c r="K2672" s="24"/>
      <c r="M2672" s="24"/>
      <c r="N2672" s="24"/>
      <c r="P2672" s="24"/>
    </row>
    <row r="2673" spans="2:16" x14ac:dyDescent="0.25">
      <c r="B2673" s="24"/>
      <c r="E2673" s="24"/>
      <c r="G2673" s="24"/>
      <c r="H2673" s="24"/>
      <c r="J2673" s="24"/>
      <c r="K2673" s="24"/>
      <c r="M2673" s="24"/>
      <c r="N2673" s="24"/>
      <c r="P2673" s="24"/>
    </row>
    <row r="2674" spans="2:16" x14ac:dyDescent="0.25">
      <c r="B2674" s="24"/>
      <c r="E2674" s="24"/>
      <c r="G2674" s="24"/>
      <c r="H2674" s="24"/>
      <c r="J2674" s="24"/>
      <c r="K2674" s="24"/>
      <c r="M2674" s="24"/>
      <c r="N2674" s="24"/>
      <c r="P2674" s="24"/>
    </row>
    <row r="2675" spans="2:16" x14ac:dyDescent="0.25">
      <c r="B2675" s="24"/>
      <c r="E2675" s="24"/>
      <c r="G2675" s="24"/>
      <c r="H2675" s="24"/>
      <c r="J2675" s="24"/>
      <c r="K2675" s="24"/>
      <c r="M2675" s="24"/>
      <c r="N2675" s="24"/>
      <c r="P2675" s="24"/>
    </row>
    <row r="2676" spans="2:16" x14ac:dyDescent="0.25">
      <c r="B2676" s="24"/>
      <c r="E2676" s="24"/>
      <c r="G2676" s="24"/>
      <c r="H2676" s="24"/>
      <c r="J2676" s="24"/>
      <c r="K2676" s="24"/>
      <c r="M2676" s="24"/>
      <c r="N2676" s="24"/>
      <c r="P2676" s="24"/>
    </row>
    <row r="2677" spans="2:16" x14ac:dyDescent="0.25">
      <c r="B2677" s="24"/>
      <c r="E2677" s="24"/>
      <c r="G2677" s="24"/>
      <c r="H2677" s="24"/>
      <c r="J2677" s="24"/>
      <c r="K2677" s="24"/>
      <c r="M2677" s="24"/>
      <c r="N2677" s="24"/>
      <c r="P2677" s="24"/>
    </row>
    <row r="2678" spans="2:16" x14ac:dyDescent="0.25">
      <c r="B2678" s="24"/>
      <c r="E2678" s="24"/>
      <c r="G2678" s="24"/>
      <c r="H2678" s="24"/>
      <c r="J2678" s="24"/>
      <c r="K2678" s="24"/>
      <c r="M2678" s="24"/>
      <c r="N2678" s="24"/>
      <c r="P2678" s="24"/>
    </row>
    <row r="2679" spans="2:16" x14ac:dyDescent="0.25">
      <c r="B2679" s="24"/>
      <c r="E2679" s="24"/>
      <c r="G2679" s="24"/>
      <c r="H2679" s="24"/>
      <c r="J2679" s="24"/>
      <c r="K2679" s="24"/>
      <c r="M2679" s="24"/>
      <c r="N2679" s="24"/>
      <c r="P2679" s="24"/>
    </row>
    <row r="2680" spans="2:16" x14ac:dyDescent="0.25">
      <c r="B2680" s="24"/>
      <c r="E2680" s="24"/>
      <c r="G2680" s="24"/>
      <c r="H2680" s="24"/>
      <c r="J2680" s="24"/>
      <c r="K2680" s="24"/>
      <c r="M2680" s="24"/>
      <c r="N2680" s="24"/>
      <c r="P2680" s="24"/>
    </row>
    <row r="2681" spans="2:16" x14ac:dyDescent="0.25">
      <c r="B2681" s="24"/>
      <c r="E2681" s="24"/>
      <c r="G2681" s="24"/>
      <c r="H2681" s="24"/>
      <c r="J2681" s="24"/>
      <c r="K2681" s="24"/>
      <c r="M2681" s="24"/>
      <c r="N2681" s="24"/>
      <c r="P2681" s="24"/>
    </row>
    <row r="2682" spans="2:16" x14ac:dyDescent="0.25">
      <c r="B2682" s="24"/>
      <c r="E2682" s="24"/>
      <c r="G2682" s="24"/>
      <c r="H2682" s="24"/>
      <c r="J2682" s="24"/>
      <c r="K2682" s="24"/>
      <c r="M2682" s="24"/>
      <c r="N2682" s="24"/>
      <c r="P2682" s="24"/>
    </row>
    <row r="2683" spans="2:16" x14ac:dyDescent="0.25">
      <c r="B2683" s="24"/>
      <c r="E2683" s="24"/>
      <c r="G2683" s="24"/>
      <c r="H2683" s="24"/>
      <c r="J2683" s="24"/>
      <c r="K2683" s="24"/>
      <c r="M2683" s="24"/>
      <c r="N2683" s="24"/>
      <c r="P2683" s="24"/>
    </row>
    <row r="2684" spans="2:16" x14ac:dyDescent="0.25">
      <c r="B2684" s="24"/>
      <c r="E2684" s="24"/>
      <c r="G2684" s="24"/>
      <c r="H2684" s="24"/>
      <c r="J2684" s="24"/>
      <c r="K2684" s="24"/>
      <c r="M2684" s="24"/>
      <c r="N2684" s="24"/>
      <c r="P2684" s="24"/>
    </row>
    <row r="2685" spans="2:16" x14ac:dyDescent="0.25">
      <c r="B2685" s="24"/>
      <c r="E2685" s="24"/>
      <c r="G2685" s="24"/>
      <c r="H2685" s="24"/>
      <c r="J2685" s="24"/>
      <c r="K2685" s="24"/>
      <c r="M2685" s="24"/>
      <c r="N2685" s="24"/>
      <c r="P2685" s="24"/>
    </row>
    <row r="2686" spans="2:16" x14ac:dyDescent="0.25">
      <c r="B2686" s="24"/>
      <c r="E2686" s="24"/>
      <c r="G2686" s="24"/>
      <c r="H2686" s="24"/>
      <c r="J2686" s="24"/>
      <c r="K2686" s="24"/>
      <c r="M2686" s="24"/>
      <c r="N2686" s="24"/>
      <c r="P2686" s="24"/>
    </row>
    <row r="2687" spans="2:16" x14ac:dyDescent="0.25">
      <c r="B2687" s="24"/>
      <c r="E2687" s="24"/>
      <c r="G2687" s="24"/>
      <c r="H2687" s="24"/>
      <c r="J2687" s="24"/>
      <c r="K2687" s="24"/>
      <c r="M2687" s="24"/>
      <c r="N2687" s="24"/>
      <c r="P2687" s="24"/>
    </row>
    <row r="2688" spans="2:16" x14ac:dyDescent="0.25">
      <c r="B2688" s="24"/>
      <c r="E2688" s="24"/>
      <c r="G2688" s="24"/>
      <c r="H2688" s="24"/>
      <c r="J2688" s="24"/>
      <c r="K2688" s="24"/>
      <c r="M2688" s="24"/>
      <c r="N2688" s="24"/>
      <c r="P2688" s="24"/>
    </row>
    <row r="2689" spans="2:16" x14ac:dyDescent="0.25">
      <c r="B2689" s="24"/>
      <c r="E2689" s="24"/>
      <c r="G2689" s="24"/>
      <c r="H2689" s="24"/>
      <c r="J2689" s="24"/>
      <c r="K2689" s="24"/>
      <c r="M2689" s="24"/>
      <c r="N2689" s="24"/>
      <c r="P2689" s="24"/>
    </row>
    <row r="2690" spans="2:16" x14ac:dyDescent="0.25">
      <c r="B2690" s="24"/>
      <c r="E2690" s="24"/>
      <c r="G2690" s="24"/>
      <c r="H2690" s="24"/>
      <c r="J2690" s="24"/>
      <c r="K2690" s="24"/>
      <c r="M2690" s="24"/>
      <c r="N2690" s="24"/>
      <c r="P2690" s="24"/>
    </row>
    <row r="2691" spans="2:16" x14ac:dyDescent="0.25">
      <c r="B2691" s="24"/>
      <c r="E2691" s="24"/>
      <c r="G2691" s="24"/>
      <c r="H2691" s="24"/>
      <c r="J2691" s="24"/>
      <c r="K2691" s="24"/>
      <c r="M2691" s="24"/>
      <c r="N2691" s="24"/>
      <c r="P2691" s="24"/>
    </row>
    <row r="2692" spans="2:16" x14ac:dyDescent="0.25">
      <c r="B2692" s="24"/>
      <c r="E2692" s="24"/>
      <c r="G2692" s="24"/>
      <c r="H2692" s="24"/>
      <c r="J2692" s="24"/>
      <c r="K2692" s="24"/>
      <c r="M2692" s="24"/>
      <c r="N2692" s="24"/>
      <c r="P2692" s="24"/>
    </row>
    <row r="2693" spans="2:16" x14ac:dyDescent="0.25">
      <c r="B2693" s="24"/>
      <c r="E2693" s="24"/>
      <c r="G2693" s="24"/>
      <c r="H2693" s="24"/>
      <c r="J2693" s="24"/>
      <c r="K2693" s="24"/>
      <c r="M2693" s="24"/>
      <c r="N2693" s="24"/>
      <c r="P2693" s="24"/>
    </row>
    <row r="2694" spans="2:16" x14ac:dyDescent="0.25">
      <c r="B2694" s="24"/>
      <c r="E2694" s="24"/>
      <c r="G2694" s="24"/>
      <c r="H2694" s="24"/>
      <c r="J2694" s="24"/>
      <c r="K2694" s="24"/>
      <c r="M2694" s="24"/>
      <c r="N2694" s="24"/>
      <c r="P2694" s="24"/>
    </row>
    <row r="2695" spans="2:16" x14ac:dyDescent="0.25">
      <c r="B2695" s="24"/>
      <c r="E2695" s="24"/>
      <c r="G2695" s="24"/>
      <c r="H2695" s="24"/>
      <c r="J2695" s="24"/>
      <c r="K2695" s="24"/>
      <c r="M2695" s="24"/>
      <c r="N2695" s="24"/>
      <c r="P2695" s="24"/>
    </row>
    <row r="2696" spans="2:16" x14ac:dyDescent="0.25">
      <c r="B2696" s="24"/>
      <c r="E2696" s="24"/>
      <c r="G2696" s="24"/>
      <c r="H2696" s="24"/>
      <c r="J2696" s="24"/>
      <c r="K2696" s="24"/>
      <c r="M2696" s="24"/>
      <c r="N2696" s="24"/>
      <c r="P2696" s="24"/>
    </row>
    <row r="2697" spans="2:16" x14ac:dyDescent="0.25">
      <c r="B2697" s="24"/>
      <c r="E2697" s="24"/>
      <c r="G2697" s="24"/>
      <c r="H2697" s="24"/>
      <c r="J2697" s="24"/>
      <c r="K2697" s="24"/>
      <c r="M2697" s="24"/>
      <c r="N2697" s="24"/>
      <c r="P2697" s="24"/>
    </row>
    <row r="2698" spans="2:16" x14ac:dyDescent="0.25">
      <c r="B2698" s="24"/>
      <c r="E2698" s="24"/>
      <c r="G2698" s="24"/>
      <c r="H2698" s="24"/>
      <c r="J2698" s="24"/>
      <c r="K2698" s="24"/>
      <c r="M2698" s="24"/>
      <c r="N2698" s="24"/>
      <c r="P2698" s="24"/>
    </row>
    <row r="2699" spans="2:16" x14ac:dyDescent="0.25">
      <c r="B2699" s="24"/>
      <c r="E2699" s="24"/>
      <c r="G2699" s="24"/>
      <c r="H2699" s="24"/>
      <c r="J2699" s="24"/>
      <c r="K2699" s="24"/>
      <c r="M2699" s="24"/>
      <c r="N2699" s="24"/>
      <c r="P2699" s="24"/>
    </row>
    <row r="2700" spans="2:16" x14ac:dyDescent="0.25">
      <c r="B2700" s="24"/>
      <c r="E2700" s="24"/>
      <c r="G2700" s="24"/>
      <c r="H2700" s="24"/>
      <c r="J2700" s="24"/>
      <c r="K2700" s="24"/>
      <c r="M2700" s="24"/>
      <c r="N2700" s="24"/>
      <c r="P2700" s="24"/>
    </row>
    <row r="2701" spans="2:16" x14ac:dyDescent="0.25">
      <c r="B2701" s="24"/>
      <c r="E2701" s="24"/>
      <c r="G2701" s="24"/>
      <c r="H2701" s="24"/>
      <c r="J2701" s="24"/>
      <c r="K2701" s="24"/>
      <c r="M2701" s="24"/>
      <c r="N2701" s="24"/>
      <c r="P2701" s="24"/>
    </row>
    <row r="2702" spans="2:16" x14ac:dyDescent="0.25">
      <c r="B2702" s="24"/>
      <c r="E2702" s="24"/>
      <c r="G2702" s="24"/>
      <c r="H2702" s="24"/>
      <c r="J2702" s="24"/>
      <c r="K2702" s="24"/>
      <c r="M2702" s="24"/>
      <c r="N2702" s="24"/>
      <c r="P2702" s="24"/>
    </row>
    <row r="2703" spans="2:16" x14ac:dyDescent="0.25">
      <c r="B2703" s="24"/>
      <c r="E2703" s="24"/>
      <c r="G2703" s="24"/>
      <c r="H2703" s="24"/>
      <c r="J2703" s="24"/>
      <c r="K2703" s="24"/>
      <c r="M2703" s="24"/>
      <c r="N2703" s="24"/>
      <c r="P2703" s="24"/>
    </row>
    <row r="2704" spans="2:16" x14ac:dyDescent="0.25">
      <c r="B2704" s="24"/>
      <c r="E2704" s="24"/>
      <c r="G2704" s="24"/>
      <c r="H2704" s="24"/>
      <c r="J2704" s="24"/>
      <c r="K2704" s="24"/>
      <c r="M2704" s="24"/>
      <c r="N2704" s="24"/>
      <c r="P2704" s="24"/>
    </row>
    <row r="2705" spans="2:16" x14ac:dyDescent="0.25">
      <c r="B2705" s="24"/>
      <c r="E2705" s="24"/>
      <c r="G2705" s="24"/>
      <c r="H2705" s="24"/>
      <c r="J2705" s="24"/>
      <c r="K2705" s="24"/>
      <c r="M2705" s="24"/>
      <c r="N2705" s="24"/>
      <c r="P2705" s="24"/>
    </row>
    <row r="2706" spans="2:16" x14ac:dyDescent="0.25">
      <c r="B2706" s="24"/>
      <c r="E2706" s="24"/>
      <c r="G2706" s="24"/>
      <c r="H2706" s="24"/>
      <c r="J2706" s="24"/>
      <c r="K2706" s="24"/>
      <c r="M2706" s="24"/>
      <c r="N2706" s="24"/>
      <c r="P2706" s="24"/>
    </row>
    <row r="2707" spans="2:16" x14ac:dyDescent="0.25">
      <c r="B2707" s="24"/>
      <c r="E2707" s="24"/>
      <c r="G2707" s="24"/>
      <c r="H2707" s="24"/>
      <c r="J2707" s="24"/>
      <c r="K2707" s="24"/>
      <c r="M2707" s="24"/>
      <c r="N2707" s="24"/>
      <c r="P2707" s="24"/>
    </row>
    <row r="2708" spans="2:16" x14ac:dyDescent="0.25">
      <c r="B2708" s="24"/>
      <c r="E2708" s="24"/>
      <c r="G2708" s="24"/>
      <c r="H2708" s="24"/>
      <c r="J2708" s="24"/>
      <c r="K2708" s="24"/>
      <c r="M2708" s="24"/>
      <c r="N2708" s="24"/>
      <c r="P2708" s="24"/>
    </row>
    <row r="2709" spans="2:16" x14ac:dyDescent="0.25">
      <c r="B2709" s="24"/>
      <c r="E2709" s="24"/>
      <c r="G2709" s="24"/>
      <c r="H2709" s="24"/>
      <c r="J2709" s="24"/>
      <c r="K2709" s="24"/>
      <c r="M2709" s="24"/>
      <c r="N2709" s="24"/>
      <c r="P2709" s="24"/>
    </row>
    <row r="2710" spans="2:16" x14ac:dyDescent="0.25">
      <c r="B2710" s="24"/>
      <c r="E2710" s="24"/>
      <c r="G2710" s="24"/>
      <c r="H2710" s="24"/>
      <c r="J2710" s="24"/>
      <c r="K2710" s="24"/>
      <c r="M2710" s="24"/>
      <c r="N2710" s="24"/>
      <c r="P2710" s="24"/>
    </row>
    <row r="2711" spans="2:16" x14ac:dyDescent="0.25">
      <c r="B2711" s="24"/>
      <c r="E2711" s="24"/>
      <c r="G2711" s="24"/>
      <c r="H2711" s="24"/>
      <c r="J2711" s="24"/>
      <c r="K2711" s="24"/>
      <c r="M2711" s="24"/>
      <c r="N2711" s="24"/>
      <c r="P2711" s="24"/>
    </row>
    <row r="2712" spans="2:16" x14ac:dyDescent="0.25">
      <c r="B2712" s="24"/>
      <c r="E2712" s="24"/>
      <c r="G2712" s="24"/>
      <c r="H2712" s="24"/>
      <c r="J2712" s="24"/>
      <c r="K2712" s="24"/>
      <c r="M2712" s="24"/>
      <c r="N2712" s="24"/>
      <c r="P2712" s="24"/>
    </row>
    <row r="2713" spans="2:16" x14ac:dyDescent="0.25">
      <c r="B2713" s="24"/>
      <c r="E2713" s="24"/>
      <c r="G2713" s="24"/>
      <c r="H2713" s="24"/>
      <c r="J2713" s="24"/>
      <c r="K2713" s="24"/>
      <c r="M2713" s="24"/>
      <c r="N2713" s="24"/>
      <c r="P2713" s="24"/>
    </row>
    <row r="2714" spans="2:16" x14ac:dyDescent="0.25">
      <c r="B2714" s="24"/>
      <c r="E2714" s="24"/>
      <c r="G2714" s="24"/>
      <c r="H2714" s="24"/>
      <c r="J2714" s="24"/>
      <c r="K2714" s="24"/>
      <c r="M2714" s="24"/>
      <c r="N2714" s="24"/>
      <c r="P2714" s="24"/>
    </row>
    <row r="2715" spans="2:16" x14ac:dyDescent="0.25">
      <c r="B2715" s="24"/>
      <c r="E2715" s="24"/>
      <c r="G2715" s="24"/>
      <c r="H2715" s="24"/>
      <c r="J2715" s="24"/>
      <c r="K2715" s="24"/>
      <c r="M2715" s="24"/>
      <c r="N2715" s="24"/>
      <c r="P2715" s="24"/>
    </row>
    <row r="2716" spans="2:16" x14ac:dyDescent="0.25">
      <c r="B2716" s="24"/>
      <c r="E2716" s="24"/>
      <c r="G2716" s="24"/>
      <c r="H2716" s="24"/>
      <c r="J2716" s="24"/>
      <c r="K2716" s="24"/>
      <c r="M2716" s="24"/>
      <c r="N2716" s="24"/>
      <c r="P2716" s="24"/>
    </row>
    <row r="2717" spans="2:16" x14ac:dyDescent="0.25">
      <c r="B2717" s="24"/>
      <c r="E2717" s="24"/>
      <c r="G2717" s="24"/>
      <c r="H2717" s="24"/>
      <c r="J2717" s="24"/>
      <c r="K2717" s="24"/>
      <c r="M2717" s="24"/>
      <c r="N2717" s="24"/>
      <c r="P2717" s="24"/>
    </row>
    <row r="2718" spans="2:16" x14ac:dyDescent="0.25">
      <c r="B2718" s="24"/>
      <c r="E2718" s="24"/>
      <c r="G2718" s="24"/>
      <c r="H2718" s="24"/>
      <c r="J2718" s="24"/>
      <c r="K2718" s="24"/>
      <c r="M2718" s="24"/>
      <c r="N2718" s="24"/>
      <c r="P2718" s="24"/>
    </row>
    <row r="2719" spans="2:16" x14ac:dyDescent="0.25">
      <c r="B2719" s="24"/>
      <c r="E2719" s="24"/>
      <c r="G2719" s="24"/>
      <c r="H2719" s="24"/>
      <c r="J2719" s="24"/>
      <c r="K2719" s="24"/>
      <c r="M2719" s="24"/>
      <c r="N2719" s="24"/>
      <c r="P2719" s="24"/>
    </row>
    <row r="2720" spans="2:16" x14ac:dyDescent="0.25">
      <c r="B2720" s="24"/>
      <c r="E2720" s="24"/>
      <c r="G2720" s="24"/>
      <c r="H2720" s="24"/>
      <c r="J2720" s="24"/>
      <c r="K2720" s="24"/>
      <c r="M2720" s="24"/>
      <c r="N2720" s="24"/>
      <c r="P2720" s="24"/>
    </row>
    <row r="2721" spans="2:16" x14ac:dyDescent="0.25">
      <c r="B2721" s="24"/>
      <c r="E2721" s="24"/>
      <c r="G2721" s="24"/>
      <c r="H2721" s="24"/>
      <c r="J2721" s="24"/>
      <c r="K2721" s="24"/>
      <c r="M2721" s="24"/>
      <c r="N2721" s="24"/>
      <c r="P2721" s="24"/>
    </row>
    <row r="2722" spans="2:16" x14ac:dyDescent="0.25">
      <c r="B2722" s="24"/>
      <c r="E2722" s="24"/>
      <c r="G2722" s="24"/>
      <c r="H2722" s="24"/>
      <c r="J2722" s="24"/>
      <c r="K2722" s="24"/>
      <c r="M2722" s="24"/>
      <c r="N2722" s="24"/>
      <c r="P2722" s="24"/>
    </row>
    <row r="2723" spans="2:16" x14ac:dyDescent="0.25">
      <c r="B2723" s="24"/>
      <c r="E2723" s="24"/>
      <c r="G2723" s="24"/>
      <c r="H2723" s="24"/>
      <c r="J2723" s="24"/>
      <c r="K2723" s="24"/>
      <c r="M2723" s="24"/>
      <c r="N2723" s="24"/>
      <c r="P2723" s="24"/>
    </row>
    <row r="2724" spans="2:16" x14ac:dyDescent="0.25">
      <c r="B2724" s="24"/>
      <c r="E2724" s="24"/>
      <c r="G2724" s="24"/>
      <c r="H2724" s="24"/>
      <c r="J2724" s="24"/>
      <c r="K2724" s="24"/>
      <c r="M2724" s="24"/>
      <c r="N2724" s="24"/>
      <c r="P2724" s="24"/>
    </row>
    <row r="2725" spans="2:16" x14ac:dyDescent="0.25">
      <c r="B2725" s="24"/>
      <c r="E2725" s="24"/>
      <c r="G2725" s="24"/>
      <c r="H2725" s="24"/>
      <c r="J2725" s="24"/>
      <c r="K2725" s="24"/>
      <c r="M2725" s="24"/>
      <c r="N2725" s="24"/>
      <c r="P2725" s="24"/>
    </row>
    <row r="2726" spans="2:16" x14ac:dyDescent="0.25">
      <c r="B2726" s="24"/>
      <c r="E2726" s="24"/>
      <c r="G2726" s="24"/>
      <c r="H2726" s="24"/>
      <c r="J2726" s="24"/>
      <c r="K2726" s="24"/>
      <c r="M2726" s="24"/>
      <c r="N2726" s="24"/>
      <c r="P2726" s="24"/>
    </row>
    <row r="2727" spans="2:16" x14ac:dyDescent="0.25">
      <c r="B2727" s="24"/>
      <c r="E2727" s="24"/>
      <c r="G2727" s="24"/>
      <c r="H2727" s="24"/>
      <c r="J2727" s="24"/>
      <c r="K2727" s="24"/>
      <c r="M2727" s="24"/>
      <c r="N2727" s="24"/>
      <c r="P2727" s="24"/>
    </row>
    <row r="2728" spans="2:16" x14ac:dyDescent="0.25">
      <c r="B2728" s="24"/>
      <c r="E2728" s="24"/>
      <c r="G2728" s="24"/>
      <c r="H2728" s="24"/>
      <c r="J2728" s="24"/>
      <c r="K2728" s="24"/>
      <c r="M2728" s="24"/>
      <c r="N2728" s="24"/>
      <c r="P2728" s="24"/>
    </row>
    <row r="2729" spans="2:16" x14ac:dyDescent="0.25">
      <c r="B2729" s="24"/>
      <c r="E2729" s="24"/>
      <c r="G2729" s="24"/>
      <c r="H2729" s="24"/>
      <c r="J2729" s="24"/>
      <c r="K2729" s="24"/>
      <c r="M2729" s="24"/>
      <c r="N2729" s="24"/>
      <c r="P2729" s="24"/>
    </row>
    <row r="2730" spans="2:16" x14ac:dyDescent="0.25">
      <c r="B2730" s="24"/>
      <c r="E2730" s="24"/>
      <c r="G2730" s="24"/>
      <c r="H2730" s="24"/>
      <c r="J2730" s="24"/>
      <c r="K2730" s="24"/>
      <c r="M2730" s="24"/>
      <c r="N2730" s="24"/>
      <c r="P2730" s="24"/>
    </row>
    <row r="2731" spans="2:16" x14ac:dyDescent="0.25">
      <c r="B2731" s="24"/>
      <c r="E2731" s="24"/>
      <c r="G2731" s="24"/>
      <c r="H2731" s="24"/>
      <c r="J2731" s="24"/>
      <c r="K2731" s="24"/>
      <c r="M2731" s="24"/>
      <c r="N2731" s="24"/>
      <c r="P2731" s="24"/>
    </row>
    <row r="2732" spans="2:16" x14ac:dyDescent="0.25">
      <c r="B2732" s="24"/>
      <c r="E2732" s="24"/>
      <c r="G2732" s="24"/>
      <c r="H2732" s="24"/>
      <c r="J2732" s="24"/>
      <c r="K2732" s="24"/>
      <c r="M2732" s="24"/>
      <c r="N2732" s="24"/>
      <c r="P2732" s="24"/>
    </row>
    <row r="2733" spans="2:16" x14ac:dyDescent="0.25">
      <c r="B2733" s="24"/>
      <c r="E2733" s="24"/>
      <c r="G2733" s="24"/>
      <c r="H2733" s="24"/>
      <c r="J2733" s="24"/>
      <c r="K2733" s="24"/>
      <c r="M2733" s="24"/>
      <c r="N2733" s="24"/>
      <c r="P2733" s="24"/>
    </row>
    <row r="2734" spans="2:16" x14ac:dyDescent="0.25">
      <c r="B2734" s="24"/>
      <c r="E2734" s="24"/>
      <c r="G2734" s="24"/>
      <c r="H2734" s="24"/>
      <c r="J2734" s="24"/>
      <c r="K2734" s="24"/>
      <c r="M2734" s="24"/>
      <c r="N2734" s="24"/>
      <c r="P2734" s="24"/>
    </row>
    <row r="2735" spans="2:16" x14ac:dyDescent="0.25">
      <c r="B2735" s="24"/>
      <c r="E2735" s="24"/>
      <c r="G2735" s="24"/>
      <c r="H2735" s="24"/>
      <c r="J2735" s="24"/>
      <c r="K2735" s="24"/>
      <c r="M2735" s="24"/>
      <c r="N2735" s="24"/>
      <c r="P2735" s="24"/>
    </row>
    <row r="2736" spans="2:16" x14ac:dyDescent="0.25">
      <c r="B2736" s="24"/>
      <c r="E2736" s="24"/>
      <c r="G2736" s="24"/>
      <c r="H2736" s="24"/>
      <c r="J2736" s="24"/>
      <c r="K2736" s="24"/>
      <c r="M2736" s="24"/>
      <c r="N2736" s="24"/>
      <c r="P2736" s="24"/>
    </row>
    <row r="2737" spans="2:16" x14ac:dyDescent="0.25">
      <c r="B2737" s="24"/>
      <c r="E2737" s="24"/>
      <c r="G2737" s="24"/>
      <c r="H2737" s="24"/>
      <c r="J2737" s="24"/>
      <c r="K2737" s="24"/>
      <c r="M2737" s="24"/>
      <c r="N2737" s="24"/>
      <c r="P2737" s="24"/>
    </row>
    <row r="2738" spans="2:16" x14ac:dyDescent="0.25">
      <c r="B2738" s="24"/>
      <c r="E2738" s="24"/>
      <c r="G2738" s="24"/>
      <c r="H2738" s="24"/>
      <c r="J2738" s="24"/>
      <c r="K2738" s="24"/>
      <c r="M2738" s="24"/>
      <c r="N2738" s="24"/>
      <c r="P2738" s="24"/>
    </row>
    <row r="2739" spans="2:16" x14ac:dyDescent="0.25">
      <c r="B2739" s="24"/>
      <c r="E2739" s="24"/>
      <c r="G2739" s="24"/>
      <c r="H2739" s="24"/>
      <c r="J2739" s="24"/>
      <c r="K2739" s="24"/>
      <c r="M2739" s="24"/>
      <c r="N2739" s="24"/>
      <c r="P2739" s="24"/>
    </row>
    <row r="2740" spans="2:16" x14ac:dyDescent="0.25">
      <c r="B2740" s="24"/>
      <c r="E2740" s="24"/>
      <c r="G2740" s="24"/>
      <c r="H2740" s="24"/>
      <c r="J2740" s="24"/>
      <c r="K2740" s="24"/>
      <c r="M2740" s="24"/>
      <c r="N2740" s="24"/>
      <c r="P2740" s="24"/>
    </row>
    <row r="2741" spans="2:16" x14ac:dyDescent="0.25">
      <c r="B2741" s="24"/>
      <c r="E2741" s="24"/>
      <c r="G2741" s="24"/>
      <c r="H2741" s="24"/>
      <c r="J2741" s="24"/>
      <c r="K2741" s="24"/>
      <c r="M2741" s="24"/>
      <c r="N2741" s="24"/>
      <c r="P2741" s="24"/>
    </row>
    <row r="2742" spans="2:16" x14ac:dyDescent="0.25">
      <c r="B2742" s="24"/>
      <c r="E2742" s="24"/>
      <c r="G2742" s="24"/>
      <c r="H2742" s="24"/>
      <c r="J2742" s="24"/>
      <c r="K2742" s="24"/>
      <c r="M2742" s="24"/>
      <c r="N2742" s="24"/>
      <c r="P2742" s="24"/>
    </row>
    <row r="2743" spans="2:16" x14ac:dyDescent="0.25">
      <c r="B2743" s="24"/>
      <c r="E2743" s="24"/>
      <c r="G2743" s="24"/>
      <c r="H2743" s="24"/>
      <c r="J2743" s="24"/>
      <c r="K2743" s="24"/>
      <c r="M2743" s="24"/>
      <c r="N2743" s="24"/>
      <c r="P2743" s="24"/>
    </row>
    <row r="2744" spans="2:16" x14ac:dyDescent="0.25">
      <c r="B2744" s="24"/>
      <c r="E2744" s="24"/>
      <c r="G2744" s="24"/>
      <c r="H2744" s="24"/>
      <c r="J2744" s="24"/>
      <c r="K2744" s="24"/>
      <c r="M2744" s="24"/>
      <c r="N2744" s="24"/>
      <c r="P2744" s="24"/>
    </row>
    <row r="2745" spans="2:16" x14ac:dyDescent="0.25">
      <c r="B2745" s="24"/>
      <c r="E2745" s="24"/>
      <c r="G2745" s="24"/>
      <c r="H2745" s="24"/>
      <c r="J2745" s="24"/>
      <c r="K2745" s="24"/>
      <c r="M2745" s="24"/>
      <c r="N2745" s="24"/>
      <c r="P2745" s="24"/>
    </row>
    <row r="2746" spans="2:16" x14ac:dyDescent="0.25">
      <c r="B2746" s="24"/>
      <c r="E2746" s="24"/>
      <c r="G2746" s="24"/>
      <c r="H2746" s="24"/>
      <c r="J2746" s="24"/>
      <c r="K2746" s="24"/>
      <c r="M2746" s="24"/>
      <c r="N2746" s="24"/>
      <c r="P2746" s="24"/>
    </row>
    <row r="2747" spans="2:16" x14ac:dyDescent="0.25">
      <c r="B2747" s="24"/>
      <c r="E2747" s="24"/>
      <c r="G2747" s="24"/>
      <c r="H2747" s="24"/>
      <c r="J2747" s="24"/>
      <c r="K2747" s="24"/>
      <c r="M2747" s="24"/>
      <c r="N2747" s="24"/>
      <c r="P2747" s="24"/>
    </row>
    <row r="2748" spans="2:16" x14ac:dyDescent="0.25">
      <c r="B2748" s="24"/>
      <c r="E2748" s="24"/>
      <c r="G2748" s="24"/>
      <c r="H2748" s="24"/>
      <c r="J2748" s="24"/>
      <c r="K2748" s="24"/>
      <c r="M2748" s="24"/>
      <c r="N2748" s="24"/>
      <c r="P2748" s="24"/>
    </row>
    <row r="2749" spans="2:16" x14ac:dyDescent="0.25">
      <c r="B2749" s="24"/>
      <c r="E2749" s="24"/>
      <c r="G2749" s="24"/>
      <c r="H2749" s="24"/>
      <c r="J2749" s="24"/>
      <c r="K2749" s="24"/>
      <c r="M2749" s="24"/>
      <c r="N2749" s="24"/>
      <c r="P2749" s="24"/>
    </row>
    <row r="2750" spans="2:16" x14ac:dyDescent="0.25">
      <c r="B2750" s="24"/>
      <c r="E2750" s="24"/>
      <c r="G2750" s="24"/>
      <c r="H2750" s="24"/>
      <c r="J2750" s="24"/>
      <c r="K2750" s="24"/>
      <c r="M2750" s="24"/>
      <c r="N2750" s="24"/>
      <c r="P2750" s="24"/>
    </row>
    <row r="2751" spans="2:16" x14ac:dyDescent="0.25">
      <c r="B2751" s="24"/>
      <c r="E2751" s="24"/>
      <c r="G2751" s="24"/>
      <c r="H2751" s="24"/>
      <c r="J2751" s="24"/>
      <c r="K2751" s="24"/>
      <c r="M2751" s="24"/>
      <c r="N2751" s="24"/>
      <c r="P2751" s="24"/>
    </row>
    <row r="2752" spans="2:16" x14ac:dyDescent="0.25">
      <c r="B2752" s="24"/>
      <c r="E2752" s="24"/>
      <c r="G2752" s="24"/>
      <c r="H2752" s="24"/>
      <c r="J2752" s="24"/>
      <c r="K2752" s="24"/>
      <c r="M2752" s="24"/>
      <c r="N2752" s="24"/>
      <c r="P2752" s="24"/>
    </row>
    <row r="2753" spans="2:16" x14ac:dyDescent="0.25">
      <c r="B2753" s="24"/>
      <c r="E2753" s="24"/>
      <c r="G2753" s="24"/>
      <c r="H2753" s="24"/>
      <c r="J2753" s="24"/>
      <c r="K2753" s="24"/>
      <c r="M2753" s="24"/>
      <c r="N2753" s="24"/>
      <c r="P2753" s="24"/>
    </row>
    <row r="2754" spans="2:16" x14ac:dyDescent="0.25">
      <c r="B2754" s="24"/>
      <c r="E2754" s="24"/>
      <c r="G2754" s="24"/>
      <c r="H2754" s="24"/>
      <c r="J2754" s="24"/>
      <c r="K2754" s="24"/>
      <c r="M2754" s="24"/>
      <c r="N2754" s="24"/>
      <c r="P2754" s="24"/>
    </row>
    <row r="2755" spans="2:16" x14ac:dyDescent="0.25">
      <c r="B2755" s="24"/>
      <c r="E2755" s="24"/>
      <c r="G2755" s="24"/>
      <c r="H2755" s="24"/>
      <c r="J2755" s="24"/>
      <c r="K2755" s="24"/>
      <c r="M2755" s="24"/>
      <c r="N2755" s="24"/>
      <c r="P2755" s="24"/>
    </row>
    <row r="2756" spans="2:16" x14ac:dyDescent="0.25">
      <c r="B2756" s="24"/>
      <c r="E2756" s="24"/>
      <c r="G2756" s="24"/>
      <c r="H2756" s="24"/>
      <c r="J2756" s="24"/>
      <c r="K2756" s="24"/>
      <c r="M2756" s="24"/>
      <c r="N2756" s="24"/>
      <c r="P2756" s="24"/>
    </row>
    <row r="2757" spans="2:16" x14ac:dyDescent="0.25">
      <c r="B2757" s="24"/>
      <c r="E2757" s="24"/>
      <c r="G2757" s="24"/>
      <c r="H2757" s="24"/>
      <c r="J2757" s="24"/>
      <c r="K2757" s="24"/>
      <c r="M2757" s="24"/>
      <c r="N2757" s="24"/>
      <c r="P2757" s="24"/>
    </row>
    <row r="2758" spans="2:16" x14ac:dyDescent="0.25">
      <c r="B2758" s="24"/>
      <c r="E2758" s="24"/>
      <c r="G2758" s="24"/>
      <c r="H2758" s="24"/>
      <c r="J2758" s="24"/>
      <c r="K2758" s="24"/>
      <c r="M2758" s="24"/>
      <c r="N2758" s="24"/>
      <c r="P2758" s="24"/>
    </row>
    <row r="2759" spans="2:16" x14ac:dyDescent="0.25">
      <c r="B2759" s="24"/>
      <c r="E2759" s="24"/>
      <c r="G2759" s="24"/>
      <c r="H2759" s="24"/>
      <c r="J2759" s="24"/>
      <c r="K2759" s="24"/>
      <c r="M2759" s="24"/>
      <c r="N2759" s="24"/>
      <c r="P2759" s="24"/>
    </row>
    <row r="2760" spans="2:16" x14ac:dyDescent="0.25">
      <c r="B2760" s="24"/>
      <c r="E2760" s="24"/>
      <c r="G2760" s="24"/>
      <c r="H2760" s="24"/>
      <c r="J2760" s="24"/>
      <c r="K2760" s="24"/>
      <c r="M2760" s="24"/>
      <c r="N2760" s="24"/>
      <c r="P2760" s="24"/>
    </row>
    <row r="2761" spans="2:16" x14ac:dyDescent="0.25">
      <c r="B2761" s="24"/>
      <c r="E2761" s="24"/>
      <c r="G2761" s="24"/>
      <c r="H2761" s="24"/>
      <c r="J2761" s="24"/>
      <c r="K2761" s="24"/>
      <c r="M2761" s="24"/>
      <c r="N2761" s="24"/>
      <c r="P2761" s="24"/>
    </row>
    <row r="2762" spans="2:16" x14ac:dyDescent="0.25">
      <c r="B2762" s="24"/>
      <c r="E2762" s="24"/>
      <c r="G2762" s="24"/>
      <c r="H2762" s="24"/>
      <c r="J2762" s="24"/>
      <c r="K2762" s="24"/>
      <c r="M2762" s="24"/>
      <c r="N2762" s="24"/>
      <c r="P2762" s="24"/>
    </row>
    <row r="2763" spans="2:16" x14ac:dyDescent="0.25">
      <c r="B2763" s="24"/>
      <c r="E2763" s="24"/>
      <c r="G2763" s="24"/>
      <c r="H2763" s="24"/>
      <c r="J2763" s="24"/>
      <c r="K2763" s="24"/>
      <c r="M2763" s="24"/>
      <c r="N2763" s="24"/>
      <c r="P2763" s="24"/>
    </row>
    <row r="2764" spans="2:16" x14ac:dyDescent="0.25">
      <c r="B2764" s="24"/>
      <c r="E2764" s="24"/>
      <c r="G2764" s="24"/>
      <c r="H2764" s="24"/>
      <c r="J2764" s="24"/>
      <c r="K2764" s="24"/>
      <c r="M2764" s="24"/>
      <c r="N2764" s="24"/>
      <c r="P2764" s="24"/>
    </row>
    <row r="2765" spans="2:16" x14ac:dyDescent="0.25">
      <c r="B2765" s="24"/>
      <c r="E2765" s="24"/>
      <c r="G2765" s="24"/>
      <c r="H2765" s="24"/>
      <c r="J2765" s="24"/>
      <c r="K2765" s="24"/>
      <c r="M2765" s="24"/>
      <c r="N2765" s="24"/>
      <c r="P2765" s="24"/>
    </row>
    <row r="2766" spans="2:16" x14ac:dyDescent="0.25">
      <c r="B2766" s="24"/>
      <c r="E2766" s="24"/>
      <c r="G2766" s="24"/>
      <c r="H2766" s="24"/>
      <c r="J2766" s="24"/>
      <c r="K2766" s="24"/>
      <c r="M2766" s="24"/>
      <c r="N2766" s="24"/>
      <c r="P2766" s="24"/>
    </row>
    <row r="2767" spans="2:16" x14ac:dyDescent="0.25">
      <c r="B2767" s="24"/>
      <c r="E2767" s="24"/>
      <c r="G2767" s="24"/>
      <c r="H2767" s="24"/>
      <c r="J2767" s="24"/>
      <c r="K2767" s="24"/>
      <c r="M2767" s="24"/>
      <c r="N2767" s="24"/>
      <c r="P2767" s="24"/>
    </row>
    <row r="2768" spans="2:16" x14ac:dyDescent="0.25">
      <c r="B2768" s="24"/>
      <c r="E2768" s="24"/>
      <c r="G2768" s="24"/>
      <c r="H2768" s="24"/>
      <c r="J2768" s="24"/>
      <c r="K2768" s="24"/>
      <c r="M2768" s="24"/>
      <c r="N2768" s="24"/>
      <c r="P2768" s="24"/>
    </row>
    <row r="2769" spans="2:16" x14ac:dyDescent="0.25">
      <c r="B2769" s="24"/>
      <c r="E2769" s="24"/>
      <c r="G2769" s="24"/>
      <c r="H2769" s="24"/>
      <c r="J2769" s="24"/>
      <c r="K2769" s="24"/>
      <c r="M2769" s="24"/>
      <c r="N2769" s="24"/>
      <c r="P2769" s="24"/>
    </row>
    <row r="2770" spans="2:16" x14ac:dyDescent="0.25">
      <c r="B2770" s="24"/>
      <c r="E2770" s="24"/>
      <c r="G2770" s="24"/>
      <c r="H2770" s="24"/>
      <c r="J2770" s="24"/>
      <c r="K2770" s="24"/>
      <c r="M2770" s="24"/>
      <c r="N2770" s="24"/>
      <c r="P2770" s="24"/>
    </row>
    <row r="2771" spans="2:16" x14ac:dyDescent="0.25">
      <c r="B2771" s="24"/>
      <c r="E2771" s="24"/>
      <c r="G2771" s="24"/>
      <c r="H2771" s="24"/>
      <c r="J2771" s="24"/>
      <c r="K2771" s="24"/>
      <c r="M2771" s="24"/>
      <c r="N2771" s="24"/>
      <c r="P2771" s="24"/>
    </row>
    <row r="2772" spans="2:16" x14ac:dyDescent="0.25">
      <c r="B2772" s="24"/>
      <c r="E2772" s="24"/>
      <c r="G2772" s="24"/>
      <c r="H2772" s="24"/>
      <c r="J2772" s="24"/>
      <c r="K2772" s="24"/>
      <c r="M2772" s="24"/>
      <c r="N2772" s="24"/>
      <c r="P2772" s="24"/>
    </row>
    <row r="2773" spans="2:16" x14ac:dyDescent="0.25">
      <c r="B2773" s="24"/>
      <c r="E2773" s="24"/>
      <c r="G2773" s="24"/>
      <c r="H2773" s="24"/>
      <c r="J2773" s="24"/>
      <c r="K2773" s="24"/>
      <c r="M2773" s="24"/>
      <c r="N2773" s="24"/>
      <c r="P2773" s="24"/>
    </row>
    <row r="2774" spans="2:16" x14ac:dyDescent="0.25">
      <c r="B2774" s="24"/>
      <c r="E2774" s="24"/>
      <c r="G2774" s="24"/>
      <c r="H2774" s="24"/>
      <c r="J2774" s="24"/>
      <c r="K2774" s="24"/>
      <c r="M2774" s="24"/>
      <c r="N2774" s="24"/>
      <c r="P2774" s="24"/>
    </row>
    <row r="2775" spans="2:16" x14ac:dyDescent="0.25">
      <c r="B2775" s="24"/>
      <c r="E2775" s="24"/>
      <c r="G2775" s="24"/>
      <c r="H2775" s="24"/>
      <c r="J2775" s="24"/>
      <c r="K2775" s="24"/>
      <c r="M2775" s="24"/>
      <c r="N2775" s="24"/>
      <c r="P2775" s="24"/>
    </row>
    <row r="2776" spans="2:16" x14ac:dyDescent="0.25">
      <c r="B2776" s="24"/>
      <c r="E2776" s="24"/>
      <c r="G2776" s="24"/>
      <c r="H2776" s="24"/>
      <c r="J2776" s="24"/>
      <c r="K2776" s="24"/>
      <c r="M2776" s="24"/>
      <c r="N2776" s="24"/>
      <c r="P2776" s="24"/>
    </row>
    <row r="2777" spans="2:16" x14ac:dyDescent="0.25">
      <c r="B2777" s="24"/>
      <c r="E2777" s="24"/>
      <c r="G2777" s="24"/>
      <c r="H2777" s="24"/>
      <c r="J2777" s="24"/>
      <c r="K2777" s="24"/>
      <c r="M2777" s="24"/>
      <c r="N2777" s="24"/>
      <c r="P2777" s="24"/>
    </row>
    <row r="2778" spans="2:16" x14ac:dyDescent="0.25">
      <c r="B2778" s="24"/>
      <c r="E2778" s="24"/>
      <c r="G2778" s="24"/>
      <c r="H2778" s="24"/>
      <c r="J2778" s="24"/>
      <c r="K2778" s="24"/>
      <c r="M2778" s="24"/>
      <c r="N2778" s="24"/>
      <c r="P2778" s="24"/>
    </row>
    <row r="2779" spans="2:16" x14ac:dyDescent="0.25">
      <c r="B2779" s="24"/>
      <c r="E2779" s="24"/>
      <c r="G2779" s="24"/>
      <c r="H2779" s="24"/>
      <c r="J2779" s="24"/>
      <c r="K2779" s="24"/>
      <c r="M2779" s="24"/>
      <c r="N2779" s="24"/>
      <c r="P2779" s="24"/>
    </row>
    <row r="2780" spans="2:16" x14ac:dyDescent="0.25">
      <c r="B2780" s="24"/>
      <c r="E2780" s="24"/>
      <c r="G2780" s="24"/>
      <c r="H2780" s="24"/>
      <c r="J2780" s="24"/>
      <c r="K2780" s="24"/>
      <c r="M2780" s="24"/>
      <c r="N2780" s="24"/>
      <c r="P2780" s="24"/>
    </row>
    <row r="2781" spans="2:16" x14ac:dyDescent="0.25">
      <c r="B2781" s="24"/>
      <c r="E2781" s="24"/>
      <c r="G2781" s="24"/>
      <c r="H2781" s="24"/>
      <c r="J2781" s="24"/>
      <c r="K2781" s="24"/>
      <c r="M2781" s="24"/>
      <c r="N2781" s="24"/>
      <c r="P2781" s="24"/>
    </row>
    <row r="2782" spans="2:16" x14ac:dyDescent="0.25">
      <c r="B2782" s="24"/>
      <c r="E2782" s="24"/>
      <c r="G2782" s="24"/>
      <c r="H2782" s="24"/>
      <c r="J2782" s="24"/>
      <c r="K2782" s="24"/>
      <c r="M2782" s="24"/>
      <c r="N2782" s="24"/>
      <c r="P2782" s="24"/>
    </row>
    <row r="2783" spans="2:16" x14ac:dyDescent="0.25">
      <c r="B2783" s="24"/>
      <c r="E2783" s="24"/>
      <c r="G2783" s="24"/>
      <c r="H2783" s="24"/>
      <c r="J2783" s="24"/>
      <c r="K2783" s="24"/>
      <c r="M2783" s="24"/>
      <c r="N2783" s="24"/>
      <c r="P2783" s="24"/>
    </row>
    <row r="2784" spans="2:16" x14ac:dyDescent="0.25">
      <c r="B2784" s="24"/>
      <c r="E2784" s="24"/>
      <c r="G2784" s="24"/>
      <c r="H2784" s="24"/>
      <c r="J2784" s="24"/>
      <c r="K2784" s="24"/>
      <c r="M2784" s="24"/>
      <c r="N2784" s="24"/>
      <c r="P2784" s="24"/>
    </row>
    <row r="2785" spans="2:16" x14ac:dyDescent="0.25">
      <c r="B2785" s="24"/>
      <c r="E2785" s="24"/>
      <c r="G2785" s="24"/>
      <c r="H2785" s="24"/>
      <c r="J2785" s="24"/>
      <c r="K2785" s="24"/>
      <c r="M2785" s="24"/>
      <c r="N2785" s="24"/>
      <c r="P2785" s="24"/>
    </row>
    <row r="2786" spans="2:16" x14ac:dyDescent="0.25">
      <c r="B2786" s="24"/>
      <c r="E2786" s="24"/>
      <c r="G2786" s="24"/>
      <c r="H2786" s="24"/>
      <c r="J2786" s="24"/>
      <c r="K2786" s="24"/>
      <c r="M2786" s="24"/>
      <c r="N2786" s="24"/>
      <c r="P2786" s="24"/>
    </row>
    <row r="2787" spans="2:16" x14ac:dyDescent="0.25">
      <c r="B2787" s="24"/>
      <c r="E2787" s="24"/>
      <c r="G2787" s="24"/>
      <c r="H2787" s="24"/>
      <c r="J2787" s="24"/>
      <c r="K2787" s="24"/>
      <c r="M2787" s="24"/>
      <c r="N2787" s="24"/>
      <c r="P2787" s="24"/>
    </row>
    <row r="2788" spans="2:16" x14ac:dyDescent="0.25">
      <c r="B2788" s="24"/>
      <c r="E2788" s="24"/>
      <c r="G2788" s="24"/>
      <c r="H2788" s="24"/>
      <c r="J2788" s="24"/>
      <c r="K2788" s="24"/>
      <c r="M2788" s="24"/>
      <c r="N2788" s="24"/>
      <c r="P2788" s="24"/>
    </row>
    <row r="2789" spans="2:16" x14ac:dyDescent="0.25">
      <c r="B2789" s="24"/>
      <c r="E2789" s="24"/>
      <c r="G2789" s="24"/>
      <c r="H2789" s="24"/>
      <c r="J2789" s="24"/>
      <c r="K2789" s="24"/>
      <c r="M2789" s="24"/>
      <c r="N2789" s="24"/>
      <c r="P2789" s="24"/>
    </row>
    <row r="2790" spans="2:16" x14ac:dyDescent="0.25">
      <c r="B2790" s="24"/>
      <c r="E2790" s="24"/>
      <c r="G2790" s="24"/>
      <c r="H2790" s="24"/>
      <c r="J2790" s="24"/>
      <c r="K2790" s="24"/>
      <c r="M2790" s="24"/>
      <c r="N2790" s="24"/>
      <c r="P2790" s="24"/>
    </row>
    <row r="2791" spans="2:16" x14ac:dyDescent="0.25">
      <c r="B2791" s="24"/>
      <c r="E2791" s="24"/>
      <c r="G2791" s="24"/>
      <c r="H2791" s="24"/>
      <c r="J2791" s="24"/>
      <c r="K2791" s="24"/>
      <c r="M2791" s="24"/>
      <c r="N2791" s="24"/>
      <c r="P2791" s="24"/>
    </row>
    <row r="2792" spans="2:16" x14ac:dyDescent="0.25">
      <c r="B2792" s="24"/>
      <c r="E2792" s="24"/>
      <c r="G2792" s="24"/>
      <c r="H2792" s="24"/>
      <c r="J2792" s="24"/>
      <c r="K2792" s="24"/>
      <c r="M2792" s="24"/>
      <c r="N2792" s="24"/>
      <c r="P2792" s="24"/>
    </row>
    <row r="2793" spans="2:16" x14ac:dyDescent="0.25">
      <c r="B2793" s="24"/>
      <c r="E2793" s="24"/>
      <c r="G2793" s="24"/>
      <c r="H2793" s="24"/>
      <c r="J2793" s="24"/>
      <c r="K2793" s="24"/>
      <c r="M2793" s="24"/>
      <c r="N2793" s="24"/>
      <c r="P2793" s="24"/>
    </row>
    <row r="2794" spans="2:16" x14ac:dyDescent="0.25">
      <c r="B2794" s="24"/>
      <c r="E2794" s="24"/>
      <c r="G2794" s="24"/>
      <c r="H2794" s="24"/>
      <c r="J2794" s="24"/>
      <c r="K2794" s="24"/>
      <c r="M2794" s="24"/>
      <c r="N2794" s="24"/>
      <c r="P2794" s="24"/>
    </row>
    <row r="2795" spans="2:16" x14ac:dyDescent="0.25">
      <c r="B2795" s="24"/>
      <c r="E2795" s="24"/>
      <c r="G2795" s="24"/>
      <c r="H2795" s="24"/>
      <c r="J2795" s="24"/>
      <c r="K2795" s="24"/>
      <c r="M2795" s="24"/>
      <c r="N2795" s="24"/>
      <c r="P2795" s="24"/>
    </row>
    <row r="2796" spans="2:16" x14ac:dyDescent="0.25">
      <c r="B2796" s="24"/>
      <c r="E2796" s="24"/>
      <c r="G2796" s="24"/>
      <c r="H2796" s="24"/>
      <c r="J2796" s="24"/>
      <c r="K2796" s="24"/>
      <c r="M2796" s="24"/>
      <c r="N2796" s="24"/>
      <c r="P2796" s="24"/>
    </row>
    <row r="2797" spans="2:16" x14ac:dyDescent="0.25">
      <c r="B2797" s="24"/>
      <c r="E2797" s="24"/>
      <c r="G2797" s="24"/>
      <c r="H2797" s="24"/>
      <c r="J2797" s="24"/>
      <c r="K2797" s="24"/>
      <c r="M2797" s="24"/>
      <c r="N2797" s="24"/>
      <c r="P2797" s="24"/>
    </row>
    <row r="2798" spans="2:16" x14ac:dyDescent="0.25">
      <c r="B2798" s="24"/>
      <c r="E2798" s="24"/>
      <c r="G2798" s="24"/>
      <c r="H2798" s="24"/>
      <c r="J2798" s="24"/>
      <c r="K2798" s="24"/>
      <c r="M2798" s="24"/>
      <c r="N2798" s="24"/>
      <c r="P2798" s="24"/>
    </row>
    <row r="2799" spans="2:16" x14ac:dyDescent="0.25">
      <c r="B2799" s="24"/>
      <c r="E2799" s="24"/>
      <c r="G2799" s="24"/>
      <c r="H2799" s="24"/>
      <c r="J2799" s="24"/>
      <c r="K2799" s="24"/>
      <c r="M2799" s="24"/>
      <c r="N2799" s="24"/>
      <c r="P2799" s="24"/>
    </row>
    <row r="2800" spans="2:16" x14ac:dyDescent="0.25">
      <c r="B2800" s="24"/>
      <c r="E2800" s="24"/>
      <c r="G2800" s="24"/>
      <c r="H2800" s="24"/>
      <c r="J2800" s="24"/>
      <c r="K2800" s="24"/>
      <c r="M2800" s="24"/>
      <c r="N2800" s="24"/>
      <c r="P2800" s="24"/>
    </row>
    <row r="2801" spans="2:16" x14ac:dyDescent="0.25">
      <c r="B2801" s="24"/>
      <c r="E2801" s="24"/>
      <c r="G2801" s="24"/>
      <c r="H2801" s="24"/>
      <c r="J2801" s="24"/>
      <c r="K2801" s="24"/>
      <c r="M2801" s="24"/>
      <c r="N2801" s="24"/>
      <c r="P2801" s="24"/>
    </row>
    <row r="2802" spans="2:16" x14ac:dyDescent="0.25">
      <c r="B2802" s="24"/>
      <c r="E2802" s="24"/>
      <c r="G2802" s="24"/>
      <c r="H2802" s="24"/>
      <c r="J2802" s="24"/>
      <c r="K2802" s="24"/>
      <c r="M2802" s="24"/>
      <c r="N2802" s="24"/>
      <c r="P2802" s="24"/>
    </row>
    <row r="2803" spans="2:16" x14ac:dyDescent="0.25">
      <c r="B2803" s="24"/>
      <c r="E2803" s="24"/>
      <c r="G2803" s="24"/>
      <c r="H2803" s="24"/>
      <c r="J2803" s="24"/>
      <c r="K2803" s="24"/>
      <c r="M2803" s="24"/>
      <c r="N2803" s="24"/>
      <c r="P2803" s="24"/>
    </row>
    <row r="2804" spans="2:16" x14ac:dyDescent="0.25">
      <c r="B2804" s="24"/>
      <c r="E2804" s="24"/>
      <c r="G2804" s="24"/>
      <c r="H2804" s="24"/>
      <c r="J2804" s="24"/>
      <c r="K2804" s="24"/>
      <c r="M2804" s="24"/>
      <c r="N2804" s="24"/>
      <c r="P2804" s="24"/>
    </row>
    <row r="2805" spans="2:16" x14ac:dyDescent="0.25">
      <c r="B2805" s="24"/>
      <c r="E2805" s="24"/>
      <c r="G2805" s="24"/>
      <c r="H2805" s="24"/>
      <c r="J2805" s="24"/>
      <c r="K2805" s="24"/>
      <c r="M2805" s="24"/>
      <c r="N2805" s="24"/>
      <c r="P2805" s="24"/>
    </row>
    <row r="2806" spans="2:16" x14ac:dyDescent="0.25">
      <c r="B2806" s="24"/>
      <c r="E2806" s="24"/>
      <c r="G2806" s="24"/>
      <c r="H2806" s="24"/>
      <c r="J2806" s="24"/>
      <c r="K2806" s="24"/>
      <c r="M2806" s="24"/>
      <c r="N2806" s="24"/>
      <c r="P2806" s="24"/>
    </row>
    <row r="2807" spans="2:16" x14ac:dyDescent="0.25">
      <c r="B2807" s="24"/>
      <c r="E2807" s="24"/>
      <c r="G2807" s="24"/>
      <c r="H2807" s="24"/>
      <c r="J2807" s="24"/>
      <c r="K2807" s="24"/>
      <c r="M2807" s="24"/>
      <c r="N2807" s="24"/>
      <c r="P2807" s="24"/>
    </row>
    <row r="2808" spans="2:16" x14ac:dyDescent="0.25">
      <c r="B2808" s="24"/>
      <c r="E2808" s="24"/>
      <c r="G2808" s="24"/>
      <c r="H2808" s="24"/>
      <c r="J2808" s="24"/>
      <c r="K2808" s="24"/>
      <c r="M2808" s="24"/>
      <c r="N2808" s="24"/>
      <c r="P2808" s="24"/>
    </row>
    <row r="2809" spans="2:16" x14ac:dyDescent="0.25">
      <c r="B2809" s="24"/>
      <c r="E2809" s="24"/>
      <c r="G2809" s="24"/>
      <c r="H2809" s="24"/>
      <c r="J2809" s="24"/>
      <c r="K2809" s="24"/>
      <c r="M2809" s="24"/>
      <c r="N2809" s="24"/>
      <c r="P2809" s="24"/>
    </row>
    <row r="2810" spans="2:16" x14ac:dyDescent="0.25">
      <c r="B2810" s="24"/>
      <c r="E2810" s="24"/>
      <c r="G2810" s="24"/>
      <c r="H2810" s="24"/>
      <c r="J2810" s="24"/>
      <c r="K2810" s="24"/>
      <c r="M2810" s="24"/>
      <c r="N2810" s="24"/>
      <c r="P2810" s="24"/>
    </row>
    <row r="2811" spans="2:16" x14ac:dyDescent="0.25">
      <c r="B2811" s="24"/>
      <c r="E2811" s="24"/>
      <c r="G2811" s="24"/>
      <c r="H2811" s="24"/>
      <c r="J2811" s="24"/>
      <c r="K2811" s="24"/>
      <c r="M2811" s="24"/>
      <c r="N2811" s="24"/>
      <c r="P2811" s="24"/>
    </row>
    <row r="2812" spans="2:16" x14ac:dyDescent="0.25">
      <c r="B2812" s="24"/>
      <c r="E2812" s="24"/>
      <c r="G2812" s="24"/>
      <c r="H2812" s="24"/>
      <c r="J2812" s="24"/>
      <c r="K2812" s="24"/>
      <c r="M2812" s="24"/>
      <c r="N2812" s="24"/>
      <c r="P2812" s="24"/>
    </row>
    <row r="2813" spans="2:16" x14ac:dyDescent="0.25">
      <c r="B2813" s="24"/>
      <c r="E2813" s="24"/>
      <c r="G2813" s="24"/>
      <c r="H2813" s="24"/>
      <c r="J2813" s="24"/>
      <c r="K2813" s="24"/>
      <c r="M2813" s="24"/>
      <c r="N2813" s="24"/>
      <c r="P2813" s="24"/>
    </row>
    <row r="2814" spans="2:16" x14ac:dyDescent="0.25">
      <c r="B2814" s="24"/>
      <c r="E2814" s="24"/>
      <c r="G2814" s="24"/>
      <c r="H2814" s="24"/>
      <c r="J2814" s="24"/>
      <c r="K2814" s="24"/>
      <c r="M2814" s="24"/>
      <c r="N2814" s="24"/>
      <c r="P2814" s="24"/>
    </row>
    <row r="2815" spans="2:16" x14ac:dyDescent="0.25">
      <c r="B2815" s="24"/>
      <c r="E2815" s="24"/>
      <c r="G2815" s="24"/>
      <c r="H2815" s="24"/>
      <c r="J2815" s="24"/>
      <c r="K2815" s="24"/>
      <c r="M2815" s="24"/>
      <c r="N2815" s="24"/>
      <c r="P2815" s="24"/>
    </row>
    <row r="2816" spans="2:16" x14ac:dyDescent="0.25">
      <c r="B2816" s="24"/>
      <c r="E2816" s="24"/>
      <c r="G2816" s="24"/>
      <c r="H2816" s="24"/>
      <c r="J2816" s="24"/>
      <c r="K2816" s="24"/>
      <c r="M2816" s="24"/>
      <c r="N2816" s="24"/>
      <c r="P2816" s="24"/>
    </row>
    <row r="2817" spans="2:16" x14ac:dyDescent="0.25">
      <c r="B2817" s="24"/>
      <c r="E2817" s="24"/>
      <c r="G2817" s="24"/>
      <c r="H2817" s="24"/>
      <c r="J2817" s="24"/>
      <c r="K2817" s="24"/>
      <c r="M2817" s="24"/>
      <c r="N2817" s="24"/>
      <c r="P2817" s="24"/>
    </row>
    <row r="2818" spans="2:16" x14ac:dyDescent="0.25">
      <c r="B2818" s="24"/>
      <c r="E2818" s="24"/>
      <c r="G2818" s="24"/>
      <c r="H2818" s="24"/>
      <c r="J2818" s="24"/>
      <c r="K2818" s="24"/>
      <c r="M2818" s="24"/>
      <c r="N2818" s="24"/>
      <c r="P2818" s="24"/>
    </row>
    <row r="2819" spans="2:16" x14ac:dyDescent="0.25">
      <c r="B2819" s="24"/>
      <c r="E2819" s="24"/>
      <c r="G2819" s="24"/>
      <c r="H2819" s="24"/>
      <c r="J2819" s="24"/>
      <c r="K2819" s="24"/>
      <c r="M2819" s="24"/>
      <c r="N2819" s="24"/>
      <c r="P2819" s="24"/>
    </row>
    <row r="2820" spans="2:16" x14ac:dyDescent="0.25">
      <c r="B2820" s="24"/>
      <c r="E2820" s="24"/>
      <c r="G2820" s="24"/>
      <c r="H2820" s="24"/>
      <c r="J2820" s="24"/>
      <c r="K2820" s="24"/>
      <c r="M2820" s="24"/>
      <c r="N2820" s="24"/>
      <c r="P2820" s="24"/>
    </row>
    <row r="2821" spans="2:16" x14ac:dyDescent="0.25">
      <c r="B2821" s="24"/>
      <c r="E2821" s="24"/>
      <c r="G2821" s="24"/>
      <c r="H2821" s="24"/>
      <c r="J2821" s="24"/>
      <c r="K2821" s="24"/>
      <c r="M2821" s="24"/>
      <c r="N2821" s="24"/>
      <c r="P2821" s="24"/>
    </row>
    <row r="2822" spans="2:16" x14ac:dyDescent="0.25">
      <c r="B2822" s="24"/>
      <c r="E2822" s="24"/>
      <c r="G2822" s="24"/>
      <c r="H2822" s="24"/>
      <c r="J2822" s="24"/>
      <c r="K2822" s="24"/>
      <c r="M2822" s="24"/>
      <c r="N2822" s="24"/>
      <c r="P2822" s="24"/>
    </row>
    <row r="2823" spans="2:16" x14ac:dyDescent="0.25">
      <c r="B2823" s="24"/>
      <c r="E2823" s="24"/>
      <c r="G2823" s="24"/>
      <c r="H2823" s="24"/>
      <c r="J2823" s="24"/>
      <c r="K2823" s="24"/>
      <c r="M2823" s="24"/>
      <c r="N2823" s="24"/>
      <c r="P2823" s="24"/>
    </row>
    <row r="2824" spans="2:16" x14ac:dyDescent="0.25">
      <c r="B2824" s="24"/>
      <c r="E2824" s="24"/>
      <c r="G2824" s="24"/>
      <c r="H2824" s="24"/>
      <c r="J2824" s="24"/>
      <c r="K2824" s="24"/>
      <c r="M2824" s="24"/>
      <c r="N2824" s="24"/>
      <c r="P2824" s="24"/>
    </row>
    <row r="2825" spans="2:16" x14ac:dyDescent="0.25">
      <c r="B2825" s="24"/>
      <c r="E2825" s="24"/>
      <c r="G2825" s="24"/>
      <c r="H2825" s="24"/>
      <c r="J2825" s="24"/>
      <c r="K2825" s="24"/>
      <c r="M2825" s="24"/>
      <c r="N2825" s="24"/>
      <c r="P2825" s="24"/>
    </row>
    <row r="2826" spans="2:16" x14ac:dyDescent="0.25">
      <c r="B2826" s="24"/>
      <c r="E2826" s="24"/>
      <c r="G2826" s="24"/>
      <c r="H2826" s="24"/>
      <c r="J2826" s="24"/>
      <c r="K2826" s="24"/>
      <c r="M2826" s="24"/>
      <c r="N2826" s="24"/>
      <c r="P2826" s="24"/>
    </row>
    <row r="2827" spans="2:16" x14ac:dyDescent="0.25">
      <c r="B2827" s="24"/>
      <c r="E2827" s="24"/>
      <c r="G2827" s="24"/>
      <c r="H2827" s="24"/>
      <c r="J2827" s="24"/>
      <c r="K2827" s="24"/>
      <c r="M2827" s="24"/>
      <c r="N2827" s="24"/>
      <c r="P2827" s="24"/>
    </row>
    <row r="2828" spans="2:16" x14ac:dyDescent="0.25">
      <c r="B2828" s="24"/>
      <c r="E2828" s="24"/>
      <c r="G2828" s="24"/>
      <c r="H2828" s="24"/>
      <c r="J2828" s="24"/>
      <c r="K2828" s="24"/>
      <c r="M2828" s="24"/>
      <c r="N2828" s="24"/>
      <c r="P2828" s="24"/>
    </row>
    <row r="2829" spans="2:16" x14ac:dyDescent="0.25">
      <c r="B2829" s="24"/>
      <c r="E2829" s="24"/>
      <c r="G2829" s="24"/>
      <c r="H2829" s="24"/>
      <c r="J2829" s="24"/>
      <c r="K2829" s="24"/>
      <c r="M2829" s="24"/>
      <c r="N2829" s="24"/>
      <c r="P2829" s="24"/>
    </row>
    <row r="2830" spans="2:16" x14ac:dyDescent="0.25">
      <c r="B2830" s="24"/>
      <c r="E2830" s="24"/>
      <c r="G2830" s="24"/>
      <c r="H2830" s="24"/>
      <c r="J2830" s="24"/>
      <c r="K2830" s="24"/>
      <c r="M2830" s="24"/>
      <c r="N2830" s="24"/>
      <c r="P2830" s="24"/>
    </row>
    <row r="2831" spans="2:16" x14ac:dyDescent="0.25">
      <c r="B2831" s="24"/>
      <c r="E2831" s="24"/>
      <c r="G2831" s="24"/>
      <c r="H2831" s="24"/>
      <c r="J2831" s="24"/>
      <c r="K2831" s="24"/>
      <c r="M2831" s="24"/>
      <c r="N2831" s="24"/>
      <c r="P2831" s="24"/>
    </row>
    <row r="2832" spans="2:16" x14ac:dyDescent="0.25">
      <c r="B2832" s="24"/>
      <c r="E2832" s="24"/>
      <c r="G2832" s="24"/>
      <c r="H2832" s="24"/>
      <c r="J2832" s="24"/>
      <c r="K2832" s="24"/>
      <c r="M2832" s="24"/>
      <c r="N2832" s="24"/>
      <c r="P2832" s="24"/>
    </row>
    <row r="2833" spans="2:16" x14ac:dyDescent="0.25">
      <c r="B2833" s="24"/>
      <c r="E2833" s="24"/>
      <c r="G2833" s="24"/>
      <c r="H2833" s="24"/>
      <c r="J2833" s="24"/>
      <c r="K2833" s="24"/>
      <c r="M2833" s="24"/>
      <c r="N2833" s="24"/>
      <c r="P2833" s="24"/>
    </row>
    <row r="2834" spans="2:16" x14ac:dyDescent="0.25">
      <c r="B2834" s="24"/>
      <c r="E2834" s="24"/>
      <c r="G2834" s="24"/>
      <c r="H2834" s="24"/>
      <c r="J2834" s="24"/>
      <c r="K2834" s="24"/>
      <c r="M2834" s="24"/>
      <c r="N2834" s="24"/>
      <c r="P2834" s="24"/>
    </row>
    <row r="2835" spans="2:16" x14ac:dyDescent="0.25">
      <c r="B2835" s="24"/>
      <c r="E2835" s="24"/>
      <c r="G2835" s="24"/>
      <c r="H2835" s="24"/>
      <c r="J2835" s="24"/>
      <c r="K2835" s="24"/>
      <c r="M2835" s="24"/>
      <c r="N2835" s="24"/>
      <c r="P2835" s="24"/>
    </row>
    <row r="2836" spans="2:16" x14ac:dyDescent="0.25">
      <c r="B2836" s="24"/>
      <c r="E2836" s="24"/>
      <c r="G2836" s="24"/>
      <c r="H2836" s="24"/>
      <c r="J2836" s="24"/>
      <c r="K2836" s="24"/>
      <c r="M2836" s="24"/>
      <c r="N2836" s="24"/>
      <c r="P2836" s="24"/>
    </row>
    <row r="2837" spans="2:16" x14ac:dyDescent="0.25">
      <c r="B2837" s="24"/>
      <c r="E2837" s="24"/>
      <c r="G2837" s="24"/>
      <c r="H2837" s="24"/>
      <c r="J2837" s="24"/>
      <c r="K2837" s="24"/>
      <c r="M2837" s="24"/>
      <c r="N2837" s="24"/>
      <c r="P2837" s="24"/>
    </row>
    <row r="2838" spans="2:16" x14ac:dyDescent="0.25">
      <c r="B2838" s="24"/>
      <c r="E2838" s="24"/>
      <c r="G2838" s="24"/>
      <c r="H2838" s="24"/>
      <c r="J2838" s="24"/>
      <c r="K2838" s="24"/>
      <c r="M2838" s="24"/>
      <c r="N2838" s="24"/>
      <c r="P2838" s="24"/>
    </row>
    <row r="2839" spans="2:16" x14ac:dyDescent="0.25">
      <c r="B2839" s="24"/>
      <c r="E2839" s="24"/>
      <c r="G2839" s="24"/>
      <c r="H2839" s="24"/>
      <c r="J2839" s="24"/>
      <c r="K2839" s="24"/>
      <c r="M2839" s="24"/>
      <c r="N2839" s="24"/>
      <c r="P2839" s="24"/>
    </row>
    <row r="2840" spans="2:16" x14ac:dyDescent="0.25">
      <c r="B2840" s="24"/>
      <c r="E2840" s="24"/>
      <c r="G2840" s="24"/>
      <c r="H2840" s="24"/>
      <c r="J2840" s="24"/>
      <c r="K2840" s="24"/>
      <c r="M2840" s="24"/>
      <c r="N2840" s="24"/>
      <c r="P2840" s="24"/>
    </row>
    <row r="2841" spans="2:16" x14ac:dyDescent="0.25">
      <c r="B2841" s="24"/>
      <c r="E2841" s="24"/>
      <c r="G2841" s="24"/>
      <c r="H2841" s="24"/>
      <c r="J2841" s="24"/>
      <c r="K2841" s="24"/>
      <c r="M2841" s="24"/>
      <c r="N2841" s="24"/>
      <c r="P2841" s="24"/>
    </row>
    <row r="2842" spans="2:16" x14ac:dyDescent="0.25">
      <c r="B2842" s="24"/>
      <c r="E2842" s="24"/>
      <c r="G2842" s="24"/>
      <c r="H2842" s="24"/>
      <c r="J2842" s="24"/>
      <c r="K2842" s="24"/>
      <c r="M2842" s="24"/>
      <c r="N2842" s="24"/>
      <c r="P2842" s="24"/>
    </row>
    <row r="2843" spans="2:16" x14ac:dyDescent="0.25">
      <c r="B2843" s="24"/>
      <c r="E2843" s="24"/>
      <c r="G2843" s="24"/>
      <c r="H2843" s="24"/>
      <c r="J2843" s="24"/>
      <c r="K2843" s="24"/>
      <c r="M2843" s="24"/>
      <c r="N2843" s="24"/>
      <c r="P2843" s="24"/>
    </row>
    <row r="2844" spans="2:16" x14ac:dyDescent="0.25">
      <c r="B2844" s="24"/>
      <c r="E2844" s="24"/>
      <c r="G2844" s="24"/>
      <c r="H2844" s="24"/>
      <c r="J2844" s="24"/>
      <c r="K2844" s="24"/>
      <c r="M2844" s="24"/>
      <c r="N2844" s="24"/>
      <c r="P2844" s="24"/>
    </row>
    <row r="2845" spans="2:16" x14ac:dyDescent="0.25">
      <c r="B2845" s="24"/>
      <c r="E2845" s="24"/>
      <c r="G2845" s="24"/>
      <c r="H2845" s="24"/>
      <c r="J2845" s="24"/>
      <c r="K2845" s="24"/>
      <c r="M2845" s="24"/>
      <c r="N2845" s="24"/>
      <c r="P2845" s="24"/>
    </row>
    <row r="2846" spans="2:16" x14ac:dyDescent="0.25">
      <c r="B2846" s="24"/>
      <c r="E2846" s="24"/>
      <c r="G2846" s="24"/>
      <c r="H2846" s="24"/>
      <c r="J2846" s="24"/>
      <c r="K2846" s="24"/>
      <c r="M2846" s="24"/>
      <c r="N2846" s="24"/>
      <c r="P2846" s="24"/>
    </row>
    <row r="2847" spans="2:16" x14ac:dyDescent="0.25">
      <c r="B2847" s="24"/>
      <c r="E2847" s="24"/>
      <c r="G2847" s="24"/>
      <c r="H2847" s="24"/>
      <c r="J2847" s="24"/>
      <c r="K2847" s="24"/>
      <c r="M2847" s="24"/>
      <c r="N2847" s="24"/>
      <c r="P2847" s="24"/>
    </row>
    <row r="2848" spans="2:16" x14ac:dyDescent="0.25">
      <c r="B2848" s="24"/>
      <c r="E2848" s="24"/>
      <c r="G2848" s="24"/>
      <c r="H2848" s="24"/>
      <c r="J2848" s="24"/>
      <c r="K2848" s="24"/>
      <c r="M2848" s="24"/>
      <c r="N2848" s="24"/>
      <c r="P2848" s="24"/>
    </row>
    <row r="2849" spans="2:16" x14ac:dyDescent="0.25">
      <c r="B2849" s="24"/>
      <c r="E2849" s="24"/>
      <c r="G2849" s="24"/>
      <c r="H2849" s="24"/>
      <c r="J2849" s="24"/>
      <c r="K2849" s="24"/>
      <c r="M2849" s="24"/>
      <c r="N2849" s="24"/>
      <c r="P2849" s="24"/>
    </row>
    <row r="2850" spans="2:16" x14ac:dyDescent="0.25">
      <c r="B2850" s="24"/>
      <c r="E2850" s="24"/>
      <c r="G2850" s="24"/>
      <c r="H2850" s="24"/>
      <c r="J2850" s="24"/>
      <c r="K2850" s="24"/>
      <c r="M2850" s="24"/>
      <c r="N2850" s="24"/>
      <c r="P2850" s="24"/>
    </row>
    <row r="2851" spans="2:16" x14ac:dyDescent="0.25">
      <c r="B2851" s="24"/>
      <c r="E2851" s="24"/>
      <c r="G2851" s="24"/>
      <c r="H2851" s="24"/>
      <c r="J2851" s="24"/>
      <c r="K2851" s="24"/>
      <c r="M2851" s="24"/>
      <c r="N2851" s="24"/>
      <c r="P2851" s="24"/>
    </row>
    <row r="2852" spans="2:16" x14ac:dyDescent="0.25">
      <c r="B2852" s="24"/>
      <c r="E2852" s="24"/>
      <c r="G2852" s="24"/>
      <c r="H2852" s="24"/>
      <c r="J2852" s="24"/>
      <c r="K2852" s="24"/>
      <c r="M2852" s="24"/>
      <c r="N2852" s="24"/>
      <c r="P2852" s="24"/>
    </row>
    <row r="2853" spans="2:16" x14ac:dyDescent="0.25">
      <c r="B2853" s="24"/>
      <c r="E2853" s="24"/>
      <c r="G2853" s="24"/>
      <c r="H2853" s="24"/>
      <c r="J2853" s="24"/>
      <c r="K2853" s="24"/>
      <c r="M2853" s="24"/>
      <c r="N2853" s="24"/>
      <c r="P2853" s="24"/>
    </row>
    <row r="2854" spans="2:16" x14ac:dyDescent="0.25">
      <c r="B2854" s="24"/>
      <c r="E2854" s="24"/>
      <c r="G2854" s="24"/>
      <c r="H2854" s="24"/>
      <c r="J2854" s="24"/>
      <c r="K2854" s="24"/>
      <c r="M2854" s="24"/>
      <c r="N2854" s="24"/>
      <c r="P2854" s="24"/>
    </row>
    <row r="2855" spans="2:16" x14ac:dyDescent="0.25">
      <c r="B2855" s="24"/>
      <c r="E2855" s="24"/>
      <c r="G2855" s="24"/>
      <c r="H2855" s="24"/>
      <c r="J2855" s="24"/>
      <c r="K2855" s="24"/>
      <c r="M2855" s="24"/>
      <c r="N2855" s="24"/>
      <c r="P2855" s="24"/>
    </row>
    <row r="2856" spans="2:16" x14ac:dyDescent="0.25">
      <c r="B2856" s="24"/>
      <c r="E2856" s="24"/>
      <c r="G2856" s="24"/>
      <c r="H2856" s="24"/>
      <c r="J2856" s="24"/>
      <c r="K2856" s="24"/>
      <c r="M2856" s="24"/>
      <c r="N2856" s="24"/>
      <c r="P2856" s="24"/>
    </row>
    <row r="2857" spans="2:16" x14ac:dyDescent="0.25">
      <c r="B2857" s="24"/>
      <c r="E2857" s="24"/>
      <c r="G2857" s="24"/>
      <c r="H2857" s="24"/>
      <c r="J2857" s="24"/>
      <c r="K2857" s="24"/>
      <c r="M2857" s="24"/>
      <c r="N2857" s="24"/>
      <c r="P2857" s="24"/>
    </row>
    <row r="2858" spans="2:16" x14ac:dyDescent="0.25">
      <c r="B2858" s="24"/>
      <c r="E2858" s="24"/>
      <c r="G2858" s="24"/>
      <c r="H2858" s="24"/>
      <c r="J2858" s="24"/>
      <c r="K2858" s="24"/>
      <c r="M2858" s="24"/>
      <c r="N2858" s="24"/>
      <c r="P2858" s="24"/>
    </row>
    <row r="2859" spans="2:16" x14ac:dyDescent="0.25">
      <c r="B2859" s="24"/>
      <c r="E2859" s="24"/>
      <c r="G2859" s="24"/>
      <c r="H2859" s="24"/>
      <c r="J2859" s="24"/>
      <c r="K2859" s="24"/>
      <c r="M2859" s="24"/>
      <c r="N2859" s="24"/>
      <c r="P2859" s="24"/>
    </row>
    <row r="2860" spans="2:16" x14ac:dyDescent="0.25">
      <c r="B2860" s="24"/>
      <c r="E2860" s="24"/>
      <c r="G2860" s="24"/>
      <c r="H2860" s="24"/>
      <c r="J2860" s="24"/>
      <c r="K2860" s="24"/>
      <c r="M2860" s="24"/>
      <c r="N2860" s="24"/>
      <c r="P2860" s="24"/>
    </row>
    <row r="2861" spans="2:16" x14ac:dyDescent="0.25">
      <c r="B2861" s="24"/>
      <c r="E2861" s="24"/>
      <c r="G2861" s="24"/>
      <c r="H2861" s="24"/>
      <c r="J2861" s="24"/>
      <c r="K2861" s="24"/>
      <c r="M2861" s="24"/>
      <c r="N2861" s="24"/>
      <c r="P2861" s="24"/>
    </row>
    <row r="2862" spans="2:16" x14ac:dyDescent="0.25">
      <c r="B2862" s="24"/>
      <c r="E2862" s="24"/>
      <c r="G2862" s="24"/>
      <c r="H2862" s="24"/>
      <c r="J2862" s="24"/>
      <c r="K2862" s="24"/>
      <c r="M2862" s="24"/>
      <c r="N2862" s="24"/>
      <c r="P2862" s="24"/>
    </row>
    <row r="2863" spans="2:16" x14ac:dyDescent="0.25">
      <c r="B2863" s="24"/>
      <c r="E2863" s="24"/>
      <c r="G2863" s="24"/>
      <c r="H2863" s="24"/>
      <c r="J2863" s="24"/>
      <c r="K2863" s="24"/>
      <c r="M2863" s="24"/>
      <c r="N2863" s="24"/>
      <c r="P2863" s="24"/>
    </row>
    <row r="2864" spans="2:16" x14ac:dyDescent="0.25">
      <c r="B2864" s="24"/>
      <c r="E2864" s="24"/>
      <c r="G2864" s="24"/>
      <c r="H2864" s="24"/>
      <c r="J2864" s="24"/>
      <c r="K2864" s="24"/>
      <c r="M2864" s="24"/>
      <c r="N2864" s="24"/>
      <c r="P2864" s="24"/>
    </row>
    <row r="2865" spans="2:16" x14ac:dyDescent="0.25">
      <c r="B2865" s="24"/>
      <c r="E2865" s="24"/>
      <c r="G2865" s="24"/>
      <c r="H2865" s="24"/>
      <c r="J2865" s="24"/>
      <c r="K2865" s="24"/>
      <c r="M2865" s="24"/>
      <c r="N2865" s="24"/>
      <c r="P2865" s="24"/>
    </row>
    <row r="2866" spans="2:16" x14ac:dyDescent="0.25">
      <c r="B2866" s="24"/>
      <c r="E2866" s="24"/>
      <c r="G2866" s="24"/>
      <c r="H2866" s="24"/>
      <c r="J2866" s="24"/>
      <c r="K2866" s="24"/>
      <c r="M2866" s="24"/>
      <c r="N2866" s="24"/>
      <c r="P2866" s="24"/>
    </row>
    <row r="2867" spans="2:16" x14ac:dyDescent="0.25">
      <c r="B2867" s="24"/>
      <c r="E2867" s="24"/>
      <c r="G2867" s="24"/>
      <c r="H2867" s="24"/>
      <c r="J2867" s="24"/>
      <c r="K2867" s="24"/>
      <c r="M2867" s="24"/>
      <c r="N2867" s="24"/>
      <c r="P2867" s="24"/>
    </row>
    <row r="2868" spans="2:16" x14ac:dyDescent="0.25">
      <c r="B2868" s="24"/>
      <c r="E2868" s="24"/>
      <c r="G2868" s="24"/>
      <c r="H2868" s="24"/>
      <c r="J2868" s="24"/>
      <c r="K2868" s="24"/>
      <c r="M2868" s="24"/>
      <c r="N2868" s="24"/>
      <c r="P2868" s="24"/>
    </row>
    <row r="2869" spans="2:16" x14ac:dyDescent="0.25">
      <c r="B2869" s="24"/>
      <c r="E2869" s="24"/>
      <c r="G2869" s="24"/>
      <c r="H2869" s="24"/>
      <c r="J2869" s="24"/>
      <c r="K2869" s="24"/>
      <c r="M2869" s="24"/>
      <c r="N2869" s="24"/>
      <c r="P2869" s="24"/>
    </row>
    <row r="2870" spans="2:16" x14ac:dyDescent="0.25">
      <c r="B2870" s="24"/>
      <c r="E2870" s="24"/>
      <c r="G2870" s="24"/>
      <c r="H2870" s="24"/>
      <c r="J2870" s="24"/>
      <c r="K2870" s="24"/>
      <c r="M2870" s="24"/>
      <c r="N2870" s="24"/>
      <c r="P2870" s="24"/>
    </row>
    <row r="2871" spans="2:16" x14ac:dyDescent="0.25">
      <c r="B2871" s="24"/>
      <c r="E2871" s="24"/>
      <c r="G2871" s="24"/>
      <c r="H2871" s="24"/>
      <c r="J2871" s="24"/>
      <c r="K2871" s="24"/>
      <c r="M2871" s="24"/>
      <c r="N2871" s="24"/>
      <c r="P2871" s="24"/>
    </row>
    <row r="2872" spans="2:16" x14ac:dyDescent="0.25">
      <c r="B2872" s="24"/>
      <c r="E2872" s="24"/>
      <c r="G2872" s="24"/>
      <c r="H2872" s="24"/>
      <c r="J2872" s="24"/>
      <c r="K2872" s="24"/>
      <c r="M2872" s="24"/>
      <c r="N2872" s="24"/>
      <c r="P2872" s="24"/>
    </row>
    <row r="2873" spans="2:16" x14ac:dyDescent="0.25">
      <c r="B2873" s="24"/>
      <c r="E2873" s="24"/>
      <c r="G2873" s="24"/>
      <c r="H2873" s="24"/>
      <c r="J2873" s="24"/>
      <c r="K2873" s="24"/>
      <c r="M2873" s="24"/>
      <c r="N2873" s="24"/>
      <c r="P2873" s="24"/>
    </row>
    <row r="2874" spans="2:16" x14ac:dyDescent="0.25">
      <c r="B2874" s="24"/>
      <c r="E2874" s="24"/>
      <c r="G2874" s="24"/>
      <c r="H2874" s="24"/>
      <c r="J2874" s="24"/>
      <c r="K2874" s="24"/>
      <c r="M2874" s="24"/>
      <c r="N2874" s="24"/>
      <c r="P2874" s="24"/>
    </row>
    <row r="2875" spans="2:16" x14ac:dyDescent="0.25">
      <c r="B2875" s="24"/>
      <c r="E2875" s="24"/>
      <c r="G2875" s="24"/>
      <c r="H2875" s="24"/>
      <c r="J2875" s="24"/>
      <c r="K2875" s="24"/>
      <c r="M2875" s="24"/>
      <c r="N2875" s="24"/>
      <c r="P2875" s="24"/>
    </row>
    <row r="2876" spans="2:16" x14ac:dyDescent="0.25">
      <c r="B2876" s="24"/>
      <c r="E2876" s="24"/>
      <c r="G2876" s="24"/>
      <c r="H2876" s="24"/>
      <c r="J2876" s="24"/>
      <c r="K2876" s="24"/>
      <c r="M2876" s="24"/>
      <c r="N2876" s="24"/>
      <c r="P2876" s="24"/>
    </row>
    <row r="2877" spans="2:16" x14ac:dyDescent="0.25">
      <c r="B2877" s="24"/>
      <c r="E2877" s="24"/>
      <c r="G2877" s="24"/>
      <c r="H2877" s="24"/>
      <c r="J2877" s="24"/>
      <c r="K2877" s="24"/>
      <c r="M2877" s="24"/>
      <c r="N2877" s="24"/>
      <c r="P2877" s="24"/>
    </row>
    <row r="2878" spans="2:16" x14ac:dyDescent="0.25">
      <c r="B2878" s="24"/>
      <c r="E2878" s="24"/>
      <c r="G2878" s="24"/>
      <c r="H2878" s="24"/>
      <c r="J2878" s="24"/>
      <c r="K2878" s="24"/>
      <c r="M2878" s="24"/>
      <c r="N2878" s="24"/>
      <c r="P2878" s="24"/>
    </row>
    <row r="2879" spans="2:16" x14ac:dyDescent="0.25">
      <c r="B2879" s="24"/>
      <c r="E2879" s="24"/>
      <c r="G2879" s="24"/>
      <c r="H2879" s="24"/>
      <c r="J2879" s="24"/>
      <c r="K2879" s="24"/>
      <c r="M2879" s="24"/>
      <c r="N2879" s="24"/>
      <c r="P2879" s="24"/>
    </row>
    <row r="2880" spans="2:16" x14ac:dyDescent="0.25">
      <c r="B2880" s="24"/>
      <c r="E2880" s="24"/>
      <c r="G2880" s="24"/>
      <c r="H2880" s="24"/>
      <c r="J2880" s="24"/>
      <c r="K2880" s="24"/>
      <c r="M2880" s="24"/>
      <c r="N2880" s="24"/>
      <c r="P2880" s="24"/>
    </row>
    <row r="2881" spans="2:16" x14ac:dyDescent="0.25">
      <c r="B2881" s="24"/>
      <c r="E2881" s="24"/>
      <c r="G2881" s="24"/>
      <c r="H2881" s="24"/>
      <c r="J2881" s="24"/>
      <c r="K2881" s="24"/>
      <c r="M2881" s="24"/>
      <c r="N2881" s="24"/>
      <c r="P2881" s="24"/>
    </row>
    <row r="2882" spans="2:16" x14ac:dyDescent="0.25">
      <c r="B2882" s="24"/>
      <c r="E2882" s="24"/>
      <c r="G2882" s="24"/>
      <c r="H2882" s="24"/>
      <c r="J2882" s="24"/>
      <c r="K2882" s="24"/>
      <c r="M2882" s="24"/>
      <c r="N2882" s="24"/>
      <c r="P2882" s="24"/>
    </row>
    <row r="2883" spans="2:16" x14ac:dyDescent="0.25">
      <c r="B2883" s="24"/>
      <c r="E2883" s="24"/>
      <c r="G2883" s="24"/>
      <c r="H2883" s="24"/>
      <c r="J2883" s="24"/>
      <c r="K2883" s="24"/>
      <c r="M2883" s="24"/>
      <c r="N2883" s="24"/>
      <c r="P2883" s="24"/>
    </row>
    <row r="2884" spans="2:16" x14ac:dyDescent="0.25">
      <c r="B2884" s="24"/>
      <c r="E2884" s="24"/>
      <c r="G2884" s="24"/>
      <c r="H2884" s="24"/>
      <c r="J2884" s="24"/>
      <c r="K2884" s="24"/>
      <c r="M2884" s="24"/>
      <c r="N2884" s="24"/>
      <c r="P2884" s="24"/>
    </row>
    <row r="2885" spans="2:16" x14ac:dyDescent="0.25">
      <c r="B2885" s="24"/>
      <c r="E2885" s="24"/>
      <c r="G2885" s="24"/>
      <c r="H2885" s="24"/>
      <c r="J2885" s="24"/>
      <c r="K2885" s="24"/>
      <c r="M2885" s="24"/>
      <c r="N2885" s="24"/>
      <c r="P2885" s="24"/>
    </row>
    <row r="2886" spans="2:16" x14ac:dyDescent="0.25">
      <c r="B2886" s="24"/>
      <c r="E2886" s="24"/>
      <c r="G2886" s="24"/>
      <c r="H2886" s="24"/>
      <c r="J2886" s="24"/>
      <c r="K2886" s="24"/>
      <c r="M2886" s="24"/>
      <c r="N2886" s="24"/>
      <c r="P2886" s="24"/>
    </row>
    <row r="2887" spans="2:16" x14ac:dyDescent="0.25">
      <c r="B2887" s="24"/>
      <c r="E2887" s="24"/>
      <c r="G2887" s="24"/>
      <c r="H2887" s="24"/>
      <c r="J2887" s="24"/>
      <c r="K2887" s="24"/>
      <c r="M2887" s="24"/>
      <c r="N2887" s="24"/>
      <c r="P2887" s="24"/>
    </row>
    <row r="2888" spans="2:16" x14ac:dyDescent="0.25">
      <c r="B2888" s="24"/>
      <c r="E2888" s="24"/>
      <c r="G2888" s="24"/>
      <c r="H2888" s="24"/>
      <c r="J2888" s="24"/>
      <c r="K2888" s="24"/>
      <c r="M2888" s="24"/>
      <c r="N2888" s="24"/>
      <c r="P2888" s="24"/>
    </row>
    <row r="2889" spans="2:16" x14ac:dyDescent="0.25">
      <c r="B2889" s="24"/>
      <c r="E2889" s="24"/>
      <c r="G2889" s="24"/>
      <c r="H2889" s="24"/>
      <c r="J2889" s="24"/>
      <c r="K2889" s="24"/>
      <c r="M2889" s="24"/>
      <c r="N2889" s="24"/>
      <c r="P2889" s="24"/>
    </row>
    <row r="2890" spans="2:16" x14ac:dyDescent="0.25">
      <c r="B2890" s="24"/>
      <c r="E2890" s="24"/>
      <c r="G2890" s="24"/>
      <c r="H2890" s="24"/>
      <c r="J2890" s="24"/>
      <c r="K2890" s="24"/>
      <c r="M2890" s="24"/>
      <c r="N2890" s="24"/>
      <c r="P2890" s="24"/>
    </row>
    <row r="2891" spans="2:16" x14ac:dyDescent="0.25">
      <c r="B2891" s="24"/>
      <c r="E2891" s="24"/>
      <c r="G2891" s="24"/>
      <c r="H2891" s="24"/>
      <c r="J2891" s="24"/>
      <c r="K2891" s="24"/>
      <c r="M2891" s="24"/>
      <c r="N2891" s="24"/>
      <c r="P2891" s="24"/>
    </row>
    <row r="2892" spans="2:16" x14ac:dyDescent="0.25">
      <c r="B2892" s="24"/>
      <c r="E2892" s="24"/>
      <c r="G2892" s="24"/>
      <c r="H2892" s="24"/>
      <c r="J2892" s="24"/>
      <c r="K2892" s="24"/>
      <c r="M2892" s="24"/>
      <c r="N2892" s="24"/>
      <c r="P2892" s="24"/>
    </row>
    <row r="2893" spans="2:16" x14ac:dyDescent="0.25">
      <c r="B2893" s="24"/>
      <c r="E2893" s="24"/>
      <c r="G2893" s="24"/>
      <c r="H2893" s="24"/>
      <c r="J2893" s="24"/>
      <c r="K2893" s="24"/>
      <c r="M2893" s="24"/>
      <c r="N2893" s="24"/>
      <c r="P2893" s="24"/>
    </row>
    <row r="2894" spans="2:16" x14ac:dyDescent="0.25">
      <c r="B2894" s="24"/>
      <c r="E2894" s="24"/>
      <c r="G2894" s="24"/>
      <c r="H2894" s="24"/>
      <c r="J2894" s="24"/>
      <c r="K2894" s="24"/>
      <c r="M2894" s="24"/>
      <c r="N2894" s="24"/>
      <c r="P2894" s="24"/>
    </row>
    <row r="2895" spans="2:16" x14ac:dyDescent="0.25">
      <c r="B2895" s="24"/>
      <c r="E2895" s="24"/>
      <c r="G2895" s="24"/>
      <c r="H2895" s="24"/>
      <c r="J2895" s="24"/>
      <c r="K2895" s="24"/>
      <c r="M2895" s="24"/>
      <c r="N2895" s="24"/>
      <c r="P2895" s="24"/>
    </row>
    <row r="2896" spans="2:16" x14ac:dyDescent="0.25">
      <c r="B2896" s="24"/>
      <c r="E2896" s="24"/>
      <c r="G2896" s="24"/>
      <c r="H2896" s="24"/>
      <c r="J2896" s="24"/>
      <c r="K2896" s="24"/>
      <c r="M2896" s="24"/>
      <c r="N2896" s="24"/>
      <c r="P2896" s="24"/>
    </row>
    <row r="2897" spans="2:16" x14ac:dyDescent="0.25">
      <c r="B2897" s="24"/>
      <c r="E2897" s="24"/>
      <c r="G2897" s="24"/>
      <c r="H2897" s="24"/>
      <c r="J2897" s="24"/>
      <c r="K2897" s="24"/>
      <c r="M2897" s="24"/>
      <c r="N2897" s="24"/>
      <c r="P2897" s="24"/>
    </row>
    <row r="2898" spans="2:16" x14ac:dyDescent="0.25">
      <c r="B2898" s="24"/>
      <c r="E2898" s="24"/>
      <c r="G2898" s="24"/>
      <c r="H2898" s="24"/>
      <c r="J2898" s="24"/>
      <c r="K2898" s="24"/>
      <c r="M2898" s="24"/>
      <c r="N2898" s="24"/>
      <c r="P2898" s="24"/>
    </row>
    <row r="2899" spans="2:16" x14ac:dyDescent="0.25">
      <c r="B2899" s="24"/>
      <c r="E2899" s="24"/>
      <c r="G2899" s="24"/>
      <c r="H2899" s="24"/>
      <c r="J2899" s="24"/>
      <c r="K2899" s="24"/>
      <c r="M2899" s="24"/>
      <c r="N2899" s="24"/>
      <c r="P2899" s="24"/>
    </row>
    <row r="2900" spans="2:16" x14ac:dyDescent="0.25">
      <c r="B2900" s="24"/>
      <c r="E2900" s="24"/>
      <c r="G2900" s="24"/>
      <c r="H2900" s="24"/>
      <c r="J2900" s="24"/>
      <c r="K2900" s="24"/>
      <c r="M2900" s="24"/>
      <c r="N2900" s="24"/>
      <c r="P2900" s="24"/>
    </row>
    <row r="2901" spans="2:16" x14ac:dyDescent="0.25">
      <c r="B2901" s="24"/>
      <c r="E2901" s="24"/>
      <c r="G2901" s="24"/>
      <c r="H2901" s="24"/>
      <c r="J2901" s="24"/>
      <c r="K2901" s="24"/>
      <c r="M2901" s="24"/>
      <c r="N2901" s="24"/>
      <c r="P2901" s="24"/>
    </row>
    <row r="2902" spans="2:16" x14ac:dyDescent="0.25">
      <c r="B2902" s="24"/>
      <c r="E2902" s="24"/>
      <c r="G2902" s="24"/>
      <c r="H2902" s="24"/>
      <c r="J2902" s="24"/>
      <c r="K2902" s="24"/>
      <c r="M2902" s="24"/>
      <c r="N2902" s="24"/>
      <c r="P2902" s="24"/>
    </row>
    <row r="2903" spans="2:16" x14ac:dyDescent="0.25">
      <c r="B2903" s="24"/>
      <c r="E2903" s="24"/>
      <c r="G2903" s="24"/>
      <c r="H2903" s="24"/>
      <c r="J2903" s="24"/>
      <c r="K2903" s="24"/>
      <c r="M2903" s="24"/>
      <c r="N2903" s="24"/>
      <c r="P2903" s="24"/>
    </row>
    <row r="2904" spans="2:16" x14ac:dyDescent="0.25">
      <c r="B2904" s="24"/>
      <c r="E2904" s="24"/>
      <c r="G2904" s="24"/>
      <c r="H2904" s="24"/>
      <c r="J2904" s="24"/>
      <c r="K2904" s="24"/>
      <c r="M2904" s="24"/>
      <c r="N2904" s="24"/>
      <c r="P2904" s="24"/>
    </row>
    <row r="2905" spans="2:16" x14ac:dyDescent="0.25">
      <c r="B2905" s="24"/>
      <c r="E2905" s="24"/>
      <c r="G2905" s="24"/>
      <c r="H2905" s="24"/>
      <c r="J2905" s="24"/>
      <c r="K2905" s="24"/>
      <c r="M2905" s="24"/>
      <c r="N2905" s="24"/>
      <c r="P2905" s="24"/>
    </row>
    <row r="2906" spans="2:16" x14ac:dyDescent="0.25">
      <c r="B2906" s="24"/>
      <c r="E2906" s="24"/>
      <c r="G2906" s="24"/>
      <c r="H2906" s="24"/>
      <c r="J2906" s="24"/>
      <c r="K2906" s="24"/>
      <c r="M2906" s="24"/>
      <c r="N2906" s="24"/>
      <c r="P2906" s="24"/>
    </row>
    <row r="2907" spans="2:16" x14ac:dyDescent="0.25">
      <c r="B2907" s="24"/>
      <c r="E2907" s="24"/>
      <c r="G2907" s="24"/>
      <c r="H2907" s="24"/>
      <c r="J2907" s="24"/>
      <c r="K2907" s="24"/>
      <c r="M2907" s="24"/>
      <c r="N2907" s="24"/>
      <c r="P2907" s="24"/>
    </row>
    <row r="2908" spans="2:16" x14ac:dyDescent="0.25">
      <c r="B2908" s="24"/>
      <c r="E2908" s="24"/>
      <c r="G2908" s="24"/>
      <c r="H2908" s="24"/>
      <c r="J2908" s="24"/>
      <c r="K2908" s="24"/>
      <c r="M2908" s="24"/>
      <c r="N2908" s="24"/>
      <c r="P2908" s="24"/>
    </row>
    <row r="2909" spans="2:16" x14ac:dyDescent="0.25">
      <c r="B2909" s="24"/>
      <c r="E2909" s="24"/>
      <c r="G2909" s="24"/>
      <c r="H2909" s="24"/>
      <c r="J2909" s="24"/>
      <c r="K2909" s="24"/>
      <c r="M2909" s="24"/>
      <c r="N2909" s="24"/>
      <c r="P2909" s="24"/>
    </row>
    <row r="2910" spans="2:16" x14ac:dyDescent="0.25">
      <c r="B2910" s="24"/>
      <c r="E2910" s="24"/>
      <c r="G2910" s="24"/>
      <c r="H2910" s="24"/>
      <c r="J2910" s="24"/>
      <c r="K2910" s="24"/>
      <c r="M2910" s="24"/>
      <c r="N2910" s="24"/>
      <c r="P2910" s="24"/>
    </row>
    <row r="2911" spans="2:16" x14ac:dyDescent="0.25">
      <c r="B2911" s="24"/>
      <c r="E2911" s="24"/>
      <c r="G2911" s="24"/>
      <c r="H2911" s="24"/>
      <c r="J2911" s="24"/>
      <c r="K2911" s="24"/>
      <c r="M2911" s="24"/>
      <c r="N2911" s="24"/>
      <c r="P2911" s="24"/>
    </row>
    <row r="2912" spans="2:16" x14ac:dyDescent="0.25">
      <c r="B2912" s="24"/>
      <c r="E2912" s="24"/>
      <c r="G2912" s="24"/>
      <c r="H2912" s="24"/>
      <c r="J2912" s="24"/>
      <c r="K2912" s="24"/>
      <c r="M2912" s="24"/>
      <c r="N2912" s="24"/>
      <c r="P2912" s="24"/>
    </row>
    <row r="2913" spans="2:16" x14ac:dyDescent="0.25">
      <c r="B2913" s="24"/>
      <c r="E2913" s="24"/>
      <c r="G2913" s="24"/>
      <c r="H2913" s="24"/>
      <c r="J2913" s="24"/>
      <c r="K2913" s="24"/>
      <c r="M2913" s="24"/>
      <c r="N2913" s="24"/>
      <c r="P2913" s="24"/>
    </row>
    <row r="2914" spans="2:16" x14ac:dyDescent="0.25">
      <c r="B2914" s="24"/>
      <c r="E2914" s="24"/>
      <c r="G2914" s="24"/>
      <c r="H2914" s="24"/>
      <c r="J2914" s="24"/>
      <c r="K2914" s="24"/>
      <c r="M2914" s="24"/>
      <c r="N2914" s="24"/>
      <c r="P2914" s="24"/>
    </row>
    <row r="2915" spans="2:16" x14ac:dyDescent="0.25">
      <c r="B2915" s="24"/>
      <c r="E2915" s="24"/>
      <c r="G2915" s="24"/>
      <c r="H2915" s="24"/>
      <c r="J2915" s="24"/>
      <c r="K2915" s="24"/>
      <c r="M2915" s="24"/>
      <c r="N2915" s="24"/>
      <c r="P2915" s="24"/>
    </row>
    <row r="2916" spans="2:16" x14ac:dyDescent="0.25">
      <c r="B2916" s="24"/>
      <c r="E2916" s="24"/>
      <c r="G2916" s="24"/>
      <c r="H2916" s="24"/>
      <c r="J2916" s="24"/>
      <c r="K2916" s="24"/>
      <c r="M2916" s="24"/>
      <c r="N2916" s="24"/>
      <c r="P2916" s="24"/>
    </row>
    <row r="2917" spans="2:16" x14ac:dyDescent="0.25">
      <c r="B2917" s="24"/>
      <c r="E2917" s="24"/>
      <c r="G2917" s="24"/>
      <c r="H2917" s="24"/>
      <c r="J2917" s="24"/>
      <c r="K2917" s="24"/>
      <c r="M2917" s="24"/>
      <c r="N2917" s="24"/>
      <c r="P2917" s="24"/>
    </row>
    <row r="2918" spans="2:16" x14ac:dyDescent="0.25">
      <c r="B2918" s="24"/>
      <c r="E2918" s="24"/>
      <c r="G2918" s="24"/>
      <c r="H2918" s="24"/>
      <c r="J2918" s="24"/>
      <c r="K2918" s="24"/>
      <c r="M2918" s="24"/>
      <c r="N2918" s="24"/>
      <c r="P2918" s="24"/>
    </row>
    <row r="2919" spans="2:16" x14ac:dyDescent="0.25">
      <c r="B2919" s="24"/>
      <c r="E2919" s="24"/>
      <c r="G2919" s="24"/>
      <c r="H2919" s="24"/>
      <c r="J2919" s="24"/>
      <c r="K2919" s="24"/>
      <c r="M2919" s="24"/>
      <c r="N2919" s="24"/>
      <c r="P2919" s="24"/>
    </row>
    <row r="2920" spans="2:16" x14ac:dyDescent="0.25">
      <c r="B2920" s="24"/>
      <c r="E2920" s="24"/>
      <c r="G2920" s="24"/>
      <c r="H2920" s="24"/>
      <c r="J2920" s="24"/>
      <c r="K2920" s="24"/>
      <c r="M2920" s="24"/>
      <c r="N2920" s="24"/>
      <c r="P2920" s="24"/>
    </row>
    <row r="2921" spans="2:16" x14ac:dyDescent="0.25">
      <c r="B2921" s="24"/>
      <c r="E2921" s="24"/>
      <c r="G2921" s="24"/>
      <c r="H2921" s="24"/>
      <c r="J2921" s="24"/>
      <c r="K2921" s="24"/>
      <c r="M2921" s="24"/>
      <c r="N2921" s="24"/>
      <c r="P2921" s="24"/>
    </row>
    <row r="2922" spans="2:16" x14ac:dyDescent="0.25">
      <c r="B2922" s="24"/>
      <c r="E2922" s="24"/>
      <c r="G2922" s="24"/>
      <c r="H2922" s="24"/>
      <c r="J2922" s="24"/>
      <c r="K2922" s="24"/>
      <c r="M2922" s="24"/>
      <c r="N2922" s="24"/>
      <c r="P2922" s="24"/>
    </row>
    <row r="2923" spans="2:16" x14ac:dyDescent="0.25">
      <c r="B2923" s="24"/>
      <c r="E2923" s="24"/>
      <c r="G2923" s="24"/>
      <c r="H2923" s="24"/>
      <c r="J2923" s="24"/>
      <c r="K2923" s="24"/>
      <c r="M2923" s="24"/>
      <c r="N2923" s="24"/>
      <c r="P2923" s="24"/>
    </row>
    <row r="2924" spans="2:16" x14ac:dyDescent="0.25">
      <c r="B2924" s="24"/>
      <c r="E2924" s="24"/>
      <c r="G2924" s="24"/>
      <c r="H2924" s="24"/>
      <c r="J2924" s="24"/>
      <c r="K2924" s="24"/>
      <c r="M2924" s="24"/>
      <c r="N2924" s="24"/>
      <c r="P2924" s="24"/>
    </row>
    <row r="2925" spans="2:16" x14ac:dyDescent="0.25">
      <c r="B2925" s="24"/>
      <c r="E2925" s="24"/>
      <c r="G2925" s="24"/>
      <c r="H2925" s="24"/>
      <c r="J2925" s="24"/>
      <c r="K2925" s="24"/>
      <c r="M2925" s="24"/>
      <c r="N2925" s="24"/>
      <c r="P2925" s="24"/>
    </row>
    <row r="2926" spans="2:16" x14ac:dyDescent="0.25">
      <c r="B2926" s="24"/>
      <c r="E2926" s="24"/>
      <c r="G2926" s="24"/>
      <c r="H2926" s="24"/>
      <c r="J2926" s="24"/>
      <c r="K2926" s="24"/>
      <c r="M2926" s="24"/>
      <c r="N2926" s="24"/>
      <c r="P2926" s="24"/>
    </row>
    <row r="2927" spans="2:16" x14ac:dyDescent="0.25">
      <c r="B2927" s="24"/>
      <c r="E2927" s="24"/>
      <c r="G2927" s="24"/>
      <c r="H2927" s="24"/>
      <c r="J2927" s="24"/>
      <c r="K2927" s="24"/>
      <c r="M2927" s="24"/>
      <c r="N2927" s="24"/>
      <c r="P2927" s="24"/>
    </row>
    <row r="2928" spans="2:16" x14ac:dyDescent="0.25">
      <c r="B2928" s="24"/>
      <c r="E2928" s="24"/>
      <c r="G2928" s="24"/>
      <c r="H2928" s="24"/>
      <c r="J2928" s="24"/>
      <c r="K2928" s="24"/>
      <c r="M2928" s="24"/>
      <c r="N2928" s="24"/>
      <c r="P2928" s="24"/>
    </row>
    <row r="2929" spans="2:16" x14ac:dyDescent="0.25">
      <c r="B2929" s="24"/>
      <c r="E2929" s="24"/>
      <c r="G2929" s="24"/>
      <c r="H2929" s="24"/>
      <c r="J2929" s="24"/>
      <c r="K2929" s="24"/>
      <c r="M2929" s="24"/>
      <c r="N2929" s="24"/>
      <c r="P2929" s="24"/>
    </row>
    <row r="2930" spans="2:16" x14ac:dyDescent="0.25">
      <c r="B2930" s="24"/>
      <c r="E2930" s="24"/>
      <c r="G2930" s="24"/>
      <c r="H2930" s="24"/>
      <c r="J2930" s="24"/>
      <c r="K2930" s="24"/>
      <c r="M2930" s="24"/>
      <c r="N2930" s="24"/>
      <c r="P2930" s="24"/>
    </row>
    <row r="2931" spans="2:16" x14ac:dyDescent="0.25">
      <c r="B2931" s="24"/>
      <c r="E2931" s="24"/>
      <c r="G2931" s="24"/>
      <c r="H2931" s="24"/>
      <c r="J2931" s="24"/>
      <c r="K2931" s="24"/>
      <c r="M2931" s="24"/>
      <c r="N2931" s="24"/>
      <c r="P2931" s="24"/>
    </row>
    <row r="2932" spans="2:16" x14ac:dyDescent="0.25">
      <c r="B2932" s="24"/>
      <c r="E2932" s="24"/>
      <c r="G2932" s="24"/>
      <c r="H2932" s="24"/>
      <c r="J2932" s="24"/>
      <c r="K2932" s="24"/>
      <c r="M2932" s="24"/>
      <c r="N2932" s="24"/>
      <c r="P2932" s="24"/>
    </row>
    <row r="2933" spans="2:16" x14ac:dyDescent="0.25">
      <c r="B2933" s="24"/>
      <c r="E2933" s="24"/>
      <c r="G2933" s="24"/>
      <c r="H2933" s="24"/>
      <c r="J2933" s="24"/>
      <c r="K2933" s="24"/>
      <c r="M2933" s="24"/>
      <c r="N2933" s="24"/>
      <c r="P2933" s="24"/>
    </row>
    <row r="2934" spans="2:16" x14ac:dyDescent="0.25">
      <c r="B2934" s="24"/>
      <c r="E2934" s="24"/>
      <c r="G2934" s="24"/>
      <c r="H2934" s="24"/>
      <c r="J2934" s="24"/>
      <c r="K2934" s="24"/>
      <c r="M2934" s="24"/>
      <c r="N2934" s="24"/>
      <c r="P2934" s="24"/>
    </row>
    <row r="2935" spans="2:16" x14ac:dyDescent="0.25">
      <c r="B2935" s="24"/>
      <c r="E2935" s="24"/>
      <c r="G2935" s="24"/>
      <c r="H2935" s="24"/>
      <c r="J2935" s="24"/>
      <c r="K2935" s="24"/>
      <c r="M2935" s="24"/>
      <c r="N2935" s="24"/>
      <c r="P2935" s="24"/>
    </row>
    <row r="2936" spans="2:16" x14ac:dyDescent="0.25">
      <c r="B2936" s="24"/>
      <c r="E2936" s="24"/>
      <c r="G2936" s="24"/>
      <c r="H2936" s="24"/>
      <c r="J2936" s="24"/>
      <c r="K2936" s="24"/>
      <c r="M2936" s="24"/>
      <c r="N2936" s="24"/>
      <c r="P2936" s="24"/>
    </row>
    <row r="2937" spans="2:16" x14ac:dyDescent="0.25">
      <c r="B2937" s="24"/>
      <c r="E2937" s="24"/>
      <c r="G2937" s="24"/>
      <c r="H2937" s="24"/>
      <c r="J2937" s="24"/>
      <c r="K2937" s="24"/>
      <c r="M2937" s="24"/>
      <c r="N2937" s="24"/>
      <c r="P2937" s="24"/>
    </row>
    <row r="2938" spans="2:16" x14ac:dyDescent="0.25">
      <c r="B2938" s="24"/>
      <c r="E2938" s="24"/>
      <c r="G2938" s="24"/>
      <c r="H2938" s="24"/>
      <c r="J2938" s="24"/>
      <c r="K2938" s="24"/>
      <c r="M2938" s="24"/>
      <c r="N2938" s="24"/>
      <c r="P2938" s="24"/>
    </row>
    <row r="2939" spans="2:16" x14ac:dyDescent="0.25">
      <c r="B2939" s="24"/>
      <c r="E2939" s="24"/>
      <c r="G2939" s="24"/>
      <c r="H2939" s="24"/>
      <c r="J2939" s="24"/>
      <c r="K2939" s="24"/>
      <c r="M2939" s="24"/>
      <c r="N2939" s="24"/>
      <c r="P2939" s="24"/>
    </row>
    <row r="2940" spans="2:16" x14ac:dyDescent="0.25">
      <c r="B2940" s="24"/>
      <c r="E2940" s="24"/>
      <c r="G2940" s="24"/>
      <c r="H2940" s="24"/>
      <c r="J2940" s="24"/>
      <c r="K2940" s="24"/>
      <c r="M2940" s="24"/>
      <c r="N2940" s="24"/>
      <c r="P2940" s="24"/>
    </row>
    <row r="2941" spans="2:16" x14ac:dyDescent="0.25">
      <c r="B2941" s="24"/>
      <c r="E2941" s="24"/>
      <c r="G2941" s="24"/>
      <c r="H2941" s="24"/>
      <c r="J2941" s="24"/>
      <c r="K2941" s="24"/>
      <c r="M2941" s="24"/>
      <c r="N2941" s="24"/>
      <c r="P2941" s="24"/>
    </row>
    <row r="2942" spans="2:16" x14ac:dyDescent="0.25">
      <c r="B2942" s="24"/>
      <c r="E2942" s="24"/>
      <c r="G2942" s="24"/>
      <c r="H2942" s="24"/>
      <c r="J2942" s="24"/>
      <c r="K2942" s="24"/>
      <c r="M2942" s="24"/>
      <c r="N2942" s="24"/>
      <c r="P2942" s="24"/>
    </row>
    <row r="2943" spans="2:16" x14ac:dyDescent="0.25">
      <c r="B2943" s="24"/>
      <c r="E2943" s="24"/>
      <c r="G2943" s="24"/>
      <c r="H2943" s="24"/>
      <c r="J2943" s="24"/>
      <c r="K2943" s="24"/>
      <c r="M2943" s="24"/>
      <c r="N2943" s="24"/>
      <c r="P2943" s="24"/>
    </row>
    <row r="2944" spans="2:16" x14ac:dyDescent="0.25">
      <c r="B2944" s="24"/>
      <c r="E2944" s="24"/>
      <c r="G2944" s="24"/>
      <c r="H2944" s="24"/>
      <c r="J2944" s="24"/>
      <c r="K2944" s="24"/>
      <c r="M2944" s="24"/>
      <c r="N2944" s="24"/>
      <c r="P2944" s="24"/>
    </row>
    <row r="2945" spans="2:16" x14ac:dyDescent="0.25">
      <c r="B2945" s="24"/>
      <c r="E2945" s="24"/>
      <c r="G2945" s="24"/>
      <c r="H2945" s="24"/>
      <c r="J2945" s="24"/>
      <c r="K2945" s="24"/>
      <c r="M2945" s="24"/>
      <c r="N2945" s="24"/>
      <c r="P2945" s="24"/>
    </row>
    <row r="2946" spans="2:16" x14ac:dyDescent="0.25">
      <c r="B2946" s="24"/>
      <c r="E2946" s="24"/>
      <c r="G2946" s="24"/>
      <c r="H2946" s="24"/>
      <c r="J2946" s="24"/>
      <c r="K2946" s="24"/>
      <c r="M2946" s="24"/>
      <c r="N2946" s="24"/>
      <c r="P2946" s="24"/>
    </row>
    <row r="2947" spans="2:16" x14ac:dyDescent="0.25">
      <c r="B2947" s="24"/>
      <c r="E2947" s="24"/>
      <c r="G2947" s="24"/>
      <c r="H2947" s="24"/>
      <c r="J2947" s="24"/>
      <c r="K2947" s="24"/>
      <c r="M2947" s="24"/>
      <c r="N2947" s="24"/>
      <c r="P2947" s="24"/>
    </row>
    <row r="2948" spans="2:16" x14ac:dyDescent="0.25">
      <c r="B2948" s="24"/>
      <c r="E2948" s="24"/>
      <c r="G2948" s="24"/>
      <c r="H2948" s="24"/>
      <c r="J2948" s="24"/>
      <c r="K2948" s="24"/>
      <c r="M2948" s="24"/>
      <c r="N2948" s="24"/>
      <c r="P2948" s="24"/>
    </row>
    <row r="2949" spans="2:16" x14ac:dyDescent="0.25">
      <c r="B2949" s="24"/>
      <c r="E2949" s="24"/>
      <c r="G2949" s="24"/>
      <c r="H2949" s="24"/>
      <c r="J2949" s="24"/>
      <c r="K2949" s="24"/>
      <c r="M2949" s="24"/>
      <c r="N2949" s="24"/>
      <c r="P2949" s="24"/>
    </row>
    <row r="2950" spans="2:16" x14ac:dyDescent="0.25">
      <c r="B2950" s="24"/>
      <c r="E2950" s="24"/>
      <c r="G2950" s="24"/>
      <c r="H2950" s="24"/>
      <c r="J2950" s="24"/>
      <c r="K2950" s="24"/>
      <c r="M2950" s="24"/>
      <c r="N2950" s="24"/>
      <c r="P2950" s="24"/>
    </row>
    <row r="2951" spans="2:16" x14ac:dyDescent="0.25">
      <c r="B2951" s="24"/>
      <c r="E2951" s="24"/>
      <c r="G2951" s="24"/>
      <c r="H2951" s="24"/>
      <c r="J2951" s="24"/>
      <c r="K2951" s="24"/>
      <c r="M2951" s="24"/>
      <c r="N2951" s="24"/>
      <c r="P2951" s="24"/>
    </row>
    <row r="2952" spans="2:16" x14ac:dyDescent="0.25">
      <c r="B2952" s="24"/>
      <c r="E2952" s="24"/>
      <c r="G2952" s="24"/>
      <c r="H2952" s="24"/>
      <c r="J2952" s="24"/>
      <c r="K2952" s="24"/>
      <c r="M2952" s="24"/>
      <c r="N2952" s="24"/>
      <c r="P2952" s="24"/>
    </row>
    <row r="2953" spans="2:16" x14ac:dyDescent="0.25">
      <c r="B2953" s="24"/>
      <c r="E2953" s="24"/>
      <c r="G2953" s="24"/>
      <c r="H2953" s="24"/>
      <c r="J2953" s="24"/>
      <c r="K2953" s="24"/>
      <c r="M2953" s="24"/>
      <c r="N2953" s="24"/>
      <c r="P2953" s="24"/>
    </row>
    <row r="2954" spans="2:16" x14ac:dyDescent="0.25">
      <c r="B2954" s="24"/>
      <c r="E2954" s="24"/>
      <c r="G2954" s="24"/>
      <c r="H2954" s="24"/>
      <c r="J2954" s="24"/>
      <c r="K2954" s="24"/>
      <c r="M2954" s="24"/>
      <c r="N2954" s="24"/>
      <c r="P2954" s="24"/>
    </row>
    <row r="2955" spans="2:16" x14ac:dyDescent="0.25">
      <c r="B2955" s="24"/>
      <c r="E2955" s="24"/>
      <c r="G2955" s="24"/>
      <c r="H2955" s="24"/>
      <c r="J2955" s="24"/>
      <c r="K2955" s="24"/>
      <c r="M2955" s="24"/>
      <c r="N2955" s="24"/>
      <c r="P2955" s="24"/>
    </row>
    <row r="2956" spans="2:16" x14ac:dyDescent="0.25">
      <c r="B2956" s="24"/>
      <c r="E2956" s="24"/>
      <c r="G2956" s="24"/>
      <c r="H2956" s="24"/>
      <c r="J2956" s="24"/>
      <c r="K2956" s="24"/>
      <c r="M2956" s="24"/>
      <c r="N2956" s="24"/>
      <c r="P2956" s="24"/>
    </row>
    <row r="2957" spans="2:16" x14ac:dyDescent="0.25">
      <c r="B2957" s="24"/>
      <c r="E2957" s="24"/>
      <c r="G2957" s="24"/>
      <c r="H2957" s="24"/>
      <c r="J2957" s="24"/>
      <c r="K2957" s="24"/>
      <c r="M2957" s="24"/>
      <c r="N2957" s="24"/>
      <c r="P2957" s="24"/>
    </row>
    <row r="2958" spans="2:16" x14ac:dyDescent="0.25">
      <c r="B2958" s="24"/>
      <c r="E2958" s="24"/>
      <c r="G2958" s="24"/>
      <c r="H2958" s="24"/>
      <c r="J2958" s="24"/>
      <c r="K2958" s="24"/>
      <c r="M2958" s="24"/>
      <c r="N2958" s="24"/>
      <c r="P2958" s="24"/>
    </row>
    <row r="2959" spans="2:16" x14ac:dyDescent="0.25">
      <c r="B2959" s="24"/>
      <c r="E2959" s="24"/>
      <c r="G2959" s="24"/>
      <c r="H2959" s="24"/>
      <c r="J2959" s="24"/>
      <c r="K2959" s="24"/>
      <c r="M2959" s="24"/>
      <c r="N2959" s="24"/>
      <c r="P2959" s="24"/>
    </row>
    <row r="2960" spans="2:16" x14ac:dyDescent="0.25">
      <c r="B2960" s="24"/>
      <c r="E2960" s="24"/>
      <c r="G2960" s="24"/>
      <c r="H2960" s="24"/>
      <c r="J2960" s="24"/>
      <c r="K2960" s="24"/>
      <c r="M2960" s="24"/>
      <c r="N2960" s="24"/>
      <c r="P2960" s="24"/>
    </row>
    <row r="2961" spans="2:16" x14ac:dyDescent="0.25">
      <c r="B2961" s="24"/>
      <c r="E2961" s="24"/>
      <c r="G2961" s="24"/>
      <c r="H2961" s="24"/>
      <c r="J2961" s="24"/>
      <c r="K2961" s="24"/>
      <c r="M2961" s="24"/>
      <c r="N2961" s="24"/>
      <c r="P2961" s="24"/>
    </row>
    <row r="2962" spans="2:16" x14ac:dyDescent="0.25">
      <c r="B2962" s="24"/>
      <c r="E2962" s="24"/>
      <c r="G2962" s="24"/>
      <c r="H2962" s="24"/>
      <c r="J2962" s="24"/>
      <c r="K2962" s="24"/>
      <c r="M2962" s="24"/>
      <c r="N2962" s="24"/>
      <c r="P2962" s="24"/>
    </row>
    <row r="2963" spans="2:16" x14ac:dyDescent="0.25">
      <c r="B2963" s="24"/>
      <c r="E2963" s="24"/>
      <c r="G2963" s="24"/>
      <c r="H2963" s="24"/>
      <c r="J2963" s="24"/>
      <c r="K2963" s="24"/>
      <c r="M2963" s="24"/>
      <c r="N2963" s="24"/>
      <c r="P2963" s="24"/>
    </row>
    <row r="2964" spans="2:16" x14ac:dyDescent="0.25">
      <c r="B2964" s="24"/>
      <c r="E2964" s="24"/>
      <c r="G2964" s="24"/>
      <c r="H2964" s="24"/>
      <c r="J2964" s="24"/>
      <c r="K2964" s="24"/>
      <c r="M2964" s="24"/>
      <c r="N2964" s="24"/>
      <c r="P2964" s="24"/>
    </row>
    <row r="2965" spans="2:16" x14ac:dyDescent="0.25">
      <c r="B2965" s="24"/>
      <c r="E2965" s="24"/>
      <c r="G2965" s="24"/>
      <c r="H2965" s="24"/>
      <c r="J2965" s="24"/>
      <c r="K2965" s="24"/>
      <c r="M2965" s="24"/>
      <c r="N2965" s="24"/>
      <c r="P2965" s="24"/>
    </row>
    <row r="2966" spans="2:16" x14ac:dyDescent="0.25">
      <c r="B2966" s="24"/>
      <c r="E2966" s="24"/>
      <c r="G2966" s="24"/>
      <c r="H2966" s="24"/>
      <c r="J2966" s="24"/>
      <c r="K2966" s="24"/>
      <c r="M2966" s="24"/>
      <c r="N2966" s="24"/>
      <c r="P2966" s="24"/>
    </row>
    <row r="2967" spans="2:16" x14ac:dyDescent="0.25">
      <c r="B2967" s="24"/>
      <c r="E2967" s="24"/>
      <c r="G2967" s="24"/>
      <c r="H2967" s="24"/>
      <c r="J2967" s="24"/>
      <c r="K2967" s="24"/>
      <c r="M2967" s="24"/>
      <c r="N2967" s="24"/>
      <c r="P2967" s="24"/>
    </row>
    <row r="2968" spans="2:16" x14ac:dyDescent="0.25">
      <c r="B2968" s="24"/>
      <c r="E2968" s="24"/>
      <c r="G2968" s="24"/>
      <c r="H2968" s="24"/>
      <c r="J2968" s="24"/>
      <c r="K2968" s="24"/>
      <c r="M2968" s="24"/>
      <c r="N2968" s="24"/>
      <c r="P2968" s="24"/>
    </row>
    <row r="2969" spans="2:16" x14ac:dyDescent="0.25">
      <c r="B2969" s="24"/>
      <c r="E2969" s="24"/>
      <c r="G2969" s="24"/>
      <c r="H2969" s="24"/>
      <c r="J2969" s="24"/>
      <c r="K2969" s="24"/>
      <c r="M2969" s="24"/>
      <c r="N2969" s="24"/>
      <c r="P2969" s="24"/>
    </row>
    <row r="2970" spans="2:16" x14ac:dyDescent="0.25">
      <c r="B2970" s="24"/>
      <c r="E2970" s="24"/>
      <c r="G2970" s="24"/>
      <c r="H2970" s="24"/>
      <c r="J2970" s="24"/>
      <c r="K2970" s="24"/>
      <c r="M2970" s="24"/>
      <c r="N2970" s="24"/>
      <c r="P2970" s="24"/>
    </row>
    <row r="2971" spans="2:16" x14ac:dyDescent="0.25">
      <c r="B2971" s="24"/>
      <c r="E2971" s="24"/>
      <c r="G2971" s="24"/>
      <c r="H2971" s="24"/>
      <c r="J2971" s="24"/>
      <c r="K2971" s="24"/>
      <c r="M2971" s="24"/>
      <c r="N2971" s="24"/>
      <c r="P2971" s="24"/>
    </row>
    <row r="2972" spans="2:16" x14ac:dyDescent="0.25">
      <c r="B2972" s="24"/>
      <c r="E2972" s="24"/>
      <c r="G2972" s="24"/>
      <c r="H2972" s="24"/>
      <c r="J2972" s="24"/>
      <c r="K2972" s="24"/>
      <c r="M2972" s="24"/>
      <c r="N2972" s="24"/>
      <c r="P2972" s="24"/>
    </row>
    <row r="2973" spans="2:16" x14ac:dyDescent="0.25">
      <c r="B2973" s="24"/>
      <c r="E2973" s="24"/>
      <c r="G2973" s="24"/>
      <c r="H2973" s="24"/>
      <c r="J2973" s="24"/>
      <c r="K2973" s="24"/>
      <c r="M2973" s="24"/>
      <c r="N2973" s="24"/>
      <c r="P2973" s="24"/>
    </row>
    <row r="2974" spans="2:16" x14ac:dyDescent="0.25">
      <c r="B2974" s="24"/>
      <c r="E2974" s="24"/>
      <c r="G2974" s="24"/>
      <c r="H2974" s="24"/>
      <c r="J2974" s="24"/>
      <c r="K2974" s="24"/>
      <c r="M2974" s="24"/>
      <c r="N2974" s="24"/>
      <c r="P2974" s="24"/>
    </row>
    <row r="2975" spans="2:16" x14ac:dyDescent="0.25">
      <c r="B2975" s="24"/>
      <c r="E2975" s="24"/>
      <c r="G2975" s="24"/>
      <c r="H2975" s="24"/>
      <c r="J2975" s="24"/>
      <c r="K2975" s="24"/>
      <c r="M2975" s="24"/>
      <c r="N2975" s="24"/>
      <c r="P2975" s="24"/>
    </row>
    <row r="2976" spans="2:16" x14ac:dyDescent="0.25">
      <c r="B2976" s="24"/>
      <c r="E2976" s="24"/>
      <c r="G2976" s="24"/>
      <c r="H2976" s="24"/>
      <c r="J2976" s="24"/>
      <c r="K2976" s="24"/>
      <c r="M2976" s="24"/>
      <c r="N2976" s="24"/>
      <c r="P2976" s="24"/>
    </row>
    <row r="2977" spans="2:16" x14ac:dyDescent="0.25">
      <c r="B2977" s="24"/>
      <c r="E2977" s="24"/>
      <c r="G2977" s="24"/>
      <c r="H2977" s="24"/>
      <c r="J2977" s="24"/>
      <c r="K2977" s="24"/>
      <c r="M2977" s="24"/>
      <c r="N2977" s="24"/>
      <c r="P2977" s="24"/>
    </row>
    <row r="2978" spans="2:16" x14ac:dyDescent="0.25">
      <c r="B2978" s="24"/>
      <c r="E2978" s="24"/>
      <c r="G2978" s="24"/>
      <c r="H2978" s="24"/>
      <c r="J2978" s="24"/>
      <c r="K2978" s="24"/>
      <c r="M2978" s="24"/>
      <c r="N2978" s="24"/>
      <c r="P2978" s="24"/>
    </row>
    <row r="2979" spans="2:16" x14ac:dyDescent="0.25">
      <c r="B2979" s="24"/>
      <c r="E2979" s="24"/>
      <c r="G2979" s="24"/>
      <c r="H2979" s="24"/>
      <c r="J2979" s="24"/>
      <c r="K2979" s="24"/>
      <c r="M2979" s="24"/>
      <c r="N2979" s="24"/>
      <c r="P2979" s="24"/>
    </row>
    <row r="2980" spans="2:16" x14ac:dyDescent="0.25">
      <c r="B2980" s="24"/>
      <c r="E2980" s="24"/>
      <c r="G2980" s="24"/>
      <c r="H2980" s="24"/>
      <c r="J2980" s="24"/>
      <c r="K2980" s="24"/>
      <c r="M2980" s="24"/>
      <c r="N2980" s="24"/>
      <c r="P2980" s="24"/>
    </row>
    <row r="2981" spans="2:16" x14ac:dyDescent="0.25">
      <c r="B2981" s="24"/>
      <c r="E2981" s="24"/>
      <c r="G2981" s="24"/>
      <c r="H2981" s="24"/>
      <c r="J2981" s="24"/>
      <c r="K2981" s="24"/>
      <c r="M2981" s="24"/>
      <c r="N2981" s="24"/>
      <c r="P2981" s="24"/>
    </row>
    <row r="2982" spans="2:16" x14ac:dyDescent="0.25">
      <c r="B2982" s="24"/>
      <c r="E2982" s="24"/>
      <c r="G2982" s="24"/>
      <c r="H2982" s="24"/>
      <c r="J2982" s="24"/>
      <c r="K2982" s="24"/>
      <c r="M2982" s="24"/>
      <c r="N2982" s="24"/>
      <c r="P2982" s="24"/>
    </row>
    <row r="2983" spans="2:16" x14ac:dyDescent="0.25">
      <c r="B2983" s="24"/>
      <c r="E2983" s="24"/>
      <c r="G2983" s="24"/>
      <c r="H2983" s="24"/>
      <c r="J2983" s="24"/>
      <c r="K2983" s="24"/>
      <c r="M2983" s="24"/>
      <c r="N2983" s="24"/>
      <c r="P2983" s="24"/>
    </row>
    <row r="2984" spans="2:16" x14ac:dyDescent="0.25">
      <c r="B2984" s="24"/>
      <c r="E2984" s="24"/>
      <c r="G2984" s="24"/>
      <c r="H2984" s="24"/>
      <c r="J2984" s="24"/>
      <c r="K2984" s="24"/>
      <c r="M2984" s="24"/>
      <c r="N2984" s="24"/>
      <c r="P2984" s="24"/>
    </row>
    <row r="2985" spans="2:16" x14ac:dyDescent="0.25">
      <c r="B2985" s="24"/>
      <c r="E2985" s="24"/>
      <c r="G2985" s="24"/>
      <c r="H2985" s="24"/>
      <c r="J2985" s="24"/>
      <c r="K2985" s="24"/>
      <c r="M2985" s="24"/>
      <c r="N2985" s="24"/>
      <c r="P2985" s="24"/>
    </row>
    <row r="2986" spans="2:16" x14ac:dyDescent="0.25">
      <c r="B2986" s="24"/>
      <c r="E2986" s="24"/>
      <c r="G2986" s="24"/>
      <c r="H2986" s="24"/>
      <c r="J2986" s="24"/>
      <c r="K2986" s="24"/>
      <c r="M2986" s="24"/>
      <c r="N2986" s="24"/>
      <c r="P2986" s="24"/>
    </row>
    <row r="2987" spans="2:16" x14ac:dyDescent="0.25">
      <c r="B2987" s="24"/>
      <c r="E2987" s="24"/>
      <c r="G2987" s="24"/>
      <c r="H2987" s="24"/>
      <c r="J2987" s="24"/>
      <c r="K2987" s="24"/>
      <c r="M2987" s="24"/>
      <c r="N2987" s="24"/>
      <c r="P2987" s="24"/>
    </row>
    <row r="2988" spans="2:16" x14ac:dyDescent="0.25">
      <c r="B2988" s="24"/>
      <c r="E2988" s="24"/>
      <c r="G2988" s="24"/>
      <c r="H2988" s="24"/>
      <c r="J2988" s="24"/>
      <c r="K2988" s="24"/>
      <c r="M2988" s="24"/>
      <c r="N2988" s="24"/>
      <c r="P2988" s="24"/>
    </row>
    <row r="2989" spans="2:16" x14ac:dyDescent="0.25">
      <c r="B2989" s="24"/>
      <c r="E2989" s="24"/>
      <c r="G2989" s="24"/>
      <c r="H2989" s="24"/>
      <c r="J2989" s="24"/>
      <c r="K2989" s="24"/>
      <c r="M2989" s="24"/>
      <c r="N2989" s="24"/>
      <c r="P2989" s="24"/>
    </row>
    <row r="2990" spans="2:16" x14ac:dyDescent="0.25">
      <c r="B2990" s="24"/>
      <c r="E2990" s="24"/>
      <c r="G2990" s="24"/>
      <c r="H2990" s="24"/>
      <c r="J2990" s="24"/>
      <c r="K2990" s="24"/>
      <c r="M2990" s="24"/>
      <c r="N2990" s="24"/>
      <c r="P2990" s="24"/>
    </row>
    <row r="2991" spans="2:16" x14ac:dyDescent="0.25">
      <c r="B2991" s="24"/>
      <c r="E2991" s="24"/>
      <c r="G2991" s="24"/>
      <c r="H2991" s="24"/>
      <c r="J2991" s="24"/>
      <c r="K2991" s="24"/>
      <c r="M2991" s="24"/>
      <c r="N2991" s="24"/>
      <c r="P2991" s="24"/>
    </row>
    <row r="2992" spans="2:16" x14ac:dyDescent="0.25">
      <c r="B2992" s="24"/>
      <c r="E2992" s="24"/>
      <c r="G2992" s="24"/>
      <c r="H2992" s="24"/>
      <c r="J2992" s="24"/>
      <c r="K2992" s="24"/>
      <c r="M2992" s="24"/>
      <c r="N2992" s="24"/>
      <c r="P2992" s="24"/>
    </row>
    <row r="2993" spans="2:16" x14ac:dyDescent="0.25">
      <c r="B2993" s="24"/>
      <c r="E2993" s="24"/>
      <c r="G2993" s="24"/>
      <c r="H2993" s="24"/>
      <c r="J2993" s="24"/>
      <c r="K2993" s="24"/>
      <c r="M2993" s="24"/>
      <c r="N2993" s="24"/>
      <c r="P2993" s="24"/>
    </row>
    <row r="2994" spans="2:16" x14ac:dyDescent="0.25">
      <c r="B2994" s="24"/>
      <c r="E2994" s="24"/>
      <c r="G2994" s="24"/>
      <c r="H2994" s="24"/>
      <c r="J2994" s="24"/>
      <c r="K2994" s="24"/>
      <c r="M2994" s="24"/>
      <c r="N2994" s="24"/>
      <c r="P2994" s="24"/>
    </row>
    <row r="2995" spans="2:16" x14ac:dyDescent="0.25">
      <c r="B2995" s="24"/>
      <c r="E2995" s="24"/>
      <c r="G2995" s="24"/>
      <c r="H2995" s="24"/>
      <c r="J2995" s="24"/>
      <c r="K2995" s="24"/>
      <c r="M2995" s="24"/>
      <c r="N2995" s="24"/>
      <c r="P2995" s="24"/>
    </row>
    <row r="2996" spans="2:16" x14ac:dyDescent="0.25">
      <c r="B2996" s="24"/>
      <c r="E2996" s="24"/>
      <c r="G2996" s="24"/>
      <c r="H2996" s="24"/>
      <c r="J2996" s="24"/>
      <c r="K2996" s="24"/>
      <c r="M2996" s="24"/>
      <c r="N2996" s="24"/>
      <c r="P2996" s="24"/>
    </row>
    <row r="2997" spans="2:16" x14ac:dyDescent="0.25">
      <c r="B2997" s="24"/>
      <c r="E2997" s="24"/>
      <c r="G2997" s="24"/>
      <c r="H2997" s="24"/>
      <c r="J2997" s="24"/>
      <c r="K2997" s="24"/>
      <c r="M2997" s="24"/>
      <c r="N2997" s="24"/>
      <c r="P2997" s="24"/>
    </row>
    <row r="2998" spans="2:16" x14ac:dyDescent="0.25">
      <c r="B2998" s="24"/>
      <c r="E2998" s="24"/>
      <c r="G2998" s="24"/>
      <c r="H2998" s="24"/>
      <c r="J2998" s="24"/>
      <c r="K2998" s="24"/>
      <c r="M2998" s="24"/>
      <c r="N2998" s="24"/>
      <c r="P2998" s="24"/>
    </row>
    <row r="2999" spans="2:16" x14ac:dyDescent="0.25">
      <c r="B2999" s="24"/>
      <c r="E2999" s="24"/>
      <c r="G2999" s="24"/>
      <c r="H2999" s="24"/>
      <c r="J2999" s="24"/>
      <c r="K2999" s="24"/>
      <c r="M2999" s="24"/>
      <c r="N2999" s="24"/>
      <c r="P2999" s="24"/>
    </row>
    <row r="3000" spans="2:16" x14ac:dyDescent="0.25">
      <c r="B3000" s="24"/>
      <c r="E3000" s="24"/>
      <c r="G3000" s="24"/>
      <c r="H3000" s="24"/>
      <c r="J3000" s="24"/>
      <c r="K3000" s="24"/>
      <c r="M3000" s="24"/>
      <c r="N3000" s="24"/>
      <c r="P3000" s="24"/>
    </row>
    <row r="3001" spans="2:16" x14ac:dyDescent="0.25">
      <c r="B3001" s="24"/>
      <c r="E3001" s="24"/>
      <c r="G3001" s="24"/>
      <c r="H3001" s="24"/>
      <c r="J3001" s="24"/>
      <c r="K3001" s="24"/>
      <c r="M3001" s="24"/>
      <c r="N3001" s="24"/>
      <c r="P3001" s="24"/>
    </row>
    <row r="3002" spans="2:16" x14ac:dyDescent="0.25">
      <c r="B3002" s="24"/>
      <c r="E3002" s="24"/>
      <c r="G3002" s="24"/>
      <c r="H3002" s="24"/>
      <c r="J3002" s="24"/>
      <c r="K3002" s="24"/>
      <c r="M3002" s="24"/>
      <c r="N3002" s="24"/>
      <c r="P3002" s="24"/>
    </row>
    <row r="3003" spans="2:16" x14ac:dyDescent="0.25">
      <c r="B3003" s="24"/>
      <c r="E3003" s="24"/>
      <c r="G3003" s="24"/>
      <c r="H3003" s="24"/>
      <c r="J3003" s="24"/>
      <c r="K3003" s="24"/>
      <c r="M3003" s="24"/>
      <c r="N3003" s="24"/>
      <c r="P3003" s="24"/>
    </row>
    <row r="3004" spans="2:16" x14ac:dyDescent="0.25">
      <c r="B3004" s="24"/>
      <c r="E3004" s="24"/>
      <c r="G3004" s="24"/>
      <c r="H3004" s="24"/>
      <c r="J3004" s="24"/>
      <c r="K3004" s="24"/>
      <c r="M3004" s="24"/>
      <c r="N3004" s="24"/>
      <c r="P3004" s="24"/>
    </row>
    <row r="3005" spans="2:16" x14ac:dyDescent="0.25">
      <c r="B3005" s="24"/>
      <c r="E3005" s="24"/>
      <c r="G3005" s="24"/>
      <c r="H3005" s="24"/>
      <c r="J3005" s="24"/>
      <c r="K3005" s="24"/>
      <c r="M3005" s="24"/>
      <c r="N3005" s="24"/>
      <c r="P3005" s="24"/>
    </row>
    <row r="3006" spans="2:16" x14ac:dyDescent="0.25">
      <c r="B3006" s="24"/>
      <c r="E3006" s="24"/>
      <c r="G3006" s="24"/>
      <c r="H3006" s="24"/>
      <c r="J3006" s="24"/>
      <c r="K3006" s="24"/>
      <c r="M3006" s="24"/>
      <c r="N3006" s="24"/>
      <c r="P3006" s="24"/>
    </row>
    <row r="3007" spans="2:16" x14ac:dyDescent="0.25">
      <c r="B3007" s="24"/>
      <c r="E3007" s="24"/>
      <c r="G3007" s="24"/>
      <c r="H3007" s="24"/>
      <c r="J3007" s="24"/>
      <c r="K3007" s="24"/>
      <c r="M3007" s="24"/>
      <c r="N3007" s="24"/>
      <c r="P3007" s="24"/>
    </row>
    <row r="3008" spans="2:16" x14ac:dyDescent="0.25">
      <c r="B3008" s="24"/>
      <c r="E3008" s="24"/>
      <c r="G3008" s="24"/>
      <c r="H3008" s="24"/>
      <c r="J3008" s="24"/>
      <c r="K3008" s="24"/>
      <c r="M3008" s="24"/>
      <c r="N3008" s="24"/>
      <c r="P3008" s="24"/>
    </row>
    <row r="3009" spans="2:16" x14ac:dyDescent="0.25">
      <c r="B3009" s="24"/>
      <c r="E3009" s="24"/>
      <c r="G3009" s="24"/>
      <c r="H3009" s="24"/>
      <c r="J3009" s="24"/>
      <c r="K3009" s="24"/>
      <c r="M3009" s="24"/>
      <c r="N3009" s="24"/>
      <c r="P3009" s="24"/>
    </row>
    <row r="3010" spans="2:16" x14ac:dyDescent="0.25">
      <c r="B3010" s="24"/>
      <c r="E3010" s="24"/>
      <c r="G3010" s="24"/>
      <c r="H3010" s="24"/>
      <c r="J3010" s="24"/>
      <c r="K3010" s="24"/>
      <c r="M3010" s="24"/>
      <c r="N3010" s="24"/>
      <c r="P3010" s="24"/>
    </row>
    <row r="3011" spans="2:16" x14ac:dyDescent="0.25">
      <c r="B3011" s="24"/>
      <c r="E3011" s="24"/>
      <c r="G3011" s="24"/>
      <c r="H3011" s="24"/>
      <c r="J3011" s="24"/>
      <c r="K3011" s="24"/>
      <c r="M3011" s="24"/>
      <c r="N3011" s="24"/>
      <c r="P3011" s="24"/>
    </row>
    <row r="3012" spans="2:16" x14ac:dyDescent="0.25">
      <c r="B3012" s="24"/>
      <c r="E3012" s="24"/>
      <c r="G3012" s="24"/>
      <c r="H3012" s="24"/>
      <c r="J3012" s="24"/>
      <c r="K3012" s="24"/>
      <c r="M3012" s="24"/>
      <c r="N3012" s="24"/>
      <c r="P3012" s="24"/>
    </row>
    <row r="3013" spans="2:16" x14ac:dyDescent="0.25">
      <c r="B3013" s="24"/>
      <c r="E3013" s="24"/>
      <c r="G3013" s="24"/>
      <c r="H3013" s="24"/>
      <c r="J3013" s="24"/>
      <c r="K3013" s="24"/>
      <c r="M3013" s="24"/>
      <c r="N3013" s="24"/>
      <c r="P3013" s="24"/>
    </row>
    <row r="3014" spans="2:16" x14ac:dyDescent="0.25">
      <c r="B3014" s="24"/>
      <c r="E3014" s="24"/>
      <c r="G3014" s="24"/>
      <c r="H3014" s="24"/>
      <c r="J3014" s="24"/>
      <c r="K3014" s="24"/>
      <c r="M3014" s="24"/>
      <c r="N3014" s="24"/>
      <c r="P3014" s="24"/>
    </row>
    <row r="3015" spans="2:16" x14ac:dyDescent="0.25">
      <c r="B3015" s="24"/>
      <c r="E3015" s="24"/>
      <c r="G3015" s="24"/>
      <c r="H3015" s="24"/>
      <c r="J3015" s="24"/>
      <c r="K3015" s="24"/>
      <c r="M3015" s="24"/>
      <c r="N3015" s="24"/>
      <c r="P3015" s="24"/>
    </row>
    <row r="3016" spans="2:16" x14ac:dyDescent="0.25">
      <c r="B3016" s="24"/>
      <c r="E3016" s="24"/>
      <c r="G3016" s="24"/>
      <c r="H3016" s="24"/>
      <c r="J3016" s="24"/>
      <c r="K3016" s="24"/>
      <c r="M3016" s="24"/>
      <c r="N3016" s="24"/>
      <c r="P3016" s="24"/>
    </row>
    <row r="3017" spans="2:16" x14ac:dyDescent="0.25">
      <c r="B3017" s="24"/>
      <c r="E3017" s="24"/>
      <c r="G3017" s="24"/>
      <c r="H3017" s="24"/>
      <c r="J3017" s="24"/>
      <c r="K3017" s="24"/>
      <c r="M3017" s="24"/>
      <c r="N3017" s="24"/>
      <c r="P3017" s="24"/>
    </row>
    <row r="3018" spans="2:16" x14ac:dyDescent="0.25">
      <c r="B3018" s="24"/>
      <c r="E3018" s="24"/>
      <c r="G3018" s="24"/>
      <c r="H3018" s="24"/>
      <c r="J3018" s="24"/>
      <c r="K3018" s="24"/>
      <c r="M3018" s="24"/>
      <c r="N3018" s="24"/>
      <c r="P3018" s="24"/>
    </row>
    <row r="3019" spans="2:16" x14ac:dyDescent="0.25">
      <c r="B3019" s="24"/>
      <c r="E3019" s="24"/>
      <c r="G3019" s="24"/>
      <c r="H3019" s="24"/>
      <c r="J3019" s="24"/>
      <c r="K3019" s="24"/>
      <c r="M3019" s="24"/>
      <c r="N3019" s="24"/>
      <c r="P3019" s="24"/>
    </row>
    <row r="3020" spans="2:16" x14ac:dyDescent="0.25">
      <c r="B3020" s="24"/>
      <c r="E3020" s="24"/>
      <c r="G3020" s="24"/>
      <c r="H3020" s="24"/>
      <c r="J3020" s="24"/>
      <c r="K3020" s="24"/>
      <c r="M3020" s="24"/>
      <c r="N3020" s="24"/>
      <c r="P3020" s="24"/>
    </row>
    <row r="3021" spans="2:16" x14ac:dyDescent="0.25">
      <c r="B3021" s="24"/>
      <c r="E3021" s="24"/>
      <c r="G3021" s="24"/>
      <c r="H3021" s="24"/>
      <c r="J3021" s="24"/>
      <c r="K3021" s="24"/>
      <c r="M3021" s="24"/>
      <c r="N3021" s="24"/>
      <c r="P3021" s="24"/>
    </row>
    <row r="3022" spans="2:16" x14ac:dyDescent="0.25">
      <c r="B3022" s="24"/>
      <c r="E3022" s="24"/>
      <c r="G3022" s="24"/>
      <c r="H3022" s="24"/>
      <c r="J3022" s="24"/>
      <c r="K3022" s="24"/>
      <c r="M3022" s="24"/>
      <c r="N3022" s="24"/>
      <c r="P3022" s="24"/>
    </row>
    <row r="3023" spans="2:16" x14ac:dyDescent="0.25">
      <c r="B3023" s="24"/>
      <c r="E3023" s="24"/>
      <c r="G3023" s="24"/>
      <c r="H3023" s="24"/>
      <c r="J3023" s="24"/>
      <c r="K3023" s="24"/>
      <c r="M3023" s="24"/>
      <c r="N3023" s="24"/>
      <c r="P3023" s="24"/>
    </row>
    <row r="3024" spans="2:16" x14ac:dyDescent="0.25">
      <c r="B3024" s="24"/>
      <c r="E3024" s="24"/>
      <c r="G3024" s="24"/>
      <c r="H3024" s="24"/>
      <c r="J3024" s="24"/>
      <c r="K3024" s="24"/>
      <c r="M3024" s="24"/>
      <c r="N3024" s="24"/>
      <c r="P3024" s="24"/>
    </row>
    <row r="3025" spans="2:16" x14ac:dyDescent="0.25">
      <c r="B3025" s="24"/>
      <c r="E3025" s="24"/>
      <c r="G3025" s="24"/>
      <c r="H3025" s="24"/>
      <c r="J3025" s="24"/>
      <c r="K3025" s="24"/>
      <c r="M3025" s="24"/>
      <c r="N3025" s="24"/>
      <c r="P3025" s="24"/>
    </row>
    <row r="3026" spans="2:16" x14ac:dyDescent="0.25">
      <c r="B3026" s="24"/>
      <c r="E3026" s="24"/>
      <c r="G3026" s="24"/>
      <c r="H3026" s="24"/>
      <c r="J3026" s="24"/>
      <c r="K3026" s="24"/>
      <c r="M3026" s="24"/>
      <c r="N3026" s="24"/>
      <c r="P3026" s="24"/>
    </row>
    <row r="3027" spans="2:16" x14ac:dyDescent="0.25">
      <c r="B3027" s="24"/>
      <c r="E3027" s="24"/>
      <c r="G3027" s="24"/>
      <c r="H3027" s="24"/>
      <c r="J3027" s="24"/>
      <c r="K3027" s="24"/>
      <c r="M3027" s="24"/>
      <c r="N3027" s="24"/>
      <c r="P3027" s="24"/>
    </row>
    <row r="3028" spans="2:16" x14ac:dyDescent="0.25">
      <c r="B3028" s="24"/>
      <c r="E3028" s="24"/>
      <c r="G3028" s="24"/>
      <c r="H3028" s="24"/>
      <c r="J3028" s="24"/>
      <c r="K3028" s="24"/>
      <c r="M3028" s="24"/>
      <c r="N3028" s="24"/>
      <c r="P3028" s="24"/>
    </row>
    <row r="3029" spans="2:16" x14ac:dyDescent="0.25">
      <c r="B3029" s="24"/>
      <c r="E3029" s="24"/>
      <c r="G3029" s="24"/>
      <c r="H3029" s="24"/>
      <c r="J3029" s="24"/>
      <c r="K3029" s="24"/>
      <c r="M3029" s="24"/>
      <c r="N3029" s="24"/>
      <c r="P3029" s="24"/>
    </row>
    <row r="3030" spans="2:16" x14ac:dyDescent="0.25">
      <c r="B3030" s="24"/>
      <c r="E3030" s="24"/>
      <c r="G3030" s="24"/>
      <c r="H3030" s="24"/>
      <c r="J3030" s="24"/>
      <c r="K3030" s="24"/>
      <c r="M3030" s="24"/>
      <c r="N3030" s="24"/>
      <c r="P3030" s="24"/>
    </row>
    <row r="3031" spans="2:16" x14ac:dyDescent="0.25">
      <c r="B3031" s="24"/>
      <c r="E3031" s="24"/>
      <c r="G3031" s="24"/>
      <c r="H3031" s="24"/>
      <c r="J3031" s="24"/>
      <c r="K3031" s="24"/>
      <c r="M3031" s="24"/>
      <c r="N3031" s="24"/>
      <c r="P3031" s="24"/>
    </row>
    <row r="3032" spans="2:16" x14ac:dyDescent="0.25">
      <c r="B3032" s="24"/>
      <c r="E3032" s="24"/>
      <c r="G3032" s="24"/>
      <c r="H3032" s="24"/>
      <c r="J3032" s="24"/>
      <c r="K3032" s="24"/>
      <c r="M3032" s="24"/>
      <c r="N3032" s="24"/>
      <c r="P3032" s="24"/>
    </row>
    <row r="3033" spans="2:16" x14ac:dyDescent="0.25">
      <c r="B3033" s="24"/>
      <c r="E3033" s="24"/>
      <c r="G3033" s="24"/>
      <c r="H3033" s="24"/>
      <c r="J3033" s="24"/>
      <c r="K3033" s="24"/>
      <c r="M3033" s="24"/>
      <c r="N3033" s="24"/>
      <c r="P3033" s="24"/>
    </row>
    <row r="3034" spans="2:16" x14ac:dyDescent="0.25">
      <c r="B3034" s="24"/>
      <c r="E3034" s="24"/>
      <c r="G3034" s="24"/>
      <c r="H3034" s="24"/>
      <c r="J3034" s="24"/>
      <c r="K3034" s="24"/>
      <c r="M3034" s="24"/>
      <c r="N3034" s="24"/>
      <c r="P3034" s="24"/>
    </row>
    <row r="3035" spans="2:16" x14ac:dyDescent="0.25">
      <c r="B3035" s="24"/>
      <c r="E3035" s="24"/>
      <c r="G3035" s="24"/>
      <c r="H3035" s="24"/>
      <c r="J3035" s="24"/>
      <c r="K3035" s="24"/>
      <c r="M3035" s="24"/>
      <c r="N3035" s="24"/>
      <c r="P3035" s="24"/>
    </row>
    <row r="3036" spans="2:16" x14ac:dyDescent="0.25">
      <c r="B3036" s="24"/>
      <c r="E3036" s="24"/>
      <c r="G3036" s="24"/>
      <c r="H3036" s="24"/>
      <c r="J3036" s="24"/>
      <c r="K3036" s="24"/>
      <c r="M3036" s="24"/>
      <c r="N3036" s="24"/>
      <c r="P3036" s="24"/>
    </row>
    <row r="3037" spans="2:16" x14ac:dyDescent="0.25">
      <c r="B3037" s="24"/>
      <c r="E3037" s="24"/>
      <c r="G3037" s="24"/>
      <c r="H3037" s="24"/>
      <c r="J3037" s="24"/>
      <c r="K3037" s="24"/>
      <c r="M3037" s="24"/>
      <c r="N3037" s="24"/>
      <c r="P3037" s="24"/>
    </row>
    <row r="3038" spans="2:16" x14ac:dyDescent="0.25">
      <c r="B3038" s="24"/>
      <c r="E3038" s="24"/>
      <c r="G3038" s="24"/>
      <c r="H3038" s="24"/>
      <c r="J3038" s="24"/>
      <c r="K3038" s="24"/>
      <c r="M3038" s="24"/>
      <c r="N3038" s="24"/>
      <c r="P3038" s="24"/>
    </row>
    <row r="3039" spans="2:16" x14ac:dyDescent="0.25">
      <c r="B3039" s="24"/>
      <c r="E3039" s="24"/>
      <c r="G3039" s="24"/>
      <c r="H3039" s="24"/>
      <c r="J3039" s="24"/>
      <c r="K3039" s="24"/>
      <c r="M3039" s="24"/>
      <c r="N3039" s="24"/>
      <c r="P3039" s="24"/>
    </row>
    <row r="3040" spans="2:16" x14ac:dyDescent="0.25">
      <c r="B3040" s="24"/>
      <c r="E3040" s="24"/>
      <c r="G3040" s="24"/>
      <c r="H3040" s="24"/>
      <c r="J3040" s="24"/>
      <c r="K3040" s="24"/>
      <c r="M3040" s="24"/>
      <c r="N3040" s="24"/>
      <c r="P3040" s="24"/>
    </row>
    <row r="3041" spans="2:16" x14ac:dyDescent="0.25">
      <c r="B3041" s="24"/>
      <c r="E3041" s="24"/>
      <c r="G3041" s="24"/>
      <c r="H3041" s="24"/>
      <c r="J3041" s="24"/>
      <c r="K3041" s="24"/>
      <c r="M3041" s="24"/>
      <c r="N3041" s="24"/>
      <c r="P3041" s="24"/>
    </row>
    <row r="3042" spans="2:16" x14ac:dyDescent="0.25">
      <c r="B3042" s="24"/>
      <c r="E3042" s="24"/>
      <c r="G3042" s="24"/>
      <c r="H3042" s="24"/>
      <c r="J3042" s="24"/>
      <c r="K3042" s="24"/>
      <c r="M3042" s="24"/>
      <c r="N3042" s="24"/>
      <c r="P3042" s="24"/>
    </row>
    <row r="3043" spans="2:16" x14ac:dyDescent="0.25">
      <c r="B3043" s="24"/>
      <c r="E3043" s="24"/>
      <c r="G3043" s="24"/>
      <c r="H3043" s="24"/>
      <c r="J3043" s="24"/>
      <c r="K3043" s="24"/>
      <c r="M3043" s="24"/>
      <c r="N3043" s="24"/>
      <c r="P3043" s="24"/>
    </row>
    <row r="3044" spans="2:16" x14ac:dyDescent="0.25">
      <c r="B3044" s="24"/>
      <c r="E3044" s="24"/>
      <c r="G3044" s="24"/>
      <c r="H3044" s="24"/>
      <c r="J3044" s="24"/>
      <c r="K3044" s="24"/>
      <c r="M3044" s="24"/>
      <c r="N3044" s="24"/>
      <c r="P3044" s="24"/>
    </row>
    <row r="3045" spans="2:16" x14ac:dyDescent="0.25">
      <c r="B3045" s="24"/>
      <c r="E3045" s="24"/>
      <c r="G3045" s="24"/>
      <c r="H3045" s="24"/>
      <c r="J3045" s="24"/>
      <c r="K3045" s="24"/>
      <c r="M3045" s="24"/>
      <c r="N3045" s="24"/>
      <c r="P3045" s="24"/>
    </row>
    <row r="3046" spans="2:16" x14ac:dyDescent="0.25">
      <c r="B3046" s="24"/>
      <c r="E3046" s="24"/>
      <c r="G3046" s="24"/>
      <c r="H3046" s="24"/>
      <c r="J3046" s="24"/>
      <c r="K3046" s="24"/>
      <c r="M3046" s="24"/>
      <c r="N3046" s="24"/>
      <c r="P3046" s="24"/>
    </row>
    <row r="3047" spans="2:16" x14ac:dyDescent="0.25">
      <c r="B3047" s="24"/>
      <c r="E3047" s="24"/>
      <c r="G3047" s="24"/>
      <c r="H3047" s="24"/>
      <c r="J3047" s="24"/>
      <c r="K3047" s="24"/>
      <c r="M3047" s="24"/>
      <c r="N3047" s="24"/>
      <c r="P3047" s="24"/>
    </row>
    <row r="3048" spans="2:16" x14ac:dyDescent="0.25">
      <c r="B3048" s="24"/>
      <c r="E3048" s="24"/>
      <c r="G3048" s="24"/>
      <c r="H3048" s="24"/>
      <c r="J3048" s="24"/>
      <c r="K3048" s="24"/>
      <c r="M3048" s="24"/>
      <c r="N3048" s="24"/>
      <c r="P3048" s="24"/>
    </row>
    <row r="3049" spans="2:16" x14ac:dyDescent="0.25">
      <c r="B3049" s="24"/>
      <c r="E3049" s="24"/>
      <c r="G3049" s="24"/>
      <c r="H3049" s="24"/>
      <c r="J3049" s="24"/>
      <c r="K3049" s="24"/>
      <c r="M3049" s="24"/>
      <c r="N3049" s="24"/>
      <c r="P3049" s="24"/>
    </row>
    <row r="3050" spans="2:16" x14ac:dyDescent="0.25">
      <c r="B3050" s="24"/>
      <c r="E3050" s="24"/>
      <c r="G3050" s="24"/>
      <c r="H3050" s="24"/>
      <c r="J3050" s="24"/>
      <c r="K3050" s="24"/>
      <c r="M3050" s="24"/>
      <c r="N3050" s="24"/>
      <c r="P3050" s="24"/>
    </row>
    <row r="3051" spans="2:16" x14ac:dyDescent="0.25">
      <c r="B3051" s="24"/>
      <c r="E3051" s="24"/>
      <c r="G3051" s="24"/>
      <c r="H3051" s="24"/>
      <c r="J3051" s="24"/>
      <c r="K3051" s="24"/>
      <c r="M3051" s="24"/>
      <c r="N3051" s="24"/>
      <c r="P3051" s="24"/>
    </row>
    <row r="3052" spans="2:16" x14ac:dyDescent="0.25">
      <c r="B3052" s="24"/>
      <c r="E3052" s="24"/>
      <c r="G3052" s="24"/>
      <c r="H3052" s="24"/>
      <c r="J3052" s="24"/>
      <c r="K3052" s="24"/>
      <c r="M3052" s="24"/>
      <c r="N3052" s="24"/>
      <c r="P3052" s="24"/>
    </row>
    <row r="3053" spans="2:16" x14ac:dyDescent="0.25">
      <c r="B3053" s="24"/>
      <c r="E3053" s="24"/>
      <c r="G3053" s="24"/>
      <c r="H3053" s="24"/>
      <c r="J3053" s="24"/>
      <c r="K3053" s="24"/>
      <c r="M3053" s="24"/>
      <c r="N3053" s="24"/>
      <c r="P3053" s="24"/>
    </row>
    <row r="3054" spans="2:16" x14ac:dyDescent="0.25">
      <c r="B3054" s="24"/>
      <c r="E3054" s="24"/>
      <c r="G3054" s="24"/>
      <c r="H3054" s="24"/>
      <c r="J3054" s="24"/>
      <c r="K3054" s="24"/>
      <c r="M3054" s="24"/>
      <c r="N3054" s="24"/>
      <c r="P3054" s="24"/>
    </row>
    <row r="3055" spans="2:16" x14ac:dyDescent="0.25">
      <c r="B3055" s="24"/>
      <c r="E3055" s="24"/>
      <c r="G3055" s="24"/>
      <c r="H3055" s="24"/>
      <c r="J3055" s="24"/>
      <c r="K3055" s="24"/>
      <c r="M3055" s="24"/>
      <c r="N3055" s="24"/>
      <c r="P3055" s="24"/>
    </row>
    <row r="3056" spans="2:16" x14ac:dyDescent="0.25">
      <c r="B3056" s="24"/>
      <c r="E3056" s="24"/>
      <c r="G3056" s="24"/>
      <c r="H3056" s="24"/>
      <c r="J3056" s="24"/>
      <c r="K3056" s="24"/>
      <c r="M3056" s="24"/>
      <c r="N3056" s="24"/>
      <c r="P3056" s="24"/>
    </row>
    <row r="3057" spans="2:16" x14ac:dyDescent="0.25">
      <c r="B3057" s="24"/>
      <c r="E3057" s="24"/>
      <c r="G3057" s="24"/>
      <c r="H3057" s="24"/>
      <c r="J3057" s="24"/>
      <c r="K3057" s="24"/>
      <c r="M3057" s="24"/>
      <c r="N3057" s="24"/>
      <c r="P3057" s="24"/>
    </row>
    <row r="3058" spans="2:16" x14ac:dyDescent="0.25">
      <c r="B3058" s="24"/>
      <c r="E3058" s="24"/>
      <c r="G3058" s="24"/>
      <c r="H3058" s="24"/>
      <c r="J3058" s="24"/>
      <c r="K3058" s="24"/>
      <c r="M3058" s="24"/>
      <c r="N3058" s="24"/>
      <c r="P3058" s="24"/>
    </row>
    <row r="3059" spans="2:16" x14ac:dyDescent="0.25">
      <c r="B3059" s="24"/>
      <c r="E3059" s="24"/>
      <c r="G3059" s="24"/>
      <c r="H3059" s="24"/>
      <c r="J3059" s="24"/>
      <c r="K3059" s="24"/>
      <c r="M3059" s="24"/>
      <c r="N3059" s="24"/>
      <c r="P3059" s="24"/>
    </row>
    <row r="3060" spans="2:16" x14ac:dyDescent="0.25">
      <c r="B3060" s="24"/>
      <c r="E3060" s="24"/>
      <c r="G3060" s="24"/>
      <c r="H3060" s="24"/>
      <c r="J3060" s="24"/>
      <c r="K3060" s="24"/>
      <c r="M3060" s="24"/>
      <c r="N3060" s="24"/>
      <c r="P3060" s="24"/>
    </row>
    <row r="3061" spans="2:16" x14ac:dyDescent="0.25">
      <c r="B3061" s="24"/>
      <c r="E3061" s="24"/>
      <c r="G3061" s="24"/>
      <c r="H3061" s="24"/>
      <c r="J3061" s="24"/>
      <c r="K3061" s="24"/>
      <c r="M3061" s="24"/>
      <c r="N3061" s="24"/>
      <c r="P3061" s="24"/>
    </row>
    <row r="3062" spans="2:16" x14ac:dyDescent="0.25">
      <c r="B3062" s="24"/>
      <c r="E3062" s="24"/>
      <c r="G3062" s="24"/>
      <c r="H3062" s="24"/>
      <c r="J3062" s="24"/>
      <c r="K3062" s="24"/>
      <c r="M3062" s="24"/>
      <c r="N3062" s="24"/>
      <c r="P3062" s="24"/>
    </row>
    <row r="3063" spans="2:16" x14ac:dyDescent="0.25">
      <c r="B3063" s="24"/>
      <c r="E3063" s="24"/>
      <c r="G3063" s="24"/>
      <c r="H3063" s="24"/>
      <c r="J3063" s="24"/>
      <c r="K3063" s="24"/>
      <c r="M3063" s="24"/>
      <c r="N3063" s="24"/>
      <c r="P3063" s="24"/>
    </row>
    <row r="3064" spans="2:16" x14ac:dyDescent="0.25">
      <c r="B3064" s="24"/>
      <c r="E3064" s="24"/>
      <c r="G3064" s="24"/>
      <c r="H3064" s="24"/>
      <c r="J3064" s="24"/>
      <c r="K3064" s="24"/>
      <c r="M3064" s="24"/>
      <c r="N3064" s="24"/>
      <c r="P3064" s="24"/>
    </row>
    <row r="3065" spans="2:16" x14ac:dyDescent="0.25">
      <c r="B3065" s="24"/>
      <c r="E3065" s="24"/>
      <c r="G3065" s="24"/>
      <c r="H3065" s="24"/>
      <c r="J3065" s="24"/>
      <c r="K3065" s="24"/>
      <c r="M3065" s="24"/>
      <c r="N3065" s="24"/>
      <c r="P3065" s="24"/>
    </row>
    <row r="3066" spans="2:16" x14ac:dyDescent="0.25">
      <c r="B3066" s="24"/>
      <c r="E3066" s="24"/>
      <c r="G3066" s="24"/>
      <c r="H3066" s="24"/>
      <c r="J3066" s="24"/>
      <c r="K3066" s="24"/>
      <c r="M3066" s="24"/>
      <c r="N3066" s="24"/>
      <c r="P3066" s="24"/>
    </row>
    <row r="3067" spans="2:16" x14ac:dyDescent="0.25">
      <c r="B3067" s="24"/>
      <c r="E3067" s="24"/>
      <c r="G3067" s="24"/>
      <c r="H3067" s="24"/>
      <c r="J3067" s="24"/>
      <c r="K3067" s="24"/>
      <c r="M3067" s="24"/>
      <c r="N3067" s="24"/>
      <c r="P3067" s="24"/>
    </row>
    <row r="3068" spans="2:16" x14ac:dyDescent="0.25">
      <c r="B3068" s="24"/>
      <c r="E3068" s="24"/>
      <c r="G3068" s="24"/>
      <c r="H3068" s="24"/>
      <c r="J3068" s="24"/>
      <c r="K3068" s="24"/>
      <c r="M3068" s="24"/>
      <c r="N3068" s="24"/>
      <c r="P3068" s="24"/>
    </row>
    <row r="3069" spans="2:16" x14ac:dyDescent="0.25">
      <c r="B3069" s="24"/>
      <c r="E3069" s="24"/>
      <c r="G3069" s="24"/>
      <c r="H3069" s="24"/>
      <c r="J3069" s="24"/>
      <c r="K3069" s="24"/>
      <c r="M3069" s="24"/>
      <c r="N3069" s="24"/>
      <c r="P3069" s="24"/>
    </row>
    <row r="3070" spans="2:16" x14ac:dyDescent="0.25">
      <c r="B3070" s="24"/>
      <c r="E3070" s="24"/>
      <c r="G3070" s="24"/>
      <c r="H3070" s="24"/>
      <c r="J3070" s="24"/>
      <c r="K3070" s="24"/>
      <c r="M3070" s="24"/>
      <c r="N3070" s="24"/>
      <c r="P3070" s="24"/>
    </row>
    <row r="3071" spans="2:16" x14ac:dyDescent="0.25">
      <c r="B3071" s="24"/>
      <c r="E3071" s="24"/>
      <c r="G3071" s="24"/>
      <c r="H3071" s="24"/>
      <c r="J3071" s="24"/>
      <c r="K3071" s="24"/>
      <c r="M3071" s="24"/>
      <c r="N3071" s="24"/>
      <c r="P3071" s="24"/>
    </row>
    <row r="3072" spans="2:16" x14ac:dyDescent="0.25">
      <c r="B3072" s="24"/>
      <c r="E3072" s="24"/>
      <c r="G3072" s="24"/>
      <c r="H3072" s="24"/>
      <c r="J3072" s="24"/>
      <c r="K3072" s="24"/>
      <c r="M3072" s="24"/>
      <c r="N3072" s="24"/>
      <c r="P3072" s="24"/>
    </row>
    <row r="3073" spans="2:16" x14ac:dyDescent="0.25">
      <c r="B3073" s="24"/>
      <c r="E3073" s="24"/>
      <c r="G3073" s="24"/>
      <c r="H3073" s="24"/>
      <c r="J3073" s="24"/>
      <c r="K3073" s="24"/>
      <c r="M3073" s="24"/>
      <c r="N3073" s="24"/>
      <c r="P3073" s="24"/>
    </row>
    <row r="3074" spans="2:16" x14ac:dyDescent="0.25">
      <c r="B3074" s="24"/>
      <c r="E3074" s="24"/>
      <c r="G3074" s="24"/>
      <c r="H3074" s="24"/>
      <c r="J3074" s="24"/>
      <c r="K3074" s="24"/>
      <c r="M3074" s="24"/>
      <c r="N3074" s="24"/>
      <c r="P3074" s="24"/>
    </row>
    <row r="3075" spans="2:16" x14ac:dyDescent="0.25">
      <c r="B3075" s="24"/>
      <c r="E3075" s="24"/>
      <c r="G3075" s="24"/>
      <c r="H3075" s="24"/>
      <c r="J3075" s="24"/>
      <c r="K3075" s="24"/>
      <c r="M3075" s="24"/>
      <c r="N3075" s="24"/>
      <c r="P3075" s="24"/>
    </row>
    <row r="3076" spans="2:16" x14ac:dyDescent="0.25">
      <c r="B3076" s="24"/>
      <c r="E3076" s="24"/>
      <c r="G3076" s="24"/>
      <c r="H3076" s="24"/>
      <c r="J3076" s="24"/>
      <c r="K3076" s="24"/>
      <c r="M3076" s="24"/>
      <c r="N3076" s="24"/>
      <c r="P3076" s="24"/>
    </row>
    <row r="3077" spans="2:16" x14ac:dyDescent="0.25">
      <c r="B3077" s="24"/>
      <c r="E3077" s="24"/>
      <c r="G3077" s="24"/>
      <c r="H3077" s="24"/>
      <c r="J3077" s="24"/>
      <c r="K3077" s="24"/>
      <c r="M3077" s="24"/>
      <c r="N3077" s="24"/>
      <c r="P3077" s="24"/>
    </row>
    <row r="3078" spans="2:16" x14ac:dyDescent="0.25">
      <c r="B3078" s="24"/>
      <c r="E3078" s="24"/>
      <c r="G3078" s="24"/>
      <c r="H3078" s="24"/>
      <c r="J3078" s="24"/>
      <c r="K3078" s="24"/>
      <c r="M3078" s="24"/>
      <c r="N3078" s="24"/>
      <c r="P3078" s="24"/>
    </row>
    <row r="3079" spans="2:16" x14ac:dyDescent="0.25">
      <c r="B3079" s="24"/>
      <c r="E3079" s="24"/>
      <c r="G3079" s="24"/>
      <c r="H3079" s="24"/>
      <c r="J3079" s="24"/>
      <c r="K3079" s="24"/>
      <c r="M3079" s="24"/>
      <c r="N3079" s="24"/>
      <c r="P3079" s="24"/>
    </row>
    <row r="3080" spans="2:16" x14ac:dyDescent="0.25">
      <c r="B3080" s="24"/>
      <c r="E3080" s="24"/>
      <c r="G3080" s="24"/>
      <c r="H3080" s="24"/>
      <c r="J3080" s="24"/>
      <c r="K3080" s="24"/>
      <c r="M3080" s="24"/>
      <c r="N3080" s="24"/>
      <c r="P3080" s="24"/>
    </row>
    <row r="3081" spans="2:16" x14ac:dyDescent="0.25">
      <c r="B3081" s="24"/>
      <c r="E3081" s="24"/>
      <c r="G3081" s="24"/>
      <c r="H3081" s="24"/>
      <c r="J3081" s="24"/>
      <c r="K3081" s="24"/>
      <c r="M3081" s="24"/>
      <c r="N3081" s="24"/>
      <c r="P3081" s="24"/>
    </row>
    <row r="3082" spans="2:16" x14ac:dyDescent="0.25">
      <c r="B3082" s="24"/>
      <c r="E3082" s="24"/>
      <c r="G3082" s="24"/>
      <c r="H3082" s="24"/>
      <c r="J3082" s="24"/>
      <c r="K3082" s="24"/>
      <c r="M3082" s="24"/>
      <c r="N3082" s="24"/>
      <c r="P3082" s="24"/>
    </row>
    <row r="3083" spans="2:16" x14ac:dyDescent="0.25">
      <c r="B3083" s="24"/>
      <c r="E3083" s="24"/>
      <c r="G3083" s="24"/>
      <c r="H3083" s="24"/>
      <c r="J3083" s="24"/>
      <c r="K3083" s="24"/>
      <c r="M3083" s="24"/>
      <c r="N3083" s="24"/>
      <c r="P3083" s="24"/>
    </row>
    <row r="3084" spans="2:16" x14ac:dyDescent="0.25">
      <c r="B3084" s="24"/>
      <c r="E3084" s="24"/>
      <c r="G3084" s="24"/>
      <c r="H3084" s="24"/>
      <c r="J3084" s="24"/>
      <c r="K3084" s="24"/>
      <c r="M3084" s="24"/>
      <c r="N3084" s="24"/>
      <c r="P3084" s="24"/>
    </row>
    <row r="3085" spans="2:16" x14ac:dyDescent="0.25">
      <c r="B3085" s="24"/>
      <c r="E3085" s="24"/>
      <c r="G3085" s="24"/>
      <c r="H3085" s="24"/>
      <c r="J3085" s="24"/>
      <c r="K3085" s="24"/>
      <c r="M3085" s="24"/>
      <c r="N3085" s="24"/>
      <c r="P3085" s="24"/>
    </row>
    <row r="3086" spans="2:16" x14ac:dyDescent="0.25">
      <c r="B3086" s="24"/>
      <c r="E3086" s="24"/>
      <c r="G3086" s="24"/>
      <c r="H3086" s="24"/>
      <c r="J3086" s="24"/>
      <c r="K3086" s="24"/>
      <c r="M3086" s="24"/>
      <c r="N3086" s="24"/>
      <c r="P3086" s="24"/>
    </row>
    <row r="3087" spans="2:16" x14ac:dyDescent="0.25">
      <c r="B3087" s="24"/>
      <c r="E3087" s="24"/>
      <c r="G3087" s="24"/>
      <c r="H3087" s="24"/>
      <c r="J3087" s="24"/>
      <c r="K3087" s="24"/>
      <c r="M3087" s="24"/>
      <c r="N3087" s="24"/>
      <c r="P3087" s="24"/>
    </row>
    <row r="3088" spans="2:16" x14ac:dyDescent="0.25">
      <c r="B3088" s="24"/>
      <c r="E3088" s="24"/>
      <c r="G3088" s="24"/>
      <c r="H3088" s="24"/>
      <c r="J3088" s="24"/>
      <c r="K3088" s="24"/>
      <c r="M3088" s="24"/>
      <c r="N3088" s="24"/>
      <c r="P3088" s="24"/>
    </row>
    <row r="3089" spans="2:16" x14ac:dyDescent="0.25">
      <c r="B3089" s="24"/>
      <c r="E3089" s="24"/>
      <c r="G3089" s="24"/>
      <c r="H3089" s="24"/>
      <c r="J3089" s="24"/>
      <c r="K3089" s="24"/>
      <c r="M3089" s="24"/>
      <c r="N3089" s="24"/>
      <c r="P3089" s="24"/>
    </row>
    <row r="3090" spans="2:16" x14ac:dyDescent="0.25">
      <c r="B3090" s="24"/>
      <c r="E3090" s="24"/>
      <c r="G3090" s="24"/>
      <c r="H3090" s="24"/>
      <c r="J3090" s="24"/>
      <c r="K3090" s="24"/>
      <c r="M3090" s="24"/>
      <c r="N3090" s="24"/>
      <c r="P3090" s="24"/>
    </row>
    <row r="3091" spans="2:16" x14ac:dyDescent="0.25">
      <c r="B3091" s="24"/>
      <c r="E3091" s="24"/>
      <c r="G3091" s="24"/>
      <c r="H3091" s="24"/>
      <c r="J3091" s="24"/>
      <c r="K3091" s="24"/>
      <c r="M3091" s="24"/>
      <c r="N3091" s="24"/>
      <c r="P3091" s="24"/>
    </row>
    <row r="3092" spans="2:16" x14ac:dyDescent="0.25">
      <c r="B3092" s="24"/>
      <c r="E3092" s="24"/>
      <c r="G3092" s="24"/>
      <c r="H3092" s="24"/>
      <c r="J3092" s="24"/>
      <c r="K3092" s="24"/>
      <c r="M3092" s="24"/>
      <c r="N3092" s="24"/>
      <c r="P3092" s="24"/>
    </row>
    <row r="3093" spans="2:16" x14ac:dyDescent="0.25">
      <c r="B3093" s="24"/>
      <c r="E3093" s="24"/>
      <c r="G3093" s="24"/>
      <c r="H3093" s="24"/>
      <c r="J3093" s="24"/>
      <c r="K3093" s="24"/>
      <c r="M3093" s="24"/>
      <c r="N3093" s="24"/>
      <c r="P3093" s="24"/>
    </row>
    <row r="3094" spans="2:16" x14ac:dyDescent="0.25">
      <c r="B3094" s="24"/>
      <c r="E3094" s="24"/>
      <c r="G3094" s="24"/>
      <c r="H3094" s="24"/>
      <c r="J3094" s="24"/>
      <c r="K3094" s="24"/>
      <c r="M3094" s="24"/>
      <c r="N3094" s="24"/>
      <c r="P3094" s="24"/>
    </row>
    <row r="3095" spans="2:16" x14ac:dyDescent="0.25">
      <c r="B3095" s="24"/>
      <c r="E3095" s="24"/>
      <c r="G3095" s="24"/>
      <c r="H3095" s="24"/>
      <c r="J3095" s="24"/>
      <c r="K3095" s="24"/>
      <c r="M3095" s="24"/>
      <c r="N3095" s="24"/>
      <c r="P3095" s="24"/>
    </row>
    <row r="3096" spans="2:16" x14ac:dyDescent="0.25">
      <c r="B3096" s="24"/>
      <c r="E3096" s="24"/>
      <c r="G3096" s="24"/>
      <c r="H3096" s="24"/>
      <c r="J3096" s="24"/>
      <c r="K3096" s="24"/>
      <c r="M3096" s="24"/>
      <c r="N3096" s="24"/>
      <c r="P3096" s="24"/>
    </row>
    <row r="3097" spans="2:16" x14ac:dyDescent="0.25">
      <c r="B3097" s="24"/>
      <c r="E3097" s="24"/>
      <c r="G3097" s="24"/>
      <c r="H3097" s="24"/>
      <c r="J3097" s="24"/>
      <c r="K3097" s="24"/>
      <c r="M3097" s="24"/>
      <c r="N3097" s="24"/>
      <c r="P3097" s="24"/>
    </row>
    <row r="3098" spans="2:16" x14ac:dyDescent="0.25">
      <c r="B3098" s="24"/>
      <c r="E3098" s="24"/>
      <c r="G3098" s="24"/>
      <c r="H3098" s="24"/>
      <c r="J3098" s="24"/>
      <c r="K3098" s="24"/>
      <c r="M3098" s="24"/>
      <c r="N3098" s="24"/>
      <c r="P3098" s="24"/>
    </row>
    <row r="3099" spans="2:16" x14ac:dyDescent="0.25">
      <c r="B3099" s="24"/>
      <c r="E3099" s="24"/>
      <c r="G3099" s="24"/>
      <c r="H3099" s="24"/>
      <c r="J3099" s="24"/>
      <c r="K3099" s="24"/>
      <c r="M3099" s="24"/>
      <c r="N3099" s="24"/>
      <c r="P3099" s="24"/>
    </row>
    <row r="3100" spans="2:16" x14ac:dyDescent="0.25">
      <c r="B3100" s="24"/>
      <c r="E3100" s="24"/>
      <c r="G3100" s="24"/>
      <c r="H3100" s="24"/>
      <c r="J3100" s="24"/>
      <c r="K3100" s="24"/>
      <c r="M3100" s="24"/>
      <c r="N3100" s="24"/>
      <c r="P3100" s="24"/>
    </row>
    <row r="3101" spans="2:16" x14ac:dyDescent="0.25">
      <c r="B3101" s="24"/>
      <c r="E3101" s="24"/>
      <c r="G3101" s="24"/>
      <c r="H3101" s="24"/>
      <c r="J3101" s="24"/>
      <c r="K3101" s="24"/>
      <c r="M3101" s="24"/>
      <c r="N3101" s="24"/>
      <c r="P3101" s="24"/>
    </row>
    <row r="3102" spans="2:16" x14ac:dyDescent="0.25">
      <c r="B3102" s="24"/>
      <c r="E3102" s="24"/>
      <c r="G3102" s="24"/>
      <c r="H3102" s="24"/>
      <c r="J3102" s="24"/>
      <c r="K3102" s="24"/>
      <c r="M3102" s="24"/>
      <c r="N3102" s="24"/>
      <c r="P3102" s="24"/>
    </row>
    <row r="3103" spans="2:16" x14ac:dyDescent="0.25">
      <c r="B3103" s="24"/>
      <c r="E3103" s="24"/>
      <c r="G3103" s="24"/>
      <c r="H3103" s="24"/>
      <c r="J3103" s="24"/>
      <c r="K3103" s="24"/>
      <c r="M3103" s="24"/>
      <c r="N3103" s="24"/>
      <c r="P3103" s="24"/>
    </row>
    <row r="3104" spans="2:16" x14ac:dyDescent="0.25">
      <c r="B3104" s="24"/>
      <c r="E3104" s="24"/>
      <c r="G3104" s="24"/>
      <c r="H3104" s="24"/>
      <c r="J3104" s="24"/>
      <c r="K3104" s="24"/>
      <c r="M3104" s="24"/>
      <c r="N3104" s="24"/>
      <c r="P3104" s="24"/>
    </row>
    <row r="3105" spans="2:16" x14ac:dyDescent="0.25">
      <c r="B3105" s="24"/>
      <c r="E3105" s="24"/>
      <c r="G3105" s="24"/>
      <c r="H3105" s="24"/>
      <c r="J3105" s="24"/>
      <c r="K3105" s="24"/>
      <c r="M3105" s="24"/>
      <c r="N3105" s="24"/>
      <c r="P3105" s="24"/>
    </row>
    <row r="3106" spans="2:16" x14ac:dyDescent="0.25">
      <c r="B3106" s="24"/>
      <c r="E3106" s="24"/>
      <c r="G3106" s="24"/>
      <c r="H3106" s="24"/>
      <c r="J3106" s="24"/>
      <c r="K3106" s="24"/>
      <c r="M3106" s="24"/>
      <c r="N3106" s="24"/>
      <c r="P3106" s="24"/>
    </row>
    <row r="3107" spans="2:16" x14ac:dyDescent="0.25">
      <c r="B3107" s="24"/>
      <c r="E3107" s="24"/>
      <c r="G3107" s="24"/>
      <c r="H3107" s="24"/>
      <c r="J3107" s="24"/>
      <c r="K3107" s="24"/>
      <c r="M3107" s="24"/>
      <c r="N3107" s="24"/>
      <c r="P3107" s="24"/>
    </row>
    <row r="3108" spans="2:16" x14ac:dyDescent="0.25">
      <c r="B3108" s="24"/>
      <c r="E3108" s="24"/>
      <c r="G3108" s="24"/>
      <c r="H3108" s="24"/>
      <c r="J3108" s="24"/>
      <c r="K3108" s="24"/>
      <c r="M3108" s="24"/>
      <c r="N3108" s="24"/>
      <c r="P3108" s="24"/>
    </row>
    <row r="3109" spans="2:16" x14ac:dyDescent="0.25">
      <c r="B3109" s="24"/>
      <c r="E3109" s="24"/>
      <c r="G3109" s="24"/>
      <c r="H3109" s="24"/>
      <c r="J3109" s="24"/>
      <c r="K3109" s="24"/>
      <c r="M3109" s="24"/>
      <c r="N3109" s="24"/>
      <c r="P3109" s="24"/>
    </row>
    <row r="3110" spans="2:16" x14ac:dyDescent="0.25">
      <c r="B3110" s="24"/>
      <c r="E3110" s="24"/>
      <c r="G3110" s="24"/>
      <c r="H3110" s="24"/>
      <c r="J3110" s="24"/>
      <c r="K3110" s="24"/>
      <c r="M3110" s="24"/>
      <c r="N3110" s="24"/>
      <c r="P3110" s="24"/>
    </row>
    <row r="3111" spans="2:16" x14ac:dyDescent="0.25">
      <c r="B3111" s="24"/>
      <c r="E3111" s="24"/>
      <c r="G3111" s="24"/>
      <c r="H3111" s="24"/>
      <c r="J3111" s="24"/>
      <c r="K3111" s="24"/>
      <c r="M3111" s="24"/>
      <c r="N3111" s="24"/>
      <c r="P3111" s="24"/>
    </row>
    <row r="3112" spans="2:16" x14ac:dyDescent="0.25">
      <c r="B3112" s="24"/>
      <c r="E3112" s="24"/>
      <c r="G3112" s="24"/>
      <c r="H3112" s="24"/>
      <c r="J3112" s="24"/>
      <c r="K3112" s="24"/>
      <c r="M3112" s="24"/>
      <c r="N3112" s="24"/>
      <c r="P3112" s="24"/>
    </row>
    <row r="3113" spans="2:16" x14ac:dyDescent="0.25">
      <c r="B3113" s="24"/>
      <c r="E3113" s="24"/>
      <c r="G3113" s="24"/>
      <c r="H3113" s="24"/>
      <c r="J3113" s="24"/>
      <c r="K3113" s="24"/>
      <c r="M3113" s="24"/>
      <c r="N3113" s="24"/>
      <c r="P3113" s="24"/>
    </row>
    <row r="3114" spans="2:16" x14ac:dyDescent="0.25">
      <c r="B3114" s="24"/>
      <c r="E3114" s="24"/>
      <c r="G3114" s="24"/>
      <c r="H3114" s="24"/>
      <c r="J3114" s="24"/>
      <c r="K3114" s="24"/>
      <c r="M3114" s="24"/>
      <c r="N3114" s="24"/>
      <c r="P3114" s="24"/>
    </row>
    <row r="3115" spans="2:16" x14ac:dyDescent="0.25">
      <c r="B3115" s="24"/>
      <c r="E3115" s="24"/>
      <c r="G3115" s="24"/>
      <c r="H3115" s="24"/>
      <c r="J3115" s="24"/>
      <c r="K3115" s="24"/>
      <c r="M3115" s="24"/>
      <c r="N3115" s="24"/>
      <c r="P3115" s="24"/>
    </row>
    <row r="3116" spans="2:16" x14ac:dyDescent="0.25">
      <c r="B3116" s="24"/>
      <c r="E3116" s="24"/>
      <c r="G3116" s="24"/>
      <c r="H3116" s="24"/>
      <c r="J3116" s="24"/>
      <c r="K3116" s="24"/>
      <c r="M3116" s="24"/>
      <c r="N3116" s="24"/>
      <c r="P3116" s="24"/>
    </row>
    <row r="3117" spans="2:16" x14ac:dyDescent="0.25">
      <c r="B3117" s="24"/>
      <c r="E3117" s="24"/>
      <c r="G3117" s="24"/>
      <c r="H3117" s="24"/>
      <c r="J3117" s="24"/>
      <c r="K3117" s="24"/>
      <c r="M3117" s="24"/>
      <c r="N3117" s="24"/>
      <c r="P3117" s="24"/>
    </row>
    <row r="3118" spans="2:16" x14ac:dyDescent="0.25">
      <c r="B3118" s="24"/>
      <c r="E3118" s="24"/>
      <c r="G3118" s="24"/>
      <c r="H3118" s="24"/>
      <c r="J3118" s="24"/>
      <c r="K3118" s="24"/>
      <c r="M3118" s="24"/>
      <c r="N3118" s="24"/>
      <c r="P3118" s="24"/>
    </row>
    <row r="3119" spans="2:16" x14ac:dyDescent="0.25">
      <c r="B3119" s="24"/>
      <c r="E3119" s="24"/>
      <c r="G3119" s="24"/>
      <c r="H3119" s="24"/>
      <c r="J3119" s="24"/>
      <c r="K3119" s="24"/>
      <c r="M3119" s="24"/>
      <c r="N3119" s="24"/>
      <c r="P3119" s="24"/>
    </row>
    <row r="3120" spans="2:16" x14ac:dyDescent="0.25">
      <c r="B3120" s="24"/>
      <c r="E3120" s="24"/>
      <c r="G3120" s="24"/>
      <c r="H3120" s="24"/>
      <c r="J3120" s="24"/>
      <c r="K3120" s="24"/>
      <c r="M3120" s="24"/>
      <c r="N3120" s="24"/>
      <c r="P3120" s="24"/>
    </row>
    <row r="3121" spans="2:16" x14ac:dyDescent="0.25">
      <c r="B3121" s="24"/>
      <c r="E3121" s="24"/>
      <c r="G3121" s="24"/>
      <c r="H3121" s="24"/>
      <c r="J3121" s="24"/>
      <c r="K3121" s="24"/>
      <c r="M3121" s="24"/>
      <c r="N3121" s="24"/>
      <c r="P3121" s="24"/>
    </row>
    <row r="3122" spans="2:16" x14ac:dyDescent="0.25">
      <c r="B3122" s="24"/>
      <c r="E3122" s="24"/>
      <c r="G3122" s="24"/>
      <c r="H3122" s="24"/>
      <c r="J3122" s="24"/>
      <c r="K3122" s="24"/>
      <c r="M3122" s="24"/>
      <c r="N3122" s="24"/>
      <c r="P3122" s="24"/>
    </row>
    <row r="3123" spans="2:16" x14ac:dyDescent="0.25">
      <c r="B3123" s="24"/>
      <c r="E3123" s="24"/>
      <c r="G3123" s="24"/>
      <c r="H3123" s="24"/>
      <c r="J3123" s="24"/>
      <c r="K3123" s="24"/>
      <c r="M3123" s="24"/>
      <c r="N3123" s="24"/>
      <c r="P3123" s="24"/>
    </row>
    <row r="3124" spans="2:16" x14ac:dyDescent="0.25">
      <c r="B3124" s="24"/>
      <c r="E3124" s="24"/>
      <c r="G3124" s="24"/>
      <c r="H3124" s="24"/>
      <c r="J3124" s="24"/>
      <c r="K3124" s="24"/>
      <c r="M3124" s="24"/>
      <c r="N3124" s="24"/>
      <c r="P3124" s="24"/>
    </row>
    <row r="3125" spans="2:16" x14ac:dyDescent="0.25">
      <c r="B3125" s="24"/>
      <c r="E3125" s="24"/>
      <c r="G3125" s="24"/>
      <c r="H3125" s="24"/>
      <c r="J3125" s="24"/>
      <c r="K3125" s="24"/>
      <c r="M3125" s="24"/>
      <c r="N3125" s="24"/>
      <c r="P3125" s="24"/>
    </row>
    <row r="3126" spans="2:16" x14ac:dyDescent="0.25">
      <c r="B3126" s="24"/>
      <c r="E3126" s="24"/>
      <c r="G3126" s="24"/>
      <c r="H3126" s="24"/>
      <c r="J3126" s="24"/>
      <c r="K3126" s="24"/>
      <c r="M3126" s="24"/>
      <c r="N3126" s="24"/>
      <c r="P3126" s="24"/>
    </row>
    <row r="3127" spans="2:16" x14ac:dyDescent="0.25">
      <c r="B3127" s="24"/>
      <c r="E3127" s="24"/>
      <c r="G3127" s="24"/>
      <c r="H3127" s="24"/>
      <c r="J3127" s="24"/>
      <c r="K3127" s="24"/>
      <c r="M3127" s="24"/>
      <c r="N3127" s="24"/>
      <c r="P3127" s="24"/>
    </row>
    <row r="3128" spans="2:16" x14ac:dyDescent="0.25">
      <c r="B3128" s="24"/>
      <c r="E3128" s="24"/>
      <c r="G3128" s="24"/>
      <c r="H3128" s="24"/>
      <c r="J3128" s="24"/>
      <c r="K3128" s="24"/>
      <c r="M3128" s="24"/>
      <c r="N3128" s="24"/>
      <c r="P3128" s="24"/>
    </row>
    <row r="3129" spans="2:16" x14ac:dyDescent="0.25">
      <c r="B3129" s="24"/>
      <c r="E3129" s="24"/>
      <c r="G3129" s="24"/>
      <c r="H3129" s="24"/>
      <c r="J3129" s="24"/>
      <c r="K3129" s="24"/>
      <c r="M3129" s="24"/>
      <c r="N3129" s="24"/>
      <c r="P3129" s="24"/>
    </row>
    <row r="3130" spans="2:16" x14ac:dyDescent="0.25">
      <c r="B3130" s="24"/>
      <c r="E3130" s="24"/>
      <c r="G3130" s="24"/>
      <c r="H3130" s="24"/>
      <c r="J3130" s="24"/>
      <c r="K3130" s="24"/>
      <c r="M3130" s="24"/>
      <c r="N3130" s="24"/>
      <c r="P3130" s="24"/>
    </row>
    <row r="3131" spans="2:16" x14ac:dyDescent="0.25">
      <c r="B3131" s="24"/>
      <c r="E3131" s="24"/>
      <c r="G3131" s="24"/>
      <c r="H3131" s="24"/>
      <c r="J3131" s="24"/>
      <c r="K3131" s="24"/>
      <c r="M3131" s="24"/>
      <c r="N3131" s="24"/>
      <c r="P3131" s="24"/>
    </row>
    <row r="3132" spans="2:16" x14ac:dyDescent="0.25">
      <c r="B3132" s="24"/>
      <c r="E3132" s="24"/>
      <c r="G3132" s="24"/>
      <c r="H3132" s="24"/>
      <c r="J3132" s="24"/>
      <c r="K3132" s="24"/>
      <c r="M3132" s="24"/>
      <c r="N3132" s="24"/>
      <c r="P3132" s="24"/>
    </row>
    <row r="3133" spans="2:16" x14ac:dyDescent="0.25">
      <c r="B3133" s="24"/>
      <c r="E3133" s="24"/>
      <c r="G3133" s="24"/>
      <c r="H3133" s="24"/>
      <c r="J3133" s="24"/>
      <c r="K3133" s="24"/>
      <c r="M3133" s="24"/>
      <c r="N3133" s="24"/>
      <c r="P3133" s="24"/>
    </row>
    <row r="3134" spans="2:16" x14ac:dyDescent="0.25">
      <c r="B3134" s="24"/>
      <c r="E3134" s="24"/>
      <c r="G3134" s="24"/>
      <c r="H3134" s="24"/>
      <c r="J3134" s="24"/>
      <c r="K3134" s="24"/>
      <c r="M3134" s="24"/>
      <c r="N3134" s="24"/>
      <c r="P3134" s="24"/>
    </row>
    <row r="3135" spans="2:16" x14ac:dyDescent="0.25">
      <c r="B3135" s="24"/>
      <c r="E3135" s="24"/>
      <c r="G3135" s="24"/>
      <c r="H3135" s="24"/>
      <c r="J3135" s="24"/>
      <c r="K3135" s="24"/>
      <c r="M3135" s="24"/>
      <c r="N3135" s="24"/>
      <c r="P3135" s="24"/>
    </row>
    <row r="3136" spans="2:16" x14ac:dyDescent="0.25">
      <c r="B3136" s="24"/>
      <c r="E3136" s="24"/>
      <c r="G3136" s="24"/>
      <c r="H3136" s="24"/>
      <c r="J3136" s="24"/>
      <c r="K3136" s="24"/>
      <c r="M3136" s="24"/>
      <c r="N3136" s="24"/>
      <c r="P3136" s="24"/>
    </row>
    <row r="3137" spans="2:16" x14ac:dyDescent="0.25">
      <c r="B3137" s="24"/>
      <c r="E3137" s="24"/>
      <c r="G3137" s="24"/>
      <c r="H3137" s="24"/>
      <c r="J3137" s="24"/>
      <c r="K3137" s="24"/>
      <c r="M3137" s="24"/>
      <c r="N3137" s="24"/>
      <c r="P3137" s="24"/>
    </row>
    <row r="3138" spans="2:16" x14ac:dyDescent="0.25">
      <c r="B3138" s="24"/>
      <c r="E3138" s="24"/>
      <c r="G3138" s="24"/>
      <c r="H3138" s="24"/>
      <c r="J3138" s="24"/>
      <c r="K3138" s="24"/>
      <c r="M3138" s="24"/>
      <c r="N3138" s="24"/>
      <c r="P3138" s="24"/>
    </row>
    <row r="3139" spans="2:16" x14ac:dyDescent="0.25">
      <c r="B3139" s="24"/>
      <c r="E3139" s="24"/>
      <c r="G3139" s="24"/>
      <c r="H3139" s="24"/>
      <c r="J3139" s="24"/>
      <c r="K3139" s="24"/>
      <c r="M3139" s="24"/>
      <c r="N3139" s="24"/>
      <c r="P3139" s="24"/>
    </row>
    <row r="3140" spans="2:16" x14ac:dyDescent="0.25">
      <c r="B3140" s="24"/>
      <c r="E3140" s="24"/>
      <c r="G3140" s="24"/>
      <c r="H3140" s="24"/>
      <c r="J3140" s="24"/>
      <c r="K3140" s="24"/>
      <c r="M3140" s="24"/>
      <c r="N3140" s="24"/>
      <c r="P3140" s="24"/>
    </row>
    <row r="3141" spans="2:16" x14ac:dyDescent="0.25">
      <c r="B3141" s="24"/>
      <c r="E3141" s="24"/>
      <c r="G3141" s="24"/>
      <c r="H3141" s="24"/>
      <c r="J3141" s="24"/>
      <c r="K3141" s="24"/>
      <c r="M3141" s="24"/>
      <c r="N3141" s="24"/>
      <c r="P3141" s="24"/>
    </row>
    <row r="3142" spans="2:16" x14ac:dyDescent="0.25">
      <c r="B3142" s="24"/>
      <c r="E3142" s="24"/>
      <c r="G3142" s="24"/>
      <c r="H3142" s="24"/>
      <c r="J3142" s="24"/>
      <c r="K3142" s="24"/>
      <c r="M3142" s="24"/>
      <c r="N3142" s="24"/>
      <c r="P3142" s="24"/>
    </row>
    <row r="3143" spans="2:16" x14ac:dyDescent="0.25">
      <c r="B3143" s="24"/>
      <c r="E3143" s="24"/>
      <c r="G3143" s="24"/>
      <c r="H3143" s="24"/>
      <c r="J3143" s="24"/>
      <c r="K3143" s="24"/>
      <c r="M3143" s="24"/>
      <c r="N3143" s="24"/>
      <c r="P3143" s="24"/>
    </row>
    <row r="3144" spans="2:16" x14ac:dyDescent="0.25">
      <c r="B3144" s="24"/>
      <c r="E3144" s="24"/>
      <c r="G3144" s="24"/>
      <c r="H3144" s="24"/>
      <c r="J3144" s="24"/>
      <c r="K3144" s="24"/>
      <c r="M3144" s="24"/>
      <c r="N3144" s="24"/>
      <c r="P3144" s="24"/>
    </row>
    <row r="3145" spans="2:16" x14ac:dyDescent="0.25">
      <c r="B3145" s="24"/>
      <c r="E3145" s="24"/>
      <c r="G3145" s="24"/>
      <c r="H3145" s="24"/>
      <c r="J3145" s="24"/>
      <c r="K3145" s="24"/>
      <c r="M3145" s="24"/>
      <c r="N3145" s="24"/>
      <c r="P3145" s="24"/>
    </row>
    <row r="3146" spans="2:16" x14ac:dyDescent="0.25">
      <c r="B3146" s="24"/>
      <c r="E3146" s="24"/>
      <c r="G3146" s="24"/>
      <c r="H3146" s="24"/>
      <c r="J3146" s="24"/>
      <c r="K3146" s="24"/>
      <c r="M3146" s="24"/>
      <c r="N3146" s="24"/>
      <c r="P3146" s="24"/>
    </row>
    <row r="3147" spans="2:16" x14ac:dyDescent="0.25">
      <c r="B3147" s="24"/>
      <c r="E3147" s="24"/>
      <c r="G3147" s="24"/>
      <c r="H3147" s="24"/>
      <c r="J3147" s="24"/>
      <c r="K3147" s="24"/>
      <c r="M3147" s="24"/>
      <c r="N3147" s="24"/>
      <c r="P3147" s="24"/>
    </row>
    <row r="3148" spans="2:16" x14ac:dyDescent="0.25">
      <c r="B3148" s="24"/>
      <c r="E3148" s="24"/>
      <c r="G3148" s="24"/>
      <c r="H3148" s="24"/>
      <c r="J3148" s="24"/>
      <c r="K3148" s="24"/>
      <c r="M3148" s="24"/>
      <c r="N3148" s="24"/>
      <c r="P3148" s="24"/>
    </row>
    <row r="3149" spans="2:16" x14ac:dyDescent="0.25">
      <c r="B3149" s="24"/>
      <c r="E3149" s="24"/>
      <c r="G3149" s="24"/>
      <c r="H3149" s="24"/>
      <c r="J3149" s="24"/>
      <c r="K3149" s="24"/>
      <c r="M3149" s="24"/>
      <c r="N3149" s="24"/>
      <c r="P3149" s="24"/>
    </row>
    <row r="3150" spans="2:16" x14ac:dyDescent="0.25">
      <c r="B3150" s="24"/>
      <c r="E3150" s="24"/>
      <c r="G3150" s="24"/>
      <c r="H3150" s="24"/>
      <c r="J3150" s="24"/>
      <c r="K3150" s="24"/>
      <c r="M3150" s="24"/>
      <c r="N3150" s="24"/>
      <c r="P3150" s="24"/>
    </row>
    <row r="3151" spans="2:16" x14ac:dyDescent="0.25">
      <c r="B3151" s="24"/>
      <c r="E3151" s="24"/>
      <c r="G3151" s="24"/>
      <c r="H3151" s="24"/>
      <c r="J3151" s="24"/>
      <c r="K3151" s="24"/>
      <c r="M3151" s="24"/>
      <c r="N3151" s="24"/>
      <c r="P3151" s="24"/>
    </row>
    <row r="3152" spans="2:16" x14ac:dyDescent="0.25">
      <c r="B3152" s="24"/>
      <c r="E3152" s="24"/>
      <c r="G3152" s="24"/>
      <c r="H3152" s="24"/>
      <c r="J3152" s="24"/>
      <c r="K3152" s="24"/>
      <c r="M3152" s="24"/>
      <c r="N3152" s="24"/>
      <c r="P3152" s="24"/>
    </row>
    <row r="3153" spans="2:16" x14ac:dyDescent="0.25">
      <c r="B3153" s="24"/>
      <c r="E3153" s="24"/>
      <c r="G3153" s="24"/>
      <c r="H3153" s="24"/>
      <c r="J3153" s="24"/>
      <c r="K3153" s="24"/>
      <c r="M3153" s="24"/>
      <c r="N3153" s="24"/>
      <c r="P3153" s="24"/>
    </row>
    <row r="3154" spans="2:16" x14ac:dyDescent="0.25">
      <c r="B3154" s="24"/>
      <c r="E3154" s="24"/>
      <c r="G3154" s="24"/>
      <c r="H3154" s="24"/>
      <c r="J3154" s="24"/>
      <c r="K3154" s="24"/>
      <c r="M3154" s="24"/>
      <c r="N3154" s="24"/>
      <c r="P3154" s="24"/>
    </row>
    <row r="3155" spans="2:16" x14ac:dyDescent="0.25">
      <c r="B3155" s="24"/>
      <c r="E3155" s="24"/>
      <c r="G3155" s="24"/>
      <c r="H3155" s="24"/>
      <c r="J3155" s="24"/>
      <c r="K3155" s="24"/>
      <c r="M3155" s="24"/>
      <c r="N3155" s="24"/>
      <c r="P3155" s="24"/>
    </row>
    <row r="3156" spans="2:16" x14ac:dyDescent="0.25">
      <c r="B3156" s="24"/>
      <c r="E3156" s="24"/>
      <c r="G3156" s="24"/>
      <c r="H3156" s="24"/>
      <c r="J3156" s="24"/>
      <c r="K3156" s="24"/>
      <c r="M3156" s="24"/>
      <c r="N3156" s="24"/>
      <c r="P3156" s="24"/>
    </row>
    <row r="3157" spans="2:16" x14ac:dyDescent="0.25">
      <c r="B3157" s="24"/>
      <c r="E3157" s="24"/>
      <c r="G3157" s="24"/>
      <c r="H3157" s="24"/>
      <c r="J3157" s="24"/>
      <c r="K3157" s="24"/>
      <c r="M3157" s="24"/>
      <c r="N3157" s="24"/>
      <c r="P3157" s="24"/>
    </row>
    <row r="3158" spans="2:16" x14ac:dyDescent="0.25">
      <c r="B3158" s="24"/>
      <c r="E3158" s="24"/>
      <c r="G3158" s="24"/>
      <c r="H3158" s="24"/>
      <c r="J3158" s="24"/>
      <c r="K3158" s="24"/>
      <c r="M3158" s="24"/>
      <c r="N3158" s="24"/>
      <c r="P3158" s="24"/>
    </row>
    <row r="3159" spans="2:16" x14ac:dyDescent="0.25">
      <c r="B3159" s="24"/>
      <c r="E3159" s="24"/>
      <c r="G3159" s="24"/>
      <c r="H3159" s="24"/>
      <c r="J3159" s="24"/>
      <c r="K3159" s="24"/>
      <c r="M3159" s="24"/>
      <c r="N3159" s="24"/>
      <c r="P3159" s="24"/>
    </row>
    <row r="3160" spans="2:16" x14ac:dyDescent="0.25">
      <c r="B3160" s="24"/>
      <c r="E3160" s="24"/>
      <c r="G3160" s="24"/>
      <c r="H3160" s="24"/>
      <c r="J3160" s="24"/>
      <c r="K3160" s="24"/>
      <c r="M3160" s="24"/>
      <c r="N3160" s="24"/>
      <c r="P3160" s="24"/>
    </row>
    <row r="3161" spans="2:16" x14ac:dyDescent="0.25">
      <c r="B3161" s="24"/>
      <c r="E3161" s="24"/>
      <c r="G3161" s="24"/>
      <c r="H3161" s="24"/>
      <c r="J3161" s="24"/>
      <c r="K3161" s="24"/>
      <c r="M3161" s="24"/>
      <c r="N3161" s="24"/>
      <c r="P3161" s="24"/>
    </row>
    <row r="3162" spans="2:16" x14ac:dyDescent="0.25">
      <c r="B3162" s="24"/>
      <c r="E3162" s="24"/>
      <c r="G3162" s="24"/>
      <c r="H3162" s="24"/>
      <c r="J3162" s="24"/>
      <c r="K3162" s="24"/>
      <c r="M3162" s="24"/>
      <c r="N3162" s="24"/>
      <c r="P3162" s="24"/>
    </row>
    <row r="3163" spans="2:16" x14ac:dyDescent="0.25">
      <c r="B3163" s="24"/>
      <c r="E3163" s="24"/>
      <c r="G3163" s="24"/>
      <c r="H3163" s="24"/>
      <c r="J3163" s="24"/>
      <c r="K3163" s="24"/>
      <c r="M3163" s="24"/>
      <c r="N3163" s="24"/>
      <c r="P3163" s="24"/>
    </row>
    <row r="3164" spans="2:16" x14ac:dyDescent="0.25">
      <c r="B3164" s="24"/>
      <c r="E3164" s="24"/>
      <c r="G3164" s="24"/>
      <c r="H3164" s="24"/>
      <c r="J3164" s="24"/>
      <c r="K3164" s="24"/>
      <c r="M3164" s="24"/>
      <c r="N3164" s="24"/>
      <c r="P3164" s="24"/>
    </row>
    <row r="3165" spans="2:16" x14ac:dyDescent="0.25">
      <c r="B3165" s="24"/>
      <c r="E3165" s="24"/>
      <c r="G3165" s="24"/>
      <c r="H3165" s="24"/>
      <c r="J3165" s="24"/>
      <c r="K3165" s="24"/>
      <c r="M3165" s="24"/>
      <c r="N3165" s="24"/>
      <c r="P3165" s="24"/>
    </row>
    <row r="3166" spans="2:16" x14ac:dyDescent="0.25">
      <c r="B3166" s="24"/>
      <c r="E3166" s="24"/>
      <c r="G3166" s="24"/>
      <c r="H3166" s="24"/>
      <c r="J3166" s="24"/>
      <c r="K3166" s="24"/>
      <c r="M3166" s="24"/>
      <c r="N3166" s="24"/>
      <c r="P3166" s="24"/>
    </row>
    <row r="3167" spans="2:16" x14ac:dyDescent="0.25">
      <c r="B3167" s="24"/>
      <c r="E3167" s="24"/>
      <c r="G3167" s="24"/>
      <c r="H3167" s="24"/>
      <c r="J3167" s="24"/>
      <c r="K3167" s="24"/>
      <c r="M3167" s="24"/>
      <c r="N3167" s="24"/>
      <c r="P3167" s="24"/>
    </row>
    <row r="3168" spans="2:16" x14ac:dyDescent="0.25">
      <c r="B3168" s="24"/>
      <c r="E3168" s="24"/>
      <c r="G3168" s="24"/>
      <c r="H3168" s="24"/>
      <c r="J3168" s="24"/>
      <c r="K3168" s="24"/>
      <c r="M3168" s="24"/>
      <c r="N3168" s="24"/>
      <c r="P3168" s="24"/>
    </row>
    <row r="3169" spans="2:16" x14ac:dyDescent="0.25">
      <c r="B3169" s="24"/>
      <c r="E3169" s="24"/>
      <c r="G3169" s="24"/>
      <c r="H3169" s="24"/>
      <c r="J3169" s="24"/>
      <c r="K3169" s="24"/>
      <c r="M3169" s="24"/>
      <c r="N3169" s="24"/>
      <c r="P3169" s="24"/>
    </row>
    <row r="3170" spans="2:16" x14ac:dyDescent="0.25">
      <c r="B3170" s="24"/>
      <c r="E3170" s="24"/>
      <c r="G3170" s="24"/>
      <c r="H3170" s="24"/>
      <c r="J3170" s="24"/>
      <c r="K3170" s="24"/>
      <c r="M3170" s="24"/>
      <c r="N3170" s="24"/>
      <c r="P3170" s="24"/>
    </row>
    <row r="3171" spans="2:16" x14ac:dyDescent="0.25">
      <c r="B3171" s="24"/>
      <c r="E3171" s="24"/>
      <c r="G3171" s="24"/>
      <c r="H3171" s="24"/>
      <c r="J3171" s="24"/>
      <c r="K3171" s="24"/>
      <c r="M3171" s="24"/>
      <c r="N3171" s="24"/>
      <c r="P3171" s="24"/>
    </row>
    <row r="3172" spans="2:16" x14ac:dyDescent="0.25">
      <c r="B3172" s="24"/>
      <c r="E3172" s="24"/>
      <c r="G3172" s="24"/>
      <c r="H3172" s="24"/>
      <c r="J3172" s="24"/>
      <c r="K3172" s="24"/>
      <c r="M3172" s="24"/>
      <c r="N3172" s="24"/>
      <c r="P3172" s="24"/>
    </row>
    <row r="3173" spans="2:16" x14ac:dyDescent="0.25">
      <c r="B3173" s="24"/>
      <c r="E3173" s="24"/>
      <c r="G3173" s="24"/>
      <c r="H3173" s="24"/>
      <c r="J3173" s="24"/>
      <c r="K3173" s="24"/>
      <c r="M3173" s="24"/>
      <c r="N3173" s="24"/>
      <c r="P3173" s="24"/>
    </row>
    <row r="3174" spans="2:16" x14ac:dyDescent="0.25">
      <c r="B3174" s="24"/>
      <c r="E3174" s="24"/>
      <c r="G3174" s="24"/>
      <c r="H3174" s="24"/>
      <c r="J3174" s="24"/>
      <c r="K3174" s="24"/>
      <c r="M3174" s="24"/>
      <c r="N3174" s="24"/>
      <c r="P3174" s="24"/>
    </row>
    <row r="3175" spans="2:16" x14ac:dyDescent="0.25">
      <c r="B3175" s="24"/>
      <c r="E3175" s="24"/>
      <c r="G3175" s="24"/>
      <c r="H3175" s="24"/>
      <c r="J3175" s="24"/>
      <c r="K3175" s="24"/>
      <c r="M3175" s="24"/>
      <c r="N3175" s="24"/>
      <c r="P3175" s="24"/>
    </row>
    <row r="3176" spans="2:16" x14ac:dyDescent="0.25">
      <c r="B3176" s="24"/>
      <c r="E3176" s="24"/>
      <c r="G3176" s="24"/>
      <c r="H3176" s="24"/>
      <c r="J3176" s="24"/>
      <c r="K3176" s="24"/>
      <c r="M3176" s="24"/>
      <c r="N3176" s="24"/>
      <c r="P3176" s="24"/>
    </row>
    <row r="3177" spans="2:16" x14ac:dyDescent="0.25">
      <c r="B3177" s="24"/>
      <c r="E3177" s="24"/>
      <c r="G3177" s="24"/>
      <c r="H3177" s="24"/>
      <c r="J3177" s="24"/>
      <c r="K3177" s="24"/>
      <c r="M3177" s="24"/>
      <c r="N3177" s="24"/>
      <c r="P3177" s="24"/>
    </row>
    <row r="3178" spans="2:16" x14ac:dyDescent="0.25">
      <c r="B3178" s="24"/>
      <c r="E3178" s="24"/>
      <c r="G3178" s="24"/>
      <c r="H3178" s="24"/>
      <c r="J3178" s="24"/>
      <c r="K3178" s="24"/>
      <c r="M3178" s="24"/>
      <c r="N3178" s="24"/>
      <c r="P3178" s="24"/>
    </row>
    <row r="3179" spans="2:16" x14ac:dyDescent="0.25">
      <c r="B3179" s="24"/>
      <c r="E3179" s="24"/>
      <c r="G3179" s="24"/>
      <c r="H3179" s="24"/>
      <c r="J3179" s="24"/>
      <c r="K3179" s="24"/>
      <c r="M3179" s="24"/>
      <c r="N3179" s="24"/>
      <c r="P3179" s="24"/>
    </row>
    <row r="3180" spans="2:16" x14ac:dyDescent="0.25">
      <c r="B3180" s="24"/>
      <c r="E3180" s="24"/>
      <c r="G3180" s="24"/>
      <c r="H3180" s="24"/>
      <c r="J3180" s="24"/>
      <c r="K3180" s="24"/>
      <c r="M3180" s="24"/>
      <c r="N3180" s="24"/>
      <c r="P3180" s="24"/>
    </row>
    <row r="3181" spans="2:16" x14ac:dyDescent="0.25">
      <c r="B3181" s="24"/>
      <c r="E3181" s="24"/>
      <c r="G3181" s="24"/>
      <c r="H3181" s="24"/>
      <c r="J3181" s="24"/>
      <c r="K3181" s="24"/>
      <c r="M3181" s="24"/>
      <c r="N3181" s="24"/>
      <c r="P3181" s="24"/>
    </row>
    <row r="3182" spans="2:16" x14ac:dyDescent="0.25">
      <c r="B3182" s="24"/>
      <c r="E3182" s="24"/>
      <c r="G3182" s="24"/>
      <c r="H3182" s="24"/>
      <c r="J3182" s="24"/>
      <c r="K3182" s="24"/>
      <c r="M3182" s="24"/>
      <c r="N3182" s="24"/>
      <c r="P3182" s="24"/>
    </row>
    <row r="3183" spans="2:16" x14ac:dyDescent="0.25">
      <c r="B3183" s="24"/>
      <c r="E3183" s="24"/>
      <c r="G3183" s="24"/>
      <c r="H3183" s="24"/>
      <c r="J3183" s="24"/>
      <c r="K3183" s="24"/>
      <c r="M3183" s="24"/>
      <c r="N3183" s="24"/>
      <c r="P3183" s="24"/>
    </row>
    <row r="3184" spans="2:16" x14ac:dyDescent="0.25">
      <c r="B3184" s="24"/>
      <c r="E3184" s="24"/>
      <c r="G3184" s="24"/>
      <c r="H3184" s="24"/>
      <c r="J3184" s="24"/>
      <c r="K3184" s="24"/>
      <c r="M3184" s="24"/>
      <c r="N3184" s="24"/>
      <c r="P3184" s="24"/>
    </row>
    <row r="3185" spans="2:16" x14ac:dyDescent="0.25">
      <c r="B3185" s="24"/>
      <c r="E3185" s="24"/>
      <c r="G3185" s="24"/>
      <c r="H3185" s="24"/>
      <c r="J3185" s="24"/>
      <c r="K3185" s="24"/>
      <c r="M3185" s="24"/>
      <c r="N3185" s="24"/>
      <c r="P3185" s="24"/>
    </row>
    <row r="3186" spans="2:16" x14ac:dyDescent="0.25">
      <c r="B3186" s="24"/>
      <c r="E3186" s="24"/>
      <c r="G3186" s="24"/>
      <c r="H3186" s="24"/>
      <c r="J3186" s="24"/>
      <c r="K3186" s="24"/>
      <c r="M3186" s="24"/>
      <c r="N3186" s="24"/>
      <c r="P3186" s="24"/>
    </row>
    <row r="3187" spans="2:16" x14ac:dyDescent="0.25">
      <c r="B3187" s="24"/>
      <c r="E3187" s="24"/>
      <c r="G3187" s="24"/>
      <c r="H3187" s="24"/>
      <c r="J3187" s="24"/>
      <c r="K3187" s="24"/>
      <c r="M3187" s="24"/>
      <c r="N3187" s="24"/>
      <c r="P3187" s="24"/>
    </row>
    <row r="3188" spans="2:16" x14ac:dyDescent="0.25">
      <c r="B3188" s="24"/>
      <c r="E3188" s="24"/>
      <c r="G3188" s="24"/>
      <c r="H3188" s="24"/>
      <c r="J3188" s="24"/>
      <c r="K3188" s="24"/>
      <c r="M3188" s="24"/>
      <c r="N3188" s="24"/>
      <c r="P3188" s="24"/>
    </row>
    <row r="3189" spans="2:16" x14ac:dyDescent="0.25">
      <c r="B3189" s="24"/>
      <c r="E3189" s="24"/>
      <c r="G3189" s="24"/>
      <c r="H3189" s="24"/>
      <c r="J3189" s="24"/>
      <c r="K3189" s="24"/>
      <c r="M3189" s="24"/>
      <c r="N3189" s="24"/>
      <c r="P3189" s="24"/>
    </row>
    <row r="3190" spans="2:16" x14ac:dyDescent="0.25">
      <c r="B3190" s="24"/>
      <c r="E3190" s="24"/>
      <c r="G3190" s="24"/>
      <c r="H3190" s="24"/>
      <c r="J3190" s="24"/>
      <c r="K3190" s="24"/>
      <c r="M3190" s="24"/>
      <c r="N3190" s="24"/>
      <c r="P3190" s="24"/>
    </row>
    <row r="3191" spans="2:16" x14ac:dyDescent="0.25">
      <c r="B3191" s="24"/>
      <c r="E3191" s="24"/>
      <c r="G3191" s="24"/>
      <c r="H3191" s="24"/>
      <c r="J3191" s="24"/>
      <c r="K3191" s="24"/>
      <c r="M3191" s="24"/>
      <c r="N3191" s="24"/>
      <c r="P3191" s="24"/>
    </row>
    <row r="3192" spans="2:16" x14ac:dyDescent="0.25">
      <c r="B3192" s="24"/>
      <c r="E3192" s="24"/>
      <c r="G3192" s="24"/>
      <c r="H3192" s="24"/>
      <c r="J3192" s="24"/>
      <c r="K3192" s="24"/>
      <c r="M3192" s="24"/>
      <c r="N3192" s="24"/>
      <c r="P3192" s="24"/>
    </row>
    <row r="3193" spans="2:16" x14ac:dyDescent="0.25">
      <c r="B3193" s="24"/>
      <c r="E3193" s="24"/>
      <c r="G3193" s="24"/>
      <c r="H3193" s="24"/>
      <c r="J3193" s="24"/>
      <c r="K3193" s="24"/>
      <c r="M3193" s="24"/>
      <c r="N3193" s="24"/>
      <c r="P3193" s="24"/>
    </row>
    <row r="3194" spans="2:16" x14ac:dyDescent="0.25">
      <c r="B3194" s="24"/>
      <c r="E3194" s="24"/>
      <c r="G3194" s="24"/>
      <c r="H3194" s="24"/>
      <c r="J3194" s="24"/>
      <c r="K3194" s="24"/>
      <c r="M3194" s="24"/>
      <c r="N3194" s="24"/>
      <c r="P3194" s="24"/>
    </row>
    <row r="3195" spans="2:16" x14ac:dyDescent="0.25">
      <c r="B3195" s="24"/>
      <c r="E3195" s="24"/>
      <c r="G3195" s="24"/>
      <c r="H3195" s="24"/>
      <c r="J3195" s="24"/>
      <c r="K3195" s="24"/>
      <c r="M3195" s="24"/>
      <c r="N3195" s="24"/>
      <c r="P3195" s="24"/>
    </row>
    <row r="3196" spans="2:16" x14ac:dyDescent="0.25">
      <c r="B3196" s="24"/>
      <c r="E3196" s="24"/>
      <c r="G3196" s="24"/>
      <c r="H3196" s="24"/>
      <c r="J3196" s="24"/>
      <c r="K3196" s="24"/>
      <c r="M3196" s="24"/>
      <c r="N3196" s="24"/>
      <c r="P3196" s="24"/>
    </row>
    <row r="3197" spans="2:16" x14ac:dyDescent="0.25">
      <c r="B3197" s="24"/>
      <c r="E3197" s="24"/>
      <c r="G3197" s="24"/>
      <c r="H3197" s="24"/>
      <c r="J3197" s="24"/>
      <c r="K3197" s="24"/>
      <c r="M3197" s="24"/>
      <c r="N3197" s="24"/>
      <c r="P3197" s="24"/>
    </row>
    <row r="3198" spans="2:16" x14ac:dyDescent="0.25">
      <c r="B3198" s="24"/>
      <c r="E3198" s="24"/>
      <c r="G3198" s="24"/>
      <c r="H3198" s="24"/>
      <c r="J3198" s="24"/>
      <c r="K3198" s="24"/>
      <c r="M3198" s="24"/>
      <c r="N3198" s="24"/>
      <c r="P3198" s="24"/>
    </row>
    <row r="3199" spans="2:16" x14ac:dyDescent="0.25">
      <c r="B3199" s="24"/>
      <c r="E3199" s="24"/>
      <c r="G3199" s="24"/>
      <c r="H3199" s="24"/>
      <c r="J3199" s="24"/>
      <c r="K3199" s="24"/>
      <c r="M3199" s="24"/>
      <c r="N3199" s="24"/>
      <c r="P3199" s="24"/>
    </row>
    <row r="3200" spans="2:16" x14ac:dyDescent="0.25">
      <c r="B3200" s="24"/>
      <c r="E3200" s="24"/>
      <c r="G3200" s="24"/>
      <c r="H3200" s="24"/>
      <c r="J3200" s="24"/>
      <c r="K3200" s="24"/>
      <c r="M3200" s="24"/>
      <c r="N3200" s="24"/>
      <c r="P3200" s="24"/>
    </row>
    <row r="3201" spans="2:16" x14ac:dyDescent="0.25">
      <c r="B3201" s="24"/>
      <c r="E3201" s="24"/>
      <c r="G3201" s="24"/>
      <c r="H3201" s="24"/>
      <c r="J3201" s="24"/>
      <c r="K3201" s="24"/>
      <c r="M3201" s="24"/>
      <c r="N3201" s="24"/>
      <c r="P3201" s="24"/>
    </row>
    <row r="3202" spans="2:16" x14ac:dyDescent="0.25">
      <c r="B3202" s="24"/>
      <c r="E3202" s="24"/>
      <c r="G3202" s="24"/>
      <c r="H3202" s="24"/>
      <c r="J3202" s="24"/>
      <c r="K3202" s="24"/>
      <c r="M3202" s="24"/>
      <c r="N3202" s="24"/>
      <c r="P3202" s="24"/>
    </row>
    <row r="3203" spans="2:16" x14ac:dyDescent="0.25">
      <c r="B3203" s="24"/>
      <c r="E3203" s="24"/>
      <c r="G3203" s="24"/>
      <c r="H3203" s="24"/>
      <c r="J3203" s="24"/>
      <c r="K3203" s="24"/>
      <c r="M3203" s="24"/>
      <c r="N3203" s="24"/>
      <c r="P3203" s="24"/>
    </row>
    <row r="3204" spans="2:16" x14ac:dyDescent="0.25">
      <c r="B3204" s="24"/>
      <c r="E3204" s="24"/>
      <c r="G3204" s="24"/>
      <c r="H3204" s="24"/>
      <c r="J3204" s="24"/>
      <c r="K3204" s="24"/>
      <c r="M3204" s="24"/>
      <c r="N3204" s="24"/>
      <c r="P3204" s="24"/>
    </row>
    <row r="3205" spans="2:16" x14ac:dyDescent="0.25">
      <c r="B3205" s="24"/>
      <c r="E3205" s="24"/>
      <c r="G3205" s="24"/>
      <c r="H3205" s="24"/>
      <c r="J3205" s="24"/>
      <c r="K3205" s="24"/>
      <c r="M3205" s="24"/>
      <c r="N3205" s="24"/>
      <c r="P3205" s="24"/>
    </row>
    <row r="3206" spans="2:16" x14ac:dyDescent="0.25">
      <c r="B3206" s="24"/>
      <c r="E3206" s="24"/>
      <c r="G3206" s="24"/>
      <c r="H3206" s="24"/>
      <c r="J3206" s="24"/>
      <c r="K3206" s="24"/>
      <c r="M3206" s="24"/>
      <c r="N3206" s="24"/>
      <c r="P3206" s="24"/>
    </row>
    <row r="3207" spans="2:16" x14ac:dyDescent="0.25">
      <c r="B3207" s="24"/>
      <c r="E3207" s="24"/>
      <c r="G3207" s="24"/>
      <c r="H3207" s="24"/>
      <c r="J3207" s="24"/>
      <c r="K3207" s="24"/>
      <c r="M3207" s="24"/>
      <c r="N3207" s="24"/>
      <c r="P3207" s="24"/>
    </row>
    <row r="3208" spans="2:16" x14ac:dyDescent="0.25">
      <c r="B3208" s="24"/>
      <c r="E3208" s="24"/>
      <c r="G3208" s="24"/>
      <c r="H3208" s="24"/>
      <c r="J3208" s="24"/>
      <c r="K3208" s="24"/>
      <c r="M3208" s="24"/>
      <c r="N3208" s="24"/>
      <c r="P3208" s="24"/>
    </row>
    <row r="3209" spans="2:16" x14ac:dyDescent="0.25">
      <c r="B3209" s="24"/>
      <c r="E3209" s="24"/>
      <c r="G3209" s="24"/>
      <c r="H3209" s="24"/>
      <c r="J3209" s="24"/>
      <c r="K3209" s="24"/>
      <c r="M3209" s="24"/>
      <c r="N3209" s="24"/>
      <c r="P3209" s="24"/>
    </row>
    <row r="3210" spans="2:16" x14ac:dyDescent="0.25">
      <c r="B3210" s="24"/>
      <c r="E3210" s="24"/>
      <c r="G3210" s="24"/>
      <c r="H3210" s="24"/>
      <c r="J3210" s="24"/>
      <c r="K3210" s="24"/>
      <c r="M3210" s="24"/>
      <c r="N3210" s="24"/>
      <c r="P3210" s="24"/>
    </row>
    <row r="3211" spans="2:16" x14ac:dyDescent="0.25">
      <c r="B3211" s="24"/>
      <c r="E3211" s="24"/>
      <c r="G3211" s="24"/>
      <c r="H3211" s="24"/>
      <c r="J3211" s="24"/>
      <c r="K3211" s="24"/>
      <c r="M3211" s="24"/>
      <c r="N3211" s="24"/>
      <c r="P3211" s="24"/>
    </row>
    <row r="3212" spans="2:16" x14ac:dyDescent="0.25">
      <c r="B3212" s="24"/>
      <c r="E3212" s="24"/>
      <c r="G3212" s="24"/>
      <c r="H3212" s="24"/>
      <c r="J3212" s="24"/>
      <c r="K3212" s="24"/>
      <c r="M3212" s="24"/>
      <c r="N3212" s="24"/>
      <c r="P3212" s="24"/>
    </row>
    <row r="3213" spans="2:16" x14ac:dyDescent="0.25">
      <c r="B3213" s="24"/>
      <c r="E3213" s="24"/>
      <c r="G3213" s="24"/>
      <c r="H3213" s="24"/>
      <c r="J3213" s="24"/>
      <c r="K3213" s="24"/>
      <c r="M3213" s="24"/>
      <c r="N3213" s="24"/>
      <c r="P3213" s="24"/>
    </row>
    <row r="3214" spans="2:16" x14ac:dyDescent="0.25">
      <c r="B3214" s="24"/>
      <c r="E3214" s="24"/>
      <c r="G3214" s="24"/>
      <c r="H3214" s="24"/>
      <c r="J3214" s="24"/>
      <c r="K3214" s="24"/>
      <c r="M3214" s="24"/>
      <c r="N3214" s="24"/>
      <c r="P3214" s="24"/>
    </row>
    <row r="3215" spans="2:16" x14ac:dyDescent="0.25">
      <c r="B3215" s="24"/>
      <c r="E3215" s="24"/>
      <c r="G3215" s="24"/>
      <c r="H3215" s="24"/>
      <c r="J3215" s="24"/>
      <c r="K3215" s="24"/>
      <c r="M3215" s="24"/>
      <c r="N3215" s="24"/>
      <c r="P3215" s="24"/>
    </row>
    <row r="3216" spans="2:16" x14ac:dyDescent="0.25">
      <c r="B3216" s="24"/>
      <c r="E3216" s="24"/>
      <c r="G3216" s="24"/>
      <c r="H3216" s="24"/>
      <c r="J3216" s="24"/>
      <c r="K3216" s="24"/>
      <c r="M3216" s="24"/>
      <c r="N3216" s="24"/>
      <c r="P3216" s="24"/>
    </row>
    <row r="3217" spans="2:16" x14ac:dyDescent="0.25">
      <c r="B3217" s="24"/>
      <c r="E3217" s="24"/>
      <c r="G3217" s="24"/>
      <c r="H3217" s="24"/>
      <c r="J3217" s="24"/>
      <c r="K3217" s="24"/>
      <c r="M3217" s="24"/>
      <c r="N3217" s="24"/>
      <c r="P3217" s="24"/>
    </row>
    <row r="3218" spans="2:16" x14ac:dyDescent="0.25">
      <c r="B3218" s="24"/>
      <c r="E3218" s="24"/>
      <c r="G3218" s="24"/>
      <c r="H3218" s="24"/>
      <c r="J3218" s="24"/>
      <c r="K3218" s="24"/>
      <c r="M3218" s="24"/>
      <c r="N3218" s="24"/>
      <c r="P3218" s="24"/>
    </row>
    <row r="3219" spans="2:16" x14ac:dyDescent="0.25">
      <c r="B3219" s="24"/>
      <c r="E3219" s="24"/>
      <c r="G3219" s="24"/>
      <c r="H3219" s="24"/>
      <c r="J3219" s="24"/>
      <c r="K3219" s="24"/>
      <c r="M3219" s="24"/>
      <c r="N3219" s="24"/>
      <c r="P3219" s="24"/>
    </row>
    <row r="3220" spans="2:16" x14ac:dyDescent="0.25">
      <c r="B3220" s="24"/>
      <c r="E3220" s="24"/>
      <c r="G3220" s="24"/>
      <c r="H3220" s="24"/>
      <c r="J3220" s="24"/>
      <c r="K3220" s="24"/>
      <c r="M3220" s="24"/>
      <c r="N3220" s="24"/>
      <c r="P3220" s="24"/>
    </row>
    <row r="3221" spans="2:16" x14ac:dyDescent="0.25">
      <c r="B3221" s="24"/>
      <c r="E3221" s="24"/>
      <c r="G3221" s="24"/>
      <c r="H3221" s="24"/>
      <c r="J3221" s="24"/>
      <c r="K3221" s="24"/>
      <c r="M3221" s="24"/>
      <c r="N3221" s="24"/>
      <c r="P3221" s="24"/>
    </row>
    <row r="3222" spans="2:16" x14ac:dyDescent="0.25">
      <c r="B3222" s="24"/>
      <c r="E3222" s="24"/>
      <c r="G3222" s="24"/>
      <c r="H3222" s="24"/>
      <c r="J3222" s="24"/>
      <c r="K3222" s="24"/>
      <c r="M3222" s="24"/>
      <c r="N3222" s="24"/>
      <c r="P3222" s="24"/>
    </row>
    <row r="3223" spans="2:16" x14ac:dyDescent="0.25">
      <c r="B3223" s="24"/>
      <c r="E3223" s="24"/>
      <c r="G3223" s="24"/>
      <c r="H3223" s="24"/>
      <c r="J3223" s="24"/>
      <c r="K3223" s="24"/>
      <c r="M3223" s="24"/>
      <c r="N3223" s="24"/>
      <c r="P3223" s="24"/>
    </row>
    <row r="3224" spans="2:16" x14ac:dyDescent="0.25">
      <c r="B3224" s="24"/>
      <c r="E3224" s="24"/>
      <c r="G3224" s="24"/>
      <c r="H3224" s="24"/>
      <c r="J3224" s="24"/>
      <c r="K3224" s="24"/>
      <c r="M3224" s="24"/>
      <c r="N3224" s="24"/>
      <c r="P3224" s="24"/>
    </row>
    <row r="3225" spans="2:16" x14ac:dyDescent="0.25">
      <c r="B3225" s="24"/>
      <c r="E3225" s="24"/>
      <c r="G3225" s="24"/>
      <c r="H3225" s="24"/>
      <c r="J3225" s="24"/>
      <c r="K3225" s="24"/>
      <c r="M3225" s="24"/>
      <c r="N3225" s="24"/>
      <c r="P3225" s="24"/>
    </row>
    <row r="3226" spans="2:16" x14ac:dyDescent="0.25">
      <c r="B3226" s="24"/>
      <c r="E3226" s="24"/>
      <c r="G3226" s="24"/>
      <c r="H3226" s="24"/>
      <c r="J3226" s="24"/>
      <c r="K3226" s="24"/>
      <c r="M3226" s="24"/>
      <c r="N3226" s="24"/>
      <c r="P3226" s="24"/>
    </row>
    <row r="3227" spans="2:16" x14ac:dyDescent="0.25">
      <c r="B3227" s="24"/>
      <c r="E3227" s="24"/>
      <c r="G3227" s="24"/>
      <c r="H3227" s="24"/>
      <c r="J3227" s="24"/>
      <c r="K3227" s="24"/>
      <c r="M3227" s="24"/>
      <c r="N3227" s="24"/>
      <c r="P3227" s="24"/>
    </row>
    <row r="3228" spans="2:16" x14ac:dyDescent="0.25">
      <c r="B3228" s="24"/>
      <c r="E3228" s="24"/>
      <c r="G3228" s="24"/>
      <c r="H3228" s="24"/>
      <c r="J3228" s="24"/>
      <c r="K3228" s="24"/>
      <c r="M3228" s="24"/>
      <c r="N3228" s="24"/>
      <c r="P3228" s="24"/>
    </row>
    <row r="3229" spans="2:16" x14ac:dyDescent="0.25">
      <c r="B3229" s="24"/>
      <c r="E3229" s="24"/>
      <c r="G3229" s="24"/>
      <c r="H3229" s="24"/>
      <c r="J3229" s="24"/>
      <c r="K3229" s="24"/>
      <c r="M3229" s="24"/>
      <c r="N3229" s="24"/>
      <c r="P3229" s="24"/>
    </row>
    <row r="3230" spans="2:16" x14ac:dyDescent="0.25">
      <c r="B3230" s="24"/>
      <c r="E3230" s="24"/>
      <c r="G3230" s="24"/>
      <c r="H3230" s="24"/>
      <c r="J3230" s="24"/>
      <c r="K3230" s="24"/>
      <c r="M3230" s="24"/>
      <c r="N3230" s="24"/>
      <c r="P3230" s="24"/>
    </row>
    <row r="3231" spans="2:16" x14ac:dyDescent="0.25">
      <c r="B3231" s="24"/>
      <c r="E3231" s="24"/>
      <c r="G3231" s="24"/>
      <c r="H3231" s="24"/>
      <c r="J3231" s="24"/>
      <c r="K3231" s="24"/>
      <c r="M3231" s="24"/>
      <c r="N3231" s="24"/>
      <c r="P3231" s="24"/>
    </row>
    <row r="3232" spans="2:16" x14ac:dyDescent="0.25">
      <c r="B3232" s="24"/>
      <c r="E3232" s="24"/>
      <c r="G3232" s="24"/>
      <c r="H3232" s="24"/>
      <c r="J3232" s="24"/>
      <c r="K3232" s="24"/>
      <c r="M3232" s="24"/>
      <c r="N3232" s="24"/>
      <c r="P3232" s="24"/>
    </row>
    <row r="3233" spans="2:16" x14ac:dyDescent="0.25">
      <c r="B3233" s="24"/>
      <c r="E3233" s="24"/>
      <c r="G3233" s="24"/>
      <c r="H3233" s="24"/>
      <c r="J3233" s="24"/>
      <c r="K3233" s="24"/>
      <c r="M3233" s="24"/>
      <c r="N3233" s="24"/>
      <c r="P3233" s="24"/>
    </row>
    <row r="3234" spans="2:16" x14ac:dyDescent="0.25">
      <c r="B3234" s="24"/>
      <c r="E3234" s="24"/>
      <c r="G3234" s="24"/>
      <c r="H3234" s="24"/>
      <c r="J3234" s="24"/>
      <c r="K3234" s="24"/>
      <c r="M3234" s="24"/>
      <c r="N3234" s="24"/>
      <c r="P3234" s="24"/>
    </row>
    <row r="3235" spans="2:16" x14ac:dyDescent="0.25">
      <c r="B3235" s="24"/>
      <c r="E3235" s="24"/>
      <c r="G3235" s="24"/>
      <c r="H3235" s="24"/>
      <c r="J3235" s="24"/>
      <c r="K3235" s="24"/>
      <c r="M3235" s="24"/>
      <c r="N3235" s="24"/>
      <c r="P3235" s="24"/>
    </row>
    <row r="3236" spans="2:16" x14ac:dyDescent="0.25">
      <c r="B3236" s="24"/>
      <c r="E3236" s="24"/>
      <c r="G3236" s="24"/>
      <c r="H3236" s="24"/>
      <c r="J3236" s="24"/>
      <c r="K3236" s="24"/>
      <c r="M3236" s="24"/>
      <c r="N3236" s="24"/>
      <c r="P3236" s="24"/>
    </row>
    <row r="3237" spans="2:16" x14ac:dyDescent="0.25">
      <c r="B3237" s="24"/>
      <c r="E3237" s="24"/>
      <c r="G3237" s="24"/>
      <c r="H3237" s="24"/>
      <c r="J3237" s="24"/>
      <c r="K3237" s="24"/>
      <c r="M3237" s="24"/>
      <c r="N3237" s="24"/>
      <c r="P3237" s="24"/>
    </row>
    <row r="3238" spans="2:16" x14ac:dyDescent="0.25">
      <c r="B3238" s="24"/>
      <c r="E3238" s="24"/>
      <c r="G3238" s="24"/>
      <c r="H3238" s="24"/>
      <c r="J3238" s="24"/>
      <c r="K3238" s="24"/>
      <c r="M3238" s="24"/>
      <c r="N3238" s="24"/>
      <c r="P3238" s="24"/>
    </row>
    <row r="3239" spans="2:16" x14ac:dyDescent="0.25">
      <c r="B3239" s="24"/>
      <c r="E3239" s="24"/>
      <c r="G3239" s="24"/>
      <c r="H3239" s="24"/>
      <c r="J3239" s="24"/>
      <c r="K3239" s="24"/>
      <c r="M3239" s="24"/>
      <c r="N3239" s="24"/>
      <c r="P3239" s="24"/>
    </row>
    <row r="3240" spans="2:16" x14ac:dyDescent="0.25">
      <c r="B3240" s="24"/>
      <c r="E3240" s="24"/>
      <c r="G3240" s="24"/>
      <c r="H3240" s="24"/>
      <c r="J3240" s="24"/>
      <c r="K3240" s="24"/>
      <c r="M3240" s="24"/>
      <c r="N3240" s="24"/>
      <c r="P3240" s="24"/>
    </row>
    <row r="3241" spans="2:16" x14ac:dyDescent="0.25">
      <c r="B3241" s="24"/>
      <c r="E3241" s="24"/>
      <c r="G3241" s="24"/>
      <c r="H3241" s="24"/>
      <c r="J3241" s="24"/>
      <c r="K3241" s="24"/>
      <c r="M3241" s="24"/>
      <c r="N3241" s="24"/>
      <c r="P3241" s="24"/>
    </row>
    <row r="3242" spans="2:16" x14ac:dyDescent="0.25">
      <c r="B3242" s="24"/>
      <c r="E3242" s="24"/>
      <c r="G3242" s="24"/>
      <c r="H3242" s="24"/>
      <c r="J3242" s="24"/>
      <c r="K3242" s="24"/>
      <c r="M3242" s="24"/>
      <c r="N3242" s="24"/>
      <c r="P3242" s="24"/>
    </row>
    <row r="3243" spans="2:16" x14ac:dyDescent="0.25">
      <c r="B3243" s="24"/>
      <c r="E3243" s="24"/>
      <c r="G3243" s="24"/>
      <c r="H3243" s="24"/>
      <c r="J3243" s="24"/>
      <c r="K3243" s="24"/>
      <c r="M3243" s="24"/>
      <c r="N3243" s="24"/>
      <c r="P3243" s="24"/>
    </row>
    <row r="3244" spans="2:16" x14ac:dyDescent="0.25">
      <c r="B3244" s="24"/>
      <c r="E3244" s="24"/>
      <c r="G3244" s="24"/>
      <c r="H3244" s="24"/>
      <c r="J3244" s="24"/>
      <c r="K3244" s="24"/>
      <c r="M3244" s="24"/>
      <c r="N3244" s="24"/>
      <c r="P3244" s="24"/>
    </row>
    <row r="3245" spans="2:16" x14ac:dyDescent="0.25">
      <c r="B3245" s="24"/>
      <c r="E3245" s="24"/>
      <c r="G3245" s="24"/>
      <c r="H3245" s="24"/>
      <c r="J3245" s="24"/>
      <c r="K3245" s="24"/>
      <c r="M3245" s="24"/>
      <c r="N3245" s="24"/>
      <c r="P3245" s="24"/>
    </row>
    <row r="3246" spans="2:16" x14ac:dyDescent="0.25">
      <c r="B3246" s="24"/>
      <c r="E3246" s="24"/>
      <c r="G3246" s="24"/>
      <c r="H3246" s="24"/>
      <c r="J3246" s="24"/>
      <c r="K3246" s="24"/>
      <c r="M3246" s="24"/>
      <c r="N3246" s="24"/>
      <c r="P3246" s="24"/>
    </row>
    <row r="3247" spans="2:16" x14ac:dyDescent="0.25">
      <c r="B3247" s="24"/>
      <c r="E3247" s="24"/>
      <c r="G3247" s="24"/>
      <c r="H3247" s="24"/>
      <c r="J3247" s="24"/>
      <c r="K3247" s="24"/>
      <c r="M3247" s="24"/>
      <c r="N3247" s="24"/>
      <c r="P3247" s="24"/>
    </row>
    <row r="3248" spans="2:16" x14ac:dyDescent="0.25">
      <c r="B3248" s="24"/>
      <c r="E3248" s="24"/>
      <c r="G3248" s="24"/>
      <c r="H3248" s="24"/>
      <c r="J3248" s="24"/>
      <c r="K3248" s="24"/>
      <c r="M3248" s="24"/>
      <c r="N3248" s="24"/>
      <c r="P3248" s="24"/>
    </row>
    <row r="3249" spans="2:16" x14ac:dyDescent="0.25">
      <c r="B3249" s="24"/>
      <c r="E3249" s="24"/>
      <c r="G3249" s="24"/>
      <c r="H3249" s="24"/>
      <c r="J3249" s="24"/>
      <c r="K3249" s="24"/>
      <c r="M3249" s="24"/>
      <c r="N3249" s="24"/>
      <c r="P3249" s="24"/>
    </row>
    <row r="3250" spans="2:16" x14ac:dyDescent="0.25">
      <c r="B3250" s="24"/>
      <c r="E3250" s="24"/>
      <c r="G3250" s="24"/>
      <c r="H3250" s="24"/>
      <c r="J3250" s="24"/>
      <c r="K3250" s="24"/>
      <c r="M3250" s="24"/>
      <c r="N3250" s="24"/>
      <c r="P3250" s="24"/>
    </row>
    <row r="3251" spans="2:16" x14ac:dyDescent="0.25">
      <c r="B3251" s="24"/>
      <c r="E3251" s="24"/>
      <c r="G3251" s="24"/>
      <c r="H3251" s="24"/>
      <c r="J3251" s="24"/>
      <c r="K3251" s="24"/>
      <c r="M3251" s="24"/>
      <c r="N3251" s="24"/>
      <c r="P3251" s="24"/>
    </row>
    <row r="3252" spans="2:16" x14ac:dyDescent="0.25">
      <c r="B3252" s="24"/>
      <c r="E3252" s="24"/>
      <c r="G3252" s="24"/>
      <c r="H3252" s="24"/>
      <c r="J3252" s="24"/>
      <c r="K3252" s="24"/>
      <c r="M3252" s="24"/>
      <c r="N3252" s="24"/>
      <c r="P3252" s="24"/>
    </row>
    <row r="3253" spans="2:16" x14ac:dyDescent="0.25">
      <c r="B3253" s="24"/>
      <c r="E3253" s="24"/>
      <c r="G3253" s="24"/>
      <c r="H3253" s="24"/>
      <c r="J3253" s="24"/>
      <c r="K3253" s="24"/>
      <c r="M3253" s="24"/>
      <c r="N3253" s="24"/>
      <c r="P3253" s="24"/>
    </row>
    <row r="3254" spans="2:16" x14ac:dyDescent="0.25">
      <c r="B3254" s="24"/>
      <c r="E3254" s="24"/>
      <c r="G3254" s="24"/>
      <c r="H3254" s="24"/>
      <c r="J3254" s="24"/>
      <c r="K3254" s="24"/>
      <c r="M3254" s="24"/>
      <c r="N3254" s="24"/>
      <c r="P3254" s="24"/>
    </row>
    <row r="3255" spans="2:16" x14ac:dyDescent="0.25">
      <c r="B3255" s="24"/>
      <c r="E3255" s="24"/>
      <c r="G3255" s="24"/>
      <c r="H3255" s="24"/>
      <c r="J3255" s="24"/>
      <c r="K3255" s="24"/>
      <c r="M3255" s="24"/>
      <c r="N3255" s="24"/>
      <c r="P3255" s="24"/>
    </row>
    <row r="3256" spans="2:16" x14ac:dyDescent="0.25">
      <c r="B3256" s="24"/>
      <c r="E3256" s="24"/>
      <c r="G3256" s="24"/>
      <c r="H3256" s="24"/>
      <c r="J3256" s="24"/>
      <c r="K3256" s="24"/>
      <c r="M3256" s="24"/>
      <c r="N3256" s="24"/>
      <c r="P3256" s="24"/>
    </row>
    <row r="3257" spans="2:16" x14ac:dyDescent="0.25">
      <c r="B3257" s="24"/>
      <c r="E3257" s="24"/>
      <c r="G3257" s="24"/>
      <c r="H3257" s="24"/>
      <c r="J3257" s="24"/>
      <c r="K3257" s="24"/>
      <c r="M3257" s="24"/>
      <c r="N3257" s="24"/>
      <c r="P3257" s="24"/>
    </row>
    <row r="3258" spans="2:16" x14ac:dyDescent="0.25">
      <c r="B3258" s="24"/>
      <c r="E3258" s="24"/>
      <c r="G3258" s="24"/>
      <c r="H3258" s="24"/>
      <c r="J3258" s="24"/>
      <c r="K3258" s="24"/>
      <c r="M3258" s="24"/>
      <c r="N3258" s="24"/>
      <c r="P3258" s="24"/>
    </row>
    <row r="3259" spans="2:16" x14ac:dyDescent="0.25">
      <c r="B3259" s="24"/>
      <c r="E3259" s="24"/>
      <c r="G3259" s="24"/>
      <c r="H3259" s="24"/>
      <c r="J3259" s="24"/>
      <c r="K3259" s="24"/>
      <c r="M3259" s="24"/>
      <c r="N3259" s="24"/>
      <c r="P3259" s="24"/>
    </row>
    <row r="3260" spans="2:16" x14ac:dyDescent="0.25">
      <c r="B3260" s="24"/>
      <c r="E3260" s="24"/>
      <c r="G3260" s="24"/>
      <c r="H3260" s="24"/>
      <c r="J3260" s="24"/>
      <c r="K3260" s="24"/>
      <c r="M3260" s="24"/>
      <c r="N3260" s="24"/>
      <c r="P3260" s="24"/>
    </row>
    <row r="3261" spans="2:16" x14ac:dyDescent="0.25">
      <c r="B3261" s="24"/>
      <c r="E3261" s="24"/>
      <c r="G3261" s="24"/>
      <c r="H3261" s="24"/>
      <c r="J3261" s="24"/>
      <c r="K3261" s="24"/>
      <c r="M3261" s="24"/>
      <c r="N3261" s="24"/>
      <c r="P3261" s="24"/>
    </row>
    <row r="3262" spans="2:16" x14ac:dyDescent="0.25">
      <c r="B3262" s="24"/>
      <c r="E3262" s="24"/>
      <c r="G3262" s="24"/>
      <c r="H3262" s="24"/>
      <c r="J3262" s="24"/>
      <c r="K3262" s="24"/>
      <c r="M3262" s="24"/>
      <c r="N3262" s="24"/>
      <c r="P3262" s="24"/>
    </row>
    <row r="3263" spans="2:16" x14ac:dyDescent="0.25">
      <c r="B3263" s="24"/>
      <c r="E3263" s="24"/>
      <c r="G3263" s="24"/>
      <c r="H3263" s="24"/>
      <c r="J3263" s="24"/>
      <c r="K3263" s="24"/>
      <c r="M3263" s="24"/>
      <c r="N3263" s="24"/>
      <c r="P3263" s="24"/>
    </row>
    <row r="3264" spans="2:16" x14ac:dyDescent="0.25">
      <c r="B3264" s="24"/>
      <c r="E3264" s="24"/>
      <c r="G3264" s="24"/>
      <c r="H3264" s="24"/>
      <c r="J3264" s="24"/>
      <c r="K3264" s="24"/>
      <c r="M3264" s="24"/>
      <c r="N3264" s="24"/>
      <c r="P3264" s="24"/>
    </row>
    <row r="3265" spans="2:16" x14ac:dyDescent="0.25">
      <c r="B3265" s="24"/>
      <c r="E3265" s="24"/>
      <c r="G3265" s="24"/>
      <c r="H3265" s="24"/>
      <c r="J3265" s="24"/>
      <c r="K3265" s="24"/>
      <c r="M3265" s="24"/>
      <c r="N3265" s="24"/>
      <c r="P3265" s="24"/>
    </row>
    <row r="3266" spans="2:16" x14ac:dyDescent="0.25">
      <c r="B3266" s="24"/>
      <c r="E3266" s="24"/>
      <c r="G3266" s="24"/>
      <c r="H3266" s="24"/>
      <c r="J3266" s="24"/>
      <c r="K3266" s="24"/>
      <c r="M3266" s="24"/>
      <c r="N3266" s="24"/>
      <c r="P3266" s="24"/>
    </row>
    <row r="3267" spans="2:16" x14ac:dyDescent="0.25">
      <c r="B3267" s="24"/>
      <c r="E3267" s="24"/>
      <c r="G3267" s="24"/>
      <c r="H3267" s="24"/>
      <c r="J3267" s="24"/>
      <c r="K3267" s="24"/>
      <c r="M3267" s="24"/>
      <c r="N3267" s="24"/>
      <c r="P3267" s="24"/>
    </row>
    <row r="3268" spans="2:16" x14ac:dyDescent="0.25">
      <c r="B3268" s="24"/>
      <c r="E3268" s="24"/>
      <c r="G3268" s="24"/>
      <c r="H3268" s="24"/>
      <c r="J3268" s="24"/>
      <c r="K3268" s="24"/>
      <c r="M3268" s="24"/>
      <c r="N3268" s="24"/>
      <c r="P3268" s="24"/>
    </row>
    <row r="3269" spans="2:16" x14ac:dyDescent="0.25">
      <c r="B3269" s="24"/>
      <c r="E3269" s="24"/>
      <c r="G3269" s="24"/>
      <c r="H3269" s="24"/>
      <c r="J3269" s="24"/>
      <c r="K3269" s="24"/>
      <c r="M3269" s="24"/>
      <c r="N3269" s="24"/>
      <c r="P3269" s="24"/>
    </row>
    <row r="3270" spans="2:16" x14ac:dyDescent="0.25">
      <c r="B3270" s="24"/>
      <c r="E3270" s="24"/>
      <c r="G3270" s="24"/>
      <c r="H3270" s="24"/>
      <c r="J3270" s="24"/>
      <c r="K3270" s="24"/>
      <c r="M3270" s="24"/>
      <c r="N3270" s="24"/>
      <c r="P3270" s="24"/>
    </row>
    <row r="3271" spans="2:16" x14ac:dyDescent="0.25">
      <c r="B3271" s="24"/>
      <c r="E3271" s="24"/>
      <c r="G3271" s="24"/>
      <c r="H3271" s="24"/>
      <c r="J3271" s="24"/>
      <c r="K3271" s="24"/>
      <c r="M3271" s="24"/>
      <c r="N3271" s="24"/>
      <c r="P3271" s="24"/>
    </row>
    <row r="3272" spans="2:16" x14ac:dyDescent="0.25">
      <c r="B3272" s="24"/>
      <c r="E3272" s="24"/>
      <c r="G3272" s="24"/>
      <c r="H3272" s="24"/>
      <c r="J3272" s="24"/>
      <c r="K3272" s="24"/>
      <c r="M3272" s="24"/>
      <c r="N3272" s="24"/>
      <c r="P3272" s="24"/>
    </row>
    <row r="3273" spans="2:16" x14ac:dyDescent="0.25">
      <c r="B3273" s="24"/>
      <c r="E3273" s="24"/>
      <c r="G3273" s="24"/>
      <c r="H3273" s="24"/>
      <c r="J3273" s="24"/>
      <c r="K3273" s="24"/>
      <c r="M3273" s="24"/>
      <c r="N3273" s="24"/>
      <c r="P3273" s="24"/>
    </row>
    <row r="3274" spans="2:16" x14ac:dyDescent="0.25">
      <c r="B3274" s="24"/>
      <c r="E3274" s="24"/>
      <c r="G3274" s="24"/>
      <c r="H3274" s="24"/>
      <c r="J3274" s="24"/>
      <c r="K3274" s="24"/>
      <c r="M3274" s="24"/>
      <c r="N3274" s="24"/>
      <c r="P3274" s="24"/>
    </row>
    <row r="3275" spans="2:16" x14ac:dyDescent="0.25">
      <c r="B3275" s="24"/>
      <c r="E3275" s="24"/>
      <c r="G3275" s="24"/>
      <c r="H3275" s="24"/>
      <c r="J3275" s="24"/>
      <c r="K3275" s="24"/>
      <c r="M3275" s="24"/>
      <c r="N3275" s="24"/>
      <c r="P3275" s="24"/>
    </row>
    <row r="3276" spans="2:16" x14ac:dyDescent="0.25">
      <c r="B3276" s="24"/>
      <c r="E3276" s="24"/>
      <c r="G3276" s="24"/>
      <c r="H3276" s="24"/>
      <c r="J3276" s="24"/>
      <c r="K3276" s="24"/>
      <c r="M3276" s="24"/>
      <c r="N3276" s="24"/>
      <c r="P3276" s="24"/>
    </row>
    <row r="3277" spans="2:16" x14ac:dyDescent="0.25">
      <c r="B3277" s="24"/>
      <c r="E3277" s="24"/>
      <c r="G3277" s="24"/>
      <c r="H3277" s="24"/>
      <c r="J3277" s="24"/>
      <c r="K3277" s="24"/>
      <c r="M3277" s="24"/>
      <c r="N3277" s="24"/>
      <c r="P3277" s="24"/>
    </row>
    <row r="3278" spans="2:16" x14ac:dyDescent="0.25">
      <c r="B3278" s="24"/>
      <c r="E3278" s="24"/>
      <c r="G3278" s="24"/>
      <c r="H3278" s="24"/>
      <c r="J3278" s="24"/>
      <c r="K3278" s="24"/>
      <c r="M3278" s="24"/>
      <c r="N3278" s="24"/>
      <c r="P3278" s="24"/>
    </row>
    <row r="3279" spans="2:16" x14ac:dyDescent="0.25">
      <c r="B3279" s="24"/>
      <c r="E3279" s="24"/>
      <c r="G3279" s="24"/>
      <c r="H3279" s="24"/>
      <c r="J3279" s="24"/>
      <c r="K3279" s="24"/>
      <c r="M3279" s="24"/>
      <c r="N3279" s="24"/>
      <c r="P3279" s="24"/>
    </row>
    <row r="3280" spans="2:16" x14ac:dyDescent="0.25">
      <c r="B3280" s="24"/>
      <c r="E3280" s="24"/>
      <c r="G3280" s="24"/>
      <c r="H3280" s="24"/>
      <c r="J3280" s="24"/>
      <c r="K3280" s="24"/>
      <c r="M3280" s="24"/>
      <c r="N3280" s="24"/>
      <c r="P3280" s="24"/>
    </row>
    <row r="3281" spans="2:16" x14ac:dyDescent="0.25">
      <c r="B3281" s="24"/>
      <c r="E3281" s="24"/>
      <c r="G3281" s="24"/>
      <c r="H3281" s="24"/>
      <c r="J3281" s="24"/>
      <c r="K3281" s="24"/>
      <c r="M3281" s="24"/>
      <c r="N3281" s="24"/>
      <c r="P3281" s="24"/>
    </row>
    <row r="3282" spans="2:16" x14ac:dyDescent="0.25">
      <c r="B3282" s="24"/>
      <c r="E3282" s="24"/>
      <c r="G3282" s="24"/>
      <c r="H3282" s="24"/>
      <c r="J3282" s="24"/>
      <c r="K3282" s="24"/>
      <c r="M3282" s="24"/>
      <c r="N3282" s="24"/>
      <c r="P3282" s="24"/>
    </row>
    <row r="3283" spans="2:16" x14ac:dyDescent="0.25">
      <c r="B3283" s="24"/>
      <c r="E3283" s="24"/>
      <c r="G3283" s="24"/>
      <c r="H3283" s="24"/>
      <c r="J3283" s="24"/>
      <c r="K3283" s="24"/>
      <c r="M3283" s="24"/>
      <c r="N3283" s="24"/>
      <c r="P3283" s="24"/>
    </row>
    <row r="3284" spans="2:16" x14ac:dyDescent="0.25">
      <c r="B3284" s="24"/>
      <c r="E3284" s="24"/>
      <c r="G3284" s="24"/>
      <c r="H3284" s="24"/>
      <c r="J3284" s="24"/>
      <c r="K3284" s="24"/>
      <c r="M3284" s="24"/>
      <c r="N3284" s="24"/>
      <c r="P3284" s="24"/>
    </row>
    <row r="3285" spans="2:16" x14ac:dyDescent="0.25">
      <c r="B3285" s="24"/>
      <c r="E3285" s="24"/>
      <c r="G3285" s="24"/>
      <c r="H3285" s="24"/>
      <c r="J3285" s="24"/>
      <c r="K3285" s="24"/>
      <c r="M3285" s="24"/>
      <c r="N3285" s="24"/>
      <c r="P3285" s="24"/>
    </row>
    <row r="3286" spans="2:16" x14ac:dyDescent="0.25">
      <c r="B3286" s="24"/>
      <c r="E3286" s="24"/>
      <c r="G3286" s="24"/>
      <c r="H3286" s="24"/>
      <c r="J3286" s="24"/>
      <c r="K3286" s="24"/>
      <c r="M3286" s="24"/>
      <c r="N3286" s="24"/>
      <c r="P3286" s="24"/>
    </row>
    <row r="3287" spans="2:16" x14ac:dyDescent="0.25">
      <c r="B3287" s="24"/>
      <c r="E3287" s="24"/>
      <c r="G3287" s="24"/>
      <c r="H3287" s="24"/>
      <c r="J3287" s="24"/>
      <c r="K3287" s="24"/>
      <c r="M3287" s="24"/>
      <c r="N3287" s="24"/>
      <c r="P3287" s="24"/>
    </row>
    <row r="3288" spans="2:16" x14ac:dyDescent="0.25">
      <c r="B3288" s="24"/>
      <c r="E3288" s="24"/>
      <c r="G3288" s="24"/>
      <c r="H3288" s="24"/>
      <c r="J3288" s="24"/>
      <c r="K3288" s="24"/>
      <c r="M3288" s="24"/>
      <c r="N3288" s="24"/>
      <c r="P3288" s="24"/>
    </row>
    <row r="3289" spans="2:16" x14ac:dyDescent="0.25">
      <c r="B3289" s="24"/>
      <c r="E3289" s="24"/>
      <c r="G3289" s="24"/>
      <c r="H3289" s="24"/>
      <c r="J3289" s="24"/>
      <c r="K3289" s="24"/>
      <c r="M3289" s="24"/>
      <c r="N3289" s="24"/>
      <c r="P3289" s="24"/>
    </row>
    <row r="3290" spans="2:16" x14ac:dyDescent="0.25">
      <c r="B3290" s="24"/>
      <c r="E3290" s="24"/>
      <c r="G3290" s="24"/>
      <c r="H3290" s="24"/>
      <c r="J3290" s="24"/>
      <c r="K3290" s="24"/>
      <c r="M3290" s="24"/>
      <c r="N3290" s="24"/>
      <c r="P3290" s="24"/>
    </row>
    <row r="3291" spans="2:16" x14ac:dyDescent="0.25">
      <c r="B3291" s="24"/>
      <c r="E3291" s="24"/>
      <c r="G3291" s="24"/>
      <c r="H3291" s="24"/>
      <c r="J3291" s="24"/>
      <c r="K3291" s="24"/>
      <c r="M3291" s="24"/>
      <c r="N3291" s="24"/>
      <c r="P3291" s="24"/>
    </row>
    <row r="3292" spans="2:16" x14ac:dyDescent="0.25">
      <c r="B3292" s="24"/>
      <c r="E3292" s="24"/>
      <c r="G3292" s="24"/>
      <c r="H3292" s="24"/>
      <c r="J3292" s="24"/>
      <c r="K3292" s="24"/>
      <c r="M3292" s="24"/>
      <c r="N3292" s="24"/>
      <c r="P3292" s="24"/>
    </row>
    <row r="3293" spans="2:16" x14ac:dyDescent="0.25">
      <c r="B3293" s="24"/>
      <c r="E3293" s="24"/>
      <c r="G3293" s="24"/>
      <c r="H3293" s="24"/>
      <c r="J3293" s="24"/>
      <c r="K3293" s="24"/>
      <c r="M3293" s="24"/>
      <c r="N3293" s="24"/>
      <c r="P3293" s="24"/>
    </row>
    <row r="3294" spans="2:16" x14ac:dyDescent="0.25">
      <c r="B3294" s="24"/>
      <c r="E3294" s="24"/>
      <c r="G3294" s="24"/>
      <c r="H3294" s="24"/>
      <c r="J3294" s="24"/>
      <c r="K3294" s="24"/>
      <c r="M3294" s="24"/>
      <c r="N3294" s="24"/>
      <c r="P3294" s="24"/>
    </row>
    <row r="3295" spans="2:16" x14ac:dyDescent="0.25">
      <c r="B3295" s="24"/>
      <c r="E3295" s="24"/>
      <c r="G3295" s="24"/>
      <c r="H3295" s="24"/>
      <c r="J3295" s="24"/>
      <c r="K3295" s="24"/>
      <c r="M3295" s="24"/>
      <c r="N3295" s="24"/>
      <c r="P3295" s="24"/>
    </row>
    <row r="3296" spans="2:16" x14ac:dyDescent="0.25">
      <c r="B3296" s="24"/>
      <c r="E3296" s="24"/>
      <c r="G3296" s="24"/>
      <c r="H3296" s="24"/>
      <c r="J3296" s="24"/>
      <c r="K3296" s="24"/>
      <c r="M3296" s="24"/>
      <c r="N3296" s="24"/>
      <c r="P3296" s="24"/>
    </row>
    <row r="3297" spans="2:16" x14ac:dyDescent="0.25">
      <c r="B3297" s="24"/>
      <c r="E3297" s="24"/>
      <c r="G3297" s="24"/>
      <c r="H3297" s="24"/>
      <c r="J3297" s="24"/>
      <c r="K3297" s="24"/>
      <c r="M3297" s="24"/>
      <c r="N3297" s="24"/>
      <c r="P3297" s="24"/>
    </row>
    <row r="3298" spans="2:16" x14ac:dyDescent="0.25">
      <c r="B3298" s="24"/>
      <c r="E3298" s="24"/>
      <c r="G3298" s="24"/>
      <c r="H3298" s="24"/>
      <c r="J3298" s="24"/>
      <c r="K3298" s="24"/>
      <c r="M3298" s="24"/>
      <c r="N3298" s="24"/>
      <c r="P3298" s="24"/>
    </row>
    <row r="3299" spans="2:16" x14ac:dyDescent="0.25">
      <c r="B3299" s="24"/>
      <c r="E3299" s="24"/>
      <c r="G3299" s="24"/>
      <c r="H3299" s="24"/>
      <c r="J3299" s="24"/>
      <c r="K3299" s="24"/>
      <c r="M3299" s="24"/>
      <c r="N3299" s="24"/>
      <c r="P3299" s="24"/>
    </row>
    <row r="3300" spans="2:16" x14ac:dyDescent="0.25">
      <c r="B3300" s="24"/>
      <c r="E3300" s="24"/>
      <c r="G3300" s="24"/>
      <c r="H3300" s="24"/>
      <c r="J3300" s="24"/>
      <c r="K3300" s="24"/>
      <c r="M3300" s="24"/>
      <c r="N3300" s="24"/>
      <c r="P3300" s="24"/>
    </row>
    <row r="3301" spans="2:16" x14ac:dyDescent="0.25">
      <c r="B3301" s="24"/>
      <c r="E3301" s="24"/>
      <c r="G3301" s="24"/>
      <c r="H3301" s="24"/>
      <c r="J3301" s="24"/>
      <c r="K3301" s="24"/>
      <c r="M3301" s="24"/>
      <c r="N3301" s="24"/>
      <c r="P3301" s="24"/>
    </row>
    <row r="3302" spans="2:16" x14ac:dyDescent="0.25">
      <c r="B3302" s="24"/>
      <c r="E3302" s="24"/>
      <c r="G3302" s="24"/>
      <c r="H3302" s="24"/>
      <c r="J3302" s="24"/>
      <c r="K3302" s="24"/>
      <c r="M3302" s="24"/>
      <c r="N3302" s="24"/>
      <c r="P3302" s="24"/>
    </row>
    <row r="3303" spans="2:16" x14ac:dyDescent="0.25">
      <c r="B3303" s="24"/>
      <c r="E3303" s="24"/>
      <c r="G3303" s="24"/>
      <c r="H3303" s="24"/>
      <c r="J3303" s="24"/>
      <c r="K3303" s="24"/>
      <c r="M3303" s="24"/>
      <c r="N3303" s="24"/>
      <c r="P3303" s="24"/>
    </row>
    <row r="3304" spans="2:16" x14ac:dyDescent="0.25">
      <c r="B3304" s="24"/>
      <c r="E3304" s="24"/>
      <c r="G3304" s="24"/>
      <c r="H3304" s="24"/>
      <c r="J3304" s="24"/>
      <c r="K3304" s="24"/>
      <c r="M3304" s="24"/>
      <c r="N3304" s="24"/>
      <c r="P3304" s="24"/>
    </row>
    <row r="3305" spans="2:16" x14ac:dyDescent="0.25">
      <c r="B3305" s="24"/>
      <c r="E3305" s="24"/>
      <c r="G3305" s="24"/>
      <c r="H3305" s="24"/>
      <c r="J3305" s="24"/>
      <c r="K3305" s="24"/>
      <c r="M3305" s="24"/>
      <c r="N3305" s="24"/>
      <c r="P3305" s="24"/>
    </row>
    <row r="3306" spans="2:16" x14ac:dyDescent="0.25">
      <c r="B3306" s="24"/>
      <c r="E3306" s="24"/>
      <c r="G3306" s="24"/>
      <c r="H3306" s="24"/>
      <c r="J3306" s="24"/>
      <c r="K3306" s="24"/>
      <c r="M3306" s="24"/>
      <c r="N3306" s="24"/>
      <c r="P3306" s="24"/>
    </row>
    <row r="3307" spans="2:16" x14ac:dyDescent="0.25">
      <c r="B3307" s="24"/>
      <c r="E3307" s="24"/>
      <c r="G3307" s="24"/>
      <c r="H3307" s="24"/>
      <c r="J3307" s="24"/>
      <c r="K3307" s="24"/>
      <c r="M3307" s="24"/>
      <c r="N3307" s="24"/>
      <c r="P3307" s="24"/>
    </row>
    <row r="3308" spans="2:16" x14ac:dyDescent="0.25">
      <c r="B3308" s="24"/>
      <c r="E3308" s="24"/>
      <c r="G3308" s="24"/>
      <c r="H3308" s="24"/>
      <c r="J3308" s="24"/>
      <c r="K3308" s="24"/>
      <c r="M3308" s="24"/>
      <c r="N3308" s="24"/>
      <c r="P3308" s="24"/>
    </row>
    <row r="3309" spans="2:16" x14ac:dyDescent="0.25">
      <c r="B3309" s="24"/>
      <c r="E3309" s="24"/>
      <c r="G3309" s="24"/>
      <c r="H3309" s="24"/>
      <c r="J3309" s="24"/>
      <c r="K3309" s="24"/>
      <c r="M3309" s="24"/>
      <c r="N3309" s="24"/>
      <c r="P3309" s="24"/>
    </row>
    <row r="3310" spans="2:16" x14ac:dyDescent="0.25">
      <c r="B3310" s="24"/>
      <c r="E3310" s="24"/>
      <c r="G3310" s="24"/>
      <c r="H3310" s="24"/>
      <c r="J3310" s="24"/>
      <c r="K3310" s="24"/>
      <c r="M3310" s="24"/>
      <c r="N3310" s="24"/>
      <c r="P3310" s="24"/>
    </row>
    <row r="3311" spans="2:16" x14ac:dyDescent="0.25">
      <c r="B3311" s="24"/>
      <c r="E3311" s="24"/>
      <c r="G3311" s="24"/>
      <c r="H3311" s="24"/>
      <c r="J3311" s="24"/>
      <c r="K3311" s="24"/>
      <c r="M3311" s="24"/>
      <c r="N3311" s="24"/>
      <c r="P3311" s="24"/>
    </row>
    <row r="3312" spans="2:16" x14ac:dyDescent="0.25">
      <c r="B3312" s="24"/>
      <c r="E3312" s="24"/>
      <c r="G3312" s="24"/>
      <c r="H3312" s="24"/>
      <c r="J3312" s="24"/>
      <c r="K3312" s="24"/>
      <c r="M3312" s="24"/>
      <c r="N3312" s="24"/>
      <c r="P3312" s="24"/>
    </row>
    <row r="3313" spans="2:16" x14ac:dyDescent="0.25">
      <c r="B3313" s="24"/>
      <c r="E3313" s="24"/>
      <c r="G3313" s="24"/>
      <c r="H3313" s="24"/>
      <c r="J3313" s="24"/>
      <c r="K3313" s="24"/>
      <c r="M3313" s="24"/>
      <c r="N3313" s="24"/>
      <c r="P3313" s="24"/>
    </row>
    <row r="3314" spans="2:16" x14ac:dyDescent="0.25">
      <c r="B3314" s="24"/>
      <c r="E3314" s="24"/>
      <c r="G3314" s="24"/>
      <c r="H3314" s="24"/>
      <c r="J3314" s="24"/>
      <c r="K3314" s="24"/>
      <c r="M3314" s="24"/>
      <c r="N3314" s="24"/>
      <c r="P3314" s="24"/>
    </row>
    <row r="3315" spans="2:16" x14ac:dyDescent="0.25">
      <c r="B3315" s="24"/>
      <c r="E3315" s="24"/>
      <c r="G3315" s="24"/>
      <c r="H3315" s="24"/>
      <c r="J3315" s="24"/>
      <c r="K3315" s="24"/>
      <c r="M3315" s="24"/>
      <c r="N3315" s="24"/>
      <c r="P3315" s="24"/>
    </row>
    <row r="3316" spans="2:16" x14ac:dyDescent="0.25">
      <c r="B3316" s="24"/>
      <c r="E3316" s="24"/>
      <c r="G3316" s="24"/>
      <c r="H3316" s="24"/>
      <c r="J3316" s="24"/>
      <c r="K3316" s="24"/>
      <c r="M3316" s="24"/>
      <c r="N3316" s="24"/>
      <c r="P3316" s="24"/>
    </row>
    <row r="3317" spans="2:16" x14ac:dyDescent="0.25">
      <c r="B3317" s="24"/>
      <c r="E3317" s="24"/>
      <c r="G3317" s="24"/>
      <c r="H3317" s="24"/>
      <c r="J3317" s="24"/>
      <c r="K3317" s="24"/>
      <c r="M3317" s="24"/>
      <c r="N3317" s="24"/>
      <c r="P3317" s="24"/>
    </row>
    <row r="3318" spans="2:16" x14ac:dyDescent="0.25">
      <c r="B3318" s="24"/>
      <c r="E3318" s="24"/>
      <c r="G3318" s="24"/>
      <c r="H3318" s="24"/>
      <c r="J3318" s="24"/>
      <c r="K3318" s="24"/>
      <c r="M3318" s="24"/>
      <c r="N3318" s="24"/>
      <c r="P3318" s="24"/>
    </row>
    <row r="3319" spans="2:16" x14ac:dyDescent="0.25">
      <c r="B3319" s="24"/>
      <c r="E3319" s="24"/>
      <c r="G3319" s="24"/>
      <c r="H3319" s="24"/>
      <c r="J3319" s="24"/>
      <c r="K3319" s="24"/>
      <c r="M3319" s="24"/>
      <c r="N3319" s="24"/>
      <c r="P3319" s="24"/>
    </row>
    <row r="3320" spans="2:16" x14ac:dyDescent="0.25">
      <c r="B3320" s="24"/>
      <c r="E3320" s="24"/>
      <c r="G3320" s="24"/>
      <c r="H3320" s="24"/>
      <c r="J3320" s="24"/>
      <c r="K3320" s="24"/>
      <c r="M3320" s="24"/>
      <c r="N3320" s="24"/>
      <c r="P3320" s="24"/>
    </row>
    <row r="3321" spans="2:16" x14ac:dyDescent="0.25">
      <c r="B3321" s="24"/>
      <c r="E3321" s="24"/>
      <c r="G3321" s="24"/>
      <c r="H3321" s="24"/>
      <c r="J3321" s="24"/>
      <c r="K3321" s="24"/>
      <c r="M3321" s="24"/>
      <c r="N3321" s="24"/>
      <c r="P3321" s="24"/>
    </row>
    <row r="3322" spans="2:16" x14ac:dyDescent="0.25">
      <c r="B3322" s="24"/>
      <c r="E3322" s="24"/>
      <c r="G3322" s="24"/>
      <c r="H3322" s="24"/>
      <c r="J3322" s="24"/>
      <c r="K3322" s="24"/>
      <c r="M3322" s="24"/>
      <c r="N3322" s="24"/>
      <c r="P3322" s="24"/>
    </row>
    <row r="3323" spans="2:16" x14ac:dyDescent="0.25">
      <c r="B3323" s="24"/>
      <c r="E3323" s="24"/>
      <c r="G3323" s="24"/>
      <c r="H3323" s="24"/>
      <c r="J3323" s="24"/>
      <c r="K3323" s="24"/>
      <c r="M3323" s="24"/>
      <c r="N3323" s="24"/>
      <c r="P3323" s="24"/>
    </row>
    <row r="3324" spans="2:16" x14ac:dyDescent="0.25">
      <c r="B3324" s="24"/>
      <c r="E3324" s="24"/>
      <c r="G3324" s="24"/>
      <c r="H3324" s="24"/>
      <c r="J3324" s="24"/>
      <c r="K3324" s="24"/>
      <c r="M3324" s="24"/>
      <c r="N3324" s="24"/>
      <c r="P3324" s="24"/>
    </row>
    <row r="3325" spans="2:16" x14ac:dyDescent="0.25">
      <c r="B3325" s="24"/>
      <c r="E3325" s="24"/>
      <c r="G3325" s="24"/>
      <c r="H3325" s="24"/>
      <c r="J3325" s="24"/>
      <c r="K3325" s="24"/>
      <c r="M3325" s="24"/>
      <c r="N3325" s="24"/>
      <c r="P3325" s="24"/>
    </row>
    <row r="3326" spans="2:16" x14ac:dyDescent="0.25">
      <c r="B3326" s="24"/>
      <c r="E3326" s="24"/>
      <c r="G3326" s="24"/>
      <c r="H3326" s="24"/>
      <c r="J3326" s="24"/>
      <c r="K3326" s="24"/>
      <c r="M3326" s="24"/>
      <c r="N3326" s="24"/>
      <c r="P3326" s="24"/>
    </row>
    <row r="3327" spans="2:16" x14ac:dyDescent="0.25">
      <c r="B3327" s="24"/>
      <c r="E3327" s="24"/>
      <c r="G3327" s="24"/>
      <c r="H3327" s="24"/>
      <c r="J3327" s="24"/>
      <c r="K3327" s="24"/>
      <c r="M3327" s="24"/>
      <c r="N3327" s="24"/>
      <c r="P3327" s="24"/>
    </row>
    <row r="3328" spans="2:16" x14ac:dyDescent="0.25">
      <c r="B3328" s="24"/>
      <c r="E3328" s="24"/>
      <c r="G3328" s="24"/>
      <c r="H3328" s="24"/>
      <c r="J3328" s="24"/>
      <c r="K3328" s="24"/>
      <c r="M3328" s="24"/>
      <c r="N3328" s="24"/>
      <c r="P3328" s="24"/>
    </row>
    <row r="3329" spans="2:16" x14ac:dyDescent="0.25">
      <c r="B3329" s="24"/>
      <c r="E3329" s="24"/>
      <c r="G3329" s="24"/>
      <c r="H3329" s="24"/>
      <c r="J3329" s="24"/>
      <c r="K3329" s="24"/>
      <c r="M3329" s="24"/>
      <c r="N3329" s="24"/>
      <c r="P3329" s="24"/>
    </row>
    <row r="3330" spans="2:16" x14ac:dyDescent="0.25">
      <c r="B3330" s="24"/>
      <c r="E3330" s="24"/>
      <c r="G3330" s="24"/>
      <c r="H3330" s="24"/>
      <c r="J3330" s="24"/>
      <c r="K3330" s="24"/>
      <c r="M3330" s="24"/>
      <c r="N3330" s="24"/>
      <c r="P3330" s="24"/>
    </row>
    <row r="3331" spans="2:16" x14ac:dyDescent="0.25">
      <c r="B3331" s="24"/>
      <c r="E3331" s="24"/>
      <c r="G3331" s="24"/>
      <c r="H3331" s="24"/>
      <c r="J3331" s="24"/>
      <c r="K3331" s="24"/>
      <c r="M3331" s="24"/>
      <c r="N3331" s="24"/>
      <c r="P3331" s="24"/>
    </row>
    <row r="3332" spans="2:16" x14ac:dyDescent="0.25">
      <c r="B3332" s="24"/>
      <c r="E3332" s="24"/>
      <c r="G3332" s="24"/>
      <c r="H3332" s="24"/>
      <c r="J3332" s="24"/>
      <c r="K3332" s="24"/>
      <c r="M3332" s="24"/>
      <c r="N3332" s="24"/>
      <c r="P3332" s="24"/>
    </row>
    <row r="3333" spans="2:16" x14ac:dyDescent="0.25">
      <c r="B3333" s="24"/>
      <c r="E3333" s="24"/>
      <c r="G3333" s="24"/>
      <c r="H3333" s="24"/>
      <c r="J3333" s="24"/>
      <c r="K3333" s="24"/>
      <c r="M3333" s="24"/>
      <c r="N3333" s="24"/>
      <c r="P3333" s="24"/>
    </row>
    <row r="3334" spans="2:16" x14ac:dyDescent="0.25">
      <c r="B3334" s="24"/>
      <c r="E3334" s="24"/>
      <c r="G3334" s="24"/>
      <c r="H3334" s="24"/>
      <c r="J3334" s="24"/>
      <c r="K3334" s="24"/>
      <c r="M3334" s="24"/>
      <c r="N3334" s="24"/>
      <c r="P3334" s="24"/>
    </row>
    <row r="3335" spans="2:16" x14ac:dyDescent="0.25">
      <c r="B3335" s="24"/>
      <c r="E3335" s="24"/>
      <c r="G3335" s="24"/>
      <c r="H3335" s="24"/>
      <c r="J3335" s="24"/>
      <c r="K3335" s="24"/>
      <c r="M3335" s="24"/>
      <c r="N3335" s="24"/>
      <c r="P3335" s="24"/>
    </row>
    <row r="3336" spans="2:16" x14ac:dyDescent="0.25">
      <c r="B3336" s="24"/>
      <c r="E3336" s="24"/>
      <c r="G3336" s="24"/>
      <c r="H3336" s="24"/>
      <c r="J3336" s="24"/>
      <c r="K3336" s="24"/>
      <c r="M3336" s="24"/>
      <c r="N3336" s="24"/>
      <c r="P3336" s="24"/>
    </row>
    <row r="3337" spans="2:16" x14ac:dyDescent="0.25">
      <c r="B3337" s="24"/>
      <c r="E3337" s="24"/>
      <c r="G3337" s="24"/>
      <c r="H3337" s="24"/>
      <c r="J3337" s="24"/>
      <c r="K3337" s="24"/>
      <c r="M3337" s="24"/>
      <c r="N3337" s="24"/>
      <c r="P3337" s="24"/>
    </row>
    <row r="3338" spans="2:16" x14ac:dyDescent="0.25">
      <c r="B3338" s="24"/>
      <c r="E3338" s="24"/>
      <c r="G3338" s="24"/>
      <c r="H3338" s="24"/>
      <c r="J3338" s="24"/>
      <c r="K3338" s="24"/>
      <c r="M3338" s="24"/>
      <c r="N3338" s="24"/>
      <c r="P3338" s="24"/>
    </row>
    <row r="3339" spans="2:16" x14ac:dyDescent="0.25">
      <c r="B3339" s="24"/>
      <c r="E3339" s="24"/>
      <c r="G3339" s="24"/>
      <c r="H3339" s="24"/>
      <c r="J3339" s="24"/>
      <c r="K3339" s="24"/>
      <c r="M3339" s="24"/>
      <c r="N3339" s="24"/>
      <c r="P3339" s="24"/>
    </row>
    <row r="3340" spans="2:16" x14ac:dyDescent="0.25">
      <c r="B3340" s="24"/>
      <c r="E3340" s="24"/>
      <c r="G3340" s="24"/>
      <c r="H3340" s="24"/>
      <c r="J3340" s="24"/>
      <c r="K3340" s="24"/>
      <c r="M3340" s="24"/>
      <c r="N3340" s="24"/>
      <c r="P3340" s="24"/>
    </row>
    <row r="3341" spans="2:16" x14ac:dyDescent="0.25">
      <c r="B3341" s="24"/>
      <c r="E3341" s="24"/>
      <c r="G3341" s="24"/>
      <c r="H3341" s="24"/>
      <c r="J3341" s="24"/>
      <c r="K3341" s="24"/>
      <c r="M3341" s="24"/>
      <c r="N3341" s="24"/>
      <c r="P3341" s="24"/>
    </row>
    <row r="3342" spans="2:16" x14ac:dyDescent="0.25">
      <c r="B3342" s="24"/>
      <c r="E3342" s="24"/>
      <c r="G3342" s="24"/>
      <c r="H3342" s="24"/>
      <c r="J3342" s="24"/>
      <c r="K3342" s="24"/>
      <c r="M3342" s="24"/>
      <c r="N3342" s="24"/>
      <c r="P3342" s="24"/>
    </row>
    <row r="3343" spans="2:16" x14ac:dyDescent="0.25">
      <c r="B3343" s="24"/>
      <c r="E3343" s="24"/>
      <c r="G3343" s="24"/>
      <c r="H3343" s="24"/>
      <c r="J3343" s="24"/>
      <c r="K3343" s="24"/>
      <c r="M3343" s="24"/>
      <c r="N3343" s="24"/>
      <c r="P3343" s="24"/>
    </row>
    <row r="3344" spans="2:16" x14ac:dyDescent="0.25">
      <c r="B3344" s="24"/>
      <c r="E3344" s="24"/>
      <c r="G3344" s="24"/>
      <c r="H3344" s="24"/>
      <c r="J3344" s="24"/>
      <c r="K3344" s="24"/>
      <c r="M3344" s="24"/>
      <c r="N3344" s="24"/>
      <c r="P3344" s="24"/>
    </row>
    <row r="3345" spans="2:16" x14ac:dyDescent="0.25">
      <c r="B3345" s="24"/>
      <c r="E3345" s="24"/>
      <c r="G3345" s="24"/>
      <c r="H3345" s="24"/>
      <c r="J3345" s="24"/>
      <c r="K3345" s="24"/>
      <c r="M3345" s="24"/>
      <c r="N3345" s="24"/>
      <c r="P3345" s="24"/>
    </row>
    <row r="3346" spans="2:16" x14ac:dyDescent="0.25">
      <c r="B3346" s="24"/>
      <c r="E3346" s="24"/>
      <c r="G3346" s="24"/>
      <c r="H3346" s="24"/>
      <c r="J3346" s="24"/>
      <c r="K3346" s="24"/>
      <c r="M3346" s="24"/>
      <c r="N3346" s="24"/>
      <c r="P3346" s="24"/>
    </row>
    <row r="3347" spans="2:16" x14ac:dyDescent="0.25">
      <c r="B3347" s="24"/>
      <c r="E3347" s="24"/>
      <c r="G3347" s="24"/>
      <c r="H3347" s="24"/>
      <c r="J3347" s="24"/>
      <c r="K3347" s="24"/>
      <c r="M3347" s="24"/>
      <c r="N3347" s="24"/>
      <c r="P3347" s="24"/>
    </row>
    <row r="3348" spans="2:16" x14ac:dyDescent="0.25">
      <c r="B3348" s="24"/>
      <c r="E3348" s="24"/>
      <c r="G3348" s="24"/>
      <c r="H3348" s="24"/>
      <c r="J3348" s="24"/>
      <c r="K3348" s="24"/>
      <c r="M3348" s="24"/>
      <c r="N3348" s="24"/>
      <c r="P3348" s="24"/>
    </row>
    <row r="3349" spans="2:16" x14ac:dyDescent="0.25">
      <c r="B3349" s="24"/>
      <c r="E3349" s="24"/>
      <c r="G3349" s="24"/>
      <c r="H3349" s="24"/>
      <c r="J3349" s="24"/>
      <c r="K3349" s="24"/>
      <c r="M3349" s="24"/>
      <c r="N3349" s="24"/>
      <c r="P3349" s="24"/>
    </row>
    <row r="3350" spans="2:16" x14ac:dyDescent="0.25">
      <c r="B3350" s="24"/>
      <c r="E3350" s="24"/>
      <c r="G3350" s="24"/>
      <c r="H3350" s="24"/>
      <c r="J3350" s="24"/>
      <c r="K3350" s="24"/>
      <c r="M3350" s="24"/>
      <c r="N3350" s="24"/>
      <c r="P3350" s="24"/>
    </row>
    <row r="3351" spans="2:16" x14ac:dyDescent="0.25">
      <c r="B3351" s="24"/>
      <c r="E3351" s="24"/>
      <c r="G3351" s="24"/>
      <c r="H3351" s="24"/>
      <c r="J3351" s="24"/>
      <c r="K3351" s="24"/>
      <c r="M3351" s="24"/>
      <c r="N3351" s="24"/>
      <c r="P3351" s="24"/>
    </row>
    <row r="3352" spans="2:16" x14ac:dyDescent="0.25">
      <c r="B3352" s="24"/>
      <c r="E3352" s="24"/>
      <c r="G3352" s="24"/>
      <c r="H3352" s="24"/>
      <c r="J3352" s="24"/>
      <c r="K3352" s="24"/>
      <c r="M3352" s="24"/>
      <c r="N3352" s="24"/>
      <c r="P3352" s="24"/>
    </row>
    <row r="3353" spans="2:16" x14ac:dyDescent="0.25">
      <c r="B3353" s="24"/>
      <c r="E3353" s="24"/>
      <c r="G3353" s="24"/>
      <c r="H3353" s="24"/>
      <c r="J3353" s="24"/>
      <c r="K3353" s="24"/>
      <c r="M3353" s="24"/>
      <c r="N3353" s="24"/>
      <c r="P3353" s="24"/>
    </row>
    <row r="3354" spans="2:16" x14ac:dyDescent="0.25">
      <c r="B3354" s="24"/>
      <c r="E3354" s="24"/>
      <c r="G3354" s="24"/>
      <c r="H3354" s="24"/>
      <c r="J3354" s="24"/>
      <c r="K3354" s="24"/>
      <c r="M3354" s="24"/>
      <c r="N3354" s="24"/>
      <c r="P3354" s="24"/>
    </row>
    <row r="3355" spans="2:16" x14ac:dyDescent="0.25">
      <c r="B3355" s="24"/>
      <c r="E3355" s="24"/>
      <c r="G3355" s="24"/>
      <c r="H3355" s="24"/>
      <c r="J3355" s="24"/>
      <c r="K3355" s="24"/>
      <c r="M3355" s="24"/>
      <c r="N3355" s="24"/>
      <c r="P3355" s="24"/>
    </row>
    <row r="3356" spans="2:16" x14ac:dyDescent="0.25">
      <c r="B3356" s="24"/>
      <c r="E3356" s="24"/>
      <c r="G3356" s="24"/>
      <c r="H3356" s="24"/>
      <c r="J3356" s="24"/>
      <c r="K3356" s="24"/>
      <c r="M3356" s="24"/>
      <c r="N3356" s="24"/>
      <c r="P3356" s="24"/>
    </row>
    <row r="3357" spans="2:16" x14ac:dyDescent="0.25">
      <c r="B3357" s="24"/>
      <c r="E3357" s="24"/>
      <c r="G3357" s="24"/>
      <c r="H3357" s="24"/>
      <c r="J3357" s="24"/>
      <c r="K3357" s="24"/>
      <c r="M3357" s="24"/>
      <c r="N3357" s="24"/>
      <c r="P3357" s="24"/>
    </row>
    <row r="3358" spans="2:16" x14ac:dyDescent="0.25">
      <c r="B3358" s="24"/>
      <c r="E3358" s="24"/>
      <c r="G3358" s="24"/>
      <c r="H3358" s="24"/>
      <c r="J3358" s="24"/>
      <c r="K3358" s="24"/>
      <c r="M3358" s="24"/>
      <c r="N3358" s="24"/>
      <c r="P3358" s="24"/>
    </row>
    <row r="3359" spans="2:16" x14ac:dyDescent="0.25">
      <c r="B3359" s="24"/>
      <c r="E3359" s="24"/>
      <c r="G3359" s="24"/>
      <c r="H3359" s="24"/>
      <c r="J3359" s="24"/>
      <c r="K3359" s="24"/>
      <c r="M3359" s="24"/>
      <c r="N3359" s="24"/>
      <c r="P3359" s="24"/>
    </row>
    <row r="3360" spans="2:16" x14ac:dyDescent="0.25">
      <c r="B3360" s="24"/>
      <c r="E3360" s="24"/>
      <c r="G3360" s="24"/>
      <c r="H3360" s="24"/>
      <c r="J3360" s="24"/>
      <c r="K3360" s="24"/>
      <c r="M3360" s="24"/>
      <c r="N3360" s="24"/>
      <c r="P3360" s="24"/>
    </row>
    <row r="3361" spans="2:16" x14ac:dyDescent="0.25">
      <c r="B3361" s="24"/>
      <c r="E3361" s="24"/>
      <c r="G3361" s="24"/>
      <c r="H3361" s="24"/>
      <c r="J3361" s="24"/>
      <c r="K3361" s="24"/>
      <c r="M3361" s="24"/>
      <c r="N3361" s="24"/>
      <c r="P3361" s="24"/>
    </row>
    <row r="3362" spans="2:16" x14ac:dyDescent="0.25">
      <c r="B3362" s="24"/>
      <c r="E3362" s="24"/>
      <c r="G3362" s="24"/>
      <c r="H3362" s="24"/>
      <c r="J3362" s="24"/>
      <c r="K3362" s="24"/>
      <c r="M3362" s="24"/>
      <c r="N3362" s="24"/>
      <c r="P3362" s="24"/>
    </row>
    <row r="3363" spans="2:16" x14ac:dyDescent="0.25">
      <c r="B3363" s="24"/>
      <c r="E3363" s="24"/>
      <c r="G3363" s="24"/>
      <c r="H3363" s="24"/>
      <c r="J3363" s="24"/>
      <c r="K3363" s="24"/>
      <c r="M3363" s="24"/>
      <c r="N3363" s="24"/>
      <c r="P3363" s="24"/>
    </row>
    <row r="3364" spans="2:16" x14ac:dyDescent="0.25">
      <c r="B3364" s="24"/>
      <c r="E3364" s="24"/>
      <c r="G3364" s="24"/>
      <c r="H3364" s="24"/>
      <c r="J3364" s="24"/>
      <c r="K3364" s="24"/>
      <c r="M3364" s="24"/>
      <c r="N3364" s="24"/>
      <c r="P3364" s="24"/>
    </row>
    <row r="3365" spans="2:16" x14ac:dyDescent="0.25">
      <c r="B3365" s="24"/>
      <c r="E3365" s="24"/>
      <c r="G3365" s="24"/>
      <c r="H3365" s="24"/>
      <c r="J3365" s="24"/>
      <c r="K3365" s="24"/>
      <c r="M3365" s="24"/>
      <c r="N3365" s="24"/>
      <c r="P3365" s="24"/>
    </row>
    <row r="3366" spans="2:16" x14ac:dyDescent="0.25">
      <c r="B3366" s="24"/>
      <c r="E3366" s="24"/>
      <c r="G3366" s="24"/>
      <c r="H3366" s="24"/>
      <c r="J3366" s="24"/>
      <c r="K3366" s="24"/>
      <c r="M3366" s="24"/>
      <c r="N3366" s="24"/>
      <c r="P3366" s="24"/>
    </row>
    <row r="3367" spans="2:16" x14ac:dyDescent="0.25">
      <c r="B3367" s="24"/>
      <c r="E3367" s="24"/>
      <c r="G3367" s="24"/>
      <c r="H3367" s="24"/>
      <c r="J3367" s="24"/>
      <c r="K3367" s="24"/>
      <c r="M3367" s="24"/>
      <c r="N3367" s="24"/>
      <c r="P3367" s="24"/>
    </row>
    <row r="3368" spans="2:16" x14ac:dyDescent="0.25">
      <c r="B3368" s="24"/>
      <c r="E3368" s="24"/>
      <c r="G3368" s="24"/>
      <c r="H3368" s="24"/>
      <c r="J3368" s="24"/>
      <c r="K3368" s="24"/>
      <c r="M3368" s="24"/>
      <c r="N3368" s="24"/>
      <c r="P3368" s="24"/>
    </row>
    <row r="3369" spans="2:16" x14ac:dyDescent="0.25">
      <c r="B3369" s="24"/>
      <c r="E3369" s="24"/>
      <c r="G3369" s="24"/>
      <c r="H3369" s="24"/>
      <c r="J3369" s="24"/>
      <c r="K3369" s="24"/>
      <c r="M3369" s="24"/>
      <c r="N3369" s="24"/>
      <c r="P3369" s="24"/>
    </row>
    <row r="3370" spans="2:16" x14ac:dyDescent="0.25">
      <c r="B3370" s="24"/>
      <c r="E3370" s="24"/>
      <c r="G3370" s="24"/>
      <c r="H3370" s="24"/>
      <c r="J3370" s="24"/>
      <c r="K3370" s="24"/>
      <c r="M3370" s="24"/>
      <c r="N3370" s="24"/>
      <c r="P3370" s="24"/>
    </row>
    <row r="3371" spans="2:16" x14ac:dyDescent="0.25">
      <c r="B3371" s="24"/>
      <c r="E3371" s="24"/>
      <c r="G3371" s="24"/>
      <c r="H3371" s="24"/>
      <c r="J3371" s="24"/>
      <c r="K3371" s="24"/>
      <c r="M3371" s="24"/>
      <c r="N3371" s="24"/>
      <c r="P3371" s="24"/>
    </row>
    <row r="3372" spans="2:16" x14ac:dyDescent="0.25">
      <c r="B3372" s="24"/>
      <c r="E3372" s="24"/>
      <c r="G3372" s="24"/>
      <c r="H3372" s="24"/>
      <c r="J3372" s="24"/>
      <c r="K3372" s="24"/>
      <c r="M3372" s="24"/>
      <c r="N3372" s="24"/>
      <c r="P3372" s="24"/>
    </row>
    <row r="3373" spans="2:16" x14ac:dyDescent="0.25">
      <c r="B3373" s="24"/>
      <c r="E3373" s="24"/>
      <c r="G3373" s="24"/>
      <c r="H3373" s="24"/>
      <c r="J3373" s="24"/>
      <c r="K3373" s="24"/>
      <c r="M3373" s="24"/>
      <c r="N3373" s="24"/>
      <c r="P3373" s="24"/>
    </row>
    <row r="3374" spans="2:16" x14ac:dyDescent="0.25">
      <c r="B3374" s="24"/>
      <c r="E3374" s="24"/>
      <c r="G3374" s="24"/>
      <c r="H3374" s="24"/>
      <c r="J3374" s="24"/>
      <c r="K3374" s="24"/>
      <c r="M3374" s="24"/>
      <c r="N3374" s="24"/>
      <c r="P3374" s="24"/>
    </row>
    <row r="3375" spans="2:16" x14ac:dyDescent="0.25">
      <c r="B3375" s="24"/>
      <c r="E3375" s="24"/>
      <c r="G3375" s="24"/>
      <c r="H3375" s="24"/>
      <c r="J3375" s="24"/>
      <c r="K3375" s="24"/>
      <c r="M3375" s="24"/>
      <c r="N3375" s="24"/>
      <c r="P3375" s="24"/>
    </row>
    <row r="3376" spans="2:16" x14ac:dyDescent="0.25">
      <c r="B3376" s="24"/>
      <c r="E3376" s="24"/>
      <c r="G3376" s="24"/>
      <c r="H3376" s="24"/>
      <c r="J3376" s="24"/>
      <c r="K3376" s="24"/>
      <c r="M3376" s="24"/>
      <c r="N3376" s="24"/>
      <c r="P3376" s="24"/>
    </row>
    <row r="3377" spans="2:16" x14ac:dyDescent="0.25">
      <c r="B3377" s="24"/>
      <c r="E3377" s="24"/>
      <c r="G3377" s="24"/>
      <c r="H3377" s="24"/>
      <c r="J3377" s="24"/>
      <c r="K3377" s="24"/>
      <c r="M3377" s="24"/>
      <c r="N3377" s="24"/>
      <c r="P3377" s="24"/>
    </row>
    <row r="3378" spans="2:16" x14ac:dyDescent="0.25">
      <c r="B3378" s="24"/>
      <c r="E3378" s="24"/>
      <c r="G3378" s="24"/>
      <c r="H3378" s="24"/>
      <c r="J3378" s="24"/>
      <c r="K3378" s="24"/>
      <c r="M3378" s="24"/>
      <c r="N3378" s="24"/>
      <c r="P3378" s="24"/>
    </row>
    <row r="3379" spans="2:16" x14ac:dyDescent="0.25">
      <c r="B3379" s="24"/>
      <c r="E3379" s="24"/>
      <c r="G3379" s="24"/>
      <c r="H3379" s="24"/>
      <c r="J3379" s="24"/>
      <c r="K3379" s="24"/>
      <c r="M3379" s="24"/>
      <c r="N3379" s="24"/>
      <c r="P3379" s="24"/>
    </row>
    <row r="3380" spans="2:16" x14ac:dyDescent="0.25">
      <c r="B3380" s="24"/>
      <c r="E3380" s="24"/>
      <c r="G3380" s="24"/>
      <c r="H3380" s="24"/>
      <c r="J3380" s="24"/>
      <c r="K3380" s="24"/>
      <c r="M3380" s="24"/>
      <c r="N3380" s="24"/>
      <c r="P3380" s="24"/>
    </row>
    <row r="3381" spans="2:16" x14ac:dyDescent="0.25">
      <c r="B3381" s="24"/>
      <c r="E3381" s="24"/>
      <c r="G3381" s="24"/>
      <c r="H3381" s="24"/>
      <c r="J3381" s="24"/>
      <c r="K3381" s="24"/>
      <c r="M3381" s="24"/>
      <c r="N3381" s="24"/>
      <c r="P3381" s="24"/>
    </row>
    <row r="3382" spans="2:16" x14ac:dyDescent="0.25">
      <c r="B3382" s="24"/>
      <c r="E3382" s="24"/>
      <c r="G3382" s="24"/>
      <c r="H3382" s="24"/>
      <c r="J3382" s="24"/>
      <c r="K3382" s="24"/>
      <c r="M3382" s="24"/>
      <c r="N3382" s="24"/>
      <c r="P3382" s="24"/>
    </row>
    <row r="3383" spans="2:16" x14ac:dyDescent="0.25">
      <c r="B3383" s="24"/>
      <c r="E3383" s="24"/>
      <c r="G3383" s="24"/>
      <c r="H3383" s="24"/>
      <c r="J3383" s="24"/>
      <c r="K3383" s="24"/>
      <c r="M3383" s="24"/>
      <c r="N3383" s="24"/>
      <c r="P3383" s="24"/>
    </row>
    <row r="3384" spans="2:16" x14ac:dyDescent="0.25">
      <c r="B3384" s="24"/>
      <c r="E3384" s="24"/>
      <c r="G3384" s="24"/>
      <c r="H3384" s="24"/>
      <c r="J3384" s="24"/>
      <c r="K3384" s="24"/>
      <c r="M3384" s="24"/>
      <c r="N3384" s="24"/>
      <c r="P3384" s="24"/>
    </row>
    <row r="3385" spans="2:16" x14ac:dyDescent="0.25">
      <c r="B3385" s="24"/>
      <c r="E3385" s="24"/>
      <c r="G3385" s="24"/>
      <c r="H3385" s="24"/>
      <c r="J3385" s="24"/>
      <c r="K3385" s="24"/>
      <c r="M3385" s="24"/>
      <c r="N3385" s="24"/>
      <c r="P3385" s="24"/>
    </row>
    <row r="3386" spans="2:16" x14ac:dyDescent="0.25">
      <c r="B3386" s="24"/>
      <c r="E3386" s="24"/>
      <c r="G3386" s="24"/>
      <c r="H3386" s="24"/>
      <c r="J3386" s="24"/>
      <c r="K3386" s="24"/>
      <c r="M3386" s="24"/>
      <c r="N3386" s="24"/>
      <c r="P3386" s="24"/>
    </row>
    <row r="3387" spans="2:16" x14ac:dyDescent="0.25">
      <c r="B3387" s="24"/>
      <c r="E3387" s="24"/>
      <c r="G3387" s="24"/>
      <c r="H3387" s="24"/>
      <c r="J3387" s="24"/>
      <c r="K3387" s="24"/>
      <c r="M3387" s="24"/>
      <c r="N3387" s="24"/>
      <c r="P3387" s="24"/>
    </row>
    <row r="3388" spans="2:16" x14ac:dyDescent="0.25">
      <c r="B3388" s="24"/>
      <c r="E3388" s="24"/>
      <c r="G3388" s="24"/>
      <c r="H3388" s="24"/>
      <c r="J3388" s="24"/>
      <c r="K3388" s="24"/>
      <c r="M3388" s="24"/>
      <c r="N3388" s="24"/>
      <c r="P3388" s="24"/>
    </row>
    <row r="3389" spans="2:16" x14ac:dyDescent="0.25">
      <c r="B3389" s="24"/>
      <c r="E3389" s="24"/>
      <c r="G3389" s="24"/>
      <c r="H3389" s="24"/>
      <c r="J3389" s="24"/>
      <c r="K3389" s="24"/>
      <c r="M3389" s="24"/>
      <c r="N3389" s="24"/>
      <c r="P3389" s="24"/>
    </row>
    <row r="3390" spans="2:16" x14ac:dyDescent="0.25">
      <c r="B3390" s="24"/>
      <c r="E3390" s="24"/>
      <c r="G3390" s="24"/>
      <c r="H3390" s="24"/>
      <c r="J3390" s="24"/>
      <c r="K3390" s="24"/>
      <c r="M3390" s="24"/>
      <c r="N3390" s="24"/>
      <c r="P3390" s="24"/>
    </row>
    <row r="3391" spans="2:16" x14ac:dyDescent="0.25">
      <c r="B3391" s="24"/>
      <c r="E3391" s="24"/>
      <c r="G3391" s="24"/>
      <c r="H3391" s="24"/>
      <c r="J3391" s="24"/>
      <c r="K3391" s="24"/>
      <c r="M3391" s="24"/>
      <c r="N3391" s="24"/>
      <c r="P3391" s="24"/>
    </row>
    <row r="3392" spans="2:16" x14ac:dyDescent="0.25">
      <c r="B3392" s="24"/>
      <c r="E3392" s="24"/>
      <c r="G3392" s="24"/>
      <c r="H3392" s="24"/>
      <c r="J3392" s="24"/>
      <c r="K3392" s="24"/>
      <c r="M3392" s="24"/>
      <c r="N3392" s="24"/>
      <c r="P3392" s="24"/>
    </row>
    <row r="3393" spans="2:16" x14ac:dyDescent="0.25">
      <c r="B3393" s="24"/>
      <c r="E3393" s="24"/>
      <c r="G3393" s="24"/>
      <c r="H3393" s="24"/>
      <c r="J3393" s="24"/>
      <c r="K3393" s="24"/>
      <c r="M3393" s="24"/>
      <c r="N3393" s="24"/>
      <c r="P3393" s="24"/>
    </row>
    <row r="3394" spans="2:16" x14ac:dyDescent="0.25">
      <c r="B3394" s="24"/>
      <c r="E3394" s="24"/>
      <c r="G3394" s="24"/>
      <c r="H3394" s="24"/>
      <c r="J3394" s="24"/>
      <c r="K3394" s="24"/>
      <c r="M3394" s="24"/>
      <c r="N3394" s="24"/>
      <c r="P3394" s="24"/>
    </row>
    <row r="3395" spans="2:16" x14ac:dyDescent="0.25">
      <c r="B3395" s="24"/>
      <c r="E3395" s="24"/>
      <c r="G3395" s="24"/>
      <c r="H3395" s="24"/>
      <c r="J3395" s="24"/>
      <c r="K3395" s="24"/>
      <c r="M3395" s="24"/>
      <c r="N3395" s="24"/>
      <c r="P3395" s="24"/>
    </row>
    <row r="3396" spans="2:16" x14ac:dyDescent="0.25">
      <c r="B3396" s="24"/>
      <c r="E3396" s="24"/>
      <c r="G3396" s="24"/>
      <c r="H3396" s="24"/>
      <c r="J3396" s="24"/>
      <c r="K3396" s="24"/>
      <c r="M3396" s="24"/>
      <c r="N3396" s="24"/>
      <c r="P3396" s="24"/>
    </row>
    <row r="3397" spans="2:16" x14ac:dyDescent="0.25">
      <c r="B3397" s="24"/>
      <c r="E3397" s="24"/>
      <c r="G3397" s="24"/>
      <c r="H3397" s="24"/>
      <c r="J3397" s="24"/>
      <c r="K3397" s="24"/>
      <c r="M3397" s="24"/>
      <c r="N3397" s="24"/>
      <c r="P3397" s="24"/>
    </row>
    <row r="3398" spans="2:16" x14ac:dyDescent="0.25">
      <c r="B3398" s="24"/>
      <c r="E3398" s="24"/>
      <c r="G3398" s="24"/>
      <c r="H3398" s="24"/>
      <c r="J3398" s="24"/>
      <c r="K3398" s="24"/>
      <c r="M3398" s="24"/>
      <c r="N3398" s="24"/>
      <c r="P3398" s="24"/>
    </row>
    <row r="3399" spans="2:16" x14ac:dyDescent="0.25">
      <c r="B3399" s="24"/>
      <c r="E3399" s="24"/>
      <c r="G3399" s="24"/>
      <c r="H3399" s="24"/>
      <c r="J3399" s="24"/>
      <c r="K3399" s="24"/>
      <c r="M3399" s="24"/>
      <c r="N3399" s="24"/>
      <c r="P3399" s="24"/>
    </row>
    <row r="3400" spans="2:16" x14ac:dyDescent="0.25">
      <c r="B3400" s="24"/>
      <c r="E3400" s="24"/>
      <c r="G3400" s="24"/>
      <c r="H3400" s="24"/>
      <c r="J3400" s="24"/>
      <c r="K3400" s="24"/>
      <c r="M3400" s="24"/>
      <c r="N3400" s="24"/>
      <c r="P3400" s="24"/>
    </row>
    <row r="3401" spans="2:16" x14ac:dyDescent="0.25">
      <c r="B3401" s="24"/>
      <c r="E3401" s="24"/>
      <c r="G3401" s="24"/>
      <c r="H3401" s="24"/>
      <c r="J3401" s="24"/>
      <c r="K3401" s="24"/>
      <c r="M3401" s="24"/>
      <c r="N3401" s="24"/>
      <c r="P3401" s="24"/>
    </row>
    <row r="3402" spans="2:16" x14ac:dyDescent="0.25">
      <c r="B3402" s="24"/>
      <c r="E3402" s="24"/>
      <c r="G3402" s="24"/>
      <c r="H3402" s="24"/>
      <c r="J3402" s="24"/>
      <c r="K3402" s="24"/>
      <c r="M3402" s="24"/>
      <c r="N3402" s="24"/>
      <c r="P3402" s="24"/>
    </row>
    <row r="3403" spans="2:16" x14ac:dyDescent="0.25">
      <c r="B3403" s="24"/>
      <c r="E3403" s="24"/>
      <c r="G3403" s="24"/>
      <c r="H3403" s="24"/>
      <c r="J3403" s="24"/>
      <c r="K3403" s="24"/>
      <c r="M3403" s="24"/>
      <c r="N3403" s="24"/>
      <c r="P3403" s="24"/>
    </row>
    <row r="3404" spans="2:16" x14ac:dyDescent="0.25">
      <c r="B3404" s="24"/>
      <c r="E3404" s="24"/>
      <c r="G3404" s="24"/>
      <c r="H3404" s="24"/>
      <c r="J3404" s="24"/>
      <c r="K3404" s="24"/>
      <c r="M3404" s="24"/>
      <c r="N3404" s="24"/>
      <c r="P3404" s="24"/>
    </row>
    <row r="3405" spans="2:16" x14ac:dyDescent="0.25">
      <c r="B3405" s="24"/>
      <c r="E3405" s="24"/>
      <c r="G3405" s="24"/>
      <c r="H3405" s="24"/>
      <c r="J3405" s="24"/>
      <c r="K3405" s="24"/>
      <c r="M3405" s="24"/>
      <c r="N3405" s="24"/>
      <c r="P3405" s="24"/>
    </row>
    <row r="3406" spans="2:16" x14ac:dyDescent="0.25">
      <c r="B3406" s="24"/>
      <c r="E3406" s="24"/>
      <c r="G3406" s="24"/>
      <c r="H3406" s="24"/>
      <c r="J3406" s="24"/>
      <c r="K3406" s="24"/>
      <c r="M3406" s="24"/>
      <c r="N3406" s="24"/>
      <c r="P3406" s="24"/>
    </row>
    <row r="3407" spans="2:16" x14ac:dyDescent="0.25">
      <c r="B3407" s="24"/>
      <c r="E3407" s="24"/>
      <c r="G3407" s="24"/>
      <c r="H3407" s="24"/>
      <c r="J3407" s="24"/>
      <c r="K3407" s="24"/>
      <c r="M3407" s="24"/>
      <c r="N3407" s="24"/>
      <c r="P3407" s="24"/>
    </row>
    <row r="3408" spans="2:16" x14ac:dyDescent="0.25">
      <c r="B3408" s="24"/>
      <c r="E3408" s="24"/>
      <c r="G3408" s="24"/>
      <c r="H3408" s="24"/>
      <c r="J3408" s="24"/>
      <c r="K3408" s="24"/>
      <c r="M3408" s="24"/>
      <c r="N3408" s="24"/>
      <c r="P3408" s="24"/>
    </row>
    <row r="3409" spans="2:16" x14ac:dyDescent="0.25">
      <c r="B3409" s="24"/>
      <c r="E3409" s="24"/>
      <c r="G3409" s="24"/>
      <c r="H3409" s="24"/>
      <c r="J3409" s="24"/>
      <c r="K3409" s="24"/>
      <c r="M3409" s="24"/>
      <c r="N3409" s="24"/>
      <c r="P3409" s="24"/>
    </row>
    <row r="3410" spans="2:16" x14ac:dyDescent="0.25">
      <c r="B3410" s="24"/>
      <c r="E3410" s="24"/>
      <c r="G3410" s="24"/>
      <c r="H3410" s="24"/>
      <c r="J3410" s="24"/>
      <c r="K3410" s="24"/>
      <c r="M3410" s="24"/>
      <c r="N3410" s="24"/>
      <c r="P3410" s="24"/>
    </row>
    <row r="3411" spans="2:16" x14ac:dyDescent="0.25">
      <c r="B3411" s="24"/>
      <c r="E3411" s="24"/>
      <c r="G3411" s="24"/>
      <c r="H3411" s="24"/>
      <c r="J3411" s="24"/>
      <c r="K3411" s="24"/>
      <c r="M3411" s="24"/>
      <c r="N3411" s="24"/>
      <c r="P3411" s="24"/>
    </row>
    <row r="3412" spans="2:16" x14ac:dyDescent="0.25">
      <c r="B3412" s="24"/>
      <c r="E3412" s="24"/>
      <c r="G3412" s="24"/>
      <c r="H3412" s="24"/>
      <c r="J3412" s="24"/>
      <c r="K3412" s="24"/>
      <c r="M3412" s="24"/>
      <c r="N3412" s="24"/>
      <c r="P3412" s="24"/>
    </row>
    <row r="3413" spans="2:16" x14ac:dyDescent="0.25">
      <c r="B3413" s="24"/>
      <c r="E3413" s="24"/>
      <c r="G3413" s="24"/>
      <c r="H3413" s="24"/>
      <c r="J3413" s="24"/>
      <c r="K3413" s="24"/>
      <c r="M3413" s="24"/>
      <c r="N3413" s="24"/>
      <c r="P3413" s="24"/>
    </row>
    <row r="3414" spans="2:16" x14ac:dyDescent="0.25">
      <c r="B3414" s="24"/>
      <c r="E3414" s="24"/>
      <c r="G3414" s="24"/>
      <c r="H3414" s="24"/>
      <c r="J3414" s="24"/>
      <c r="K3414" s="24"/>
      <c r="M3414" s="24"/>
      <c r="N3414" s="24"/>
      <c r="P3414" s="24"/>
    </row>
    <row r="3415" spans="2:16" x14ac:dyDescent="0.25">
      <c r="B3415" s="24"/>
      <c r="E3415" s="24"/>
      <c r="G3415" s="24"/>
      <c r="H3415" s="24"/>
      <c r="J3415" s="24"/>
      <c r="K3415" s="24"/>
      <c r="M3415" s="24"/>
      <c r="N3415" s="24"/>
      <c r="P3415" s="24"/>
    </row>
    <row r="3416" spans="2:16" x14ac:dyDescent="0.25">
      <c r="B3416" s="24"/>
      <c r="E3416" s="24"/>
      <c r="G3416" s="24"/>
      <c r="H3416" s="24"/>
      <c r="J3416" s="24"/>
      <c r="K3416" s="24"/>
      <c r="M3416" s="24"/>
      <c r="N3416" s="24"/>
      <c r="P3416" s="24"/>
    </row>
    <row r="3417" spans="2:16" x14ac:dyDescent="0.25">
      <c r="B3417" s="24"/>
      <c r="E3417" s="24"/>
      <c r="G3417" s="24"/>
      <c r="H3417" s="24"/>
      <c r="J3417" s="24"/>
      <c r="K3417" s="24"/>
      <c r="M3417" s="24"/>
      <c r="N3417" s="24"/>
      <c r="P3417" s="24"/>
    </row>
    <row r="3418" spans="2:16" x14ac:dyDescent="0.25">
      <c r="B3418" s="24"/>
      <c r="E3418" s="24"/>
      <c r="G3418" s="24"/>
      <c r="H3418" s="24"/>
      <c r="J3418" s="24"/>
      <c r="K3418" s="24"/>
      <c r="M3418" s="24"/>
      <c r="N3418" s="24"/>
      <c r="P3418" s="24"/>
    </row>
    <row r="3419" spans="2:16" x14ac:dyDescent="0.25">
      <c r="B3419" s="24"/>
      <c r="E3419" s="24"/>
      <c r="G3419" s="24"/>
      <c r="H3419" s="24"/>
      <c r="J3419" s="24"/>
      <c r="K3419" s="24"/>
      <c r="M3419" s="24"/>
      <c r="N3419" s="24"/>
      <c r="P3419" s="24"/>
    </row>
    <row r="3420" spans="2:16" x14ac:dyDescent="0.25">
      <c r="B3420" s="24"/>
      <c r="E3420" s="24"/>
      <c r="G3420" s="24"/>
      <c r="H3420" s="24"/>
      <c r="J3420" s="24"/>
      <c r="K3420" s="24"/>
      <c r="M3420" s="24"/>
      <c r="N3420" s="24"/>
      <c r="P3420" s="24"/>
    </row>
    <row r="3421" spans="2:16" x14ac:dyDescent="0.25">
      <c r="B3421" s="24"/>
      <c r="E3421" s="24"/>
      <c r="G3421" s="24"/>
      <c r="H3421" s="24"/>
      <c r="J3421" s="24"/>
      <c r="K3421" s="24"/>
      <c r="M3421" s="24"/>
      <c r="N3421" s="24"/>
      <c r="P3421" s="24"/>
    </row>
    <row r="3422" spans="2:16" x14ac:dyDescent="0.25">
      <c r="B3422" s="24"/>
      <c r="E3422" s="24"/>
      <c r="G3422" s="24"/>
      <c r="H3422" s="24"/>
      <c r="J3422" s="24"/>
      <c r="K3422" s="24"/>
      <c r="M3422" s="24"/>
      <c r="N3422" s="24"/>
      <c r="P3422" s="24"/>
    </row>
    <row r="3423" spans="2:16" x14ac:dyDescent="0.25">
      <c r="B3423" s="24"/>
      <c r="E3423" s="24"/>
      <c r="G3423" s="24"/>
      <c r="H3423" s="24"/>
      <c r="J3423" s="24"/>
      <c r="K3423" s="24"/>
      <c r="M3423" s="24"/>
      <c r="N3423" s="24"/>
      <c r="P3423" s="24"/>
    </row>
    <row r="3424" spans="2:16" x14ac:dyDescent="0.25">
      <c r="B3424" s="24"/>
      <c r="E3424" s="24"/>
      <c r="G3424" s="24"/>
      <c r="H3424" s="24"/>
      <c r="J3424" s="24"/>
      <c r="K3424" s="24"/>
      <c r="M3424" s="24"/>
      <c r="N3424" s="24"/>
      <c r="P3424" s="24"/>
    </row>
    <row r="3425" spans="2:16" x14ac:dyDescent="0.25">
      <c r="B3425" s="24"/>
      <c r="E3425" s="24"/>
      <c r="G3425" s="24"/>
      <c r="H3425" s="24"/>
      <c r="J3425" s="24"/>
      <c r="K3425" s="24"/>
      <c r="M3425" s="24"/>
      <c r="N3425" s="24"/>
      <c r="P3425" s="24"/>
    </row>
    <row r="3426" spans="2:16" x14ac:dyDescent="0.25">
      <c r="B3426" s="24"/>
      <c r="E3426" s="24"/>
      <c r="G3426" s="24"/>
      <c r="H3426" s="24"/>
      <c r="J3426" s="24"/>
      <c r="K3426" s="24"/>
      <c r="M3426" s="24"/>
      <c r="N3426" s="24"/>
      <c r="P3426" s="24"/>
    </row>
    <row r="3427" spans="2:16" x14ac:dyDescent="0.25">
      <c r="B3427" s="24"/>
      <c r="E3427" s="24"/>
      <c r="G3427" s="24"/>
      <c r="H3427" s="24"/>
      <c r="J3427" s="24"/>
      <c r="K3427" s="24"/>
      <c r="M3427" s="24"/>
      <c r="N3427" s="24"/>
      <c r="P3427" s="24"/>
    </row>
    <row r="3428" spans="2:16" x14ac:dyDescent="0.25">
      <c r="B3428" s="24"/>
      <c r="E3428" s="24"/>
      <c r="G3428" s="24"/>
      <c r="H3428" s="24"/>
      <c r="J3428" s="24"/>
      <c r="K3428" s="24"/>
      <c r="M3428" s="24"/>
      <c r="N3428" s="24"/>
      <c r="P3428" s="24"/>
    </row>
    <row r="3429" spans="2:16" x14ac:dyDescent="0.25">
      <c r="B3429" s="24"/>
      <c r="E3429" s="24"/>
      <c r="G3429" s="24"/>
      <c r="H3429" s="24"/>
      <c r="J3429" s="24"/>
      <c r="K3429" s="24"/>
      <c r="M3429" s="24"/>
      <c r="N3429" s="24"/>
      <c r="P3429" s="24"/>
    </row>
    <row r="3430" spans="2:16" x14ac:dyDescent="0.25">
      <c r="B3430" s="24"/>
      <c r="E3430" s="24"/>
      <c r="G3430" s="24"/>
      <c r="H3430" s="24"/>
      <c r="J3430" s="24"/>
      <c r="K3430" s="24"/>
      <c r="M3430" s="24"/>
      <c r="N3430" s="24"/>
      <c r="P3430" s="24"/>
    </row>
    <row r="3431" spans="2:16" x14ac:dyDescent="0.25">
      <c r="B3431" s="24"/>
      <c r="E3431" s="24"/>
      <c r="G3431" s="24"/>
      <c r="H3431" s="24"/>
      <c r="J3431" s="24"/>
      <c r="K3431" s="24"/>
      <c r="M3431" s="24"/>
      <c r="N3431" s="24"/>
      <c r="P3431" s="24"/>
    </row>
    <row r="3432" spans="2:16" x14ac:dyDescent="0.25">
      <c r="B3432" s="24"/>
      <c r="E3432" s="24"/>
      <c r="G3432" s="24"/>
      <c r="H3432" s="24"/>
      <c r="J3432" s="24"/>
      <c r="K3432" s="24"/>
      <c r="M3432" s="24"/>
      <c r="N3432" s="24"/>
      <c r="P3432" s="24"/>
    </row>
    <row r="3433" spans="2:16" x14ac:dyDescent="0.25">
      <c r="B3433" s="24"/>
      <c r="E3433" s="24"/>
      <c r="G3433" s="24"/>
      <c r="H3433" s="24"/>
      <c r="J3433" s="24"/>
      <c r="K3433" s="24"/>
      <c r="M3433" s="24"/>
      <c r="N3433" s="24"/>
      <c r="P3433" s="24"/>
    </row>
    <row r="3434" spans="2:16" x14ac:dyDescent="0.25">
      <c r="B3434" s="24"/>
      <c r="E3434" s="24"/>
      <c r="G3434" s="24"/>
      <c r="H3434" s="24"/>
      <c r="J3434" s="24"/>
      <c r="K3434" s="24"/>
      <c r="M3434" s="24"/>
      <c r="N3434" s="24"/>
      <c r="P3434" s="24"/>
    </row>
    <row r="3435" spans="2:16" x14ac:dyDescent="0.25">
      <c r="B3435" s="24"/>
      <c r="E3435" s="24"/>
      <c r="G3435" s="24"/>
      <c r="H3435" s="24"/>
      <c r="J3435" s="24"/>
      <c r="K3435" s="24"/>
      <c r="M3435" s="24"/>
      <c r="N3435" s="24"/>
      <c r="P3435" s="24"/>
    </row>
    <row r="3436" spans="2:16" x14ac:dyDescent="0.25">
      <c r="B3436" s="24"/>
      <c r="E3436" s="24"/>
      <c r="G3436" s="24"/>
      <c r="H3436" s="24"/>
      <c r="J3436" s="24"/>
      <c r="K3436" s="24"/>
      <c r="M3436" s="24"/>
      <c r="N3436" s="24"/>
      <c r="P3436" s="24"/>
    </row>
    <row r="3437" spans="2:16" x14ac:dyDescent="0.25">
      <c r="B3437" s="24"/>
      <c r="E3437" s="24"/>
      <c r="G3437" s="24"/>
      <c r="H3437" s="24"/>
      <c r="J3437" s="24"/>
      <c r="K3437" s="24"/>
      <c r="M3437" s="24"/>
      <c r="N3437" s="24"/>
      <c r="P3437" s="24"/>
    </row>
    <row r="3438" spans="2:16" x14ac:dyDescent="0.25">
      <c r="B3438" s="24"/>
      <c r="E3438" s="24"/>
      <c r="G3438" s="24"/>
      <c r="H3438" s="24"/>
      <c r="J3438" s="24"/>
      <c r="K3438" s="24"/>
      <c r="M3438" s="24"/>
      <c r="N3438" s="24"/>
      <c r="P3438" s="24"/>
    </row>
    <row r="3439" spans="2:16" x14ac:dyDescent="0.25">
      <c r="B3439" s="24"/>
      <c r="E3439" s="24"/>
      <c r="G3439" s="24"/>
      <c r="H3439" s="24"/>
      <c r="J3439" s="24"/>
      <c r="K3439" s="24"/>
      <c r="M3439" s="24"/>
      <c r="N3439" s="24"/>
      <c r="P3439" s="24"/>
    </row>
    <row r="3440" spans="2:16" x14ac:dyDescent="0.25">
      <c r="B3440" s="24"/>
      <c r="E3440" s="24"/>
      <c r="G3440" s="24"/>
      <c r="H3440" s="24"/>
      <c r="J3440" s="24"/>
      <c r="K3440" s="24"/>
      <c r="M3440" s="24"/>
      <c r="N3440" s="24"/>
      <c r="P3440" s="24"/>
    </row>
    <row r="3441" spans="2:16" x14ac:dyDescent="0.25">
      <c r="B3441" s="24"/>
      <c r="E3441" s="24"/>
      <c r="G3441" s="24"/>
      <c r="H3441" s="24"/>
      <c r="J3441" s="24"/>
      <c r="K3441" s="24"/>
      <c r="M3441" s="24"/>
      <c r="N3441" s="24"/>
      <c r="P3441" s="24"/>
    </row>
    <row r="3442" spans="2:16" x14ac:dyDescent="0.25">
      <c r="B3442" s="24"/>
      <c r="E3442" s="24"/>
      <c r="G3442" s="24"/>
      <c r="H3442" s="24"/>
      <c r="J3442" s="24"/>
      <c r="K3442" s="24"/>
      <c r="M3442" s="24"/>
      <c r="N3442" s="24"/>
      <c r="P3442" s="24"/>
    </row>
    <row r="3443" spans="2:16" x14ac:dyDescent="0.25">
      <c r="B3443" s="24"/>
      <c r="E3443" s="24"/>
      <c r="G3443" s="24"/>
      <c r="H3443" s="24"/>
      <c r="J3443" s="24"/>
      <c r="K3443" s="24"/>
      <c r="M3443" s="24"/>
      <c r="N3443" s="24"/>
      <c r="P3443" s="24"/>
    </row>
    <row r="3444" spans="2:16" x14ac:dyDescent="0.25">
      <c r="B3444" s="24"/>
      <c r="E3444" s="24"/>
      <c r="G3444" s="24"/>
      <c r="H3444" s="24"/>
      <c r="J3444" s="24"/>
      <c r="K3444" s="24"/>
      <c r="M3444" s="24"/>
      <c r="N3444" s="24"/>
      <c r="P3444" s="24"/>
    </row>
    <row r="3445" spans="2:16" x14ac:dyDescent="0.25">
      <c r="B3445" s="24"/>
      <c r="E3445" s="24"/>
      <c r="G3445" s="24"/>
      <c r="H3445" s="24"/>
      <c r="J3445" s="24"/>
      <c r="K3445" s="24"/>
      <c r="M3445" s="24"/>
      <c r="N3445" s="24"/>
      <c r="P3445" s="24"/>
    </row>
    <row r="3446" spans="2:16" x14ac:dyDescent="0.25">
      <c r="B3446" s="24"/>
      <c r="E3446" s="24"/>
      <c r="G3446" s="24"/>
      <c r="H3446" s="24"/>
      <c r="J3446" s="24"/>
      <c r="K3446" s="24"/>
      <c r="M3446" s="24"/>
      <c r="N3446" s="24"/>
      <c r="P3446" s="24"/>
    </row>
    <row r="3447" spans="2:16" x14ac:dyDescent="0.25">
      <c r="B3447" s="24"/>
      <c r="E3447" s="24"/>
      <c r="G3447" s="24"/>
      <c r="H3447" s="24"/>
      <c r="J3447" s="24"/>
      <c r="K3447" s="24"/>
      <c r="M3447" s="24"/>
      <c r="N3447" s="24"/>
      <c r="P3447" s="24"/>
    </row>
    <row r="3448" spans="2:16" x14ac:dyDescent="0.25">
      <c r="B3448" s="24"/>
      <c r="E3448" s="24"/>
      <c r="G3448" s="24"/>
      <c r="H3448" s="24"/>
      <c r="J3448" s="24"/>
      <c r="K3448" s="24"/>
      <c r="M3448" s="24"/>
      <c r="N3448" s="24"/>
      <c r="P3448" s="24"/>
    </row>
    <row r="3449" spans="2:16" x14ac:dyDescent="0.25">
      <c r="B3449" s="24"/>
      <c r="E3449" s="24"/>
      <c r="G3449" s="24"/>
      <c r="H3449" s="24"/>
      <c r="J3449" s="24"/>
      <c r="K3449" s="24"/>
      <c r="M3449" s="24"/>
      <c r="N3449" s="24"/>
      <c r="P3449" s="24"/>
    </row>
    <row r="3450" spans="2:16" x14ac:dyDescent="0.25">
      <c r="B3450" s="24"/>
      <c r="E3450" s="24"/>
      <c r="G3450" s="24"/>
      <c r="H3450" s="24"/>
      <c r="J3450" s="24"/>
      <c r="K3450" s="24"/>
      <c r="M3450" s="24"/>
      <c r="N3450" s="24"/>
      <c r="P3450" s="24"/>
    </row>
    <row r="3451" spans="2:16" x14ac:dyDescent="0.25">
      <c r="B3451" s="24"/>
      <c r="E3451" s="24"/>
      <c r="G3451" s="24"/>
      <c r="H3451" s="24"/>
      <c r="J3451" s="24"/>
      <c r="K3451" s="24"/>
      <c r="M3451" s="24"/>
      <c r="N3451" s="24"/>
      <c r="P3451" s="24"/>
    </row>
    <row r="3452" spans="2:16" x14ac:dyDescent="0.25">
      <c r="B3452" s="24"/>
      <c r="E3452" s="24"/>
      <c r="G3452" s="24"/>
      <c r="H3452" s="24"/>
      <c r="J3452" s="24"/>
      <c r="K3452" s="24"/>
      <c r="M3452" s="24"/>
      <c r="N3452" s="24"/>
      <c r="P3452" s="24"/>
    </row>
    <row r="3453" spans="2:16" x14ac:dyDescent="0.25">
      <c r="B3453" s="24"/>
      <c r="E3453" s="24"/>
      <c r="G3453" s="24"/>
      <c r="H3453" s="24"/>
      <c r="J3453" s="24"/>
      <c r="K3453" s="24"/>
      <c r="M3453" s="24"/>
      <c r="N3453" s="24"/>
      <c r="P3453" s="24"/>
    </row>
    <row r="3454" spans="2:16" x14ac:dyDescent="0.25">
      <c r="B3454" s="24"/>
      <c r="E3454" s="24"/>
      <c r="G3454" s="24"/>
      <c r="H3454" s="24"/>
      <c r="J3454" s="24"/>
      <c r="K3454" s="24"/>
      <c r="M3454" s="24"/>
      <c r="N3454" s="24"/>
      <c r="P3454" s="24"/>
    </row>
    <row r="3455" spans="2:16" x14ac:dyDescent="0.25">
      <c r="B3455" s="24"/>
      <c r="E3455" s="24"/>
      <c r="G3455" s="24"/>
      <c r="H3455" s="24"/>
      <c r="J3455" s="24"/>
      <c r="K3455" s="24"/>
      <c r="M3455" s="24"/>
      <c r="N3455" s="24"/>
      <c r="P3455" s="24"/>
    </row>
    <row r="3456" spans="2:16" x14ac:dyDescent="0.25">
      <c r="B3456" s="24"/>
      <c r="E3456" s="24"/>
      <c r="G3456" s="24"/>
      <c r="H3456" s="24"/>
      <c r="J3456" s="24"/>
      <c r="K3456" s="24"/>
      <c r="M3456" s="24"/>
      <c r="N3456" s="24"/>
      <c r="P3456" s="24"/>
    </row>
    <row r="3457" spans="2:16" x14ac:dyDescent="0.25">
      <c r="B3457" s="24"/>
      <c r="E3457" s="24"/>
      <c r="G3457" s="24"/>
      <c r="H3457" s="24"/>
      <c r="J3457" s="24"/>
      <c r="K3457" s="24"/>
      <c r="M3457" s="24"/>
      <c r="N3457" s="24"/>
      <c r="P3457" s="24"/>
    </row>
    <row r="3458" spans="2:16" x14ac:dyDescent="0.25">
      <c r="B3458" s="24"/>
      <c r="E3458" s="24"/>
      <c r="G3458" s="24"/>
      <c r="H3458" s="24"/>
      <c r="J3458" s="24"/>
      <c r="K3458" s="24"/>
      <c r="M3458" s="24"/>
      <c r="N3458" s="24"/>
      <c r="P3458" s="24"/>
    </row>
    <row r="3459" spans="2:16" x14ac:dyDescent="0.25">
      <c r="B3459" s="24"/>
      <c r="E3459" s="24"/>
      <c r="G3459" s="24"/>
      <c r="H3459" s="24"/>
      <c r="J3459" s="24"/>
      <c r="K3459" s="24"/>
      <c r="M3459" s="24"/>
      <c r="N3459" s="24"/>
      <c r="P3459" s="24"/>
    </row>
    <row r="3460" spans="2:16" x14ac:dyDescent="0.25">
      <c r="B3460" s="24"/>
      <c r="E3460" s="24"/>
      <c r="G3460" s="24"/>
      <c r="H3460" s="24"/>
      <c r="J3460" s="24"/>
      <c r="K3460" s="24"/>
      <c r="M3460" s="24"/>
      <c r="N3460" s="24"/>
      <c r="P3460" s="24"/>
    </row>
    <row r="3461" spans="2:16" x14ac:dyDescent="0.25">
      <c r="B3461" s="24"/>
      <c r="E3461" s="24"/>
      <c r="G3461" s="24"/>
      <c r="H3461" s="24"/>
      <c r="J3461" s="24"/>
      <c r="K3461" s="24"/>
      <c r="M3461" s="24"/>
      <c r="N3461" s="24"/>
      <c r="P3461" s="24"/>
    </row>
    <row r="3462" spans="2:16" x14ac:dyDescent="0.25">
      <c r="B3462" s="24"/>
      <c r="E3462" s="24"/>
      <c r="G3462" s="24"/>
      <c r="H3462" s="24"/>
      <c r="J3462" s="24"/>
      <c r="K3462" s="24"/>
      <c r="M3462" s="24"/>
      <c r="N3462" s="24"/>
      <c r="P3462" s="24"/>
    </row>
    <row r="3463" spans="2:16" x14ac:dyDescent="0.25">
      <c r="B3463" s="24"/>
      <c r="E3463" s="24"/>
      <c r="G3463" s="24"/>
      <c r="H3463" s="24"/>
      <c r="J3463" s="24"/>
      <c r="K3463" s="24"/>
      <c r="M3463" s="24"/>
      <c r="N3463" s="24"/>
      <c r="P3463" s="24"/>
    </row>
    <row r="3464" spans="2:16" x14ac:dyDescent="0.25">
      <c r="B3464" s="24"/>
      <c r="E3464" s="24"/>
      <c r="G3464" s="24"/>
      <c r="H3464" s="24"/>
      <c r="J3464" s="24"/>
      <c r="K3464" s="24"/>
      <c r="M3464" s="24"/>
      <c r="N3464" s="24"/>
      <c r="P3464" s="24"/>
    </row>
    <row r="3465" spans="2:16" x14ac:dyDescent="0.25">
      <c r="B3465" s="24"/>
      <c r="E3465" s="24"/>
      <c r="G3465" s="24"/>
      <c r="H3465" s="24"/>
      <c r="J3465" s="24"/>
      <c r="K3465" s="24"/>
      <c r="M3465" s="24"/>
      <c r="N3465" s="24"/>
      <c r="P3465" s="24"/>
    </row>
    <row r="3466" spans="2:16" x14ac:dyDescent="0.25">
      <c r="B3466" s="24"/>
      <c r="E3466" s="24"/>
      <c r="G3466" s="24"/>
      <c r="H3466" s="24"/>
      <c r="J3466" s="24"/>
      <c r="K3466" s="24"/>
      <c r="M3466" s="24"/>
      <c r="N3466" s="24"/>
      <c r="P3466" s="24"/>
    </row>
    <row r="3467" spans="2:16" x14ac:dyDescent="0.25">
      <c r="B3467" s="24"/>
      <c r="E3467" s="24"/>
      <c r="G3467" s="24"/>
      <c r="H3467" s="24"/>
      <c r="J3467" s="24"/>
      <c r="K3467" s="24"/>
      <c r="M3467" s="24"/>
      <c r="N3467" s="24"/>
      <c r="P3467" s="24"/>
    </row>
    <row r="3468" spans="2:16" x14ac:dyDescent="0.25">
      <c r="B3468" s="24"/>
      <c r="E3468" s="24"/>
      <c r="G3468" s="24"/>
      <c r="H3468" s="24"/>
      <c r="J3468" s="24"/>
      <c r="K3468" s="24"/>
      <c r="M3468" s="24"/>
      <c r="N3468" s="24"/>
      <c r="P3468" s="24"/>
    </row>
    <row r="3469" spans="2:16" x14ac:dyDescent="0.25">
      <c r="B3469" s="24"/>
      <c r="E3469" s="24"/>
      <c r="G3469" s="24"/>
      <c r="H3469" s="24"/>
      <c r="J3469" s="24"/>
      <c r="K3469" s="24"/>
      <c r="M3469" s="24"/>
      <c r="N3469" s="24"/>
      <c r="P3469" s="24"/>
    </row>
    <row r="3470" spans="2:16" x14ac:dyDescent="0.25">
      <c r="B3470" s="24"/>
      <c r="E3470" s="24"/>
      <c r="G3470" s="24"/>
      <c r="H3470" s="24"/>
      <c r="J3470" s="24"/>
      <c r="K3470" s="24"/>
      <c r="M3470" s="24"/>
      <c r="N3470" s="24"/>
      <c r="P3470" s="24"/>
    </row>
    <row r="3471" spans="2:16" x14ac:dyDescent="0.25">
      <c r="B3471" s="24"/>
      <c r="E3471" s="24"/>
      <c r="G3471" s="24"/>
      <c r="H3471" s="24"/>
      <c r="J3471" s="24"/>
      <c r="K3471" s="24"/>
      <c r="M3471" s="24"/>
      <c r="N3471" s="24"/>
      <c r="P3471" s="24"/>
    </row>
    <row r="3472" spans="2:16" x14ac:dyDescent="0.25">
      <c r="B3472" s="24"/>
      <c r="E3472" s="24"/>
      <c r="G3472" s="24"/>
      <c r="H3472" s="24"/>
      <c r="J3472" s="24"/>
      <c r="K3472" s="24"/>
      <c r="M3472" s="24"/>
      <c r="N3472" s="24"/>
      <c r="P3472" s="24"/>
    </row>
    <row r="3473" spans="2:16" x14ac:dyDescent="0.25">
      <c r="B3473" s="24"/>
      <c r="E3473" s="24"/>
      <c r="G3473" s="24"/>
      <c r="H3473" s="24"/>
      <c r="J3473" s="24"/>
      <c r="K3473" s="24"/>
      <c r="M3473" s="24"/>
      <c r="N3473" s="24"/>
      <c r="P3473" s="24"/>
    </row>
    <row r="3474" spans="2:16" x14ac:dyDescent="0.25">
      <c r="B3474" s="24"/>
      <c r="E3474" s="24"/>
      <c r="G3474" s="24"/>
      <c r="H3474" s="24"/>
      <c r="J3474" s="24"/>
      <c r="K3474" s="24"/>
      <c r="M3474" s="24"/>
      <c r="N3474" s="24"/>
      <c r="P3474" s="24"/>
    </row>
    <row r="3475" spans="2:16" x14ac:dyDescent="0.25">
      <c r="B3475" s="24"/>
      <c r="E3475" s="24"/>
      <c r="G3475" s="24"/>
      <c r="H3475" s="24"/>
      <c r="J3475" s="24"/>
      <c r="K3475" s="24"/>
      <c r="M3475" s="24"/>
      <c r="N3475" s="24"/>
      <c r="P3475" s="24"/>
    </row>
    <row r="3476" spans="2:16" x14ac:dyDescent="0.25">
      <c r="B3476" s="24"/>
      <c r="E3476" s="24"/>
      <c r="G3476" s="24"/>
      <c r="H3476" s="24"/>
      <c r="J3476" s="24"/>
      <c r="K3476" s="24"/>
      <c r="M3476" s="24"/>
      <c r="N3476" s="24"/>
      <c r="P3476" s="24"/>
    </row>
    <row r="3477" spans="2:16" x14ac:dyDescent="0.25">
      <c r="B3477" s="24"/>
      <c r="E3477" s="24"/>
      <c r="G3477" s="24"/>
      <c r="H3477" s="24"/>
      <c r="J3477" s="24"/>
      <c r="K3477" s="24"/>
      <c r="M3477" s="24"/>
      <c r="N3477" s="24"/>
      <c r="P3477" s="24"/>
    </row>
    <row r="3478" spans="2:16" x14ac:dyDescent="0.25">
      <c r="B3478" s="24"/>
      <c r="E3478" s="24"/>
      <c r="G3478" s="24"/>
      <c r="H3478" s="24"/>
      <c r="J3478" s="24"/>
      <c r="K3478" s="24"/>
      <c r="M3478" s="24"/>
      <c r="N3478" s="24"/>
      <c r="P3478" s="24"/>
    </row>
    <row r="3479" spans="2:16" x14ac:dyDescent="0.25">
      <c r="B3479" s="24"/>
      <c r="E3479" s="24"/>
      <c r="G3479" s="24"/>
      <c r="H3479" s="24"/>
      <c r="J3479" s="24"/>
      <c r="K3479" s="24"/>
      <c r="M3479" s="24"/>
      <c r="N3479" s="24"/>
      <c r="P3479" s="24"/>
    </row>
    <row r="3480" spans="2:16" x14ac:dyDescent="0.25">
      <c r="B3480" s="24"/>
      <c r="E3480" s="24"/>
      <c r="G3480" s="24"/>
      <c r="H3480" s="24"/>
      <c r="J3480" s="24"/>
      <c r="K3480" s="24"/>
      <c r="M3480" s="24"/>
      <c r="N3480" s="24"/>
      <c r="P3480" s="24"/>
    </row>
    <row r="3481" spans="2:16" x14ac:dyDescent="0.25">
      <c r="B3481" s="24"/>
      <c r="E3481" s="24"/>
      <c r="G3481" s="24"/>
      <c r="H3481" s="24"/>
      <c r="J3481" s="24"/>
      <c r="K3481" s="24"/>
      <c r="M3481" s="24"/>
      <c r="N3481" s="24"/>
      <c r="P3481" s="24"/>
    </row>
    <row r="3482" spans="2:16" x14ac:dyDescent="0.25">
      <c r="B3482" s="24"/>
      <c r="E3482" s="24"/>
      <c r="G3482" s="24"/>
      <c r="H3482" s="24"/>
      <c r="J3482" s="24"/>
      <c r="K3482" s="24"/>
      <c r="M3482" s="24"/>
      <c r="N3482" s="24"/>
      <c r="P3482" s="24"/>
    </row>
    <row r="3483" spans="2:16" x14ac:dyDescent="0.25">
      <c r="B3483" s="24"/>
      <c r="E3483" s="24"/>
      <c r="G3483" s="24"/>
      <c r="H3483" s="24"/>
      <c r="J3483" s="24"/>
      <c r="K3483" s="24"/>
      <c r="M3483" s="24"/>
      <c r="N3483" s="24"/>
      <c r="P3483" s="24"/>
    </row>
    <row r="3484" spans="2:16" x14ac:dyDescent="0.25">
      <c r="B3484" s="24"/>
      <c r="E3484" s="24"/>
      <c r="G3484" s="24"/>
      <c r="H3484" s="24"/>
      <c r="J3484" s="24"/>
      <c r="K3484" s="24"/>
      <c r="M3484" s="24"/>
      <c r="N3484" s="24"/>
      <c r="P3484" s="24"/>
    </row>
    <row r="3485" spans="2:16" x14ac:dyDescent="0.25">
      <c r="B3485" s="24"/>
      <c r="E3485" s="24"/>
      <c r="G3485" s="24"/>
      <c r="H3485" s="24"/>
      <c r="J3485" s="24"/>
      <c r="K3485" s="24"/>
      <c r="M3485" s="24"/>
      <c r="N3485" s="24"/>
      <c r="P3485" s="24"/>
    </row>
    <row r="3486" spans="2:16" x14ac:dyDescent="0.25">
      <c r="B3486" s="24"/>
      <c r="E3486" s="24"/>
      <c r="G3486" s="24"/>
      <c r="H3486" s="24"/>
      <c r="J3486" s="24"/>
      <c r="K3486" s="24"/>
      <c r="M3486" s="24"/>
      <c r="N3486" s="24"/>
      <c r="P3486" s="24"/>
    </row>
    <row r="3487" spans="2:16" x14ac:dyDescent="0.25">
      <c r="B3487" s="24"/>
      <c r="E3487" s="24"/>
      <c r="G3487" s="24"/>
      <c r="H3487" s="24"/>
      <c r="J3487" s="24"/>
      <c r="K3487" s="24"/>
      <c r="M3487" s="24"/>
      <c r="N3487" s="24"/>
      <c r="P3487" s="24"/>
    </row>
    <row r="3488" spans="2:16" x14ac:dyDescent="0.25">
      <c r="B3488" s="24"/>
      <c r="E3488" s="24"/>
      <c r="G3488" s="24"/>
      <c r="H3488" s="24"/>
      <c r="J3488" s="24"/>
      <c r="K3488" s="24"/>
      <c r="M3488" s="24"/>
      <c r="N3488" s="24"/>
      <c r="P3488" s="24"/>
    </row>
    <row r="3489" spans="2:16" x14ac:dyDescent="0.25">
      <c r="B3489" s="24"/>
      <c r="E3489" s="24"/>
      <c r="G3489" s="24"/>
      <c r="H3489" s="24"/>
      <c r="J3489" s="24"/>
      <c r="K3489" s="24"/>
      <c r="M3489" s="24"/>
      <c r="N3489" s="24"/>
      <c r="P3489" s="24"/>
    </row>
    <row r="3490" spans="2:16" x14ac:dyDescent="0.25">
      <c r="B3490" s="24"/>
      <c r="E3490" s="24"/>
      <c r="G3490" s="24"/>
      <c r="H3490" s="24"/>
      <c r="J3490" s="24"/>
      <c r="K3490" s="24"/>
      <c r="M3490" s="24"/>
      <c r="N3490" s="24"/>
      <c r="P3490" s="24"/>
    </row>
    <row r="3491" spans="2:16" x14ac:dyDescent="0.25">
      <c r="B3491" s="24"/>
      <c r="E3491" s="24"/>
      <c r="G3491" s="24"/>
      <c r="H3491" s="24"/>
      <c r="J3491" s="24"/>
      <c r="K3491" s="24"/>
      <c r="M3491" s="24"/>
      <c r="N3491" s="24"/>
      <c r="P3491" s="24"/>
    </row>
    <row r="3492" spans="2:16" x14ac:dyDescent="0.25">
      <c r="B3492" s="24"/>
      <c r="E3492" s="24"/>
      <c r="G3492" s="24"/>
      <c r="H3492" s="24"/>
      <c r="J3492" s="24"/>
      <c r="K3492" s="24"/>
      <c r="M3492" s="24"/>
      <c r="N3492" s="24"/>
      <c r="P3492" s="24"/>
    </row>
    <row r="3493" spans="2:16" x14ac:dyDescent="0.25">
      <c r="B3493" s="24"/>
      <c r="E3493" s="24"/>
      <c r="G3493" s="24"/>
      <c r="H3493" s="24"/>
      <c r="J3493" s="24"/>
      <c r="K3493" s="24"/>
      <c r="M3493" s="24"/>
      <c r="N3493" s="24"/>
      <c r="P3493" s="24"/>
    </row>
    <row r="3494" spans="2:16" x14ac:dyDescent="0.25">
      <c r="B3494" s="24"/>
      <c r="E3494" s="24"/>
      <c r="G3494" s="24"/>
      <c r="H3494" s="24"/>
      <c r="J3494" s="24"/>
      <c r="K3494" s="24"/>
      <c r="M3494" s="24"/>
      <c r="N3494" s="24"/>
      <c r="P3494" s="24"/>
    </row>
    <row r="3495" spans="2:16" x14ac:dyDescent="0.25">
      <c r="B3495" s="24"/>
      <c r="E3495" s="24"/>
      <c r="G3495" s="24"/>
      <c r="H3495" s="24"/>
      <c r="J3495" s="24"/>
      <c r="K3495" s="24"/>
      <c r="M3495" s="24"/>
      <c r="N3495" s="24"/>
      <c r="P3495" s="24"/>
    </row>
    <row r="3496" spans="2:16" x14ac:dyDescent="0.25">
      <c r="B3496" s="24"/>
      <c r="E3496" s="24"/>
      <c r="G3496" s="24"/>
      <c r="H3496" s="24"/>
      <c r="J3496" s="24"/>
      <c r="K3496" s="24"/>
      <c r="M3496" s="24"/>
      <c r="N3496" s="24"/>
      <c r="P3496" s="24"/>
    </row>
    <row r="3497" spans="2:16" x14ac:dyDescent="0.25">
      <c r="B3497" s="24"/>
      <c r="E3497" s="24"/>
      <c r="G3497" s="24"/>
      <c r="H3497" s="24"/>
      <c r="J3497" s="24"/>
      <c r="K3497" s="24"/>
      <c r="M3497" s="24"/>
      <c r="N3497" s="24"/>
      <c r="P3497" s="24"/>
    </row>
    <row r="3498" spans="2:16" x14ac:dyDescent="0.25">
      <c r="B3498" s="24"/>
      <c r="E3498" s="24"/>
      <c r="G3498" s="24"/>
      <c r="H3498" s="24"/>
      <c r="J3498" s="24"/>
      <c r="K3498" s="24"/>
      <c r="M3498" s="24"/>
      <c r="N3498" s="24"/>
      <c r="P3498" s="24"/>
    </row>
    <row r="3499" spans="2:16" x14ac:dyDescent="0.25">
      <c r="B3499" s="24"/>
      <c r="E3499" s="24"/>
      <c r="G3499" s="24"/>
      <c r="H3499" s="24"/>
      <c r="J3499" s="24"/>
      <c r="K3499" s="24"/>
      <c r="M3499" s="24"/>
      <c r="N3499" s="24"/>
      <c r="P3499" s="24"/>
    </row>
    <row r="3500" spans="2:16" x14ac:dyDescent="0.25">
      <c r="B3500" s="24"/>
      <c r="E3500" s="24"/>
      <c r="G3500" s="24"/>
      <c r="H3500" s="24"/>
      <c r="J3500" s="24"/>
      <c r="K3500" s="24"/>
      <c r="M3500" s="24"/>
      <c r="N3500" s="24"/>
      <c r="P3500" s="24"/>
    </row>
    <row r="3501" spans="2:16" x14ac:dyDescent="0.25">
      <c r="B3501" s="24"/>
      <c r="E3501" s="24"/>
      <c r="G3501" s="24"/>
      <c r="H3501" s="24"/>
      <c r="J3501" s="24"/>
      <c r="K3501" s="24"/>
      <c r="M3501" s="24"/>
      <c r="N3501" s="24"/>
      <c r="P3501" s="24"/>
    </row>
    <row r="3502" spans="2:16" x14ac:dyDescent="0.25">
      <c r="B3502" s="24"/>
      <c r="E3502" s="24"/>
      <c r="G3502" s="24"/>
      <c r="H3502" s="24"/>
      <c r="J3502" s="24"/>
      <c r="K3502" s="24"/>
      <c r="M3502" s="24"/>
      <c r="N3502" s="24"/>
      <c r="P3502" s="24"/>
    </row>
    <row r="3503" spans="2:16" x14ac:dyDescent="0.25">
      <c r="B3503" s="24"/>
      <c r="E3503" s="24"/>
      <c r="G3503" s="24"/>
      <c r="H3503" s="24"/>
      <c r="J3503" s="24"/>
      <c r="K3503" s="24"/>
      <c r="M3503" s="24"/>
      <c r="N3503" s="24"/>
      <c r="P3503" s="24"/>
    </row>
    <row r="3504" spans="2:16" x14ac:dyDescent="0.25">
      <c r="B3504" s="24"/>
      <c r="E3504" s="24"/>
      <c r="G3504" s="24"/>
      <c r="H3504" s="24"/>
      <c r="J3504" s="24"/>
      <c r="K3504" s="24"/>
      <c r="M3504" s="24"/>
      <c r="N3504" s="24"/>
      <c r="P3504" s="24"/>
    </row>
    <row r="3505" spans="2:16" x14ac:dyDescent="0.25">
      <c r="B3505" s="24"/>
      <c r="E3505" s="24"/>
      <c r="G3505" s="24"/>
      <c r="H3505" s="24"/>
      <c r="J3505" s="24"/>
      <c r="K3505" s="24"/>
      <c r="M3505" s="24"/>
      <c r="N3505" s="24"/>
      <c r="P3505" s="24"/>
    </row>
    <row r="3506" spans="2:16" x14ac:dyDescent="0.25">
      <c r="B3506" s="24"/>
      <c r="E3506" s="24"/>
      <c r="G3506" s="24"/>
      <c r="H3506" s="24"/>
      <c r="J3506" s="24"/>
      <c r="K3506" s="24"/>
      <c r="M3506" s="24"/>
      <c r="N3506" s="24"/>
      <c r="P3506" s="24"/>
    </row>
    <row r="3507" spans="2:16" x14ac:dyDescent="0.25">
      <c r="B3507" s="24"/>
      <c r="E3507" s="24"/>
      <c r="G3507" s="24"/>
      <c r="H3507" s="24"/>
      <c r="J3507" s="24"/>
      <c r="K3507" s="24"/>
      <c r="M3507" s="24"/>
      <c r="N3507" s="24"/>
      <c r="P3507" s="24"/>
    </row>
    <row r="3508" spans="2:16" x14ac:dyDescent="0.25">
      <c r="B3508" s="24"/>
      <c r="E3508" s="24"/>
      <c r="G3508" s="24"/>
      <c r="H3508" s="24"/>
      <c r="J3508" s="24"/>
      <c r="K3508" s="24"/>
      <c r="M3508" s="24"/>
      <c r="N3508" s="24"/>
      <c r="P3508" s="24"/>
    </row>
    <row r="3509" spans="2:16" x14ac:dyDescent="0.25">
      <c r="B3509" s="24"/>
      <c r="E3509" s="24"/>
      <c r="G3509" s="24"/>
      <c r="H3509" s="24"/>
      <c r="J3509" s="24"/>
      <c r="K3509" s="24"/>
      <c r="M3509" s="24"/>
      <c r="N3509" s="24"/>
      <c r="P3509" s="24"/>
    </row>
    <row r="3510" spans="2:16" x14ac:dyDescent="0.25">
      <c r="B3510" s="24"/>
      <c r="E3510" s="24"/>
      <c r="G3510" s="24"/>
      <c r="H3510" s="24"/>
      <c r="J3510" s="24"/>
      <c r="K3510" s="24"/>
      <c r="M3510" s="24"/>
      <c r="N3510" s="24"/>
      <c r="P3510" s="24"/>
    </row>
    <row r="3511" spans="2:16" x14ac:dyDescent="0.25">
      <c r="B3511" s="24"/>
      <c r="E3511" s="24"/>
      <c r="G3511" s="24"/>
      <c r="H3511" s="24"/>
      <c r="J3511" s="24"/>
      <c r="K3511" s="24"/>
      <c r="M3511" s="24"/>
      <c r="N3511" s="24"/>
      <c r="P3511" s="24"/>
    </row>
    <row r="3512" spans="2:16" x14ac:dyDescent="0.25">
      <c r="B3512" s="24"/>
      <c r="E3512" s="24"/>
      <c r="G3512" s="24"/>
      <c r="H3512" s="24"/>
      <c r="J3512" s="24"/>
      <c r="K3512" s="24"/>
      <c r="M3512" s="24"/>
      <c r="N3512" s="24"/>
      <c r="P3512" s="24"/>
    </row>
    <row r="3513" spans="2:16" x14ac:dyDescent="0.25">
      <c r="B3513" s="24"/>
      <c r="E3513" s="24"/>
      <c r="G3513" s="24"/>
      <c r="H3513" s="24"/>
      <c r="J3513" s="24"/>
      <c r="K3513" s="24"/>
      <c r="M3513" s="24"/>
      <c r="N3513" s="24"/>
      <c r="P3513" s="24"/>
    </row>
    <row r="3514" spans="2:16" x14ac:dyDescent="0.25">
      <c r="B3514" s="24"/>
      <c r="E3514" s="24"/>
      <c r="G3514" s="24"/>
      <c r="H3514" s="24"/>
      <c r="J3514" s="24"/>
      <c r="K3514" s="24"/>
      <c r="M3514" s="24"/>
      <c r="N3514" s="24"/>
      <c r="P3514" s="24"/>
    </row>
    <row r="3515" spans="2:16" x14ac:dyDescent="0.25">
      <c r="B3515" s="24"/>
      <c r="E3515" s="24"/>
      <c r="G3515" s="24"/>
      <c r="H3515" s="24"/>
      <c r="J3515" s="24"/>
      <c r="K3515" s="24"/>
      <c r="M3515" s="24"/>
      <c r="N3515" s="24"/>
      <c r="P3515" s="24"/>
    </row>
    <row r="3516" spans="2:16" x14ac:dyDescent="0.25">
      <c r="B3516" s="24"/>
      <c r="E3516" s="24"/>
      <c r="G3516" s="24"/>
      <c r="H3516" s="24"/>
      <c r="J3516" s="24"/>
      <c r="K3516" s="24"/>
      <c r="M3516" s="24"/>
      <c r="N3516" s="24"/>
      <c r="P3516" s="24"/>
    </row>
    <row r="3517" spans="2:16" x14ac:dyDescent="0.25">
      <c r="B3517" s="24"/>
      <c r="E3517" s="24"/>
      <c r="G3517" s="24"/>
      <c r="H3517" s="24"/>
      <c r="J3517" s="24"/>
      <c r="K3517" s="24"/>
      <c r="M3517" s="24"/>
      <c r="N3517" s="24"/>
      <c r="P3517" s="24"/>
    </row>
    <row r="3518" spans="2:16" x14ac:dyDescent="0.25">
      <c r="B3518" s="24"/>
      <c r="E3518" s="24"/>
      <c r="G3518" s="24"/>
      <c r="H3518" s="24"/>
      <c r="J3518" s="24"/>
      <c r="K3518" s="24"/>
      <c r="M3518" s="24"/>
      <c r="N3518" s="24"/>
      <c r="P3518" s="24"/>
    </row>
    <row r="3519" spans="2:16" x14ac:dyDescent="0.25">
      <c r="B3519" s="24"/>
      <c r="E3519" s="24"/>
      <c r="G3519" s="24"/>
      <c r="H3519" s="24"/>
      <c r="J3519" s="24"/>
      <c r="K3519" s="24"/>
      <c r="M3519" s="24"/>
      <c r="N3519" s="24"/>
      <c r="P3519" s="24"/>
    </row>
    <row r="3520" spans="2:16" x14ac:dyDescent="0.25">
      <c r="B3520" s="24"/>
      <c r="E3520" s="24"/>
      <c r="G3520" s="24"/>
      <c r="H3520" s="24"/>
      <c r="J3520" s="24"/>
      <c r="K3520" s="24"/>
      <c r="M3520" s="24"/>
      <c r="N3520" s="24"/>
      <c r="P3520" s="24"/>
    </row>
    <row r="3521" spans="2:16" x14ac:dyDescent="0.25">
      <c r="B3521" s="24"/>
      <c r="E3521" s="24"/>
      <c r="G3521" s="24"/>
      <c r="H3521" s="24"/>
      <c r="J3521" s="24"/>
      <c r="K3521" s="24"/>
      <c r="M3521" s="24"/>
      <c r="N3521" s="24"/>
      <c r="P3521" s="24"/>
    </row>
    <row r="3522" spans="2:16" x14ac:dyDescent="0.25">
      <c r="B3522" s="24"/>
      <c r="E3522" s="24"/>
      <c r="G3522" s="24"/>
      <c r="H3522" s="24"/>
      <c r="J3522" s="24"/>
      <c r="K3522" s="24"/>
      <c r="M3522" s="24"/>
      <c r="N3522" s="24"/>
      <c r="P3522" s="24"/>
    </row>
    <row r="3523" spans="2:16" x14ac:dyDescent="0.25">
      <c r="B3523" s="24"/>
      <c r="E3523" s="24"/>
      <c r="G3523" s="24"/>
      <c r="H3523" s="24"/>
      <c r="J3523" s="24"/>
      <c r="K3523" s="24"/>
      <c r="M3523" s="24"/>
      <c r="N3523" s="24"/>
      <c r="P3523" s="24"/>
    </row>
    <row r="3524" spans="2:16" x14ac:dyDescent="0.25">
      <c r="B3524" s="24"/>
      <c r="E3524" s="24"/>
      <c r="G3524" s="24"/>
      <c r="H3524" s="24"/>
      <c r="J3524" s="24"/>
      <c r="K3524" s="24"/>
      <c r="M3524" s="24"/>
      <c r="N3524" s="24"/>
      <c r="P3524" s="24"/>
    </row>
    <row r="3525" spans="2:16" x14ac:dyDescent="0.25">
      <c r="B3525" s="24"/>
      <c r="E3525" s="24"/>
      <c r="G3525" s="24"/>
      <c r="H3525" s="24"/>
      <c r="J3525" s="24"/>
      <c r="K3525" s="24"/>
      <c r="M3525" s="24"/>
      <c r="N3525" s="24"/>
      <c r="P3525" s="24"/>
    </row>
    <row r="3526" spans="2:16" x14ac:dyDescent="0.25">
      <c r="B3526" s="24"/>
      <c r="E3526" s="24"/>
      <c r="G3526" s="24"/>
      <c r="H3526" s="24"/>
      <c r="J3526" s="24"/>
      <c r="K3526" s="24"/>
      <c r="M3526" s="24"/>
      <c r="N3526" s="24"/>
      <c r="P3526" s="24"/>
    </row>
    <row r="3527" spans="2:16" x14ac:dyDescent="0.25">
      <c r="B3527" s="24"/>
      <c r="E3527" s="24"/>
      <c r="G3527" s="24"/>
      <c r="H3527" s="24"/>
      <c r="J3527" s="24"/>
      <c r="K3527" s="24"/>
      <c r="M3527" s="24"/>
      <c r="N3527" s="24"/>
      <c r="P3527" s="24"/>
    </row>
    <row r="3528" spans="2:16" x14ac:dyDescent="0.25">
      <c r="B3528" s="24"/>
      <c r="E3528" s="24"/>
      <c r="G3528" s="24"/>
      <c r="H3528" s="24"/>
      <c r="J3528" s="24"/>
      <c r="K3528" s="24"/>
      <c r="M3528" s="24"/>
      <c r="N3528" s="24"/>
      <c r="P3528" s="24"/>
    </row>
    <row r="3529" spans="2:16" x14ac:dyDescent="0.25">
      <c r="B3529" s="24"/>
      <c r="E3529" s="24"/>
      <c r="G3529" s="24"/>
      <c r="H3529" s="24"/>
      <c r="J3529" s="24"/>
      <c r="K3529" s="24"/>
      <c r="M3529" s="24"/>
      <c r="N3529" s="24"/>
      <c r="P3529" s="24"/>
    </row>
    <row r="3530" spans="2:16" x14ac:dyDescent="0.25">
      <c r="B3530" s="24"/>
      <c r="E3530" s="24"/>
      <c r="G3530" s="24"/>
      <c r="H3530" s="24"/>
      <c r="J3530" s="24"/>
      <c r="K3530" s="24"/>
      <c r="M3530" s="24"/>
      <c r="N3530" s="24"/>
      <c r="P3530" s="24"/>
    </row>
    <row r="3531" spans="2:16" x14ac:dyDescent="0.25">
      <c r="B3531" s="24"/>
      <c r="E3531" s="24"/>
      <c r="G3531" s="24"/>
      <c r="H3531" s="24"/>
      <c r="J3531" s="24"/>
      <c r="K3531" s="24"/>
      <c r="M3531" s="24"/>
      <c r="N3531" s="24"/>
      <c r="P3531" s="24"/>
    </row>
    <row r="3532" spans="2:16" x14ac:dyDescent="0.25">
      <c r="B3532" s="24"/>
      <c r="E3532" s="24"/>
      <c r="G3532" s="24"/>
      <c r="H3532" s="24"/>
      <c r="J3532" s="24"/>
      <c r="K3532" s="24"/>
      <c r="M3532" s="24"/>
      <c r="N3532" s="24"/>
      <c r="P3532" s="24"/>
    </row>
    <row r="3533" spans="2:16" x14ac:dyDescent="0.25">
      <c r="B3533" s="24"/>
      <c r="E3533" s="24"/>
      <c r="G3533" s="24"/>
      <c r="H3533" s="24"/>
      <c r="J3533" s="24"/>
      <c r="K3533" s="24"/>
      <c r="M3533" s="24"/>
      <c r="N3533" s="24"/>
      <c r="P3533" s="24"/>
    </row>
    <row r="3534" spans="2:16" x14ac:dyDescent="0.25">
      <c r="B3534" s="24"/>
      <c r="E3534" s="24"/>
      <c r="G3534" s="24"/>
      <c r="H3534" s="24"/>
      <c r="J3534" s="24"/>
      <c r="K3534" s="24"/>
      <c r="M3534" s="24"/>
      <c r="N3534" s="24"/>
      <c r="P3534" s="24"/>
    </row>
    <row r="3535" spans="2:16" x14ac:dyDescent="0.25">
      <c r="B3535" s="24"/>
      <c r="E3535" s="24"/>
      <c r="G3535" s="24"/>
      <c r="H3535" s="24"/>
      <c r="J3535" s="24"/>
      <c r="K3535" s="24"/>
      <c r="M3535" s="24"/>
      <c r="N3535" s="24"/>
      <c r="P3535" s="24"/>
    </row>
    <row r="3536" spans="2:16" x14ac:dyDescent="0.25">
      <c r="B3536" s="24"/>
      <c r="E3536" s="24"/>
      <c r="G3536" s="24"/>
      <c r="H3536" s="24"/>
      <c r="J3536" s="24"/>
      <c r="K3536" s="24"/>
      <c r="M3536" s="24"/>
      <c r="N3536" s="24"/>
      <c r="P3536" s="24"/>
    </row>
    <row r="3537" spans="2:16" x14ac:dyDescent="0.25">
      <c r="B3537" s="24"/>
      <c r="E3537" s="24"/>
      <c r="G3537" s="24"/>
      <c r="H3537" s="24"/>
      <c r="J3537" s="24"/>
      <c r="K3537" s="24"/>
      <c r="M3537" s="24"/>
      <c r="N3537" s="24"/>
      <c r="P3537" s="24"/>
    </row>
    <row r="3538" spans="2:16" x14ac:dyDescent="0.25">
      <c r="B3538" s="24"/>
      <c r="E3538" s="24"/>
      <c r="G3538" s="24"/>
      <c r="H3538" s="24"/>
      <c r="J3538" s="24"/>
      <c r="K3538" s="24"/>
      <c r="M3538" s="24"/>
      <c r="N3538" s="24"/>
      <c r="P3538" s="24"/>
    </row>
    <row r="3539" spans="2:16" x14ac:dyDescent="0.25">
      <c r="B3539" s="24"/>
      <c r="E3539" s="24"/>
      <c r="G3539" s="24"/>
      <c r="H3539" s="24"/>
      <c r="J3539" s="24"/>
      <c r="K3539" s="24"/>
      <c r="M3539" s="24"/>
      <c r="N3539" s="24"/>
      <c r="P3539" s="24"/>
    </row>
    <row r="3540" spans="2:16" x14ac:dyDescent="0.25">
      <c r="B3540" s="24"/>
      <c r="E3540" s="24"/>
      <c r="G3540" s="24"/>
      <c r="H3540" s="24"/>
      <c r="J3540" s="24"/>
      <c r="K3540" s="24"/>
      <c r="M3540" s="24"/>
      <c r="N3540" s="24"/>
      <c r="P3540" s="24"/>
    </row>
    <row r="3541" spans="2:16" x14ac:dyDescent="0.25">
      <c r="B3541" s="24"/>
      <c r="E3541" s="24"/>
      <c r="G3541" s="24"/>
      <c r="H3541" s="24"/>
      <c r="J3541" s="24"/>
      <c r="K3541" s="24"/>
      <c r="M3541" s="24"/>
      <c r="N3541" s="24"/>
      <c r="P3541" s="24"/>
    </row>
    <row r="3542" spans="2:16" x14ac:dyDescent="0.25">
      <c r="B3542" s="24"/>
      <c r="E3542" s="24"/>
      <c r="G3542" s="24"/>
      <c r="H3542" s="24"/>
      <c r="J3542" s="24"/>
      <c r="K3542" s="24"/>
      <c r="M3542" s="24"/>
      <c r="N3542" s="24"/>
      <c r="P3542" s="24"/>
    </row>
    <row r="3543" spans="2:16" x14ac:dyDescent="0.25">
      <c r="B3543" s="24"/>
      <c r="E3543" s="24"/>
      <c r="G3543" s="24"/>
      <c r="H3543" s="24"/>
      <c r="J3543" s="24"/>
      <c r="K3543" s="24"/>
      <c r="M3543" s="24"/>
      <c r="N3543" s="24"/>
      <c r="P3543" s="24"/>
    </row>
    <row r="3544" spans="2:16" x14ac:dyDescent="0.25">
      <c r="B3544" s="24"/>
      <c r="E3544" s="24"/>
      <c r="G3544" s="24"/>
      <c r="H3544" s="24"/>
      <c r="J3544" s="24"/>
      <c r="K3544" s="24"/>
      <c r="M3544" s="24"/>
      <c r="N3544" s="24"/>
      <c r="P3544" s="24"/>
    </row>
    <row r="3545" spans="2:16" x14ac:dyDescent="0.25">
      <c r="B3545" s="24"/>
      <c r="E3545" s="24"/>
      <c r="G3545" s="24"/>
      <c r="H3545" s="24"/>
      <c r="J3545" s="24"/>
      <c r="K3545" s="24"/>
      <c r="M3545" s="24"/>
      <c r="N3545" s="24"/>
      <c r="P3545" s="24"/>
    </row>
    <row r="3546" spans="2:16" x14ac:dyDescent="0.25">
      <c r="B3546" s="24"/>
      <c r="E3546" s="24"/>
      <c r="G3546" s="24"/>
      <c r="H3546" s="24"/>
      <c r="J3546" s="24"/>
      <c r="K3546" s="24"/>
      <c r="M3546" s="24"/>
      <c r="N3546" s="24"/>
      <c r="P3546" s="24"/>
    </row>
    <row r="3547" spans="2:16" x14ac:dyDescent="0.25">
      <c r="B3547" s="24"/>
      <c r="E3547" s="24"/>
      <c r="G3547" s="24"/>
      <c r="H3547" s="24"/>
      <c r="J3547" s="24"/>
      <c r="K3547" s="24"/>
      <c r="M3547" s="24"/>
      <c r="N3547" s="24"/>
      <c r="P3547" s="24"/>
    </row>
    <row r="3548" spans="2:16" x14ac:dyDescent="0.25">
      <c r="B3548" s="24"/>
      <c r="E3548" s="24"/>
      <c r="G3548" s="24"/>
      <c r="H3548" s="24"/>
      <c r="J3548" s="24"/>
      <c r="K3548" s="24"/>
      <c r="M3548" s="24"/>
      <c r="N3548" s="24"/>
      <c r="P3548" s="24"/>
    </row>
    <row r="3549" spans="2:16" x14ac:dyDescent="0.25">
      <c r="B3549" s="24"/>
      <c r="E3549" s="24"/>
      <c r="G3549" s="24"/>
      <c r="H3549" s="24"/>
      <c r="J3549" s="24"/>
      <c r="K3549" s="24"/>
      <c r="M3549" s="24"/>
      <c r="N3549" s="24"/>
      <c r="P3549" s="24"/>
    </row>
    <row r="3550" spans="2:16" x14ac:dyDescent="0.25">
      <c r="B3550" s="24"/>
      <c r="E3550" s="24"/>
      <c r="G3550" s="24"/>
      <c r="H3550" s="24"/>
      <c r="J3550" s="24"/>
      <c r="K3550" s="24"/>
      <c r="M3550" s="24"/>
      <c r="N3550" s="24"/>
      <c r="P3550" s="24"/>
    </row>
    <row r="3551" spans="2:16" x14ac:dyDescent="0.25">
      <c r="B3551" s="24"/>
      <c r="E3551" s="24"/>
      <c r="G3551" s="24"/>
      <c r="H3551" s="24"/>
      <c r="J3551" s="24"/>
      <c r="K3551" s="24"/>
      <c r="M3551" s="24"/>
      <c r="N3551" s="24"/>
      <c r="P3551" s="24"/>
    </row>
    <row r="3552" spans="2:16" x14ac:dyDescent="0.25">
      <c r="B3552" s="24"/>
      <c r="E3552" s="24"/>
      <c r="G3552" s="24"/>
      <c r="H3552" s="24"/>
      <c r="J3552" s="24"/>
      <c r="K3552" s="24"/>
      <c r="M3552" s="24"/>
      <c r="N3552" s="24"/>
      <c r="P3552" s="24"/>
    </row>
    <row r="3553" spans="2:16" x14ac:dyDescent="0.25">
      <c r="B3553" s="24"/>
      <c r="E3553" s="24"/>
      <c r="G3553" s="24"/>
      <c r="H3553" s="24"/>
      <c r="J3553" s="24"/>
      <c r="K3553" s="24"/>
      <c r="M3553" s="24"/>
      <c r="N3553" s="24"/>
      <c r="P3553" s="24"/>
    </row>
    <row r="3554" spans="2:16" x14ac:dyDescent="0.25">
      <c r="B3554" s="24"/>
      <c r="E3554" s="24"/>
      <c r="G3554" s="24"/>
      <c r="H3554" s="24"/>
      <c r="J3554" s="24"/>
      <c r="K3554" s="24"/>
      <c r="M3554" s="24"/>
      <c r="N3554" s="24"/>
      <c r="P3554" s="24"/>
    </row>
    <row r="3555" spans="2:16" x14ac:dyDescent="0.25">
      <c r="B3555" s="24"/>
      <c r="E3555" s="24"/>
      <c r="G3555" s="24"/>
      <c r="H3555" s="24"/>
      <c r="J3555" s="24"/>
      <c r="K3555" s="24"/>
      <c r="M3555" s="24"/>
      <c r="N3555" s="24"/>
      <c r="P3555" s="24"/>
    </row>
    <row r="3556" spans="2:16" x14ac:dyDescent="0.25">
      <c r="B3556" s="24"/>
      <c r="E3556" s="24"/>
      <c r="G3556" s="24"/>
      <c r="H3556" s="24"/>
      <c r="J3556" s="24"/>
      <c r="K3556" s="24"/>
      <c r="M3556" s="24"/>
      <c r="N3556" s="24"/>
      <c r="P3556" s="24"/>
    </row>
    <row r="3557" spans="2:16" x14ac:dyDescent="0.25">
      <c r="B3557" s="24"/>
      <c r="E3557" s="24"/>
      <c r="G3557" s="24"/>
      <c r="H3557" s="24"/>
      <c r="J3557" s="24"/>
      <c r="K3557" s="24"/>
      <c r="M3557" s="24"/>
      <c r="N3557" s="24"/>
      <c r="P3557" s="24"/>
    </row>
    <row r="3558" spans="2:16" x14ac:dyDescent="0.25">
      <c r="B3558" s="24"/>
      <c r="E3558" s="24"/>
      <c r="G3558" s="24"/>
      <c r="H3558" s="24"/>
      <c r="J3558" s="24"/>
      <c r="K3558" s="24"/>
      <c r="M3558" s="24"/>
      <c r="N3558" s="24"/>
      <c r="P3558" s="24"/>
    </row>
    <row r="3559" spans="2:16" x14ac:dyDescent="0.25">
      <c r="B3559" s="24"/>
      <c r="E3559" s="24"/>
      <c r="G3559" s="24"/>
      <c r="H3559" s="24"/>
      <c r="J3559" s="24"/>
      <c r="K3559" s="24"/>
      <c r="M3559" s="24"/>
      <c r="N3559" s="24"/>
      <c r="P3559" s="24"/>
    </row>
    <row r="3560" spans="2:16" x14ac:dyDescent="0.25">
      <c r="B3560" s="24"/>
      <c r="E3560" s="24"/>
      <c r="G3560" s="24"/>
      <c r="H3560" s="24"/>
      <c r="J3560" s="24"/>
      <c r="K3560" s="24"/>
      <c r="M3560" s="24"/>
      <c r="N3560" s="24"/>
      <c r="P3560" s="24"/>
    </row>
    <row r="3561" spans="2:16" x14ac:dyDescent="0.25">
      <c r="B3561" s="24"/>
      <c r="E3561" s="24"/>
      <c r="G3561" s="24"/>
      <c r="H3561" s="24"/>
      <c r="J3561" s="24"/>
      <c r="K3561" s="24"/>
      <c r="M3561" s="24"/>
      <c r="N3561" s="24"/>
      <c r="P3561" s="24"/>
    </row>
    <row r="3562" spans="2:16" x14ac:dyDescent="0.25">
      <c r="B3562" s="24"/>
      <c r="E3562" s="24"/>
      <c r="G3562" s="24"/>
      <c r="H3562" s="24"/>
      <c r="J3562" s="24"/>
      <c r="K3562" s="24"/>
      <c r="M3562" s="24"/>
      <c r="N3562" s="24"/>
      <c r="P3562" s="24"/>
    </row>
    <row r="3563" spans="2:16" x14ac:dyDescent="0.25">
      <c r="B3563" s="24"/>
      <c r="E3563" s="24"/>
      <c r="G3563" s="24"/>
      <c r="H3563" s="24"/>
      <c r="J3563" s="24"/>
      <c r="K3563" s="24"/>
      <c r="M3563" s="24"/>
      <c r="N3563" s="24"/>
      <c r="P3563" s="24"/>
    </row>
    <row r="3564" spans="2:16" x14ac:dyDescent="0.25">
      <c r="B3564" s="24"/>
      <c r="E3564" s="24"/>
      <c r="G3564" s="24"/>
      <c r="H3564" s="24"/>
      <c r="J3564" s="24"/>
      <c r="K3564" s="24"/>
      <c r="M3564" s="24"/>
      <c r="N3564" s="24"/>
      <c r="P3564" s="24"/>
    </row>
    <row r="3565" spans="2:16" x14ac:dyDescent="0.25">
      <c r="B3565" s="24"/>
      <c r="E3565" s="24"/>
      <c r="G3565" s="24"/>
      <c r="H3565" s="24"/>
      <c r="J3565" s="24"/>
      <c r="K3565" s="24"/>
      <c r="M3565" s="24"/>
      <c r="N3565" s="24"/>
      <c r="P3565" s="24"/>
    </row>
    <row r="3566" spans="2:16" x14ac:dyDescent="0.25">
      <c r="B3566" s="24"/>
      <c r="E3566" s="24"/>
      <c r="G3566" s="24"/>
      <c r="H3566" s="24"/>
      <c r="J3566" s="24"/>
      <c r="K3566" s="24"/>
      <c r="M3566" s="24"/>
      <c r="N3566" s="24"/>
      <c r="P3566" s="24"/>
    </row>
    <row r="3567" spans="2:16" x14ac:dyDescent="0.25">
      <c r="B3567" s="24"/>
      <c r="E3567" s="24"/>
      <c r="G3567" s="24"/>
      <c r="H3567" s="24"/>
      <c r="J3567" s="24"/>
      <c r="K3567" s="24"/>
      <c r="M3567" s="24"/>
      <c r="N3567" s="24"/>
      <c r="P3567" s="24"/>
    </row>
    <row r="3568" spans="2:16" x14ac:dyDescent="0.25">
      <c r="B3568" s="24"/>
      <c r="E3568" s="24"/>
      <c r="G3568" s="24"/>
      <c r="H3568" s="24"/>
      <c r="J3568" s="24"/>
      <c r="K3568" s="24"/>
      <c r="M3568" s="24"/>
      <c r="N3568" s="24"/>
      <c r="P3568" s="24"/>
    </row>
    <row r="3569" spans="2:16" x14ac:dyDescent="0.25">
      <c r="B3569" s="24"/>
      <c r="E3569" s="24"/>
      <c r="G3569" s="24"/>
      <c r="H3569" s="24"/>
      <c r="J3569" s="24"/>
      <c r="K3569" s="24"/>
      <c r="M3569" s="24"/>
      <c r="N3569" s="24"/>
      <c r="P3569" s="24"/>
    </row>
    <row r="3570" spans="2:16" x14ac:dyDescent="0.25">
      <c r="B3570" s="24"/>
      <c r="E3570" s="24"/>
      <c r="G3570" s="24"/>
      <c r="H3570" s="24"/>
      <c r="J3570" s="24"/>
      <c r="K3570" s="24"/>
      <c r="M3570" s="24"/>
      <c r="N3570" s="24"/>
      <c r="P3570" s="24"/>
    </row>
    <row r="3571" spans="2:16" x14ac:dyDescent="0.25">
      <c r="B3571" s="24"/>
      <c r="E3571" s="24"/>
      <c r="G3571" s="24"/>
      <c r="H3571" s="24"/>
      <c r="J3571" s="24"/>
      <c r="K3571" s="24"/>
      <c r="M3571" s="24"/>
      <c r="N3571" s="24"/>
      <c r="P3571" s="24"/>
    </row>
    <row r="3572" spans="2:16" x14ac:dyDescent="0.25">
      <c r="B3572" s="24"/>
      <c r="E3572" s="24"/>
      <c r="G3572" s="24"/>
      <c r="H3572" s="24"/>
      <c r="J3572" s="24"/>
      <c r="K3572" s="24"/>
      <c r="M3572" s="24"/>
      <c r="N3572" s="24"/>
      <c r="P3572" s="24"/>
    </row>
    <row r="3573" spans="2:16" x14ac:dyDescent="0.25">
      <c r="B3573" s="24"/>
      <c r="E3573" s="24"/>
      <c r="G3573" s="24"/>
      <c r="H3573" s="24"/>
      <c r="J3573" s="24"/>
      <c r="K3573" s="24"/>
      <c r="M3573" s="24"/>
      <c r="N3573" s="24"/>
      <c r="P3573" s="24"/>
    </row>
    <row r="3574" spans="2:16" x14ac:dyDescent="0.25">
      <c r="B3574" s="24"/>
      <c r="E3574" s="24"/>
      <c r="G3574" s="24"/>
      <c r="H3574" s="24"/>
      <c r="J3574" s="24"/>
      <c r="K3574" s="24"/>
      <c r="M3574" s="24"/>
      <c r="N3574" s="24"/>
      <c r="P3574" s="24"/>
    </row>
    <row r="3575" spans="2:16" x14ac:dyDescent="0.25">
      <c r="B3575" s="24"/>
      <c r="E3575" s="24"/>
      <c r="G3575" s="24"/>
      <c r="H3575" s="24"/>
      <c r="J3575" s="24"/>
      <c r="K3575" s="24"/>
      <c r="M3575" s="24"/>
      <c r="N3575" s="24"/>
      <c r="P3575" s="24"/>
    </row>
    <row r="3576" spans="2:16" x14ac:dyDescent="0.25">
      <c r="B3576" s="24"/>
      <c r="E3576" s="24"/>
      <c r="G3576" s="24"/>
      <c r="H3576" s="24"/>
      <c r="J3576" s="24"/>
      <c r="K3576" s="24"/>
      <c r="M3576" s="24"/>
      <c r="N3576" s="24"/>
      <c r="P3576" s="24"/>
    </row>
    <row r="3577" spans="2:16" x14ac:dyDescent="0.25">
      <c r="B3577" s="24"/>
      <c r="E3577" s="24"/>
      <c r="G3577" s="24"/>
      <c r="H3577" s="24"/>
      <c r="J3577" s="24"/>
      <c r="K3577" s="24"/>
      <c r="M3577" s="24"/>
      <c r="N3577" s="24"/>
      <c r="P3577" s="24"/>
    </row>
    <row r="3578" spans="2:16" x14ac:dyDescent="0.25">
      <c r="B3578" s="24"/>
      <c r="E3578" s="24"/>
      <c r="G3578" s="24"/>
      <c r="H3578" s="24"/>
      <c r="J3578" s="24"/>
      <c r="K3578" s="24"/>
      <c r="M3578" s="24"/>
      <c r="N3578" s="24"/>
      <c r="P3578" s="24"/>
    </row>
    <row r="3579" spans="2:16" x14ac:dyDescent="0.25">
      <c r="B3579" s="24"/>
      <c r="E3579" s="24"/>
      <c r="G3579" s="24"/>
      <c r="H3579" s="24"/>
      <c r="J3579" s="24"/>
      <c r="K3579" s="24"/>
      <c r="M3579" s="24"/>
      <c r="N3579" s="24"/>
      <c r="P3579" s="24"/>
    </row>
    <row r="3580" spans="2:16" x14ac:dyDescent="0.25">
      <c r="B3580" s="24"/>
      <c r="E3580" s="24"/>
      <c r="G3580" s="24"/>
      <c r="H3580" s="24"/>
      <c r="J3580" s="24"/>
      <c r="K3580" s="24"/>
      <c r="M3580" s="24"/>
      <c r="N3580" s="24"/>
      <c r="P3580" s="24"/>
    </row>
    <row r="3581" spans="2:16" x14ac:dyDescent="0.25">
      <c r="B3581" s="24"/>
      <c r="E3581" s="24"/>
      <c r="G3581" s="24"/>
      <c r="H3581" s="24"/>
      <c r="J3581" s="24"/>
      <c r="K3581" s="24"/>
      <c r="M3581" s="24"/>
      <c r="N3581" s="24"/>
      <c r="P3581" s="24"/>
    </row>
    <row r="3582" spans="2:16" x14ac:dyDescent="0.25">
      <c r="B3582" s="24"/>
      <c r="E3582" s="24"/>
      <c r="G3582" s="24"/>
      <c r="H3582" s="24"/>
      <c r="J3582" s="24"/>
      <c r="K3582" s="24"/>
      <c r="M3582" s="24"/>
      <c r="N3582" s="24"/>
      <c r="P3582" s="24"/>
    </row>
    <row r="3583" spans="2:16" x14ac:dyDescent="0.25">
      <c r="B3583" s="24"/>
      <c r="E3583" s="24"/>
      <c r="G3583" s="24"/>
      <c r="H3583" s="24"/>
      <c r="J3583" s="24"/>
      <c r="K3583" s="24"/>
      <c r="M3583" s="24"/>
      <c r="N3583" s="24"/>
      <c r="P3583" s="24"/>
    </row>
    <row r="3584" spans="2:16" x14ac:dyDescent="0.25">
      <c r="B3584" s="24"/>
      <c r="E3584" s="24"/>
      <c r="G3584" s="24"/>
      <c r="H3584" s="24"/>
      <c r="J3584" s="24"/>
      <c r="K3584" s="24"/>
      <c r="M3584" s="24"/>
      <c r="N3584" s="24"/>
      <c r="P3584" s="24"/>
    </row>
    <row r="3585" spans="2:16" x14ac:dyDescent="0.25">
      <c r="B3585" s="24"/>
      <c r="E3585" s="24"/>
      <c r="G3585" s="24"/>
      <c r="H3585" s="24"/>
      <c r="J3585" s="24"/>
      <c r="K3585" s="24"/>
      <c r="M3585" s="24"/>
      <c r="N3585" s="24"/>
      <c r="P3585" s="24"/>
    </row>
    <row r="3586" spans="2:16" x14ac:dyDescent="0.25">
      <c r="B3586" s="24"/>
      <c r="E3586" s="24"/>
      <c r="G3586" s="24"/>
      <c r="H3586" s="24"/>
      <c r="J3586" s="24"/>
      <c r="K3586" s="24"/>
      <c r="M3586" s="24"/>
      <c r="N3586" s="24"/>
      <c r="P3586" s="24"/>
    </row>
    <row r="3587" spans="2:16" x14ac:dyDescent="0.25">
      <c r="B3587" s="24"/>
      <c r="E3587" s="24"/>
      <c r="G3587" s="24"/>
      <c r="H3587" s="24"/>
      <c r="J3587" s="24"/>
      <c r="K3587" s="24"/>
      <c r="M3587" s="24"/>
      <c r="N3587" s="24"/>
      <c r="P3587" s="24"/>
    </row>
    <row r="3588" spans="2:16" x14ac:dyDescent="0.25">
      <c r="B3588" s="24"/>
      <c r="E3588" s="24"/>
      <c r="G3588" s="24"/>
      <c r="H3588" s="24"/>
      <c r="J3588" s="24"/>
      <c r="K3588" s="24"/>
      <c r="M3588" s="24"/>
      <c r="N3588" s="24"/>
      <c r="P3588" s="24"/>
    </row>
    <row r="3589" spans="2:16" x14ac:dyDescent="0.25">
      <c r="B3589" s="24"/>
      <c r="E3589" s="24"/>
      <c r="G3589" s="24"/>
      <c r="H3589" s="24"/>
      <c r="J3589" s="24"/>
      <c r="K3589" s="24"/>
      <c r="M3589" s="24"/>
      <c r="N3589" s="24"/>
      <c r="P3589" s="24"/>
    </row>
    <row r="3590" spans="2:16" x14ac:dyDescent="0.25">
      <c r="B3590" s="24"/>
      <c r="E3590" s="24"/>
      <c r="G3590" s="24"/>
      <c r="H3590" s="24"/>
      <c r="J3590" s="24"/>
      <c r="K3590" s="24"/>
      <c r="M3590" s="24"/>
      <c r="N3590" s="24"/>
      <c r="P3590" s="24"/>
    </row>
    <row r="3591" spans="2:16" x14ac:dyDescent="0.25">
      <c r="B3591" s="24"/>
      <c r="E3591" s="24"/>
      <c r="G3591" s="24"/>
      <c r="H3591" s="24"/>
      <c r="J3591" s="24"/>
      <c r="K3591" s="24"/>
      <c r="M3591" s="24"/>
      <c r="N3591" s="24"/>
      <c r="P3591" s="24"/>
    </row>
    <row r="3592" spans="2:16" x14ac:dyDescent="0.25">
      <c r="B3592" s="24"/>
      <c r="E3592" s="24"/>
      <c r="G3592" s="24"/>
      <c r="H3592" s="24"/>
      <c r="J3592" s="24"/>
      <c r="K3592" s="24"/>
      <c r="M3592" s="24"/>
      <c r="N3592" s="24"/>
      <c r="P3592" s="24"/>
    </row>
    <row r="3593" spans="2:16" x14ac:dyDescent="0.25">
      <c r="B3593" s="24"/>
      <c r="E3593" s="24"/>
      <c r="G3593" s="24"/>
      <c r="H3593" s="24"/>
      <c r="J3593" s="24"/>
      <c r="K3593" s="24"/>
      <c r="M3593" s="24"/>
      <c r="N3593" s="24"/>
      <c r="P3593" s="24"/>
    </row>
    <row r="3594" spans="2:16" x14ac:dyDescent="0.25">
      <c r="B3594" s="24"/>
      <c r="E3594" s="24"/>
      <c r="G3594" s="24"/>
      <c r="H3594" s="24"/>
      <c r="J3594" s="24"/>
      <c r="K3594" s="24"/>
      <c r="M3594" s="24"/>
      <c r="N3594" s="24"/>
      <c r="P3594" s="24"/>
    </row>
    <row r="3595" spans="2:16" x14ac:dyDescent="0.25">
      <c r="B3595" s="24"/>
      <c r="E3595" s="24"/>
      <c r="G3595" s="24"/>
      <c r="H3595" s="24"/>
      <c r="J3595" s="24"/>
      <c r="K3595" s="24"/>
      <c r="M3595" s="24"/>
      <c r="N3595" s="24"/>
      <c r="P3595" s="24"/>
    </row>
    <row r="3596" spans="2:16" x14ac:dyDescent="0.25">
      <c r="B3596" s="24"/>
      <c r="E3596" s="24"/>
      <c r="G3596" s="24"/>
      <c r="H3596" s="24"/>
      <c r="J3596" s="24"/>
      <c r="K3596" s="24"/>
      <c r="M3596" s="24"/>
      <c r="N3596" s="24"/>
      <c r="P3596" s="24"/>
    </row>
    <row r="3597" spans="2:16" x14ac:dyDescent="0.25">
      <c r="B3597" s="24"/>
      <c r="E3597" s="24"/>
      <c r="G3597" s="24"/>
      <c r="H3597" s="24"/>
      <c r="J3597" s="24"/>
      <c r="K3597" s="24"/>
      <c r="M3597" s="24"/>
      <c r="N3597" s="24"/>
      <c r="P3597" s="24"/>
    </row>
    <row r="3598" spans="2:16" x14ac:dyDescent="0.25">
      <c r="B3598" s="24"/>
      <c r="E3598" s="24"/>
      <c r="G3598" s="24"/>
      <c r="H3598" s="24"/>
      <c r="J3598" s="24"/>
      <c r="K3598" s="24"/>
      <c r="M3598" s="24"/>
      <c r="N3598" s="24"/>
      <c r="P3598" s="24"/>
    </row>
    <row r="3599" spans="2:16" x14ac:dyDescent="0.25">
      <c r="B3599" s="24"/>
      <c r="E3599" s="24"/>
      <c r="G3599" s="24"/>
      <c r="H3599" s="24"/>
      <c r="J3599" s="24"/>
      <c r="K3599" s="24"/>
      <c r="M3599" s="24"/>
      <c r="N3599" s="24"/>
      <c r="P3599" s="24"/>
    </row>
    <row r="3600" spans="2:16" x14ac:dyDescent="0.25">
      <c r="B3600" s="24"/>
      <c r="E3600" s="24"/>
      <c r="G3600" s="24"/>
      <c r="H3600" s="24"/>
      <c r="J3600" s="24"/>
      <c r="K3600" s="24"/>
      <c r="M3600" s="24"/>
      <c r="N3600" s="24"/>
      <c r="P3600" s="24"/>
    </row>
    <row r="3601" spans="2:16" x14ac:dyDescent="0.25">
      <c r="B3601" s="24"/>
      <c r="E3601" s="24"/>
      <c r="G3601" s="24"/>
      <c r="H3601" s="24"/>
      <c r="J3601" s="24"/>
      <c r="K3601" s="24"/>
      <c r="M3601" s="24"/>
      <c r="N3601" s="24"/>
      <c r="P3601" s="24"/>
    </row>
    <row r="3602" spans="2:16" x14ac:dyDescent="0.25">
      <c r="B3602" s="24"/>
      <c r="E3602" s="24"/>
      <c r="G3602" s="24"/>
      <c r="H3602" s="24"/>
      <c r="J3602" s="24"/>
      <c r="K3602" s="24"/>
      <c r="M3602" s="24"/>
      <c r="N3602" s="24"/>
      <c r="P3602" s="24"/>
    </row>
    <row r="3603" spans="2:16" x14ac:dyDescent="0.25">
      <c r="B3603" s="24"/>
      <c r="E3603" s="24"/>
      <c r="G3603" s="24"/>
      <c r="H3603" s="24"/>
      <c r="J3603" s="24"/>
      <c r="K3603" s="24"/>
      <c r="M3603" s="24"/>
      <c r="N3603" s="24"/>
      <c r="P3603" s="24"/>
    </row>
    <row r="3604" spans="2:16" x14ac:dyDescent="0.25">
      <c r="B3604" s="24"/>
      <c r="E3604" s="24"/>
      <c r="G3604" s="24"/>
      <c r="H3604" s="24"/>
      <c r="J3604" s="24"/>
      <c r="K3604" s="24"/>
      <c r="M3604" s="24"/>
      <c r="N3604" s="24"/>
      <c r="P3604" s="24"/>
    </row>
    <row r="3605" spans="2:16" x14ac:dyDescent="0.25">
      <c r="B3605" s="24"/>
      <c r="E3605" s="24"/>
      <c r="G3605" s="24"/>
      <c r="H3605" s="24"/>
      <c r="J3605" s="24"/>
      <c r="K3605" s="24"/>
      <c r="M3605" s="24"/>
      <c r="N3605" s="24"/>
      <c r="P3605" s="24"/>
    </row>
    <row r="3606" spans="2:16" x14ac:dyDescent="0.25">
      <c r="B3606" s="24"/>
      <c r="E3606" s="24"/>
      <c r="G3606" s="24"/>
      <c r="H3606" s="24"/>
      <c r="J3606" s="24"/>
      <c r="K3606" s="24"/>
      <c r="M3606" s="24"/>
      <c r="N3606" s="24"/>
      <c r="P3606" s="24"/>
    </row>
    <row r="3607" spans="2:16" x14ac:dyDescent="0.25">
      <c r="B3607" s="24"/>
      <c r="E3607" s="24"/>
      <c r="G3607" s="24"/>
      <c r="H3607" s="24"/>
      <c r="J3607" s="24"/>
      <c r="K3607" s="24"/>
      <c r="M3607" s="24"/>
      <c r="N3607" s="24"/>
      <c r="P3607" s="24"/>
    </row>
    <row r="3608" spans="2:16" x14ac:dyDescent="0.25">
      <c r="B3608" s="24"/>
      <c r="E3608" s="24"/>
      <c r="G3608" s="24"/>
      <c r="H3608" s="24"/>
      <c r="J3608" s="24"/>
      <c r="K3608" s="24"/>
      <c r="M3608" s="24"/>
      <c r="N3608" s="24"/>
      <c r="P3608" s="24"/>
    </row>
    <row r="3609" spans="2:16" x14ac:dyDescent="0.25">
      <c r="B3609" s="24"/>
      <c r="E3609" s="24"/>
      <c r="G3609" s="24"/>
      <c r="H3609" s="24"/>
      <c r="J3609" s="24"/>
      <c r="K3609" s="24"/>
      <c r="M3609" s="24"/>
      <c r="N3609" s="24"/>
      <c r="P3609" s="24"/>
    </row>
    <row r="3610" spans="2:16" x14ac:dyDescent="0.25">
      <c r="B3610" s="24"/>
      <c r="E3610" s="24"/>
      <c r="G3610" s="24"/>
      <c r="H3610" s="24"/>
      <c r="J3610" s="24"/>
      <c r="K3610" s="24"/>
      <c r="M3610" s="24"/>
      <c r="N3610" s="24"/>
      <c r="P3610" s="24"/>
    </row>
    <row r="3611" spans="2:16" x14ac:dyDescent="0.25">
      <c r="B3611" s="24"/>
      <c r="E3611" s="24"/>
      <c r="G3611" s="24"/>
      <c r="H3611" s="24"/>
      <c r="J3611" s="24"/>
      <c r="K3611" s="24"/>
      <c r="M3611" s="24"/>
      <c r="N3611" s="24"/>
      <c r="P3611" s="24"/>
    </row>
    <row r="3612" spans="2:16" x14ac:dyDescent="0.25">
      <c r="B3612" s="24"/>
      <c r="E3612" s="24"/>
      <c r="G3612" s="24"/>
      <c r="H3612" s="24"/>
      <c r="J3612" s="24"/>
      <c r="K3612" s="24"/>
      <c r="M3612" s="24"/>
      <c r="N3612" s="24"/>
      <c r="P3612" s="24"/>
    </row>
    <row r="3613" spans="2:16" x14ac:dyDescent="0.25">
      <c r="B3613" s="24"/>
      <c r="E3613" s="24"/>
      <c r="G3613" s="24"/>
      <c r="H3613" s="24"/>
      <c r="J3613" s="24"/>
      <c r="K3613" s="24"/>
      <c r="M3613" s="24"/>
      <c r="N3613" s="24"/>
      <c r="P3613" s="24"/>
    </row>
    <row r="3614" spans="2:16" x14ac:dyDescent="0.25">
      <c r="B3614" s="24"/>
      <c r="E3614" s="24"/>
      <c r="G3614" s="24"/>
      <c r="H3614" s="24"/>
      <c r="J3614" s="24"/>
      <c r="K3614" s="24"/>
      <c r="M3614" s="24"/>
      <c r="N3614" s="24"/>
      <c r="P3614" s="24"/>
    </row>
    <row r="3615" spans="2:16" x14ac:dyDescent="0.25">
      <c r="B3615" s="24"/>
      <c r="E3615" s="24"/>
      <c r="G3615" s="24"/>
      <c r="H3615" s="24"/>
      <c r="J3615" s="24"/>
      <c r="K3615" s="24"/>
      <c r="M3615" s="24"/>
      <c r="N3615" s="24"/>
      <c r="P3615" s="24"/>
    </row>
    <row r="3616" spans="2:16" x14ac:dyDescent="0.25">
      <c r="B3616" s="24"/>
      <c r="E3616" s="24"/>
      <c r="G3616" s="24"/>
      <c r="H3616" s="24"/>
      <c r="J3616" s="24"/>
      <c r="K3616" s="24"/>
      <c r="M3616" s="24"/>
      <c r="N3616" s="24"/>
      <c r="P3616" s="24"/>
    </row>
    <row r="3617" spans="2:16" x14ac:dyDescent="0.25">
      <c r="B3617" s="24"/>
      <c r="E3617" s="24"/>
      <c r="G3617" s="24"/>
      <c r="H3617" s="24"/>
      <c r="J3617" s="24"/>
      <c r="K3617" s="24"/>
      <c r="M3617" s="24"/>
      <c r="N3617" s="24"/>
      <c r="P3617" s="24"/>
    </row>
    <row r="3618" spans="2:16" x14ac:dyDescent="0.25">
      <c r="B3618" s="24"/>
      <c r="E3618" s="24"/>
      <c r="G3618" s="24"/>
      <c r="H3618" s="24"/>
      <c r="J3618" s="24"/>
      <c r="K3618" s="24"/>
      <c r="M3618" s="24"/>
      <c r="N3618" s="24"/>
      <c r="P3618" s="24"/>
    </row>
    <row r="3619" spans="2:16" x14ac:dyDescent="0.25">
      <c r="B3619" s="24"/>
      <c r="E3619" s="24"/>
      <c r="G3619" s="24"/>
      <c r="H3619" s="24"/>
      <c r="J3619" s="24"/>
      <c r="K3619" s="24"/>
      <c r="M3619" s="24"/>
      <c r="N3619" s="24"/>
      <c r="P3619" s="24"/>
    </row>
    <row r="3620" spans="2:16" x14ac:dyDescent="0.25">
      <c r="B3620" s="24"/>
      <c r="E3620" s="24"/>
      <c r="G3620" s="24"/>
      <c r="H3620" s="24"/>
      <c r="J3620" s="24"/>
      <c r="K3620" s="24"/>
      <c r="M3620" s="24"/>
      <c r="N3620" s="24"/>
      <c r="P3620" s="24"/>
    </row>
    <row r="3621" spans="2:16" x14ac:dyDescent="0.25">
      <c r="B3621" s="24"/>
      <c r="E3621" s="24"/>
      <c r="G3621" s="24"/>
      <c r="H3621" s="24"/>
      <c r="J3621" s="24"/>
      <c r="K3621" s="24"/>
      <c r="M3621" s="24"/>
      <c r="N3621" s="24"/>
      <c r="P3621" s="24"/>
    </row>
    <row r="3622" spans="2:16" x14ac:dyDescent="0.25">
      <c r="B3622" s="24"/>
      <c r="E3622" s="24"/>
      <c r="G3622" s="24"/>
      <c r="H3622" s="24"/>
      <c r="J3622" s="24"/>
      <c r="K3622" s="24"/>
      <c r="M3622" s="24"/>
      <c r="N3622" s="24"/>
      <c r="P3622" s="24"/>
    </row>
    <row r="3623" spans="2:16" x14ac:dyDescent="0.25">
      <c r="B3623" s="24"/>
      <c r="E3623" s="24"/>
      <c r="G3623" s="24"/>
      <c r="H3623" s="24"/>
      <c r="J3623" s="24"/>
      <c r="K3623" s="24"/>
      <c r="M3623" s="24"/>
      <c r="N3623" s="24"/>
      <c r="P3623" s="24"/>
    </row>
    <row r="3624" spans="2:16" x14ac:dyDescent="0.25">
      <c r="B3624" s="24"/>
      <c r="E3624" s="24"/>
      <c r="G3624" s="24"/>
      <c r="H3624" s="24"/>
      <c r="J3624" s="24"/>
      <c r="K3624" s="24"/>
      <c r="M3624" s="24"/>
      <c r="N3624" s="24"/>
      <c r="P3624" s="24"/>
    </row>
    <row r="3625" spans="2:16" x14ac:dyDescent="0.25">
      <c r="B3625" s="24"/>
      <c r="E3625" s="24"/>
      <c r="G3625" s="24"/>
      <c r="H3625" s="24"/>
      <c r="J3625" s="24"/>
      <c r="K3625" s="24"/>
      <c r="M3625" s="24"/>
      <c r="N3625" s="24"/>
      <c r="P3625" s="24"/>
    </row>
    <row r="3626" spans="2:16" x14ac:dyDescent="0.25">
      <c r="B3626" s="24"/>
      <c r="E3626" s="24"/>
      <c r="G3626" s="24"/>
      <c r="H3626" s="24"/>
      <c r="J3626" s="24"/>
      <c r="K3626" s="24"/>
      <c r="M3626" s="24"/>
      <c r="N3626" s="24"/>
      <c r="P3626" s="24"/>
    </row>
    <row r="3627" spans="2:16" x14ac:dyDescent="0.25">
      <c r="B3627" s="24"/>
      <c r="E3627" s="24"/>
      <c r="G3627" s="24"/>
      <c r="H3627" s="24"/>
      <c r="J3627" s="24"/>
      <c r="K3627" s="24"/>
      <c r="M3627" s="24"/>
      <c r="N3627" s="24"/>
      <c r="P3627" s="24"/>
    </row>
    <row r="3628" spans="2:16" x14ac:dyDescent="0.25">
      <c r="B3628" s="24"/>
      <c r="E3628" s="24"/>
      <c r="G3628" s="24"/>
      <c r="H3628" s="24"/>
      <c r="J3628" s="24"/>
      <c r="K3628" s="24"/>
      <c r="M3628" s="24"/>
      <c r="N3628" s="24"/>
      <c r="P3628" s="24"/>
    </row>
    <row r="3629" spans="2:16" x14ac:dyDescent="0.25">
      <c r="B3629" s="24"/>
      <c r="E3629" s="24"/>
      <c r="G3629" s="24"/>
      <c r="H3629" s="24"/>
      <c r="J3629" s="24"/>
      <c r="K3629" s="24"/>
      <c r="M3629" s="24"/>
      <c r="N3629" s="24"/>
      <c r="P3629" s="24"/>
    </row>
    <row r="3630" spans="2:16" x14ac:dyDescent="0.25">
      <c r="B3630" s="24"/>
      <c r="E3630" s="24"/>
      <c r="G3630" s="24"/>
      <c r="H3630" s="24"/>
      <c r="J3630" s="24"/>
      <c r="K3630" s="24"/>
      <c r="M3630" s="24"/>
      <c r="N3630" s="24"/>
      <c r="P3630" s="24"/>
    </row>
    <row r="3631" spans="2:16" x14ac:dyDescent="0.25">
      <c r="B3631" s="24"/>
      <c r="E3631" s="24"/>
      <c r="G3631" s="24"/>
      <c r="H3631" s="24"/>
      <c r="J3631" s="24"/>
      <c r="K3631" s="24"/>
      <c r="M3631" s="24"/>
      <c r="N3631" s="24"/>
      <c r="P3631" s="24"/>
    </row>
    <row r="3632" spans="2:16" x14ac:dyDescent="0.25">
      <c r="B3632" s="24"/>
      <c r="E3632" s="24"/>
      <c r="G3632" s="24"/>
      <c r="H3632" s="24"/>
      <c r="J3632" s="24"/>
      <c r="K3632" s="24"/>
      <c r="M3632" s="24"/>
      <c r="N3632" s="24"/>
      <c r="P3632" s="24"/>
    </row>
    <row r="3633" spans="2:16" x14ac:dyDescent="0.25">
      <c r="B3633" s="24"/>
      <c r="E3633" s="24"/>
      <c r="G3633" s="24"/>
      <c r="H3633" s="24"/>
      <c r="J3633" s="24"/>
      <c r="K3633" s="24"/>
      <c r="M3633" s="24"/>
      <c r="N3633" s="24"/>
      <c r="P3633" s="24"/>
    </row>
    <row r="3634" spans="2:16" x14ac:dyDescent="0.25">
      <c r="B3634" s="24"/>
      <c r="E3634" s="24"/>
      <c r="G3634" s="24"/>
      <c r="H3634" s="24"/>
      <c r="J3634" s="24"/>
      <c r="K3634" s="24"/>
      <c r="M3634" s="24"/>
      <c r="N3634" s="24"/>
      <c r="P3634" s="24"/>
    </row>
    <row r="3635" spans="2:16" x14ac:dyDescent="0.25">
      <c r="B3635" s="24"/>
      <c r="E3635" s="24"/>
      <c r="G3635" s="24"/>
      <c r="H3635" s="24"/>
      <c r="J3635" s="24"/>
      <c r="K3635" s="24"/>
      <c r="M3635" s="24"/>
      <c r="N3635" s="24"/>
      <c r="P3635" s="24"/>
    </row>
    <row r="3636" spans="2:16" x14ac:dyDescent="0.25">
      <c r="B3636" s="24"/>
      <c r="E3636" s="24"/>
      <c r="G3636" s="24"/>
      <c r="H3636" s="24"/>
      <c r="J3636" s="24"/>
      <c r="K3636" s="24"/>
      <c r="M3636" s="24"/>
      <c r="N3636" s="24"/>
      <c r="P3636" s="24"/>
    </row>
    <row r="3637" spans="2:16" x14ac:dyDescent="0.25">
      <c r="B3637" s="24"/>
      <c r="E3637" s="24"/>
      <c r="G3637" s="24"/>
      <c r="H3637" s="24"/>
      <c r="J3637" s="24"/>
      <c r="K3637" s="24"/>
      <c r="M3637" s="24"/>
      <c r="N3637" s="24"/>
      <c r="P3637" s="24"/>
    </row>
    <row r="3638" spans="2:16" x14ac:dyDescent="0.25">
      <c r="B3638" s="24"/>
      <c r="E3638" s="24"/>
      <c r="G3638" s="24"/>
      <c r="H3638" s="24"/>
      <c r="J3638" s="24"/>
      <c r="K3638" s="24"/>
      <c r="M3638" s="24"/>
      <c r="N3638" s="24"/>
      <c r="P3638" s="24"/>
    </row>
    <row r="3639" spans="2:16" x14ac:dyDescent="0.25">
      <c r="B3639" s="24"/>
      <c r="E3639" s="24"/>
      <c r="G3639" s="24"/>
      <c r="H3639" s="24"/>
      <c r="J3639" s="24"/>
      <c r="K3639" s="24"/>
      <c r="M3639" s="24"/>
      <c r="N3639" s="24"/>
      <c r="P3639" s="24"/>
    </row>
    <row r="3640" spans="2:16" x14ac:dyDescent="0.25">
      <c r="B3640" s="24"/>
      <c r="E3640" s="24"/>
      <c r="G3640" s="24"/>
      <c r="H3640" s="24"/>
      <c r="J3640" s="24"/>
      <c r="K3640" s="24"/>
      <c r="M3640" s="24"/>
      <c r="N3640" s="24"/>
      <c r="P3640" s="24"/>
    </row>
    <row r="3641" spans="2:16" x14ac:dyDescent="0.25">
      <c r="B3641" s="24"/>
      <c r="E3641" s="24"/>
      <c r="G3641" s="24"/>
      <c r="H3641" s="24"/>
      <c r="J3641" s="24"/>
      <c r="K3641" s="24"/>
      <c r="M3641" s="24"/>
      <c r="N3641" s="24"/>
      <c r="P3641" s="24"/>
    </row>
    <row r="3642" spans="2:16" x14ac:dyDescent="0.25">
      <c r="B3642" s="24"/>
      <c r="E3642" s="24"/>
      <c r="G3642" s="24"/>
      <c r="H3642" s="24"/>
      <c r="J3642" s="24"/>
      <c r="K3642" s="24"/>
      <c r="M3642" s="24"/>
      <c r="N3642" s="24"/>
      <c r="P3642" s="24"/>
    </row>
    <row r="3643" spans="2:16" x14ac:dyDescent="0.25">
      <c r="B3643" s="24"/>
      <c r="E3643" s="24"/>
      <c r="G3643" s="24"/>
      <c r="H3643" s="24"/>
      <c r="J3643" s="24"/>
      <c r="K3643" s="24"/>
      <c r="M3643" s="24"/>
      <c r="N3643" s="24"/>
      <c r="P3643" s="24"/>
    </row>
    <row r="3644" spans="2:16" x14ac:dyDescent="0.25">
      <c r="B3644" s="24"/>
      <c r="E3644" s="24"/>
      <c r="G3644" s="24"/>
      <c r="H3644" s="24"/>
      <c r="J3644" s="24"/>
      <c r="K3644" s="24"/>
      <c r="M3644" s="24"/>
      <c r="N3644" s="24"/>
      <c r="P3644" s="24"/>
    </row>
    <row r="3645" spans="2:16" x14ac:dyDescent="0.25">
      <c r="B3645" s="24"/>
      <c r="E3645" s="24"/>
      <c r="G3645" s="24"/>
      <c r="H3645" s="24"/>
      <c r="J3645" s="24"/>
      <c r="K3645" s="24"/>
      <c r="M3645" s="24"/>
      <c r="N3645" s="24"/>
      <c r="P3645" s="24"/>
    </row>
    <row r="3646" spans="2:16" x14ac:dyDescent="0.25">
      <c r="B3646" s="24"/>
      <c r="E3646" s="24"/>
      <c r="G3646" s="24"/>
      <c r="H3646" s="24"/>
      <c r="J3646" s="24"/>
      <c r="K3646" s="24"/>
      <c r="M3646" s="24"/>
      <c r="N3646" s="24"/>
      <c r="P3646" s="24"/>
    </row>
    <row r="3647" spans="2:16" x14ac:dyDescent="0.25">
      <c r="B3647" s="24"/>
      <c r="E3647" s="24"/>
      <c r="G3647" s="24"/>
      <c r="H3647" s="24"/>
      <c r="J3647" s="24"/>
      <c r="K3647" s="24"/>
      <c r="M3647" s="24"/>
      <c r="N3647" s="24"/>
      <c r="P3647" s="24"/>
    </row>
    <row r="3648" spans="2:16" x14ac:dyDescent="0.25">
      <c r="B3648" s="24"/>
      <c r="E3648" s="24"/>
      <c r="G3648" s="24"/>
      <c r="H3648" s="24"/>
      <c r="J3648" s="24"/>
      <c r="K3648" s="24"/>
      <c r="M3648" s="24"/>
      <c r="N3648" s="24"/>
      <c r="P3648" s="24"/>
    </row>
    <row r="3649" spans="2:16" x14ac:dyDescent="0.25">
      <c r="B3649" s="24"/>
      <c r="E3649" s="24"/>
      <c r="G3649" s="24"/>
      <c r="H3649" s="24"/>
      <c r="J3649" s="24"/>
      <c r="K3649" s="24"/>
      <c r="M3649" s="24"/>
      <c r="N3649" s="24"/>
      <c r="P3649" s="24"/>
    </row>
    <row r="3650" spans="2:16" x14ac:dyDescent="0.25">
      <c r="B3650" s="24"/>
      <c r="E3650" s="24"/>
      <c r="G3650" s="24"/>
      <c r="H3650" s="24"/>
      <c r="J3650" s="24"/>
      <c r="K3650" s="24"/>
      <c r="M3650" s="24"/>
      <c r="N3650" s="24"/>
      <c r="P3650" s="24"/>
    </row>
    <row r="3651" spans="2:16" x14ac:dyDescent="0.25">
      <c r="B3651" s="24"/>
      <c r="E3651" s="24"/>
      <c r="G3651" s="24"/>
      <c r="H3651" s="24"/>
      <c r="J3651" s="24"/>
      <c r="K3651" s="24"/>
      <c r="M3651" s="24"/>
      <c r="N3651" s="24"/>
      <c r="P3651" s="24"/>
    </row>
    <row r="3652" spans="2:16" x14ac:dyDescent="0.25">
      <c r="B3652" s="24"/>
      <c r="E3652" s="24"/>
      <c r="G3652" s="24"/>
      <c r="H3652" s="24"/>
      <c r="J3652" s="24"/>
      <c r="K3652" s="24"/>
      <c r="M3652" s="24"/>
      <c r="N3652" s="24"/>
      <c r="P3652" s="24"/>
    </row>
    <row r="3653" spans="2:16" x14ac:dyDescent="0.25">
      <c r="B3653" s="24"/>
      <c r="E3653" s="24"/>
      <c r="G3653" s="24"/>
      <c r="H3653" s="24"/>
      <c r="J3653" s="24"/>
      <c r="K3653" s="24"/>
      <c r="M3653" s="24"/>
      <c r="N3653" s="24"/>
      <c r="P3653" s="24"/>
    </row>
    <row r="3654" spans="2:16" x14ac:dyDescent="0.25">
      <c r="B3654" s="24"/>
      <c r="E3654" s="24"/>
      <c r="G3654" s="24"/>
      <c r="H3654" s="24"/>
      <c r="J3654" s="24"/>
      <c r="K3654" s="24"/>
      <c r="M3654" s="24"/>
      <c r="N3654" s="24"/>
      <c r="P3654" s="24"/>
    </row>
    <row r="3655" spans="2:16" x14ac:dyDescent="0.25">
      <c r="B3655" s="24"/>
      <c r="E3655" s="24"/>
      <c r="G3655" s="24"/>
      <c r="H3655" s="24"/>
      <c r="J3655" s="24"/>
      <c r="K3655" s="24"/>
      <c r="M3655" s="24"/>
      <c r="N3655" s="24"/>
      <c r="P3655" s="24"/>
    </row>
    <row r="3656" spans="2:16" x14ac:dyDescent="0.25">
      <c r="B3656" s="24"/>
      <c r="E3656" s="24"/>
      <c r="G3656" s="24"/>
      <c r="H3656" s="24"/>
      <c r="J3656" s="24"/>
      <c r="K3656" s="24"/>
      <c r="M3656" s="24"/>
      <c r="N3656" s="24"/>
      <c r="P3656" s="24"/>
    </row>
    <row r="3657" spans="2:16" x14ac:dyDescent="0.25">
      <c r="B3657" s="24"/>
      <c r="E3657" s="24"/>
      <c r="G3657" s="24"/>
      <c r="H3657" s="24"/>
      <c r="J3657" s="24"/>
      <c r="K3657" s="24"/>
      <c r="M3657" s="24"/>
      <c r="N3657" s="24"/>
      <c r="P3657" s="24"/>
    </row>
    <row r="3658" spans="2:16" x14ac:dyDescent="0.25">
      <c r="B3658" s="24"/>
      <c r="E3658" s="24"/>
      <c r="G3658" s="24"/>
      <c r="H3658" s="24"/>
      <c r="J3658" s="24"/>
      <c r="K3658" s="24"/>
      <c r="M3658" s="24"/>
      <c r="N3658" s="24"/>
      <c r="P3658" s="24"/>
    </row>
    <row r="3659" spans="2:16" x14ac:dyDescent="0.25">
      <c r="B3659" s="24"/>
      <c r="E3659" s="24"/>
      <c r="G3659" s="24"/>
      <c r="H3659" s="24"/>
      <c r="J3659" s="24"/>
      <c r="K3659" s="24"/>
      <c r="M3659" s="24"/>
      <c r="N3659" s="24"/>
      <c r="P3659" s="24"/>
    </row>
    <row r="3660" spans="2:16" x14ac:dyDescent="0.25">
      <c r="B3660" s="24"/>
      <c r="E3660" s="24"/>
      <c r="G3660" s="24"/>
      <c r="H3660" s="24"/>
      <c r="J3660" s="24"/>
      <c r="K3660" s="24"/>
      <c r="M3660" s="24"/>
      <c r="N3660" s="24"/>
      <c r="P3660" s="24"/>
    </row>
    <row r="3661" spans="2:16" x14ac:dyDescent="0.25">
      <c r="B3661" s="24"/>
      <c r="E3661" s="24"/>
      <c r="G3661" s="24"/>
      <c r="H3661" s="24"/>
      <c r="J3661" s="24"/>
      <c r="K3661" s="24"/>
      <c r="M3661" s="24"/>
      <c r="N3661" s="24"/>
      <c r="P3661" s="24"/>
    </row>
    <row r="3662" spans="2:16" x14ac:dyDescent="0.25">
      <c r="B3662" s="24"/>
      <c r="E3662" s="24"/>
      <c r="G3662" s="24"/>
      <c r="H3662" s="24"/>
      <c r="J3662" s="24"/>
      <c r="K3662" s="24"/>
      <c r="M3662" s="24"/>
      <c r="N3662" s="24"/>
      <c r="P3662" s="24"/>
    </row>
    <row r="3663" spans="2:16" x14ac:dyDescent="0.25">
      <c r="B3663" s="24"/>
      <c r="E3663" s="24"/>
      <c r="G3663" s="24"/>
      <c r="H3663" s="24"/>
      <c r="J3663" s="24"/>
      <c r="K3663" s="24"/>
      <c r="M3663" s="24"/>
      <c r="N3663" s="24"/>
      <c r="P3663" s="24"/>
    </row>
    <row r="3664" spans="2:16" x14ac:dyDescent="0.25">
      <c r="B3664" s="24"/>
      <c r="E3664" s="24"/>
      <c r="G3664" s="24"/>
      <c r="H3664" s="24"/>
      <c r="J3664" s="24"/>
      <c r="K3664" s="24"/>
      <c r="M3664" s="24"/>
      <c r="N3664" s="24"/>
      <c r="P3664" s="24"/>
    </row>
    <row r="3665" spans="2:16" x14ac:dyDescent="0.25">
      <c r="B3665" s="24"/>
      <c r="E3665" s="24"/>
      <c r="G3665" s="24"/>
      <c r="H3665" s="24"/>
      <c r="J3665" s="24"/>
      <c r="K3665" s="24"/>
      <c r="M3665" s="24"/>
      <c r="N3665" s="24"/>
      <c r="P3665" s="24"/>
    </row>
    <row r="3666" spans="2:16" x14ac:dyDescent="0.25">
      <c r="B3666" s="24"/>
      <c r="E3666" s="24"/>
      <c r="G3666" s="24"/>
      <c r="H3666" s="24"/>
      <c r="J3666" s="24"/>
      <c r="K3666" s="24"/>
      <c r="M3666" s="24"/>
      <c r="N3666" s="24"/>
      <c r="P3666" s="24"/>
    </row>
    <row r="3667" spans="2:16" x14ac:dyDescent="0.25">
      <c r="B3667" s="24"/>
      <c r="E3667" s="24"/>
      <c r="G3667" s="24"/>
      <c r="H3667" s="24"/>
      <c r="J3667" s="24"/>
      <c r="K3667" s="24"/>
      <c r="M3667" s="24"/>
      <c r="N3667" s="24"/>
      <c r="P3667" s="24"/>
    </row>
    <row r="3668" spans="2:16" x14ac:dyDescent="0.25">
      <c r="B3668" s="24"/>
      <c r="E3668" s="24"/>
      <c r="G3668" s="24"/>
      <c r="H3668" s="24"/>
      <c r="J3668" s="24"/>
      <c r="K3668" s="24"/>
      <c r="M3668" s="24"/>
      <c r="N3668" s="24"/>
      <c r="P3668" s="24"/>
    </row>
    <row r="3669" spans="2:16" x14ac:dyDescent="0.25">
      <c r="B3669" s="24"/>
      <c r="E3669" s="24"/>
      <c r="G3669" s="24"/>
      <c r="H3669" s="24"/>
      <c r="J3669" s="24"/>
      <c r="K3669" s="24"/>
      <c r="M3669" s="24"/>
      <c r="N3669" s="24"/>
      <c r="P3669" s="24"/>
    </row>
    <row r="3670" spans="2:16" x14ac:dyDescent="0.25">
      <c r="B3670" s="24"/>
      <c r="E3670" s="24"/>
      <c r="G3670" s="24"/>
      <c r="H3670" s="24"/>
      <c r="J3670" s="24"/>
      <c r="K3670" s="24"/>
      <c r="M3670" s="24"/>
      <c r="N3670" s="24"/>
      <c r="P3670" s="24"/>
    </row>
    <row r="3671" spans="2:16" x14ac:dyDescent="0.25">
      <c r="B3671" s="24"/>
      <c r="E3671" s="24"/>
      <c r="G3671" s="24"/>
      <c r="H3671" s="24"/>
      <c r="J3671" s="24"/>
      <c r="K3671" s="24"/>
      <c r="M3671" s="24"/>
      <c r="N3671" s="24"/>
      <c r="P3671" s="24"/>
    </row>
    <row r="3672" spans="2:16" x14ac:dyDescent="0.25">
      <c r="B3672" s="24"/>
      <c r="E3672" s="24"/>
      <c r="G3672" s="24"/>
      <c r="H3672" s="24"/>
      <c r="J3672" s="24"/>
      <c r="K3672" s="24"/>
      <c r="M3672" s="24"/>
      <c r="N3672" s="24"/>
      <c r="P3672" s="24"/>
    </row>
    <row r="3673" spans="2:16" x14ac:dyDescent="0.25">
      <c r="B3673" s="24"/>
      <c r="E3673" s="24"/>
      <c r="G3673" s="24"/>
      <c r="H3673" s="24"/>
      <c r="J3673" s="24"/>
      <c r="K3673" s="24"/>
      <c r="M3673" s="24"/>
      <c r="N3673" s="24"/>
      <c r="P3673" s="24"/>
    </row>
    <row r="3674" spans="2:16" x14ac:dyDescent="0.25">
      <c r="B3674" s="24"/>
      <c r="E3674" s="24"/>
      <c r="G3674" s="24"/>
      <c r="H3674" s="24"/>
      <c r="J3674" s="24"/>
      <c r="K3674" s="24"/>
      <c r="M3674" s="24"/>
      <c r="N3674" s="24"/>
      <c r="P3674" s="24"/>
    </row>
    <row r="3675" spans="2:16" x14ac:dyDescent="0.25">
      <c r="B3675" s="24"/>
      <c r="E3675" s="24"/>
      <c r="G3675" s="24"/>
      <c r="H3675" s="24"/>
      <c r="J3675" s="24"/>
      <c r="K3675" s="24"/>
      <c r="M3675" s="24"/>
      <c r="N3675" s="24"/>
      <c r="P3675" s="24"/>
    </row>
    <row r="3676" spans="2:16" x14ac:dyDescent="0.25">
      <c r="B3676" s="24"/>
      <c r="E3676" s="24"/>
      <c r="G3676" s="24"/>
      <c r="H3676" s="24"/>
      <c r="J3676" s="24"/>
      <c r="K3676" s="24"/>
      <c r="M3676" s="24"/>
      <c r="N3676" s="24"/>
      <c r="P3676" s="24"/>
    </row>
    <row r="3677" spans="2:16" x14ac:dyDescent="0.25">
      <c r="B3677" s="24"/>
      <c r="E3677" s="24"/>
      <c r="G3677" s="24"/>
      <c r="H3677" s="24"/>
      <c r="J3677" s="24"/>
      <c r="K3677" s="24"/>
      <c r="M3677" s="24"/>
      <c r="N3677" s="24"/>
      <c r="P3677" s="24"/>
    </row>
    <row r="3678" spans="2:16" x14ac:dyDescent="0.25">
      <c r="B3678" s="24"/>
      <c r="E3678" s="24"/>
      <c r="G3678" s="24"/>
      <c r="H3678" s="24"/>
      <c r="J3678" s="24"/>
      <c r="K3678" s="24"/>
      <c r="M3678" s="24"/>
      <c r="N3678" s="24"/>
      <c r="P3678" s="24"/>
    </row>
    <row r="3679" spans="2:16" x14ac:dyDescent="0.25">
      <c r="B3679" s="24"/>
      <c r="E3679" s="24"/>
      <c r="G3679" s="24"/>
      <c r="H3679" s="24"/>
      <c r="J3679" s="24"/>
      <c r="K3679" s="24"/>
      <c r="M3679" s="24"/>
      <c r="N3679" s="24"/>
      <c r="P3679" s="24"/>
    </row>
    <row r="3680" spans="2:16" x14ac:dyDescent="0.25">
      <c r="B3680" s="24"/>
      <c r="E3680" s="24"/>
      <c r="G3680" s="24"/>
      <c r="H3680" s="24"/>
      <c r="J3680" s="24"/>
      <c r="K3680" s="24"/>
      <c r="M3680" s="24"/>
      <c r="N3680" s="24"/>
      <c r="P3680" s="24"/>
    </row>
    <row r="3681" spans="2:16" x14ac:dyDescent="0.25">
      <c r="B3681" s="24"/>
      <c r="E3681" s="24"/>
      <c r="G3681" s="24"/>
      <c r="H3681" s="24"/>
      <c r="J3681" s="24"/>
      <c r="K3681" s="24"/>
      <c r="M3681" s="24"/>
      <c r="N3681" s="24"/>
      <c r="P3681" s="24"/>
    </row>
    <row r="3682" spans="2:16" x14ac:dyDescent="0.25">
      <c r="B3682" s="24"/>
      <c r="E3682" s="24"/>
      <c r="G3682" s="24"/>
      <c r="H3682" s="24"/>
      <c r="J3682" s="24"/>
      <c r="K3682" s="24"/>
      <c r="M3682" s="24"/>
      <c r="N3682" s="24"/>
      <c r="P3682" s="24"/>
    </row>
    <row r="3683" spans="2:16" x14ac:dyDescent="0.25">
      <c r="B3683" s="24"/>
      <c r="E3683" s="24"/>
      <c r="G3683" s="24"/>
      <c r="H3683" s="24"/>
      <c r="J3683" s="24"/>
      <c r="K3683" s="24"/>
      <c r="M3683" s="24"/>
      <c r="N3683" s="24"/>
      <c r="P3683" s="24"/>
    </row>
    <row r="3684" spans="2:16" x14ac:dyDescent="0.25">
      <c r="B3684" s="24"/>
      <c r="E3684" s="24"/>
      <c r="G3684" s="24"/>
      <c r="H3684" s="24"/>
      <c r="J3684" s="24"/>
      <c r="K3684" s="24"/>
      <c r="M3684" s="24"/>
      <c r="N3684" s="24"/>
      <c r="P3684" s="24"/>
    </row>
    <row r="3685" spans="2:16" x14ac:dyDescent="0.25">
      <c r="B3685" s="24"/>
      <c r="E3685" s="24"/>
      <c r="G3685" s="24"/>
      <c r="H3685" s="24"/>
      <c r="J3685" s="24"/>
      <c r="K3685" s="24"/>
      <c r="M3685" s="24"/>
      <c r="N3685" s="24"/>
      <c r="P3685" s="24"/>
    </row>
    <row r="3686" spans="2:16" x14ac:dyDescent="0.25">
      <c r="B3686" s="24"/>
      <c r="E3686" s="24"/>
      <c r="G3686" s="24"/>
      <c r="H3686" s="24"/>
      <c r="J3686" s="24"/>
      <c r="K3686" s="24"/>
      <c r="M3686" s="24"/>
      <c r="N3686" s="24"/>
      <c r="P3686" s="24"/>
    </row>
    <row r="3687" spans="2:16" x14ac:dyDescent="0.25">
      <c r="B3687" s="24"/>
      <c r="E3687" s="24"/>
      <c r="G3687" s="24"/>
      <c r="H3687" s="24"/>
      <c r="J3687" s="24"/>
      <c r="K3687" s="24"/>
      <c r="M3687" s="24"/>
      <c r="N3687" s="24"/>
      <c r="P3687" s="24"/>
    </row>
    <row r="3688" spans="2:16" x14ac:dyDescent="0.25">
      <c r="B3688" s="24"/>
      <c r="E3688" s="24"/>
      <c r="G3688" s="24"/>
      <c r="H3688" s="24"/>
      <c r="J3688" s="24"/>
      <c r="K3688" s="24"/>
      <c r="M3688" s="24"/>
      <c r="N3688" s="24"/>
      <c r="P3688" s="24"/>
    </row>
    <row r="3689" spans="2:16" x14ac:dyDescent="0.25">
      <c r="B3689" s="24"/>
      <c r="E3689" s="24"/>
      <c r="G3689" s="24"/>
      <c r="H3689" s="24"/>
      <c r="J3689" s="24"/>
      <c r="K3689" s="24"/>
      <c r="M3689" s="24"/>
      <c r="N3689" s="24"/>
      <c r="P3689" s="24"/>
    </row>
    <row r="3690" spans="2:16" x14ac:dyDescent="0.25">
      <c r="B3690" s="24"/>
      <c r="E3690" s="24"/>
      <c r="G3690" s="24"/>
      <c r="H3690" s="24"/>
      <c r="J3690" s="24"/>
      <c r="K3690" s="24"/>
      <c r="M3690" s="24"/>
      <c r="N3690" s="24"/>
      <c r="P3690" s="24"/>
    </row>
    <row r="3691" spans="2:16" x14ac:dyDescent="0.25">
      <c r="B3691" s="24"/>
      <c r="E3691" s="24"/>
      <c r="G3691" s="24"/>
      <c r="H3691" s="24"/>
      <c r="J3691" s="24"/>
      <c r="K3691" s="24"/>
      <c r="M3691" s="24"/>
      <c r="N3691" s="24"/>
      <c r="P3691" s="24"/>
    </row>
    <row r="3692" spans="2:16" x14ac:dyDescent="0.25">
      <c r="B3692" s="24"/>
      <c r="E3692" s="24"/>
      <c r="G3692" s="24"/>
      <c r="H3692" s="24"/>
      <c r="J3692" s="24"/>
      <c r="K3692" s="24"/>
      <c r="M3692" s="24"/>
      <c r="N3692" s="24"/>
      <c r="P3692" s="24"/>
    </row>
    <row r="3693" spans="2:16" x14ac:dyDescent="0.25">
      <c r="B3693" s="24"/>
      <c r="E3693" s="24"/>
      <c r="G3693" s="24"/>
      <c r="H3693" s="24"/>
      <c r="J3693" s="24"/>
      <c r="K3693" s="24"/>
      <c r="M3693" s="24"/>
      <c r="N3693" s="24"/>
      <c r="P3693" s="24"/>
    </row>
    <row r="3694" spans="2:16" x14ac:dyDescent="0.25">
      <c r="B3694" s="24"/>
      <c r="E3694" s="24"/>
      <c r="G3694" s="24"/>
      <c r="H3694" s="24"/>
      <c r="J3694" s="24"/>
      <c r="K3694" s="24"/>
      <c r="M3694" s="24"/>
      <c r="N3694" s="24"/>
      <c r="P3694" s="24"/>
    </row>
    <row r="3695" spans="2:16" x14ac:dyDescent="0.25">
      <c r="B3695" s="24"/>
      <c r="E3695" s="24"/>
      <c r="G3695" s="24"/>
      <c r="H3695" s="24"/>
      <c r="J3695" s="24"/>
      <c r="K3695" s="24"/>
      <c r="M3695" s="24"/>
      <c r="N3695" s="24"/>
      <c r="P3695" s="24"/>
    </row>
    <row r="3696" spans="2:16" x14ac:dyDescent="0.25">
      <c r="B3696" s="24"/>
      <c r="E3696" s="24"/>
      <c r="G3696" s="24"/>
      <c r="H3696" s="24"/>
      <c r="J3696" s="24"/>
      <c r="K3696" s="24"/>
      <c r="M3696" s="24"/>
      <c r="N3696" s="24"/>
      <c r="P3696" s="24"/>
    </row>
    <row r="3697" spans="2:16" x14ac:dyDescent="0.25">
      <c r="B3697" s="24"/>
      <c r="E3697" s="24"/>
      <c r="G3697" s="24"/>
      <c r="H3697" s="24"/>
      <c r="J3697" s="24"/>
      <c r="K3697" s="24"/>
      <c r="M3697" s="24"/>
      <c r="N3697" s="24"/>
      <c r="P3697" s="24"/>
    </row>
    <row r="3698" spans="2:16" x14ac:dyDescent="0.25">
      <c r="B3698" s="24"/>
      <c r="E3698" s="24"/>
      <c r="G3698" s="24"/>
      <c r="H3698" s="24"/>
      <c r="J3698" s="24"/>
      <c r="K3698" s="24"/>
      <c r="M3698" s="24"/>
      <c r="N3698" s="24"/>
      <c r="P3698" s="24"/>
    </row>
    <row r="3699" spans="2:16" x14ac:dyDescent="0.25">
      <c r="B3699" s="24"/>
      <c r="E3699" s="24"/>
      <c r="G3699" s="24"/>
      <c r="H3699" s="24"/>
      <c r="J3699" s="24"/>
      <c r="K3699" s="24"/>
      <c r="M3699" s="24"/>
      <c r="N3699" s="24"/>
      <c r="P3699" s="24"/>
    </row>
    <row r="3700" spans="2:16" x14ac:dyDescent="0.25">
      <c r="B3700" s="24"/>
      <c r="E3700" s="24"/>
      <c r="G3700" s="24"/>
      <c r="H3700" s="24"/>
      <c r="J3700" s="24"/>
      <c r="K3700" s="24"/>
      <c r="M3700" s="24"/>
      <c r="N3700" s="24"/>
      <c r="P3700" s="24"/>
    </row>
    <row r="3701" spans="2:16" x14ac:dyDescent="0.25">
      <c r="B3701" s="24"/>
      <c r="E3701" s="24"/>
      <c r="G3701" s="24"/>
      <c r="H3701" s="24"/>
      <c r="J3701" s="24"/>
      <c r="K3701" s="24"/>
      <c r="M3701" s="24"/>
      <c r="N3701" s="24"/>
      <c r="P3701" s="24"/>
    </row>
    <row r="3702" spans="2:16" x14ac:dyDescent="0.25">
      <c r="B3702" s="24"/>
      <c r="E3702" s="24"/>
      <c r="G3702" s="24"/>
      <c r="H3702" s="24"/>
      <c r="J3702" s="24"/>
      <c r="K3702" s="24"/>
      <c r="M3702" s="24"/>
      <c r="N3702" s="24"/>
      <c r="P3702" s="24"/>
    </row>
    <row r="3703" spans="2:16" x14ac:dyDescent="0.25">
      <c r="B3703" s="24"/>
      <c r="E3703" s="24"/>
      <c r="G3703" s="24"/>
      <c r="H3703" s="24"/>
      <c r="J3703" s="24"/>
      <c r="K3703" s="24"/>
      <c r="M3703" s="24"/>
      <c r="N3703" s="24"/>
      <c r="P3703" s="24"/>
    </row>
    <row r="3704" spans="2:16" x14ac:dyDescent="0.25">
      <c r="B3704" s="24"/>
      <c r="E3704" s="24"/>
      <c r="G3704" s="24"/>
      <c r="H3704" s="24"/>
      <c r="J3704" s="24"/>
      <c r="K3704" s="24"/>
      <c r="M3704" s="24"/>
      <c r="N3704" s="24"/>
      <c r="P3704" s="24"/>
    </row>
    <row r="3705" spans="2:16" x14ac:dyDescent="0.25">
      <c r="B3705" s="24"/>
      <c r="E3705" s="24"/>
      <c r="G3705" s="24"/>
      <c r="H3705" s="24"/>
      <c r="J3705" s="24"/>
      <c r="K3705" s="24"/>
      <c r="M3705" s="24"/>
      <c r="N3705" s="24"/>
      <c r="P3705" s="24"/>
    </row>
    <row r="3706" spans="2:16" x14ac:dyDescent="0.25">
      <c r="B3706" s="24"/>
      <c r="E3706" s="24"/>
      <c r="G3706" s="24"/>
      <c r="H3706" s="24"/>
      <c r="J3706" s="24"/>
      <c r="K3706" s="24"/>
      <c r="M3706" s="24"/>
      <c r="N3706" s="24"/>
      <c r="P3706" s="24"/>
    </row>
    <row r="3707" spans="2:16" x14ac:dyDescent="0.25">
      <c r="B3707" s="24"/>
      <c r="E3707" s="24"/>
      <c r="G3707" s="24"/>
      <c r="H3707" s="24"/>
      <c r="J3707" s="24"/>
      <c r="K3707" s="24"/>
      <c r="M3707" s="24"/>
      <c r="N3707" s="24"/>
      <c r="P3707" s="24"/>
    </row>
    <row r="3708" spans="2:16" x14ac:dyDescent="0.25">
      <c r="B3708" s="24"/>
      <c r="E3708" s="24"/>
      <c r="G3708" s="24"/>
      <c r="H3708" s="24"/>
      <c r="J3708" s="24"/>
      <c r="K3708" s="24"/>
      <c r="M3708" s="24"/>
      <c r="N3708" s="24"/>
      <c r="P3708" s="24"/>
    </row>
    <row r="3709" spans="2:16" x14ac:dyDescent="0.25">
      <c r="B3709" s="24"/>
      <c r="E3709" s="24"/>
      <c r="G3709" s="24"/>
      <c r="H3709" s="24"/>
      <c r="J3709" s="24"/>
      <c r="K3709" s="24"/>
      <c r="M3709" s="24"/>
      <c r="N3709" s="24"/>
      <c r="P3709" s="24"/>
    </row>
    <row r="3710" spans="2:16" x14ac:dyDescent="0.25">
      <c r="B3710" s="24"/>
      <c r="E3710" s="24"/>
      <c r="G3710" s="24"/>
      <c r="H3710" s="24"/>
      <c r="J3710" s="24"/>
      <c r="K3710" s="24"/>
      <c r="M3710" s="24"/>
      <c r="N3710" s="24"/>
      <c r="P3710" s="24"/>
    </row>
    <row r="3711" spans="2:16" x14ac:dyDescent="0.25">
      <c r="B3711" s="24"/>
      <c r="E3711" s="24"/>
      <c r="G3711" s="24"/>
      <c r="H3711" s="24"/>
      <c r="J3711" s="24"/>
      <c r="K3711" s="24"/>
      <c r="M3711" s="24"/>
      <c r="N3711" s="24"/>
      <c r="P3711" s="24"/>
    </row>
    <row r="3712" spans="2:16" x14ac:dyDescent="0.25">
      <c r="B3712" s="24"/>
      <c r="E3712" s="24"/>
      <c r="G3712" s="24"/>
      <c r="H3712" s="24"/>
      <c r="J3712" s="24"/>
      <c r="K3712" s="24"/>
      <c r="M3712" s="24"/>
      <c r="N3712" s="24"/>
      <c r="P3712" s="24"/>
    </row>
    <row r="3713" spans="2:16" x14ac:dyDescent="0.25">
      <c r="B3713" s="24"/>
      <c r="E3713" s="24"/>
      <c r="G3713" s="24"/>
      <c r="H3713" s="24"/>
      <c r="J3713" s="24"/>
      <c r="K3713" s="24"/>
      <c r="M3713" s="24"/>
      <c r="N3713" s="24"/>
      <c r="P3713" s="24"/>
    </row>
    <row r="3714" spans="2:16" x14ac:dyDescent="0.25">
      <c r="B3714" s="24"/>
      <c r="E3714" s="24"/>
      <c r="G3714" s="24"/>
      <c r="H3714" s="24"/>
      <c r="J3714" s="24"/>
      <c r="K3714" s="24"/>
      <c r="M3714" s="24"/>
      <c r="N3714" s="24"/>
      <c r="P3714" s="24"/>
    </row>
    <row r="3715" spans="2:16" x14ac:dyDescent="0.25">
      <c r="B3715" s="24"/>
      <c r="E3715" s="24"/>
      <c r="G3715" s="24"/>
      <c r="H3715" s="24"/>
      <c r="J3715" s="24"/>
      <c r="K3715" s="24"/>
      <c r="M3715" s="24"/>
      <c r="N3715" s="24"/>
      <c r="P3715" s="24"/>
    </row>
    <row r="3716" spans="2:16" x14ac:dyDescent="0.25">
      <c r="B3716" s="24"/>
      <c r="E3716" s="24"/>
      <c r="G3716" s="24"/>
      <c r="H3716" s="24"/>
      <c r="J3716" s="24"/>
      <c r="K3716" s="24"/>
      <c r="M3716" s="24"/>
      <c r="N3716" s="24"/>
      <c r="P3716" s="24"/>
    </row>
    <row r="3717" spans="2:16" x14ac:dyDescent="0.25">
      <c r="B3717" s="24"/>
      <c r="E3717" s="24"/>
      <c r="G3717" s="24"/>
      <c r="H3717" s="24"/>
      <c r="J3717" s="24"/>
      <c r="K3717" s="24"/>
      <c r="M3717" s="24"/>
      <c r="N3717" s="24"/>
      <c r="P3717" s="24"/>
    </row>
    <row r="3718" spans="2:16" x14ac:dyDescent="0.25">
      <c r="B3718" s="24"/>
      <c r="E3718" s="24"/>
      <c r="G3718" s="24"/>
      <c r="H3718" s="24"/>
      <c r="J3718" s="24"/>
      <c r="K3718" s="24"/>
      <c r="M3718" s="24"/>
      <c r="N3718" s="24"/>
      <c r="P3718" s="24"/>
    </row>
    <row r="3719" spans="2:16" x14ac:dyDescent="0.25">
      <c r="B3719" s="24"/>
      <c r="E3719" s="24"/>
      <c r="G3719" s="24"/>
      <c r="H3719" s="24"/>
      <c r="J3719" s="24"/>
      <c r="K3719" s="24"/>
      <c r="M3719" s="24"/>
      <c r="N3719" s="24"/>
      <c r="P3719" s="24"/>
    </row>
    <row r="3720" spans="2:16" x14ac:dyDescent="0.25">
      <c r="B3720" s="24"/>
      <c r="E3720" s="24"/>
      <c r="G3720" s="24"/>
      <c r="H3720" s="24"/>
      <c r="J3720" s="24"/>
      <c r="K3720" s="24"/>
      <c r="M3720" s="24"/>
      <c r="N3720" s="24"/>
      <c r="P3720" s="24"/>
    </row>
    <row r="3721" spans="2:16" x14ac:dyDescent="0.25">
      <c r="B3721" s="24"/>
      <c r="E3721" s="24"/>
      <c r="G3721" s="24"/>
      <c r="H3721" s="24"/>
      <c r="J3721" s="24"/>
      <c r="K3721" s="24"/>
      <c r="M3721" s="24"/>
      <c r="N3721" s="24"/>
      <c r="P3721" s="24"/>
    </row>
    <row r="3722" spans="2:16" x14ac:dyDescent="0.25">
      <c r="B3722" s="24"/>
      <c r="E3722" s="24"/>
      <c r="G3722" s="24"/>
      <c r="H3722" s="24"/>
      <c r="J3722" s="24"/>
      <c r="K3722" s="24"/>
      <c r="M3722" s="24"/>
      <c r="N3722" s="24"/>
      <c r="P3722" s="24"/>
    </row>
    <row r="3723" spans="2:16" x14ac:dyDescent="0.25">
      <c r="B3723" s="24"/>
      <c r="E3723" s="24"/>
      <c r="G3723" s="24"/>
      <c r="H3723" s="24"/>
      <c r="J3723" s="24"/>
      <c r="K3723" s="24"/>
      <c r="M3723" s="24"/>
      <c r="N3723" s="24"/>
      <c r="P3723" s="24"/>
    </row>
    <row r="3724" spans="2:16" x14ac:dyDescent="0.25">
      <c r="B3724" s="24"/>
      <c r="E3724" s="24"/>
      <c r="G3724" s="24"/>
      <c r="H3724" s="24"/>
      <c r="J3724" s="24"/>
      <c r="K3724" s="24"/>
      <c r="M3724" s="24"/>
      <c r="N3724" s="24"/>
      <c r="P3724" s="24"/>
    </row>
    <row r="3725" spans="2:16" x14ac:dyDescent="0.25">
      <c r="B3725" s="24"/>
      <c r="E3725" s="24"/>
      <c r="G3725" s="24"/>
      <c r="H3725" s="24"/>
      <c r="J3725" s="24"/>
      <c r="K3725" s="24"/>
      <c r="M3725" s="24"/>
      <c r="N3725" s="24"/>
      <c r="P3725" s="24"/>
    </row>
    <row r="3726" spans="2:16" x14ac:dyDescent="0.25">
      <c r="B3726" s="24"/>
      <c r="E3726" s="24"/>
      <c r="G3726" s="24"/>
      <c r="H3726" s="24"/>
      <c r="J3726" s="24"/>
      <c r="K3726" s="24"/>
      <c r="M3726" s="24"/>
      <c r="N3726" s="24"/>
      <c r="P3726" s="24"/>
    </row>
    <row r="3727" spans="2:16" x14ac:dyDescent="0.25">
      <c r="B3727" s="24"/>
      <c r="E3727" s="24"/>
      <c r="G3727" s="24"/>
      <c r="H3727" s="24"/>
      <c r="J3727" s="24"/>
      <c r="K3727" s="24"/>
      <c r="M3727" s="24"/>
      <c r="N3727" s="24"/>
      <c r="P3727" s="24"/>
    </row>
    <row r="3728" spans="2:16" x14ac:dyDescent="0.25">
      <c r="B3728" s="24"/>
      <c r="E3728" s="24"/>
      <c r="G3728" s="24"/>
      <c r="H3728" s="24"/>
      <c r="J3728" s="24"/>
      <c r="K3728" s="24"/>
      <c r="M3728" s="24"/>
      <c r="N3728" s="24"/>
      <c r="P3728" s="24"/>
    </row>
    <row r="3729" spans="2:16" x14ac:dyDescent="0.25">
      <c r="B3729" s="24"/>
      <c r="E3729" s="24"/>
      <c r="G3729" s="24"/>
      <c r="H3729" s="24"/>
      <c r="J3729" s="24"/>
      <c r="K3729" s="24"/>
      <c r="M3729" s="24"/>
      <c r="N3729" s="24"/>
      <c r="P3729" s="24"/>
    </row>
    <row r="3730" spans="2:16" x14ac:dyDescent="0.25">
      <c r="B3730" s="24"/>
      <c r="E3730" s="24"/>
      <c r="G3730" s="24"/>
      <c r="H3730" s="24"/>
      <c r="J3730" s="24"/>
      <c r="K3730" s="24"/>
      <c r="M3730" s="24"/>
      <c r="N3730" s="24"/>
      <c r="P3730" s="24"/>
    </row>
    <row r="3731" spans="2:16" x14ac:dyDescent="0.25">
      <c r="B3731" s="24"/>
      <c r="E3731" s="24"/>
      <c r="G3731" s="24"/>
      <c r="H3731" s="24"/>
      <c r="J3731" s="24"/>
      <c r="K3731" s="24"/>
      <c r="M3731" s="24"/>
      <c r="N3731" s="24"/>
      <c r="P3731" s="24"/>
    </row>
    <row r="3732" spans="2:16" x14ac:dyDescent="0.25">
      <c r="B3732" s="24"/>
      <c r="E3732" s="24"/>
      <c r="G3732" s="24"/>
      <c r="H3732" s="24"/>
      <c r="J3732" s="24"/>
      <c r="K3732" s="24"/>
      <c r="M3732" s="24"/>
      <c r="N3732" s="24"/>
      <c r="P3732" s="24"/>
    </row>
    <row r="3733" spans="2:16" x14ac:dyDescent="0.25">
      <c r="B3733" s="24"/>
      <c r="E3733" s="24"/>
      <c r="G3733" s="24"/>
      <c r="H3733" s="24"/>
      <c r="J3733" s="24"/>
      <c r="K3733" s="24"/>
      <c r="M3733" s="24"/>
      <c r="N3733" s="24"/>
      <c r="P3733" s="24"/>
    </row>
    <row r="3734" spans="2:16" x14ac:dyDescent="0.25">
      <c r="B3734" s="24"/>
      <c r="E3734" s="24"/>
      <c r="G3734" s="24"/>
      <c r="H3734" s="24"/>
      <c r="J3734" s="24"/>
      <c r="K3734" s="24"/>
      <c r="M3734" s="24"/>
      <c r="N3734" s="24"/>
      <c r="P3734" s="24"/>
    </row>
    <row r="3735" spans="2:16" x14ac:dyDescent="0.25">
      <c r="B3735" s="24"/>
      <c r="E3735" s="24"/>
      <c r="G3735" s="24"/>
      <c r="H3735" s="24"/>
      <c r="J3735" s="24"/>
      <c r="K3735" s="24"/>
      <c r="M3735" s="24"/>
      <c r="N3735" s="24"/>
      <c r="P3735" s="24"/>
    </row>
    <row r="3736" spans="2:16" x14ac:dyDescent="0.25">
      <c r="B3736" s="24"/>
      <c r="E3736" s="24"/>
      <c r="G3736" s="24"/>
      <c r="H3736" s="24"/>
      <c r="J3736" s="24"/>
      <c r="K3736" s="24"/>
      <c r="M3736" s="24"/>
      <c r="N3736" s="24"/>
      <c r="P3736" s="24"/>
    </row>
    <row r="3737" spans="2:16" x14ac:dyDescent="0.25">
      <c r="B3737" s="24"/>
      <c r="E3737" s="24"/>
      <c r="G3737" s="24"/>
      <c r="H3737" s="24"/>
      <c r="J3737" s="24"/>
      <c r="K3737" s="24"/>
      <c r="M3737" s="24"/>
      <c r="N3737" s="24"/>
      <c r="P3737" s="24"/>
    </row>
    <row r="3738" spans="2:16" x14ac:dyDescent="0.25">
      <c r="B3738" s="24"/>
      <c r="E3738" s="24"/>
      <c r="G3738" s="24"/>
      <c r="H3738" s="24"/>
      <c r="J3738" s="24"/>
      <c r="K3738" s="24"/>
      <c r="M3738" s="24"/>
      <c r="N3738" s="24"/>
      <c r="P3738" s="24"/>
    </row>
    <row r="3739" spans="2:16" x14ac:dyDescent="0.25">
      <c r="B3739" s="24"/>
      <c r="E3739" s="24"/>
      <c r="G3739" s="24"/>
      <c r="H3739" s="24"/>
      <c r="J3739" s="24"/>
      <c r="K3739" s="24"/>
      <c r="M3739" s="24"/>
      <c r="N3739" s="24"/>
      <c r="P3739" s="24"/>
    </row>
    <row r="3740" spans="2:16" x14ac:dyDescent="0.25">
      <c r="B3740" s="24"/>
      <c r="E3740" s="24"/>
      <c r="G3740" s="24"/>
      <c r="H3740" s="24"/>
      <c r="J3740" s="24"/>
      <c r="K3740" s="24"/>
      <c r="M3740" s="24"/>
      <c r="N3740" s="24"/>
      <c r="P3740" s="24"/>
    </row>
    <row r="3741" spans="2:16" x14ac:dyDescent="0.25">
      <c r="B3741" s="24"/>
      <c r="E3741" s="24"/>
      <c r="G3741" s="24"/>
      <c r="H3741" s="24"/>
      <c r="J3741" s="24"/>
      <c r="K3741" s="24"/>
      <c r="M3741" s="24"/>
      <c r="N3741" s="24"/>
      <c r="P3741" s="24"/>
    </row>
    <row r="3742" spans="2:16" x14ac:dyDescent="0.25">
      <c r="B3742" s="24"/>
      <c r="E3742" s="24"/>
      <c r="G3742" s="24"/>
      <c r="H3742" s="24"/>
      <c r="J3742" s="24"/>
      <c r="K3742" s="24"/>
      <c r="M3742" s="24"/>
      <c r="N3742" s="24"/>
      <c r="P3742" s="24"/>
    </row>
    <row r="3743" spans="2:16" x14ac:dyDescent="0.25">
      <c r="B3743" s="24"/>
      <c r="E3743" s="24"/>
      <c r="G3743" s="24"/>
      <c r="H3743" s="24"/>
      <c r="J3743" s="24"/>
      <c r="K3743" s="24"/>
      <c r="M3743" s="24"/>
      <c r="N3743" s="24"/>
      <c r="P3743" s="24"/>
    </row>
    <row r="3744" spans="2:16" x14ac:dyDescent="0.25">
      <c r="B3744" s="24"/>
      <c r="E3744" s="24"/>
      <c r="G3744" s="24"/>
      <c r="H3744" s="24"/>
      <c r="J3744" s="24"/>
      <c r="K3744" s="24"/>
      <c r="M3744" s="24"/>
      <c r="N3744" s="24"/>
      <c r="P3744" s="24"/>
    </row>
    <row r="3745" spans="2:16" x14ac:dyDescent="0.25">
      <c r="B3745" s="24"/>
      <c r="E3745" s="24"/>
      <c r="G3745" s="24"/>
      <c r="H3745" s="24"/>
      <c r="J3745" s="24"/>
      <c r="K3745" s="24"/>
      <c r="M3745" s="24"/>
      <c r="N3745" s="24"/>
      <c r="P3745" s="24"/>
    </row>
    <row r="3746" spans="2:16" x14ac:dyDescent="0.25">
      <c r="B3746" s="24"/>
      <c r="E3746" s="24"/>
      <c r="G3746" s="24"/>
      <c r="H3746" s="24"/>
      <c r="J3746" s="24"/>
      <c r="K3746" s="24"/>
      <c r="M3746" s="24"/>
      <c r="N3746" s="24"/>
      <c r="P3746" s="24"/>
    </row>
    <row r="3747" spans="2:16" x14ac:dyDescent="0.25">
      <c r="B3747" s="24"/>
      <c r="E3747" s="24"/>
      <c r="G3747" s="24"/>
      <c r="H3747" s="24"/>
      <c r="J3747" s="24"/>
      <c r="K3747" s="24"/>
      <c r="M3747" s="24"/>
      <c r="N3747" s="24"/>
      <c r="P3747" s="24"/>
    </row>
    <row r="3748" spans="2:16" x14ac:dyDescent="0.25">
      <c r="B3748" s="24"/>
      <c r="E3748" s="24"/>
      <c r="G3748" s="24"/>
      <c r="H3748" s="24"/>
      <c r="J3748" s="24"/>
      <c r="K3748" s="24"/>
      <c r="M3748" s="24"/>
      <c r="N3748" s="24"/>
      <c r="P3748" s="24"/>
    </row>
    <row r="3749" spans="2:16" x14ac:dyDescent="0.25">
      <c r="B3749" s="24"/>
      <c r="E3749" s="24"/>
      <c r="G3749" s="24"/>
      <c r="H3749" s="24"/>
      <c r="J3749" s="24"/>
      <c r="K3749" s="24"/>
      <c r="M3749" s="24"/>
      <c r="N3749" s="24"/>
      <c r="P3749" s="24"/>
    </row>
    <row r="3750" spans="2:16" x14ac:dyDescent="0.25">
      <c r="B3750" s="24"/>
      <c r="E3750" s="24"/>
      <c r="G3750" s="24"/>
      <c r="H3750" s="24"/>
      <c r="J3750" s="24"/>
      <c r="K3750" s="24"/>
      <c r="M3750" s="24"/>
      <c r="N3750" s="24"/>
      <c r="P3750" s="24"/>
    </row>
    <row r="3751" spans="2:16" x14ac:dyDescent="0.25">
      <c r="B3751" s="24"/>
      <c r="E3751" s="24"/>
      <c r="G3751" s="24"/>
      <c r="H3751" s="24"/>
      <c r="J3751" s="24"/>
      <c r="K3751" s="24"/>
      <c r="M3751" s="24"/>
      <c r="N3751" s="24"/>
      <c r="P3751" s="24"/>
    </row>
    <row r="3752" spans="2:16" x14ac:dyDescent="0.25">
      <c r="B3752" s="24"/>
      <c r="E3752" s="24"/>
      <c r="G3752" s="24"/>
      <c r="H3752" s="24"/>
      <c r="J3752" s="24"/>
      <c r="K3752" s="24"/>
      <c r="M3752" s="24"/>
      <c r="N3752" s="24"/>
      <c r="P3752" s="24"/>
    </row>
    <row r="3753" spans="2:16" x14ac:dyDescent="0.25">
      <c r="B3753" s="24"/>
      <c r="E3753" s="24"/>
      <c r="G3753" s="24"/>
      <c r="H3753" s="24"/>
      <c r="J3753" s="24"/>
      <c r="K3753" s="24"/>
      <c r="M3753" s="24"/>
      <c r="N3753" s="24"/>
      <c r="P3753" s="24"/>
    </row>
    <row r="3754" spans="2:16" x14ac:dyDescent="0.25">
      <c r="B3754" s="24"/>
      <c r="E3754" s="24"/>
      <c r="G3754" s="24"/>
      <c r="H3754" s="24"/>
      <c r="J3754" s="24"/>
      <c r="K3754" s="24"/>
      <c r="M3754" s="24"/>
      <c r="N3754" s="24"/>
      <c r="P3754" s="24"/>
    </row>
    <row r="3755" spans="2:16" x14ac:dyDescent="0.25">
      <c r="B3755" s="24"/>
      <c r="E3755" s="24"/>
      <c r="G3755" s="24"/>
      <c r="H3755" s="24"/>
      <c r="J3755" s="24"/>
      <c r="K3755" s="24"/>
      <c r="M3755" s="24"/>
      <c r="N3755" s="24"/>
      <c r="P3755" s="24"/>
    </row>
    <row r="3756" spans="2:16" x14ac:dyDescent="0.25">
      <c r="B3756" s="24"/>
      <c r="E3756" s="24"/>
      <c r="G3756" s="24"/>
      <c r="H3756" s="24"/>
      <c r="J3756" s="24"/>
      <c r="K3756" s="24"/>
      <c r="M3756" s="24"/>
      <c r="N3756" s="24"/>
      <c r="P3756" s="24"/>
    </row>
    <row r="3757" spans="2:16" x14ac:dyDescent="0.25">
      <c r="B3757" s="24"/>
      <c r="E3757" s="24"/>
      <c r="G3757" s="24"/>
      <c r="H3757" s="24"/>
      <c r="J3757" s="24"/>
      <c r="K3757" s="24"/>
      <c r="M3757" s="24"/>
      <c r="N3757" s="24"/>
      <c r="P3757" s="24"/>
    </row>
    <row r="3758" spans="2:16" x14ac:dyDescent="0.25">
      <c r="B3758" s="24"/>
      <c r="E3758" s="24"/>
      <c r="G3758" s="24"/>
      <c r="H3758" s="24"/>
      <c r="J3758" s="24"/>
      <c r="K3758" s="24"/>
      <c r="M3758" s="24"/>
      <c r="N3758" s="24"/>
      <c r="P3758" s="24"/>
    </row>
    <row r="3759" spans="2:16" x14ac:dyDescent="0.25">
      <c r="B3759" s="24"/>
      <c r="E3759" s="24"/>
      <c r="G3759" s="24"/>
      <c r="H3759" s="24"/>
      <c r="J3759" s="24"/>
      <c r="K3759" s="24"/>
      <c r="M3759" s="24"/>
      <c r="N3759" s="24"/>
      <c r="P3759" s="24"/>
    </row>
    <row r="3760" spans="2:16" x14ac:dyDescent="0.25">
      <c r="B3760" s="24"/>
      <c r="E3760" s="24"/>
      <c r="G3760" s="24"/>
      <c r="H3760" s="24"/>
      <c r="J3760" s="24"/>
      <c r="K3760" s="24"/>
      <c r="M3760" s="24"/>
      <c r="N3760" s="24"/>
      <c r="P3760" s="24"/>
    </row>
    <row r="3761" spans="2:16" x14ac:dyDescent="0.25">
      <c r="B3761" s="24"/>
      <c r="E3761" s="24"/>
      <c r="G3761" s="24"/>
      <c r="H3761" s="24"/>
      <c r="J3761" s="24"/>
      <c r="K3761" s="24"/>
      <c r="M3761" s="24"/>
      <c r="N3761" s="24"/>
      <c r="P3761" s="24"/>
    </row>
    <row r="3762" spans="2:16" x14ac:dyDescent="0.25">
      <c r="B3762" s="24"/>
      <c r="E3762" s="24"/>
      <c r="G3762" s="24"/>
      <c r="H3762" s="24"/>
      <c r="J3762" s="24"/>
      <c r="K3762" s="24"/>
      <c r="M3762" s="24"/>
      <c r="N3762" s="24"/>
      <c r="P3762" s="24"/>
    </row>
    <row r="3763" spans="2:16" x14ac:dyDescent="0.25">
      <c r="B3763" s="24"/>
      <c r="E3763" s="24"/>
      <c r="G3763" s="24"/>
      <c r="H3763" s="24"/>
      <c r="J3763" s="24"/>
      <c r="K3763" s="24"/>
      <c r="M3763" s="24"/>
      <c r="N3763" s="24"/>
      <c r="P3763" s="24"/>
    </row>
    <row r="3764" spans="2:16" x14ac:dyDescent="0.25">
      <c r="B3764" s="24"/>
      <c r="E3764" s="24"/>
      <c r="G3764" s="24"/>
      <c r="H3764" s="24"/>
      <c r="J3764" s="24"/>
      <c r="K3764" s="24"/>
      <c r="M3764" s="24"/>
      <c r="N3764" s="24"/>
      <c r="P3764" s="24"/>
    </row>
    <row r="3765" spans="2:16" x14ac:dyDescent="0.25">
      <c r="B3765" s="24"/>
      <c r="E3765" s="24"/>
      <c r="G3765" s="24"/>
      <c r="H3765" s="24"/>
      <c r="J3765" s="24"/>
      <c r="K3765" s="24"/>
      <c r="M3765" s="24"/>
      <c r="N3765" s="24"/>
      <c r="P3765" s="24"/>
    </row>
    <row r="3766" spans="2:16" x14ac:dyDescent="0.25">
      <c r="B3766" s="24"/>
      <c r="E3766" s="24"/>
      <c r="G3766" s="24"/>
      <c r="H3766" s="24"/>
      <c r="J3766" s="24"/>
      <c r="K3766" s="24"/>
      <c r="M3766" s="24"/>
      <c r="N3766" s="24"/>
      <c r="P3766" s="24"/>
    </row>
    <row r="3767" spans="2:16" x14ac:dyDescent="0.25">
      <c r="B3767" s="24"/>
      <c r="E3767" s="24"/>
      <c r="G3767" s="24"/>
      <c r="H3767" s="24"/>
      <c r="J3767" s="24"/>
      <c r="K3767" s="24"/>
      <c r="M3767" s="24"/>
      <c r="N3767" s="24"/>
      <c r="P3767" s="24"/>
    </row>
    <row r="3768" spans="2:16" x14ac:dyDescent="0.25">
      <c r="B3768" s="24"/>
      <c r="E3768" s="24"/>
      <c r="G3768" s="24"/>
      <c r="H3768" s="24"/>
      <c r="J3768" s="24"/>
      <c r="K3768" s="24"/>
      <c r="M3768" s="24"/>
      <c r="N3768" s="24"/>
      <c r="P3768" s="24"/>
    </row>
    <row r="3769" spans="2:16" x14ac:dyDescent="0.25">
      <c r="B3769" s="24"/>
      <c r="E3769" s="24"/>
      <c r="G3769" s="24"/>
      <c r="H3769" s="24"/>
      <c r="J3769" s="24"/>
      <c r="K3769" s="24"/>
      <c r="M3769" s="24"/>
      <c r="N3769" s="24"/>
      <c r="P3769" s="24"/>
    </row>
    <row r="3770" spans="2:16" x14ac:dyDescent="0.25">
      <c r="B3770" s="24"/>
      <c r="E3770" s="24"/>
      <c r="G3770" s="24"/>
      <c r="H3770" s="24"/>
      <c r="J3770" s="24"/>
      <c r="K3770" s="24"/>
      <c r="M3770" s="24"/>
      <c r="N3770" s="24"/>
      <c r="P3770" s="24"/>
    </row>
    <row r="3771" spans="2:16" x14ac:dyDescent="0.25">
      <c r="B3771" s="24"/>
      <c r="E3771" s="24"/>
      <c r="G3771" s="24"/>
      <c r="H3771" s="24"/>
      <c r="J3771" s="24"/>
      <c r="K3771" s="24"/>
      <c r="M3771" s="24"/>
      <c r="N3771" s="24"/>
      <c r="P3771" s="24"/>
    </row>
    <row r="3772" spans="2:16" x14ac:dyDescent="0.25">
      <c r="B3772" s="24"/>
      <c r="E3772" s="24"/>
      <c r="G3772" s="24"/>
      <c r="H3772" s="24"/>
      <c r="J3772" s="24"/>
      <c r="K3772" s="24"/>
      <c r="M3772" s="24"/>
      <c r="N3772" s="24"/>
      <c r="P3772" s="24"/>
    </row>
    <row r="3773" spans="2:16" x14ac:dyDescent="0.25">
      <c r="B3773" s="24"/>
      <c r="E3773" s="24"/>
      <c r="G3773" s="24"/>
      <c r="H3773" s="24"/>
      <c r="J3773" s="24"/>
      <c r="K3773" s="24"/>
      <c r="M3773" s="24"/>
      <c r="N3773" s="24"/>
      <c r="P3773" s="24"/>
    </row>
    <row r="3774" spans="2:16" x14ac:dyDescent="0.25">
      <c r="B3774" s="24"/>
      <c r="E3774" s="24"/>
      <c r="G3774" s="24"/>
      <c r="H3774" s="24"/>
      <c r="J3774" s="24"/>
      <c r="K3774" s="24"/>
      <c r="M3774" s="24"/>
      <c r="N3774" s="24"/>
      <c r="P3774" s="24"/>
    </row>
    <row r="3775" spans="2:16" x14ac:dyDescent="0.25">
      <c r="B3775" s="24"/>
      <c r="E3775" s="24"/>
      <c r="G3775" s="24"/>
      <c r="H3775" s="24"/>
      <c r="J3775" s="24"/>
      <c r="K3775" s="24"/>
      <c r="M3775" s="24"/>
      <c r="N3775" s="24"/>
      <c r="P3775" s="24"/>
    </row>
    <row r="3776" spans="2:16" x14ac:dyDescent="0.25">
      <c r="B3776" s="24"/>
      <c r="E3776" s="24"/>
      <c r="G3776" s="24"/>
      <c r="H3776" s="24"/>
      <c r="J3776" s="24"/>
      <c r="K3776" s="24"/>
      <c r="M3776" s="24"/>
      <c r="N3776" s="24"/>
      <c r="P3776" s="24"/>
    </row>
    <row r="3777" spans="2:16" x14ac:dyDescent="0.25">
      <c r="B3777" s="24"/>
      <c r="E3777" s="24"/>
      <c r="G3777" s="24"/>
      <c r="H3777" s="24"/>
      <c r="J3777" s="24"/>
      <c r="K3777" s="24"/>
      <c r="M3777" s="24"/>
      <c r="N3777" s="24"/>
      <c r="P3777" s="24"/>
    </row>
    <row r="3778" spans="2:16" x14ac:dyDescent="0.25">
      <c r="B3778" s="24"/>
      <c r="E3778" s="24"/>
      <c r="G3778" s="24"/>
      <c r="H3778" s="24"/>
      <c r="J3778" s="24"/>
      <c r="K3778" s="24"/>
      <c r="M3778" s="24"/>
      <c r="N3778" s="24"/>
      <c r="P3778" s="24"/>
    </row>
    <row r="3779" spans="2:16" x14ac:dyDescent="0.25">
      <c r="B3779" s="24"/>
      <c r="E3779" s="24"/>
      <c r="G3779" s="24"/>
      <c r="H3779" s="24"/>
      <c r="J3779" s="24"/>
      <c r="K3779" s="24"/>
      <c r="M3779" s="24"/>
      <c r="N3779" s="24"/>
      <c r="P3779" s="24"/>
    </row>
    <row r="3780" spans="2:16" x14ac:dyDescent="0.25">
      <c r="B3780" s="24"/>
      <c r="E3780" s="24"/>
      <c r="G3780" s="24"/>
      <c r="H3780" s="24"/>
      <c r="J3780" s="24"/>
      <c r="K3780" s="24"/>
      <c r="M3780" s="24"/>
      <c r="N3780" s="24"/>
      <c r="P3780" s="24"/>
    </row>
    <row r="3781" spans="2:16" x14ac:dyDescent="0.25">
      <c r="B3781" s="24"/>
      <c r="E3781" s="24"/>
      <c r="G3781" s="24"/>
      <c r="H3781" s="24"/>
      <c r="J3781" s="24"/>
      <c r="K3781" s="24"/>
      <c r="M3781" s="24"/>
      <c r="N3781" s="24"/>
      <c r="P3781" s="24"/>
    </row>
    <row r="3782" spans="2:16" x14ac:dyDescent="0.25">
      <c r="B3782" s="24"/>
      <c r="E3782" s="24"/>
      <c r="G3782" s="24"/>
      <c r="H3782" s="24"/>
      <c r="J3782" s="24"/>
      <c r="K3782" s="24"/>
      <c r="M3782" s="24"/>
      <c r="N3782" s="24"/>
      <c r="P3782" s="24"/>
    </row>
    <row r="3783" spans="2:16" x14ac:dyDescent="0.25">
      <c r="B3783" s="24"/>
      <c r="E3783" s="24"/>
      <c r="G3783" s="24"/>
      <c r="H3783" s="24"/>
      <c r="J3783" s="24"/>
      <c r="K3783" s="24"/>
      <c r="M3783" s="24"/>
      <c r="N3783" s="24"/>
      <c r="P3783" s="24"/>
    </row>
    <row r="3784" spans="2:16" x14ac:dyDescent="0.25">
      <c r="B3784" s="24"/>
      <c r="E3784" s="24"/>
      <c r="G3784" s="24"/>
      <c r="H3784" s="24"/>
      <c r="J3784" s="24"/>
      <c r="K3784" s="24"/>
      <c r="M3784" s="24"/>
      <c r="N3784" s="24"/>
      <c r="P3784" s="24"/>
    </row>
    <row r="3785" spans="2:16" x14ac:dyDescent="0.25">
      <c r="B3785" s="24"/>
      <c r="E3785" s="24"/>
      <c r="G3785" s="24"/>
      <c r="H3785" s="24"/>
      <c r="J3785" s="24"/>
      <c r="K3785" s="24"/>
      <c r="M3785" s="24"/>
      <c r="N3785" s="24"/>
      <c r="P3785" s="24"/>
    </row>
    <row r="3786" spans="2:16" x14ac:dyDescent="0.25">
      <c r="B3786" s="24"/>
      <c r="E3786" s="24"/>
      <c r="G3786" s="24"/>
      <c r="H3786" s="24"/>
      <c r="J3786" s="24"/>
      <c r="K3786" s="24"/>
      <c r="M3786" s="24"/>
      <c r="N3786" s="24"/>
      <c r="P3786" s="24"/>
    </row>
    <row r="3787" spans="2:16" x14ac:dyDescent="0.25">
      <c r="B3787" s="24"/>
      <c r="E3787" s="24"/>
      <c r="G3787" s="24"/>
      <c r="H3787" s="24"/>
      <c r="J3787" s="24"/>
      <c r="K3787" s="24"/>
      <c r="M3787" s="24"/>
      <c r="N3787" s="24"/>
      <c r="P3787" s="24"/>
    </row>
    <row r="3788" spans="2:16" x14ac:dyDescent="0.25">
      <c r="B3788" s="24"/>
      <c r="E3788" s="24"/>
      <c r="G3788" s="24"/>
      <c r="H3788" s="24"/>
      <c r="J3788" s="24"/>
      <c r="K3788" s="24"/>
      <c r="M3788" s="24"/>
      <c r="N3788" s="24"/>
      <c r="P3788" s="24"/>
    </row>
    <row r="3789" spans="2:16" x14ac:dyDescent="0.25">
      <c r="B3789" s="24"/>
      <c r="E3789" s="24"/>
      <c r="G3789" s="24"/>
      <c r="H3789" s="24"/>
      <c r="J3789" s="24"/>
      <c r="K3789" s="24"/>
      <c r="M3789" s="24"/>
      <c r="N3789" s="24"/>
      <c r="P3789" s="24"/>
    </row>
    <row r="3790" spans="2:16" x14ac:dyDescent="0.25">
      <c r="B3790" s="24"/>
      <c r="E3790" s="24"/>
      <c r="G3790" s="24"/>
      <c r="H3790" s="24"/>
      <c r="J3790" s="24"/>
      <c r="K3790" s="24"/>
      <c r="M3790" s="24"/>
      <c r="N3790" s="24"/>
      <c r="P3790" s="24"/>
    </row>
    <row r="3791" spans="2:16" x14ac:dyDescent="0.25">
      <c r="B3791" s="24"/>
      <c r="E3791" s="24"/>
      <c r="G3791" s="24"/>
      <c r="H3791" s="24"/>
      <c r="J3791" s="24"/>
      <c r="K3791" s="24"/>
      <c r="M3791" s="24"/>
      <c r="N3791" s="24"/>
      <c r="P3791" s="24"/>
    </row>
    <row r="3792" spans="2:16" x14ac:dyDescent="0.25">
      <c r="B3792" s="24"/>
      <c r="E3792" s="24"/>
      <c r="G3792" s="24"/>
      <c r="H3792" s="24"/>
      <c r="J3792" s="24"/>
      <c r="K3792" s="24"/>
      <c r="M3792" s="24"/>
      <c r="N3792" s="24"/>
      <c r="P3792" s="24"/>
    </row>
    <row r="3793" spans="2:16" x14ac:dyDescent="0.25">
      <c r="B3793" s="24"/>
      <c r="E3793" s="24"/>
      <c r="G3793" s="24"/>
      <c r="H3793" s="24"/>
      <c r="J3793" s="24"/>
      <c r="K3793" s="24"/>
      <c r="M3793" s="24"/>
      <c r="N3793" s="24"/>
      <c r="P3793" s="24"/>
    </row>
    <row r="3794" spans="2:16" x14ac:dyDescent="0.25">
      <c r="B3794" s="24"/>
      <c r="E3794" s="24"/>
      <c r="G3794" s="24"/>
      <c r="H3794" s="24"/>
      <c r="J3794" s="24"/>
      <c r="K3794" s="24"/>
      <c r="M3794" s="24"/>
      <c r="N3794" s="24"/>
      <c r="P3794" s="24"/>
    </row>
    <row r="3795" spans="2:16" x14ac:dyDescent="0.25">
      <c r="B3795" s="24"/>
      <c r="E3795" s="24"/>
      <c r="G3795" s="24"/>
      <c r="H3795" s="24"/>
      <c r="J3795" s="24"/>
      <c r="K3795" s="24"/>
      <c r="M3795" s="24"/>
      <c r="N3795" s="24"/>
      <c r="P3795" s="24"/>
    </row>
    <row r="3796" spans="2:16" x14ac:dyDescent="0.25">
      <c r="B3796" s="24"/>
      <c r="E3796" s="24"/>
      <c r="G3796" s="24"/>
      <c r="H3796" s="24"/>
      <c r="J3796" s="24"/>
      <c r="K3796" s="24"/>
      <c r="M3796" s="24"/>
      <c r="N3796" s="24"/>
      <c r="P3796" s="24"/>
    </row>
    <row r="3797" spans="2:16" x14ac:dyDescent="0.25">
      <c r="B3797" s="24"/>
      <c r="E3797" s="24"/>
      <c r="G3797" s="24"/>
      <c r="H3797" s="24"/>
      <c r="J3797" s="24"/>
      <c r="K3797" s="24"/>
      <c r="M3797" s="24"/>
      <c r="N3797" s="24"/>
      <c r="P3797" s="24"/>
    </row>
    <row r="3798" spans="2:16" x14ac:dyDescent="0.25">
      <c r="B3798" s="24"/>
      <c r="E3798" s="24"/>
      <c r="G3798" s="24"/>
      <c r="H3798" s="24"/>
      <c r="J3798" s="24"/>
      <c r="K3798" s="24"/>
      <c r="M3798" s="24"/>
      <c r="N3798" s="24"/>
      <c r="P3798" s="24"/>
    </row>
    <row r="3799" spans="2:16" x14ac:dyDescent="0.25">
      <c r="B3799" s="24"/>
      <c r="E3799" s="24"/>
      <c r="G3799" s="24"/>
      <c r="H3799" s="24"/>
      <c r="J3799" s="24"/>
      <c r="K3799" s="24"/>
      <c r="M3799" s="24"/>
      <c r="N3799" s="24"/>
      <c r="P3799" s="24"/>
    </row>
    <row r="3800" spans="2:16" x14ac:dyDescent="0.25">
      <c r="B3800" s="24"/>
      <c r="E3800" s="24"/>
      <c r="G3800" s="24"/>
      <c r="H3800" s="24"/>
      <c r="J3800" s="24"/>
      <c r="K3800" s="24"/>
      <c r="M3800" s="24"/>
      <c r="N3800" s="24"/>
      <c r="P3800" s="24"/>
    </row>
    <row r="3801" spans="2:16" x14ac:dyDescent="0.25">
      <c r="B3801" s="24"/>
      <c r="E3801" s="24"/>
      <c r="G3801" s="24"/>
      <c r="H3801" s="24"/>
      <c r="J3801" s="24"/>
      <c r="K3801" s="24"/>
      <c r="M3801" s="24"/>
      <c r="N3801" s="24"/>
      <c r="P3801" s="24"/>
    </row>
    <row r="3802" spans="2:16" x14ac:dyDescent="0.25">
      <c r="B3802" s="24"/>
      <c r="E3802" s="24"/>
      <c r="G3802" s="24"/>
      <c r="H3802" s="24"/>
      <c r="J3802" s="24"/>
      <c r="K3802" s="24"/>
      <c r="M3802" s="24"/>
      <c r="N3802" s="24"/>
      <c r="P3802" s="24"/>
    </row>
    <row r="3803" spans="2:16" x14ac:dyDescent="0.25">
      <c r="B3803" s="24"/>
      <c r="E3803" s="24"/>
      <c r="G3803" s="24"/>
      <c r="H3803" s="24"/>
      <c r="J3803" s="24"/>
      <c r="K3803" s="24"/>
      <c r="M3803" s="24"/>
      <c r="N3803" s="24"/>
      <c r="P3803" s="24"/>
    </row>
    <row r="3804" spans="2:16" x14ac:dyDescent="0.25">
      <c r="B3804" s="24"/>
      <c r="E3804" s="24"/>
      <c r="G3804" s="24"/>
      <c r="H3804" s="24"/>
      <c r="J3804" s="24"/>
      <c r="K3804" s="24"/>
      <c r="M3804" s="24"/>
      <c r="N3804" s="24"/>
      <c r="P3804" s="24"/>
    </row>
    <row r="3805" spans="2:16" x14ac:dyDescent="0.25">
      <c r="B3805" s="24"/>
      <c r="E3805" s="24"/>
      <c r="G3805" s="24"/>
      <c r="H3805" s="24"/>
      <c r="J3805" s="24"/>
      <c r="K3805" s="24"/>
      <c r="M3805" s="24"/>
      <c r="N3805" s="24"/>
      <c r="P3805" s="24"/>
    </row>
    <row r="3806" spans="2:16" x14ac:dyDescent="0.25">
      <c r="B3806" s="24"/>
      <c r="E3806" s="24"/>
      <c r="G3806" s="24"/>
      <c r="H3806" s="24"/>
      <c r="J3806" s="24"/>
      <c r="K3806" s="24"/>
      <c r="M3806" s="24"/>
      <c r="N3806" s="24"/>
      <c r="P3806" s="24"/>
    </row>
    <row r="3807" spans="2:16" x14ac:dyDescent="0.25">
      <c r="B3807" s="24"/>
      <c r="E3807" s="24"/>
      <c r="G3807" s="24"/>
      <c r="H3807" s="24"/>
      <c r="J3807" s="24"/>
      <c r="K3807" s="24"/>
      <c r="M3807" s="24"/>
      <c r="N3807" s="24"/>
      <c r="P3807" s="24"/>
    </row>
    <row r="3808" spans="2:16" x14ac:dyDescent="0.25">
      <c r="B3808" s="24"/>
      <c r="E3808" s="24"/>
      <c r="G3808" s="24"/>
      <c r="H3808" s="24"/>
      <c r="J3808" s="24"/>
      <c r="K3808" s="24"/>
      <c r="M3808" s="24"/>
      <c r="N3808" s="24"/>
      <c r="P3808" s="24"/>
    </row>
    <row r="3809" spans="2:16" x14ac:dyDescent="0.25">
      <c r="B3809" s="24"/>
      <c r="E3809" s="24"/>
      <c r="G3809" s="24"/>
      <c r="H3809" s="24"/>
      <c r="J3809" s="24"/>
      <c r="K3809" s="24"/>
      <c r="M3809" s="24"/>
      <c r="N3809" s="24"/>
      <c r="P3809" s="24"/>
    </row>
    <row r="3810" spans="2:16" x14ac:dyDescent="0.25">
      <c r="B3810" s="24"/>
      <c r="E3810" s="24"/>
      <c r="G3810" s="24"/>
      <c r="H3810" s="24"/>
      <c r="J3810" s="24"/>
      <c r="K3810" s="24"/>
      <c r="M3810" s="24"/>
      <c r="N3810" s="24"/>
      <c r="P3810" s="24"/>
    </row>
    <row r="3811" spans="2:16" x14ac:dyDescent="0.25">
      <c r="B3811" s="24"/>
      <c r="E3811" s="24"/>
      <c r="G3811" s="24"/>
      <c r="H3811" s="24"/>
      <c r="J3811" s="24"/>
      <c r="K3811" s="24"/>
      <c r="M3811" s="24"/>
      <c r="N3811" s="24"/>
      <c r="P3811" s="24"/>
    </row>
    <row r="3812" spans="2:16" x14ac:dyDescent="0.25">
      <c r="B3812" s="24"/>
      <c r="E3812" s="24"/>
      <c r="G3812" s="24"/>
      <c r="H3812" s="24"/>
      <c r="J3812" s="24"/>
      <c r="K3812" s="24"/>
      <c r="M3812" s="24"/>
      <c r="N3812" s="24"/>
      <c r="P3812" s="24"/>
    </row>
    <row r="3813" spans="2:16" x14ac:dyDescent="0.25">
      <c r="B3813" s="24"/>
      <c r="E3813" s="24"/>
      <c r="G3813" s="24"/>
      <c r="H3813" s="24"/>
      <c r="J3813" s="24"/>
      <c r="K3813" s="24"/>
      <c r="M3813" s="24"/>
      <c r="N3813" s="24"/>
      <c r="P3813" s="24"/>
    </row>
    <row r="3814" spans="2:16" x14ac:dyDescent="0.25">
      <c r="B3814" s="24"/>
      <c r="E3814" s="24"/>
      <c r="G3814" s="24"/>
      <c r="H3814" s="24"/>
      <c r="J3814" s="24"/>
      <c r="K3814" s="24"/>
      <c r="M3814" s="24"/>
      <c r="N3814" s="24"/>
      <c r="P3814" s="24"/>
    </row>
    <row r="3815" spans="2:16" x14ac:dyDescent="0.25">
      <c r="B3815" s="24"/>
      <c r="E3815" s="24"/>
      <c r="G3815" s="24"/>
      <c r="H3815" s="24"/>
      <c r="J3815" s="24"/>
      <c r="K3815" s="24"/>
      <c r="M3815" s="24"/>
      <c r="N3815" s="24"/>
      <c r="P3815" s="24"/>
    </row>
    <row r="3816" spans="2:16" x14ac:dyDescent="0.25">
      <c r="B3816" s="24"/>
      <c r="E3816" s="24"/>
      <c r="G3816" s="24"/>
      <c r="H3816" s="24"/>
      <c r="J3816" s="24"/>
      <c r="K3816" s="24"/>
      <c r="M3816" s="24"/>
      <c r="N3816" s="24"/>
      <c r="P3816" s="24"/>
    </row>
    <row r="3817" spans="2:16" x14ac:dyDescent="0.25">
      <c r="B3817" s="24"/>
      <c r="E3817" s="24"/>
      <c r="G3817" s="24"/>
      <c r="H3817" s="24"/>
      <c r="J3817" s="24"/>
      <c r="K3817" s="24"/>
      <c r="M3817" s="24"/>
      <c r="N3817" s="24"/>
      <c r="P3817" s="24"/>
    </row>
    <row r="3818" spans="2:16" x14ac:dyDescent="0.25">
      <c r="B3818" s="24"/>
      <c r="E3818" s="24"/>
      <c r="G3818" s="24"/>
      <c r="H3818" s="24"/>
      <c r="J3818" s="24"/>
      <c r="K3818" s="24"/>
      <c r="M3818" s="24"/>
      <c r="N3818" s="24"/>
      <c r="P3818" s="24"/>
    </row>
    <row r="3819" spans="2:16" x14ac:dyDescent="0.25">
      <c r="B3819" s="24"/>
      <c r="E3819" s="24"/>
      <c r="G3819" s="24"/>
      <c r="H3819" s="24"/>
      <c r="J3819" s="24"/>
      <c r="K3819" s="24"/>
      <c r="M3819" s="24"/>
      <c r="N3819" s="24"/>
      <c r="P3819" s="24"/>
    </row>
    <row r="3820" spans="2:16" x14ac:dyDescent="0.25">
      <c r="B3820" s="24"/>
      <c r="E3820" s="24"/>
      <c r="G3820" s="24"/>
      <c r="H3820" s="24"/>
      <c r="J3820" s="24"/>
      <c r="K3820" s="24"/>
      <c r="M3820" s="24"/>
      <c r="N3820" s="24"/>
      <c r="P3820" s="24"/>
    </row>
    <row r="3821" spans="2:16" x14ac:dyDescent="0.25">
      <c r="B3821" s="24"/>
      <c r="E3821" s="24"/>
      <c r="G3821" s="24"/>
      <c r="H3821" s="24"/>
      <c r="J3821" s="24"/>
      <c r="K3821" s="24"/>
      <c r="M3821" s="24"/>
      <c r="N3821" s="24"/>
      <c r="P3821" s="24"/>
    </row>
    <row r="3822" spans="2:16" x14ac:dyDescent="0.25">
      <c r="B3822" s="24"/>
      <c r="E3822" s="24"/>
      <c r="G3822" s="24"/>
      <c r="H3822" s="24"/>
      <c r="J3822" s="24"/>
      <c r="K3822" s="24"/>
      <c r="M3822" s="24"/>
      <c r="N3822" s="24"/>
      <c r="P3822" s="24"/>
    </row>
    <row r="3823" spans="2:16" x14ac:dyDescent="0.25">
      <c r="B3823" s="24"/>
      <c r="E3823" s="24"/>
      <c r="G3823" s="24"/>
      <c r="H3823" s="24"/>
      <c r="J3823" s="24"/>
      <c r="K3823" s="24"/>
      <c r="M3823" s="24"/>
      <c r="N3823" s="24"/>
      <c r="P3823" s="24"/>
    </row>
    <row r="3824" spans="2:16" x14ac:dyDescent="0.25">
      <c r="B3824" s="24"/>
      <c r="E3824" s="24"/>
      <c r="G3824" s="24"/>
      <c r="H3824" s="24"/>
      <c r="J3824" s="24"/>
      <c r="K3824" s="24"/>
      <c r="M3824" s="24"/>
      <c r="N3824" s="24"/>
      <c r="P3824" s="24"/>
    </row>
    <row r="3825" spans="2:16" x14ac:dyDescent="0.25">
      <c r="B3825" s="24"/>
      <c r="E3825" s="24"/>
      <c r="G3825" s="24"/>
      <c r="H3825" s="24"/>
      <c r="J3825" s="24"/>
      <c r="K3825" s="24"/>
      <c r="M3825" s="24"/>
      <c r="N3825" s="24"/>
      <c r="P3825" s="24"/>
    </row>
    <row r="3826" spans="2:16" x14ac:dyDescent="0.25">
      <c r="B3826" s="24"/>
      <c r="E3826" s="24"/>
      <c r="G3826" s="24"/>
      <c r="H3826" s="24"/>
      <c r="J3826" s="24"/>
      <c r="K3826" s="24"/>
      <c r="M3826" s="24"/>
      <c r="N3826" s="24"/>
      <c r="P3826" s="24"/>
    </row>
    <row r="3827" spans="2:16" x14ac:dyDescent="0.25">
      <c r="B3827" s="24"/>
      <c r="E3827" s="24"/>
      <c r="G3827" s="24"/>
      <c r="H3827" s="24"/>
      <c r="J3827" s="24"/>
      <c r="K3827" s="24"/>
      <c r="M3827" s="24"/>
      <c r="N3827" s="24"/>
      <c r="P3827" s="24"/>
    </row>
    <row r="3828" spans="2:16" x14ac:dyDescent="0.25">
      <c r="B3828" s="24"/>
      <c r="E3828" s="24"/>
      <c r="G3828" s="24"/>
      <c r="H3828" s="24"/>
      <c r="J3828" s="24"/>
      <c r="K3828" s="24"/>
      <c r="M3828" s="24"/>
      <c r="N3828" s="24"/>
      <c r="P3828" s="24"/>
    </row>
    <row r="3829" spans="2:16" x14ac:dyDescent="0.25">
      <c r="B3829" s="24"/>
      <c r="E3829" s="24"/>
      <c r="G3829" s="24"/>
      <c r="H3829" s="24"/>
      <c r="J3829" s="24"/>
      <c r="K3829" s="24"/>
      <c r="M3829" s="24"/>
      <c r="N3829" s="24"/>
      <c r="P3829" s="24"/>
    </row>
    <row r="3830" spans="2:16" x14ac:dyDescent="0.25">
      <c r="B3830" s="24"/>
      <c r="E3830" s="24"/>
      <c r="G3830" s="24"/>
      <c r="H3830" s="24"/>
      <c r="J3830" s="24"/>
      <c r="K3830" s="24"/>
      <c r="M3830" s="24"/>
      <c r="N3830" s="24"/>
      <c r="P3830" s="24"/>
    </row>
    <row r="3831" spans="2:16" x14ac:dyDescent="0.25">
      <c r="B3831" s="24"/>
      <c r="E3831" s="24"/>
      <c r="G3831" s="24"/>
      <c r="H3831" s="24"/>
      <c r="J3831" s="24"/>
      <c r="K3831" s="24"/>
      <c r="M3831" s="24"/>
      <c r="N3831" s="24"/>
      <c r="P3831" s="24"/>
    </row>
    <row r="3832" spans="2:16" x14ac:dyDescent="0.25">
      <c r="B3832" s="24"/>
      <c r="E3832" s="24"/>
      <c r="G3832" s="24"/>
      <c r="H3832" s="24"/>
      <c r="J3832" s="24"/>
      <c r="K3832" s="24"/>
      <c r="M3832" s="24"/>
      <c r="N3832" s="24"/>
      <c r="P3832" s="24"/>
    </row>
    <row r="3833" spans="2:16" x14ac:dyDescent="0.25">
      <c r="B3833" s="24"/>
      <c r="E3833" s="24"/>
      <c r="G3833" s="24"/>
      <c r="H3833" s="24"/>
      <c r="J3833" s="24"/>
      <c r="K3833" s="24"/>
      <c r="M3833" s="24"/>
      <c r="N3833" s="24"/>
      <c r="P3833" s="24"/>
    </row>
    <row r="3834" spans="2:16" x14ac:dyDescent="0.25">
      <c r="B3834" s="24"/>
      <c r="E3834" s="24"/>
      <c r="G3834" s="24"/>
      <c r="H3834" s="24"/>
      <c r="J3834" s="24"/>
      <c r="K3834" s="24"/>
      <c r="M3834" s="24"/>
      <c r="N3834" s="24"/>
      <c r="P3834" s="24"/>
    </row>
    <row r="3835" spans="2:16" x14ac:dyDescent="0.25">
      <c r="B3835" s="24"/>
      <c r="E3835" s="24"/>
      <c r="G3835" s="24"/>
      <c r="H3835" s="24"/>
      <c r="J3835" s="24"/>
      <c r="K3835" s="24"/>
      <c r="M3835" s="24"/>
      <c r="N3835" s="24"/>
      <c r="P3835" s="24"/>
    </row>
    <row r="3836" spans="2:16" x14ac:dyDescent="0.25">
      <c r="B3836" s="24"/>
      <c r="E3836" s="24"/>
      <c r="G3836" s="24"/>
      <c r="H3836" s="24"/>
      <c r="J3836" s="24"/>
      <c r="K3836" s="24"/>
      <c r="M3836" s="24"/>
      <c r="N3836" s="24"/>
      <c r="P3836" s="24"/>
    </row>
    <row r="3837" spans="2:16" x14ac:dyDescent="0.25">
      <c r="B3837" s="24"/>
      <c r="E3837" s="24"/>
      <c r="G3837" s="24"/>
      <c r="H3837" s="24"/>
      <c r="J3837" s="24"/>
      <c r="K3837" s="24"/>
      <c r="M3837" s="24"/>
      <c r="N3837" s="24"/>
      <c r="P3837" s="24"/>
    </row>
    <row r="3838" spans="2:16" x14ac:dyDescent="0.25">
      <c r="B3838" s="24"/>
      <c r="E3838" s="24"/>
      <c r="G3838" s="24"/>
      <c r="H3838" s="24"/>
      <c r="J3838" s="24"/>
      <c r="K3838" s="24"/>
      <c r="M3838" s="24"/>
      <c r="N3838" s="24"/>
      <c r="P3838" s="24"/>
    </row>
    <row r="3839" spans="2:16" x14ac:dyDescent="0.25">
      <c r="B3839" s="24"/>
      <c r="E3839" s="24"/>
      <c r="G3839" s="24"/>
      <c r="H3839" s="24"/>
      <c r="J3839" s="24"/>
      <c r="K3839" s="24"/>
      <c r="M3839" s="24"/>
      <c r="N3839" s="24"/>
      <c r="P3839" s="24"/>
    </row>
    <row r="3840" spans="2:16" x14ac:dyDescent="0.25">
      <c r="B3840" s="24"/>
      <c r="E3840" s="24"/>
      <c r="G3840" s="24"/>
      <c r="H3840" s="24"/>
      <c r="J3840" s="24"/>
      <c r="K3840" s="24"/>
      <c r="M3840" s="24"/>
      <c r="N3840" s="24"/>
      <c r="P3840" s="24"/>
    </row>
    <row r="3841" spans="2:16" x14ac:dyDescent="0.25">
      <c r="B3841" s="24"/>
      <c r="E3841" s="24"/>
      <c r="G3841" s="24"/>
      <c r="H3841" s="24"/>
      <c r="J3841" s="24"/>
      <c r="K3841" s="24"/>
      <c r="M3841" s="24"/>
      <c r="N3841" s="24"/>
      <c r="P3841" s="24"/>
    </row>
    <row r="3842" spans="2:16" x14ac:dyDescent="0.25">
      <c r="B3842" s="24"/>
      <c r="E3842" s="24"/>
      <c r="G3842" s="24"/>
      <c r="H3842" s="24"/>
      <c r="J3842" s="24"/>
      <c r="K3842" s="24"/>
      <c r="M3842" s="24"/>
      <c r="N3842" s="24"/>
      <c r="P3842" s="24"/>
    </row>
    <row r="3843" spans="2:16" x14ac:dyDescent="0.25">
      <c r="B3843" s="24"/>
      <c r="E3843" s="24"/>
      <c r="G3843" s="24"/>
      <c r="H3843" s="24"/>
      <c r="J3843" s="24"/>
      <c r="K3843" s="24"/>
      <c r="M3843" s="24"/>
      <c r="N3843" s="24"/>
      <c r="P3843" s="24"/>
    </row>
    <row r="3844" spans="2:16" x14ac:dyDescent="0.25">
      <c r="B3844" s="24"/>
      <c r="E3844" s="24"/>
      <c r="G3844" s="24"/>
      <c r="H3844" s="24"/>
      <c r="J3844" s="24"/>
      <c r="K3844" s="24"/>
      <c r="M3844" s="24"/>
      <c r="N3844" s="24"/>
      <c r="P3844" s="24"/>
    </row>
    <row r="3845" spans="2:16" x14ac:dyDescent="0.25">
      <c r="B3845" s="24"/>
      <c r="E3845" s="24"/>
      <c r="G3845" s="24"/>
      <c r="H3845" s="24"/>
      <c r="J3845" s="24"/>
      <c r="K3845" s="24"/>
      <c r="M3845" s="24"/>
      <c r="N3845" s="24"/>
      <c r="P3845" s="24"/>
    </row>
    <row r="3846" spans="2:16" x14ac:dyDescent="0.25">
      <c r="B3846" s="24"/>
      <c r="E3846" s="24"/>
      <c r="G3846" s="24"/>
      <c r="H3846" s="24"/>
      <c r="J3846" s="24"/>
      <c r="K3846" s="24"/>
      <c r="M3846" s="24"/>
      <c r="N3846" s="24"/>
      <c r="P3846" s="24"/>
    </row>
    <row r="3847" spans="2:16" x14ac:dyDescent="0.25">
      <c r="B3847" s="24"/>
      <c r="E3847" s="24"/>
      <c r="G3847" s="24"/>
      <c r="H3847" s="24"/>
      <c r="J3847" s="24"/>
      <c r="K3847" s="24"/>
      <c r="M3847" s="24"/>
      <c r="N3847" s="24"/>
      <c r="P3847" s="24"/>
    </row>
    <row r="3848" spans="2:16" x14ac:dyDescent="0.25">
      <c r="B3848" s="24"/>
      <c r="E3848" s="24"/>
      <c r="G3848" s="24"/>
      <c r="H3848" s="24"/>
      <c r="J3848" s="24"/>
      <c r="K3848" s="24"/>
      <c r="M3848" s="24"/>
      <c r="N3848" s="24"/>
      <c r="P3848" s="24"/>
    </row>
    <row r="3849" spans="2:16" x14ac:dyDescent="0.25">
      <c r="B3849" s="24"/>
      <c r="E3849" s="24"/>
      <c r="G3849" s="24"/>
      <c r="H3849" s="24"/>
      <c r="J3849" s="24"/>
      <c r="K3849" s="24"/>
      <c r="M3849" s="24"/>
      <c r="N3849" s="24"/>
      <c r="P3849" s="24"/>
    </row>
    <row r="3850" spans="2:16" x14ac:dyDescent="0.25">
      <c r="B3850" s="24"/>
      <c r="E3850" s="24"/>
      <c r="G3850" s="24"/>
      <c r="H3850" s="24"/>
      <c r="J3850" s="24"/>
      <c r="K3850" s="24"/>
      <c r="M3850" s="24"/>
      <c r="N3850" s="24"/>
      <c r="P3850" s="24"/>
    </row>
    <row r="3851" spans="2:16" x14ac:dyDescent="0.25">
      <c r="B3851" s="24"/>
      <c r="E3851" s="24"/>
      <c r="G3851" s="24"/>
      <c r="H3851" s="24"/>
      <c r="J3851" s="24"/>
      <c r="K3851" s="24"/>
      <c r="M3851" s="24"/>
      <c r="N3851" s="24"/>
      <c r="P3851" s="24"/>
    </row>
    <row r="3852" spans="2:16" x14ac:dyDescent="0.25">
      <c r="B3852" s="24"/>
      <c r="E3852" s="24"/>
      <c r="G3852" s="24"/>
      <c r="H3852" s="24"/>
      <c r="J3852" s="24"/>
      <c r="K3852" s="24"/>
      <c r="M3852" s="24"/>
      <c r="N3852" s="24"/>
      <c r="P3852" s="24"/>
    </row>
    <row r="3853" spans="2:16" x14ac:dyDescent="0.25">
      <c r="B3853" s="24"/>
      <c r="E3853" s="24"/>
      <c r="G3853" s="24"/>
      <c r="H3853" s="24"/>
      <c r="J3853" s="24"/>
      <c r="K3853" s="24"/>
      <c r="M3853" s="24"/>
      <c r="N3853" s="24"/>
      <c r="P3853" s="24"/>
    </row>
    <row r="3854" spans="2:16" x14ac:dyDescent="0.25">
      <c r="B3854" s="24"/>
      <c r="E3854" s="24"/>
      <c r="G3854" s="24"/>
      <c r="H3854" s="24"/>
      <c r="J3854" s="24"/>
      <c r="K3854" s="24"/>
      <c r="M3854" s="24"/>
      <c r="N3854" s="24"/>
      <c r="P3854" s="24"/>
    </row>
    <row r="3855" spans="2:16" x14ac:dyDescent="0.25">
      <c r="B3855" s="24"/>
      <c r="E3855" s="24"/>
      <c r="G3855" s="24"/>
      <c r="H3855" s="24"/>
      <c r="J3855" s="24"/>
      <c r="K3855" s="24"/>
      <c r="M3855" s="24"/>
      <c r="N3855" s="24"/>
      <c r="P3855" s="24"/>
    </row>
    <row r="3856" spans="2:16" x14ac:dyDescent="0.25">
      <c r="B3856" s="24"/>
      <c r="E3856" s="24"/>
      <c r="G3856" s="24"/>
      <c r="H3856" s="24"/>
      <c r="J3856" s="24"/>
      <c r="K3856" s="24"/>
      <c r="M3856" s="24"/>
      <c r="N3856" s="24"/>
      <c r="P3856" s="24"/>
    </row>
    <row r="3857" spans="2:16" x14ac:dyDescent="0.25">
      <c r="B3857" s="24"/>
      <c r="E3857" s="24"/>
      <c r="G3857" s="24"/>
      <c r="H3857" s="24"/>
      <c r="J3857" s="24"/>
      <c r="K3857" s="24"/>
      <c r="M3857" s="24"/>
      <c r="N3857" s="24"/>
      <c r="P3857" s="24"/>
    </row>
    <row r="3858" spans="2:16" x14ac:dyDescent="0.25">
      <c r="B3858" s="24"/>
      <c r="E3858" s="24"/>
      <c r="G3858" s="24"/>
      <c r="H3858" s="24"/>
      <c r="J3858" s="24"/>
      <c r="K3858" s="24"/>
      <c r="M3858" s="24"/>
      <c r="N3858" s="24"/>
      <c r="P3858" s="24"/>
    </row>
    <row r="3859" spans="2:16" x14ac:dyDescent="0.25">
      <c r="B3859" s="24"/>
      <c r="E3859" s="24"/>
      <c r="G3859" s="24"/>
      <c r="H3859" s="24"/>
      <c r="J3859" s="24"/>
      <c r="K3859" s="24"/>
      <c r="M3859" s="24"/>
      <c r="N3859" s="24"/>
      <c r="P3859" s="24"/>
    </row>
    <row r="3860" spans="2:16" x14ac:dyDescent="0.25">
      <c r="B3860" s="24"/>
      <c r="E3860" s="24"/>
      <c r="G3860" s="24"/>
      <c r="H3860" s="24"/>
      <c r="J3860" s="24"/>
      <c r="K3860" s="24"/>
      <c r="M3860" s="24"/>
      <c r="N3860" s="24"/>
      <c r="P3860" s="24"/>
    </row>
    <row r="3861" spans="2:16" x14ac:dyDescent="0.25">
      <c r="B3861" s="24"/>
      <c r="E3861" s="24"/>
      <c r="G3861" s="24"/>
      <c r="H3861" s="24"/>
      <c r="J3861" s="24"/>
      <c r="K3861" s="24"/>
      <c r="M3861" s="24"/>
      <c r="N3861" s="24"/>
      <c r="P3861" s="24"/>
    </row>
    <row r="3862" spans="2:16" x14ac:dyDescent="0.25">
      <c r="B3862" s="24"/>
      <c r="E3862" s="24"/>
      <c r="G3862" s="24"/>
      <c r="H3862" s="24"/>
      <c r="J3862" s="24"/>
      <c r="K3862" s="24"/>
      <c r="M3862" s="24"/>
      <c r="N3862" s="24"/>
      <c r="P3862" s="24"/>
    </row>
    <row r="3863" spans="2:16" x14ac:dyDescent="0.25">
      <c r="B3863" s="24"/>
      <c r="E3863" s="24"/>
      <c r="G3863" s="24"/>
      <c r="H3863" s="24"/>
      <c r="J3863" s="24"/>
      <c r="K3863" s="24"/>
      <c r="M3863" s="24"/>
      <c r="N3863" s="24"/>
      <c r="P3863" s="24"/>
    </row>
    <row r="3864" spans="2:16" x14ac:dyDescent="0.25">
      <c r="B3864" s="24"/>
      <c r="E3864" s="24"/>
      <c r="G3864" s="24"/>
      <c r="H3864" s="24"/>
      <c r="J3864" s="24"/>
      <c r="K3864" s="24"/>
      <c r="M3864" s="24"/>
      <c r="N3864" s="24"/>
      <c r="P3864" s="24"/>
    </row>
    <row r="3865" spans="2:16" x14ac:dyDescent="0.25">
      <c r="B3865" s="24"/>
      <c r="E3865" s="24"/>
      <c r="G3865" s="24"/>
      <c r="H3865" s="24"/>
      <c r="J3865" s="24"/>
      <c r="K3865" s="24"/>
      <c r="M3865" s="24"/>
      <c r="N3865" s="24"/>
      <c r="P3865" s="24"/>
    </row>
    <row r="3866" spans="2:16" x14ac:dyDescent="0.25">
      <c r="B3866" s="24"/>
      <c r="E3866" s="24"/>
      <c r="G3866" s="24"/>
      <c r="H3866" s="24"/>
      <c r="J3866" s="24"/>
      <c r="K3866" s="24"/>
      <c r="M3866" s="24"/>
      <c r="N3866" s="24"/>
      <c r="P3866" s="24"/>
    </row>
    <row r="3867" spans="2:16" x14ac:dyDescent="0.25">
      <c r="B3867" s="24"/>
      <c r="E3867" s="24"/>
      <c r="G3867" s="24"/>
      <c r="H3867" s="24"/>
      <c r="J3867" s="24"/>
      <c r="K3867" s="24"/>
      <c r="M3867" s="24"/>
      <c r="N3867" s="24"/>
      <c r="P3867" s="24"/>
    </row>
    <row r="3868" spans="2:16" x14ac:dyDescent="0.25">
      <c r="B3868" s="24"/>
      <c r="E3868" s="24"/>
      <c r="G3868" s="24"/>
      <c r="H3868" s="24"/>
      <c r="J3868" s="24"/>
      <c r="K3868" s="24"/>
      <c r="M3868" s="24"/>
      <c r="N3868" s="24"/>
      <c r="P3868" s="24"/>
    </row>
    <row r="3869" spans="2:16" x14ac:dyDescent="0.25">
      <c r="B3869" s="24"/>
      <c r="E3869" s="24"/>
      <c r="G3869" s="24"/>
      <c r="H3869" s="24"/>
      <c r="J3869" s="24"/>
      <c r="K3869" s="24"/>
      <c r="M3869" s="24"/>
      <c r="N3869" s="24"/>
      <c r="P3869" s="24"/>
    </row>
    <row r="3870" spans="2:16" x14ac:dyDescent="0.25">
      <c r="B3870" s="24"/>
      <c r="E3870" s="24"/>
      <c r="G3870" s="24"/>
      <c r="H3870" s="24"/>
      <c r="J3870" s="24"/>
      <c r="K3870" s="24"/>
      <c r="M3870" s="24"/>
      <c r="N3870" s="24"/>
      <c r="P3870" s="24"/>
    </row>
    <row r="3871" spans="2:16" x14ac:dyDescent="0.25">
      <c r="B3871" s="24"/>
      <c r="E3871" s="24"/>
      <c r="G3871" s="24"/>
      <c r="H3871" s="24"/>
      <c r="J3871" s="24"/>
      <c r="K3871" s="24"/>
      <c r="M3871" s="24"/>
      <c r="N3871" s="24"/>
      <c r="P3871" s="24"/>
    </row>
    <row r="3872" spans="2:16" x14ac:dyDescent="0.25">
      <c r="B3872" s="24"/>
      <c r="E3872" s="24"/>
      <c r="G3872" s="24"/>
      <c r="H3872" s="24"/>
      <c r="J3872" s="24"/>
      <c r="K3872" s="24"/>
      <c r="M3872" s="24"/>
      <c r="N3872" s="24"/>
      <c r="P3872" s="24"/>
    </row>
    <row r="3873" spans="2:16" x14ac:dyDescent="0.25">
      <c r="B3873" s="24"/>
      <c r="E3873" s="24"/>
      <c r="G3873" s="24"/>
      <c r="H3873" s="24"/>
      <c r="J3873" s="24"/>
      <c r="K3873" s="24"/>
      <c r="M3873" s="24"/>
      <c r="N3873" s="24"/>
      <c r="P3873" s="24"/>
    </row>
    <row r="3874" spans="2:16" x14ac:dyDescent="0.25">
      <c r="B3874" s="24"/>
      <c r="E3874" s="24"/>
      <c r="G3874" s="24"/>
      <c r="H3874" s="24"/>
      <c r="J3874" s="24"/>
      <c r="K3874" s="24"/>
      <c r="M3874" s="24"/>
      <c r="N3874" s="24"/>
      <c r="P3874" s="24"/>
    </row>
    <row r="3875" spans="2:16" x14ac:dyDescent="0.25">
      <c r="B3875" s="24"/>
      <c r="E3875" s="24"/>
      <c r="G3875" s="24"/>
      <c r="H3875" s="24"/>
      <c r="J3875" s="24"/>
      <c r="K3875" s="24"/>
      <c r="M3875" s="24"/>
      <c r="N3875" s="24"/>
      <c r="P3875" s="24"/>
    </row>
    <row r="3876" spans="2:16" x14ac:dyDescent="0.25">
      <c r="B3876" s="24"/>
      <c r="E3876" s="24"/>
      <c r="G3876" s="24"/>
      <c r="H3876" s="24"/>
      <c r="J3876" s="24"/>
      <c r="K3876" s="24"/>
      <c r="M3876" s="24"/>
      <c r="N3876" s="24"/>
      <c r="P3876" s="24"/>
    </row>
    <row r="3877" spans="2:16" x14ac:dyDescent="0.25">
      <c r="B3877" s="24"/>
      <c r="E3877" s="24"/>
      <c r="G3877" s="24"/>
      <c r="H3877" s="24"/>
      <c r="J3877" s="24"/>
      <c r="K3877" s="24"/>
      <c r="M3877" s="24"/>
      <c r="N3877" s="24"/>
      <c r="P3877" s="24"/>
    </row>
    <row r="3878" spans="2:16" x14ac:dyDescent="0.25">
      <c r="B3878" s="24"/>
      <c r="E3878" s="24"/>
      <c r="G3878" s="24"/>
      <c r="H3878" s="24"/>
      <c r="J3878" s="24"/>
      <c r="K3878" s="24"/>
      <c r="M3878" s="24"/>
      <c r="N3878" s="24"/>
      <c r="P3878" s="24"/>
    </row>
    <row r="3879" spans="2:16" x14ac:dyDescent="0.25">
      <c r="B3879" s="24"/>
      <c r="E3879" s="24"/>
      <c r="G3879" s="24"/>
      <c r="H3879" s="24"/>
      <c r="J3879" s="24"/>
      <c r="K3879" s="24"/>
      <c r="M3879" s="24"/>
      <c r="N3879" s="24"/>
      <c r="P3879" s="24"/>
    </row>
    <row r="3880" spans="2:16" x14ac:dyDescent="0.25">
      <c r="B3880" s="24"/>
      <c r="E3880" s="24"/>
      <c r="G3880" s="24"/>
      <c r="H3880" s="24"/>
      <c r="J3880" s="24"/>
      <c r="K3880" s="24"/>
      <c r="M3880" s="24"/>
      <c r="N3880" s="24"/>
      <c r="P3880" s="24"/>
    </row>
    <row r="3881" spans="2:16" x14ac:dyDescent="0.25">
      <c r="B3881" s="24"/>
      <c r="E3881" s="24"/>
      <c r="G3881" s="24"/>
      <c r="H3881" s="24"/>
      <c r="J3881" s="24"/>
      <c r="K3881" s="24"/>
      <c r="M3881" s="24"/>
      <c r="N3881" s="24"/>
      <c r="P3881" s="24"/>
    </row>
    <row r="3882" spans="2:16" x14ac:dyDescent="0.25">
      <c r="B3882" s="24"/>
      <c r="E3882" s="24"/>
      <c r="G3882" s="24"/>
      <c r="H3882" s="24"/>
      <c r="J3882" s="24"/>
      <c r="K3882" s="24"/>
      <c r="M3882" s="24"/>
      <c r="N3882" s="24"/>
      <c r="P3882" s="24"/>
    </row>
    <row r="3883" spans="2:16" x14ac:dyDescent="0.25">
      <c r="B3883" s="24"/>
      <c r="E3883" s="24"/>
      <c r="G3883" s="24"/>
      <c r="H3883" s="24"/>
      <c r="J3883" s="24"/>
      <c r="K3883" s="24"/>
      <c r="M3883" s="24"/>
      <c r="N3883" s="24"/>
      <c r="P3883" s="24"/>
    </row>
    <row r="3884" spans="2:16" x14ac:dyDescent="0.25">
      <c r="B3884" s="24"/>
      <c r="E3884" s="24"/>
      <c r="G3884" s="24"/>
      <c r="H3884" s="24"/>
      <c r="J3884" s="24"/>
      <c r="K3884" s="24"/>
      <c r="M3884" s="24"/>
      <c r="N3884" s="24"/>
      <c r="P3884" s="24"/>
    </row>
    <row r="3885" spans="2:16" x14ac:dyDescent="0.25">
      <c r="B3885" s="24"/>
      <c r="E3885" s="24"/>
      <c r="G3885" s="24"/>
      <c r="H3885" s="24"/>
      <c r="J3885" s="24"/>
      <c r="K3885" s="24"/>
      <c r="M3885" s="24"/>
      <c r="N3885" s="24"/>
      <c r="P3885" s="24"/>
    </row>
    <row r="3886" spans="2:16" x14ac:dyDescent="0.25">
      <c r="B3886" s="24"/>
      <c r="E3886" s="24"/>
      <c r="G3886" s="24"/>
      <c r="H3886" s="24"/>
      <c r="J3886" s="24"/>
      <c r="K3886" s="24"/>
      <c r="M3886" s="24"/>
      <c r="N3886" s="24"/>
      <c r="P3886" s="24"/>
    </row>
    <row r="3887" spans="2:16" x14ac:dyDescent="0.25">
      <c r="B3887" s="24"/>
      <c r="E3887" s="24"/>
      <c r="G3887" s="24"/>
      <c r="H3887" s="24"/>
      <c r="J3887" s="24"/>
      <c r="K3887" s="24"/>
      <c r="M3887" s="24"/>
      <c r="N3887" s="24"/>
      <c r="P3887" s="24"/>
    </row>
    <row r="3888" spans="2:16" x14ac:dyDescent="0.25">
      <c r="B3888" s="24"/>
      <c r="E3888" s="24"/>
      <c r="G3888" s="24"/>
      <c r="H3888" s="24"/>
      <c r="J3888" s="24"/>
      <c r="K3888" s="24"/>
      <c r="M3888" s="24"/>
      <c r="N3888" s="24"/>
      <c r="P3888" s="24"/>
    </row>
    <row r="3889" spans="2:16" x14ac:dyDescent="0.25">
      <c r="B3889" s="24"/>
      <c r="E3889" s="24"/>
      <c r="G3889" s="24"/>
      <c r="H3889" s="24"/>
      <c r="J3889" s="24"/>
      <c r="K3889" s="24"/>
      <c r="M3889" s="24"/>
      <c r="N3889" s="24"/>
      <c r="P3889" s="24"/>
    </row>
    <row r="3890" spans="2:16" x14ac:dyDescent="0.25">
      <c r="B3890" s="24"/>
      <c r="E3890" s="24"/>
      <c r="G3890" s="24"/>
      <c r="H3890" s="24"/>
      <c r="J3890" s="24"/>
      <c r="K3890" s="24"/>
      <c r="M3890" s="24"/>
      <c r="N3890" s="24"/>
      <c r="P3890" s="24"/>
    </row>
    <row r="3891" spans="2:16" x14ac:dyDescent="0.25">
      <c r="B3891" s="24"/>
      <c r="E3891" s="24"/>
      <c r="G3891" s="24"/>
      <c r="H3891" s="24"/>
      <c r="J3891" s="24"/>
      <c r="K3891" s="24"/>
      <c r="M3891" s="24"/>
      <c r="N3891" s="24"/>
      <c r="P3891" s="24"/>
    </row>
    <row r="3892" spans="2:16" x14ac:dyDescent="0.25">
      <c r="B3892" s="24"/>
      <c r="E3892" s="24"/>
      <c r="G3892" s="24"/>
      <c r="H3892" s="24"/>
      <c r="J3892" s="24"/>
      <c r="K3892" s="24"/>
      <c r="M3892" s="24"/>
      <c r="N3892" s="24"/>
      <c r="P3892" s="24"/>
    </row>
    <row r="3893" spans="2:16" x14ac:dyDescent="0.25">
      <c r="B3893" s="24"/>
      <c r="E3893" s="24"/>
      <c r="G3893" s="24"/>
      <c r="H3893" s="24"/>
      <c r="J3893" s="24"/>
      <c r="K3893" s="24"/>
      <c r="M3893" s="24"/>
      <c r="N3893" s="24"/>
      <c r="P3893" s="24"/>
    </row>
    <row r="3894" spans="2:16" x14ac:dyDescent="0.25">
      <c r="B3894" s="24"/>
      <c r="E3894" s="24"/>
      <c r="G3894" s="24"/>
      <c r="H3894" s="24"/>
      <c r="J3894" s="24"/>
      <c r="K3894" s="24"/>
      <c r="M3894" s="24"/>
      <c r="N3894" s="24"/>
      <c r="P3894" s="24"/>
    </row>
    <row r="3895" spans="2:16" x14ac:dyDescent="0.25">
      <c r="B3895" s="24"/>
      <c r="E3895" s="24"/>
      <c r="G3895" s="24"/>
      <c r="H3895" s="24"/>
      <c r="J3895" s="24"/>
      <c r="K3895" s="24"/>
      <c r="M3895" s="24"/>
      <c r="N3895" s="24"/>
      <c r="P3895" s="24"/>
    </row>
    <row r="3896" spans="2:16" x14ac:dyDescent="0.25">
      <c r="B3896" s="24"/>
      <c r="E3896" s="24"/>
      <c r="G3896" s="24"/>
      <c r="H3896" s="24"/>
      <c r="J3896" s="24"/>
      <c r="K3896" s="24"/>
      <c r="M3896" s="24"/>
      <c r="N3896" s="24"/>
      <c r="P3896" s="24"/>
    </row>
    <row r="3897" spans="2:16" x14ac:dyDescent="0.25">
      <c r="B3897" s="24"/>
      <c r="E3897" s="24"/>
      <c r="G3897" s="24"/>
      <c r="H3897" s="24"/>
      <c r="J3897" s="24"/>
      <c r="K3897" s="24"/>
      <c r="M3897" s="24"/>
      <c r="N3897" s="24"/>
      <c r="P3897" s="24"/>
    </row>
    <row r="3898" spans="2:16" x14ac:dyDescent="0.25">
      <c r="B3898" s="24"/>
      <c r="E3898" s="24"/>
      <c r="G3898" s="24"/>
      <c r="H3898" s="24"/>
      <c r="J3898" s="24"/>
      <c r="K3898" s="24"/>
      <c r="M3898" s="24"/>
      <c r="N3898" s="24"/>
      <c r="P3898" s="24"/>
    </row>
    <row r="3899" spans="2:16" x14ac:dyDescent="0.25">
      <c r="B3899" s="24"/>
      <c r="E3899" s="24"/>
      <c r="G3899" s="24"/>
      <c r="H3899" s="24"/>
      <c r="J3899" s="24"/>
      <c r="K3899" s="24"/>
      <c r="M3899" s="24"/>
      <c r="N3899" s="24"/>
      <c r="P3899" s="24"/>
    </row>
    <row r="3900" spans="2:16" x14ac:dyDescent="0.25">
      <c r="B3900" s="24"/>
      <c r="E3900" s="24"/>
      <c r="G3900" s="24"/>
      <c r="H3900" s="24"/>
      <c r="J3900" s="24"/>
      <c r="K3900" s="24"/>
      <c r="M3900" s="24"/>
      <c r="N3900" s="24"/>
      <c r="P3900" s="24"/>
    </row>
    <row r="3901" spans="2:16" x14ac:dyDescent="0.25">
      <c r="B3901" s="24"/>
      <c r="E3901" s="24"/>
      <c r="G3901" s="24"/>
      <c r="H3901" s="24"/>
      <c r="J3901" s="24"/>
      <c r="K3901" s="24"/>
      <c r="M3901" s="24"/>
      <c r="N3901" s="24"/>
      <c r="P3901" s="24"/>
    </row>
    <row r="3902" spans="2:16" x14ac:dyDescent="0.25">
      <c r="B3902" s="24"/>
      <c r="E3902" s="24"/>
      <c r="G3902" s="24"/>
      <c r="H3902" s="24"/>
      <c r="J3902" s="24"/>
      <c r="K3902" s="24"/>
      <c r="M3902" s="24"/>
      <c r="N3902" s="24"/>
      <c r="P3902" s="24"/>
    </row>
    <row r="3903" spans="2:16" x14ac:dyDescent="0.25">
      <c r="B3903" s="24"/>
      <c r="E3903" s="24"/>
      <c r="G3903" s="24"/>
      <c r="H3903" s="24"/>
      <c r="J3903" s="24"/>
      <c r="K3903" s="24"/>
      <c r="M3903" s="24"/>
      <c r="N3903" s="24"/>
      <c r="P3903" s="24"/>
    </row>
    <row r="3904" spans="2:16" x14ac:dyDescent="0.25">
      <c r="B3904" s="24"/>
      <c r="E3904" s="24"/>
      <c r="G3904" s="24"/>
      <c r="H3904" s="24"/>
      <c r="J3904" s="24"/>
      <c r="K3904" s="24"/>
      <c r="M3904" s="24"/>
      <c r="N3904" s="24"/>
      <c r="P3904" s="24"/>
    </row>
    <row r="3905" spans="2:16" x14ac:dyDescent="0.25">
      <c r="B3905" s="24"/>
      <c r="E3905" s="24"/>
      <c r="G3905" s="24"/>
      <c r="H3905" s="24"/>
      <c r="J3905" s="24"/>
      <c r="K3905" s="24"/>
      <c r="M3905" s="24"/>
      <c r="N3905" s="24"/>
      <c r="P3905" s="24"/>
    </row>
    <row r="3906" spans="2:16" x14ac:dyDescent="0.25">
      <c r="B3906" s="24"/>
      <c r="E3906" s="24"/>
      <c r="G3906" s="24"/>
      <c r="H3906" s="24"/>
      <c r="J3906" s="24"/>
      <c r="K3906" s="24"/>
      <c r="M3906" s="24"/>
      <c r="N3906" s="24"/>
      <c r="P3906" s="24"/>
    </row>
    <row r="3907" spans="2:16" x14ac:dyDescent="0.25">
      <c r="B3907" s="24"/>
      <c r="E3907" s="24"/>
      <c r="G3907" s="24"/>
      <c r="H3907" s="24"/>
      <c r="J3907" s="24"/>
      <c r="K3907" s="24"/>
      <c r="M3907" s="24"/>
      <c r="N3907" s="24"/>
      <c r="P3907" s="24"/>
    </row>
    <row r="3908" spans="2:16" x14ac:dyDescent="0.25">
      <c r="B3908" s="24"/>
      <c r="E3908" s="24"/>
      <c r="G3908" s="24"/>
      <c r="H3908" s="24"/>
      <c r="J3908" s="24"/>
      <c r="K3908" s="24"/>
      <c r="M3908" s="24"/>
      <c r="N3908" s="24"/>
      <c r="P3908" s="24"/>
    </row>
    <row r="3909" spans="2:16" x14ac:dyDescent="0.25">
      <c r="B3909" s="24"/>
      <c r="E3909" s="24"/>
      <c r="G3909" s="24"/>
      <c r="H3909" s="24"/>
      <c r="J3909" s="24"/>
      <c r="K3909" s="24"/>
      <c r="M3909" s="24"/>
      <c r="N3909" s="24"/>
      <c r="P3909" s="24"/>
    </row>
    <row r="3910" spans="2:16" x14ac:dyDescent="0.25">
      <c r="B3910" s="24"/>
      <c r="E3910" s="24"/>
      <c r="G3910" s="24"/>
      <c r="H3910" s="24"/>
      <c r="J3910" s="24"/>
      <c r="K3910" s="24"/>
      <c r="M3910" s="24"/>
      <c r="N3910" s="24"/>
      <c r="P3910" s="24"/>
    </row>
    <row r="3911" spans="2:16" x14ac:dyDescent="0.25">
      <c r="B3911" s="24"/>
      <c r="E3911" s="24"/>
      <c r="G3911" s="24"/>
      <c r="H3911" s="24"/>
      <c r="J3911" s="24"/>
      <c r="K3911" s="24"/>
      <c r="M3911" s="24"/>
      <c r="N3911" s="24"/>
      <c r="P3911" s="24"/>
    </row>
    <row r="3912" spans="2:16" x14ac:dyDescent="0.25">
      <c r="B3912" s="24"/>
      <c r="E3912" s="24"/>
      <c r="G3912" s="24"/>
      <c r="H3912" s="24"/>
      <c r="J3912" s="24"/>
      <c r="K3912" s="24"/>
      <c r="M3912" s="24"/>
      <c r="N3912" s="24"/>
      <c r="P3912" s="24"/>
    </row>
    <row r="3913" spans="2:16" x14ac:dyDescent="0.25">
      <c r="B3913" s="24"/>
      <c r="E3913" s="24"/>
      <c r="G3913" s="24"/>
      <c r="H3913" s="24"/>
      <c r="J3913" s="24"/>
      <c r="K3913" s="24"/>
      <c r="M3913" s="24"/>
      <c r="N3913" s="24"/>
      <c r="P3913" s="24"/>
    </row>
    <row r="3914" spans="2:16" x14ac:dyDescent="0.25">
      <c r="B3914" s="24"/>
      <c r="E3914" s="24"/>
      <c r="G3914" s="24"/>
      <c r="H3914" s="24"/>
      <c r="J3914" s="24"/>
      <c r="K3914" s="24"/>
      <c r="M3914" s="24"/>
      <c r="N3914" s="24"/>
      <c r="P3914" s="24"/>
    </row>
    <row r="3915" spans="2:16" x14ac:dyDescent="0.25">
      <c r="B3915" s="24"/>
      <c r="E3915" s="24"/>
      <c r="G3915" s="24"/>
      <c r="H3915" s="24"/>
      <c r="J3915" s="24"/>
      <c r="K3915" s="24"/>
      <c r="M3915" s="24"/>
      <c r="N3915" s="24"/>
      <c r="P3915" s="24"/>
    </row>
    <row r="3916" spans="2:16" x14ac:dyDescent="0.25">
      <c r="B3916" s="24"/>
      <c r="E3916" s="24"/>
      <c r="G3916" s="24"/>
      <c r="H3916" s="24"/>
      <c r="J3916" s="24"/>
      <c r="K3916" s="24"/>
      <c r="M3916" s="24"/>
      <c r="N3916" s="24"/>
      <c r="P3916" s="24"/>
    </row>
    <row r="3917" spans="2:16" x14ac:dyDescent="0.25">
      <c r="B3917" s="24"/>
      <c r="E3917" s="24"/>
      <c r="G3917" s="24"/>
      <c r="H3917" s="24"/>
      <c r="J3917" s="24"/>
      <c r="K3917" s="24"/>
      <c r="M3917" s="24"/>
      <c r="N3917" s="24"/>
      <c r="P3917" s="24"/>
    </row>
    <row r="3918" spans="2:16" x14ac:dyDescent="0.25">
      <c r="B3918" s="24"/>
      <c r="E3918" s="24"/>
      <c r="G3918" s="24"/>
      <c r="H3918" s="24"/>
      <c r="J3918" s="24"/>
      <c r="K3918" s="24"/>
      <c r="M3918" s="24"/>
      <c r="N3918" s="24"/>
      <c r="P3918" s="24"/>
    </row>
    <row r="3919" spans="2:16" x14ac:dyDescent="0.25">
      <c r="B3919" s="24"/>
      <c r="E3919" s="24"/>
      <c r="G3919" s="24"/>
      <c r="H3919" s="24"/>
      <c r="J3919" s="24"/>
      <c r="K3919" s="24"/>
      <c r="M3919" s="24"/>
      <c r="N3919" s="24"/>
      <c r="P3919" s="24"/>
    </row>
    <row r="3920" spans="2:16" x14ac:dyDescent="0.25">
      <c r="B3920" s="24"/>
      <c r="E3920" s="24"/>
      <c r="G3920" s="24"/>
      <c r="H3920" s="24"/>
      <c r="J3920" s="24"/>
      <c r="K3920" s="24"/>
      <c r="M3920" s="24"/>
      <c r="N3920" s="24"/>
      <c r="P3920" s="24"/>
    </row>
    <row r="3921" spans="2:16" x14ac:dyDescent="0.25">
      <c r="B3921" s="24"/>
      <c r="E3921" s="24"/>
      <c r="G3921" s="24"/>
      <c r="H3921" s="24"/>
      <c r="J3921" s="24"/>
      <c r="K3921" s="24"/>
      <c r="M3921" s="24"/>
      <c r="N3921" s="24"/>
      <c r="P3921" s="24"/>
    </row>
    <row r="3922" spans="2:16" x14ac:dyDescent="0.25">
      <c r="B3922" s="24"/>
      <c r="E3922" s="24"/>
      <c r="G3922" s="24"/>
      <c r="H3922" s="24"/>
      <c r="J3922" s="24"/>
      <c r="K3922" s="24"/>
      <c r="M3922" s="24"/>
      <c r="N3922" s="24"/>
      <c r="P3922" s="24"/>
    </row>
    <row r="3923" spans="2:16" x14ac:dyDescent="0.25">
      <c r="B3923" s="24"/>
      <c r="E3923" s="24"/>
      <c r="G3923" s="24"/>
      <c r="H3923" s="24"/>
      <c r="J3923" s="24"/>
      <c r="K3923" s="24"/>
      <c r="M3923" s="24"/>
      <c r="N3923" s="24"/>
      <c r="P3923" s="24"/>
    </row>
    <row r="3924" spans="2:16" x14ac:dyDescent="0.25">
      <c r="B3924" s="24"/>
      <c r="E3924" s="24"/>
      <c r="G3924" s="24"/>
      <c r="H3924" s="24"/>
      <c r="J3924" s="24"/>
      <c r="K3924" s="24"/>
      <c r="M3924" s="24"/>
      <c r="N3924" s="24"/>
      <c r="P3924" s="24"/>
    </row>
    <row r="3925" spans="2:16" x14ac:dyDescent="0.25">
      <c r="B3925" s="24"/>
      <c r="E3925" s="24"/>
      <c r="G3925" s="24"/>
      <c r="H3925" s="24"/>
      <c r="J3925" s="24"/>
      <c r="K3925" s="24"/>
      <c r="M3925" s="24"/>
      <c r="N3925" s="24"/>
      <c r="P3925" s="24"/>
    </row>
    <row r="3926" spans="2:16" x14ac:dyDescent="0.25">
      <c r="B3926" s="24"/>
      <c r="E3926" s="24"/>
      <c r="G3926" s="24"/>
      <c r="H3926" s="24"/>
      <c r="J3926" s="24"/>
      <c r="K3926" s="24"/>
      <c r="M3926" s="24"/>
      <c r="N3926" s="24"/>
      <c r="P3926" s="24"/>
    </row>
    <row r="3927" spans="2:16" x14ac:dyDescent="0.25">
      <c r="B3927" s="24"/>
      <c r="E3927" s="24"/>
      <c r="G3927" s="24"/>
      <c r="H3927" s="24"/>
      <c r="J3927" s="24"/>
      <c r="K3927" s="24"/>
      <c r="M3927" s="24"/>
      <c r="N3927" s="24"/>
      <c r="P3927" s="24"/>
    </row>
    <row r="3928" spans="2:16" x14ac:dyDescent="0.25">
      <c r="B3928" s="24"/>
      <c r="E3928" s="24"/>
      <c r="G3928" s="24"/>
      <c r="H3928" s="24"/>
      <c r="J3928" s="24"/>
      <c r="K3928" s="24"/>
      <c r="M3928" s="24"/>
      <c r="N3928" s="24"/>
      <c r="P3928" s="24"/>
    </row>
    <row r="3929" spans="2:16" x14ac:dyDescent="0.25">
      <c r="B3929" s="24"/>
      <c r="E3929" s="24"/>
      <c r="G3929" s="24"/>
      <c r="H3929" s="24"/>
      <c r="J3929" s="24"/>
      <c r="K3929" s="24"/>
      <c r="M3929" s="24"/>
      <c r="N3929" s="24"/>
      <c r="P3929" s="24"/>
    </row>
    <row r="3930" spans="2:16" x14ac:dyDescent="0.25">
      <c r="B3930" s="24"/>
      <c r="E3930" s="24"/>
      <c r="G3930" s="24"/>
      <c r="H3930" s="24"/>
      <c r="J3930" s="24"/>
      <c r="K3930" s="24"/>
      <c r="M3930" s="24"/>
      <c r="N3930" s="24"/>
      <c r="P3930" s="24"/>
    </row>
    <row r="3931" spans="2:16" x14ac:dyDescent="0.25">
      <c r="B3931" s="24"/>
      <c r="E3931" s="24"/>
      <c r="G3931" s="24"/>
      <c r="H3931" s="24"/>
      <c r="J3931" s="24"/>
      <c r="K3931" s="24"/>
      <c r="M3931" s="24"/>
      <c r="N3931" s="24"/>
      <c r="P3931" s="24"/>
    </row>
    <row r="3932" spans="2:16" x14ac:dyDescent="0.25">
      <c r="B3932" s="24"/>
      <c r="E3932" s="24"/>
      <c r="G3932" s="24"/>
      <c r="H3932" s="24"/>
      <c r="J3932" s="24"/>
      <c r="K3932" s="24"/>
      <c r="M3932" s="24"/>
      <c r="N3932" s="24"/>
      <c r="P3932" s="24"/>
    </row>
    <row r="3933" spans="2:16" x14ac:dyDescent="0.25">
      <c r="B3933" s="24"/>
      <c r="E3933" s="24"/>
      <c r="G3933" s="24"/>
      <c r="H3933" s="24"/>
      <c r="J3933" s="24"/>
      <c r="K3933" s="24"/>
      <c r="M3933" s="24"/>
      <c r="N3933" s="24"/>
      <c r="P3933" s="24"/>
    </row>
    <row r="3934" spans="2:16" x14ac:dyDescent="0.25">
      <c r="B3934" s="24"/>
      <c r="E3934" s="24"/>
      <c r="G3934" s="24"/>
      <c r="H3934" s="24"/>
      <c r="J3934" s="24"/>
      <c r="K3934" s="24"/>
      <c r="M3934" s="24"/>
      <c r="N3934" s="24"/>
      <c r="P3934" s="24"/>
    </row>
    <row r="3935" spans="2:16" x14ac:dyDescent="0.25">
      <c r="B3935" s="24"/>
      <c r="E3935" s="24"/>
      <c r="G3935" s="24"/>
      <c r="H3935" s="24"/>
      <c r="J3935" s="24"/>
      <c r="K3935" s="24"/>
      <c r="M3935" s="24"/>
      <c r="N3935" s="24"/>
      <c r="P3935" s="24"/>
    </row>
    <row r="3936" spans="2:16" x14ac:dyDescent="0.25">
      <c r="B3936" s="24"/>
      <c r="E3936" s="24"/>
      <c r="G3936" s="24"/>
      <c r="H3936" s="24"/>
      <c r="J3936" s="24"/>
      <c r="K3936" s="24"/>
      <c r="M3936" s="24"/>
      <c r="N3936" s="24"/>
      <c r="P3936" s="24"/>
    </row>
    <row r="3937" spans="2:16" x14ac:dyDescent="0.25">
      <c r="B3937" s="24"/>
      <c r="E3937" s="24"/>
      <c r="G3937" s="24"/>
      <c r="H3937" s="24"/>
      <c r="J3937" s="24"/>
      <c r="K3937" s="24"/>
      <c r="M3937" s="24"/>
      <c r="N3937" s="24"/>
      <c r="P3937" s="24"/>
    </row>
    <row r="3938" spans="2:16" x14ac:dyDescent="0.25">
      <c r="B3938" s="24"/>
      <c r="E3938" s="24"/>
      <c r="G3938" s="24"/>
      <c r="H3938" s="24"/>
      <c r="J3938" s="24"/>
      <c r="K3938" s="24"/>
      <c r="M3938" s="24"/>
      <c r="N3938" s="24"/>
      <c r="P3938" s="24"/>
    </row>
    <row r="3939" spans="2:16" x14ac:dyDescent="0.25">
      <c r="B3939" s="24"/>
      <c r="E3939" s="24"/>
      <c r="G3939" s="24"/>
      <c r="H3939" s="24"/>
      <c r="J3939" s="24"/>
      <c r="K3939" s="24"/>
      <c r="M3939" s="24"/>
      <c r="N3939" s="24"/>
      <c r="P3939" s="24"/>
    </row>
    <row r="3940" spans="2:16" x14ac:dyDescent="0.25">
      <c r="B3940" s="24"/>
      <c r="E3940" s="24"/>
      <c r="G3940" s="24"/>
      <c r="H3940" s="24"/>
      <c r="J3940" s="24"/>
      <c r="K3940" s="24"/>
      <c r="M3940" s="24"/>
      <c r="N3940" s="24"/>
      <c r="P3940" s="24"/>
    </row>
    <row r="3941" spans="2:16" x14ac:dyDescent="0.25">
      <c r="B3941" s="24"/>
      <c r="E3941" s="24"/>
      <c r="G3941" s="24"/>
      <c r="H3941" s="24"/>
      <c r="J3941" s="24"/>
      <c r="K3941" s="24"/>
      <c r="M3941" s="24"/>
      <c r="N3941" s="24"/>
      <c r="P3941" s="24"/>
    </row>
    <row r="3942" spans="2:16" x14ac:dyDescent="0.25">
      <c r="B3942" s="24"/>
      <c r="E3942" s="24"/>
      <c r="G3942" s="24"/>
      <c r="H3942" s="24"/>
      <c r="J3942" s="24"/>
      <c r="K3942" s="24"/>
      <c r="M3942" s="24"/>
      <c r="N3942" s="24"/>
      <c r="P3942" s="24"/>
    </row>
    <row r="3943" spans="2:16" x14ac:dyDescent="0.25">
      <c r="B3943" s="24"/>
      <c r="E3943" s="24"/>
      <c r="G3943" s="24"/>
      <c r="H3943" s="24"/>
      <c r="J3943" s="24"/>
      <c r="K3943" s="24"/>
      <c r="M3943" s="24"/>
      <c r="N3943" s="24"/>
      <c r="P3943" s="24"/>
    </row>
    <row r="3944" spans="2:16" x14ac:dyDescent="0.25">
      <c r="B3944" s="24"/>
      <c r="E3944" s="24"/>
      <c r="G3944" s="24"/>
      <c r="H3944" s="24"/>
      <c r="J3944" s="24"/>
      <c r="K3944" s="24"/>
      <c r="M3944" s="24"/>
      <c r="N3944" s="24"/>
      <c r="P3944" s="24"/>
    </row>
    <row r="3945" spans="2:16" x14ac:dyDescent="0.25">
      <c r="B3945" s="24"/>
      <c r="E3945" s="24"/>
      <c r="G3945" s="24"/>
      <c r="H3945" s="24"/>
      <c r="J3945" s="24"/>
      <c r="K3945" s="24"/>
      <c r="M3945" s="24"/>
      <c r="N3945" s="24"/>
      <c r="P3945" s="24"/>
    </row>
    <row r="3946" spans="2:16" x14ac:dyDescent="0.25">
      <c r="B3946" s="24"/>
      <c r="E3946" s="24"/>
      <c r="G3946" s="24"/>
      <c r="H3946" s="24"/>
      <c r="J3946" s="24"/>
      <c r="K3946" s="24"/>
      <c r="M3946" s="24"/>
      <c r="N3946" s="24"/>
      <c r="P3946" s="24"/>
    </row>
    <row r="3947" spans="2:16" x14ac:dyDescent="0.25">
      <c r="B3947" s="24"/>
      <c r="E3947" s="24"/>
      <c r="G3947" s="24"/>
      <c r="H3947" s="24"/>
      <c r="J3947" s="24"/>
      <c r="K3947" s="24"/>
      <c r="M3947" s="24"/>
      <c r="N3947" s="24"/>
      <c r="P3947" s="24"/>
    </row>
    <row r="3948" spans="2:16" x14ac:dyDescent="0.25">
      <c r="B3948" s="24"/>
      <c r="E3948" s="24"/>
      <c r="G3948" s="24"/>
      <c r="H3948" s="24"/>
      <c r="J3948" s="24"/>
      <c r="K3948" s="24"/>
      <c r="M3948" s="24"/>
      <c r="N3948" s="24"/>
      <c r="P3948" s="24"/>
    </row>
    <row r="3949" spans="2:16" x14ac:dyDescent="0.25">
      <c r="B3949" s="24"/>
      <c r="E3949" s="24"/>
      <c r="G3949" s="24"/>
      <c r="H3949" s="24"/>
      <c r="J3949" s="24"/>
      <c r="K3949" s="24"/>
      <c r="M3949" s="24"/>
      <c r="N3949" s="24"/>
      <c r="P3949" s="24"/>
    </row>
    <row r="3950" spans="2:16" x14ac:dyDescent="0.25">
      <c r="B3950" s="24"/>
      <c r="E3950" s="24"/>
      <c r="G3950" s="24"/>
      <c r="H3950" s="24"/>
      <c r="J3950" s="24"/>
      <c r="K3950" s="24"/>
      <c r="M3950" s="24"/>
      <c r="N3950" s="24"/>
      <c r="P3950" s="24"/>
    </row>
    <row r="3951" spans="2:16" x14ac:dyDescent="0.25">
      <c r="B3951" s="24"/>
      <c r="E3951" s="24"/>
      <c r="G3951" s="24"/>
      <c r="H3951" s="24"/>
      <c r="J3951" s="24"/>
      <c r="K3951" s="24"/>
      <c r="M3951" s="24"/>
      <c r="N3951" s="24"/>
      <c r="P3951" s="24"/>
    </row>
    <row r="3952" spans="2:16" x14ac:dyDescent="0.25">
      <c r="B3952" s="24"/>
      <c r="E3952" s="24"/>
      <c r="G3952" s="24"/>
      <c r="H3952" s="24"/>
      <c r="J3952" s="24"/>
      <c r="K3952" s="24"/>
      <c r="M3952" s="24"/>
      <c r="N3952" s="24"/>
      <c r="P3952" s="24"/>
    </row>
    <row r="3953" spans="2:16" x14ac:dyDescent="0.25">
      <c r="B3953" s="24"/>
      <c r="E3953" s="24"/>
      <c r="G3953" s="24"/>
      <c r="H3953" s="24"/>
      <c r="J3953" s="24"/>
      <c r="K3953" s="24"/>
      <c r="M3953" s="24"/>
      <c r="N3953" s="24"/>
      <c r="P3953" s="24"/>
    </row>
    <row r="3954" spans="2:16" x14ac:dyDescent="0.25">
      <c r="B3954" s="24"/>
      <c r="E3954" s="24"/>
      <c r="G3954" s="24"/>
      <c r="H3954" s="24"/>
      <c r="J3954" s="24"/>
      <c r="K3954" s="24"/>
      <c r="M3954" s="24"/>
      <c r="N3954" s="24"/>
      <c r="P3954" s="24"/>
    </row>
    <row r="3955" spans="2:16" x14ac:dyDescent="0.25">
      <c r="B3955" s="24"/>
      <c r="E3955" s="24"/>
      <c r="G3955" s="24"/>
      <c r="H3955" s="24"/>
      <c r="J3955" s="24"/>
      <c r="K3955" s="24"/>
      <c r="M3955" s="24"/>
      <c r="N3955" s="24"/>
      <c r="P3955" s="24"/>
    </row>
    <row r="3956" spans="2:16" x14ac:dyDescent="0.25">
      <c r="B3956" s="24"/>
      <c r="E3956" s="24"/>
      <c r="G3956" s="24"/>
      <c r="H3956" s="24"/>
      <c r="J3956" s="24"/>
      <c r="K3956" s="24"/>
      <c r="M3956" s="24"/>
      <c r="N3956" s="24"/>
      <c r="P3956" s="24"/>
    </row>
    <row r="3957" spans="2:16" x14ac:dyDescent="0.25">
      <c r="B3957" s="24"/>
      <c r="E3957" s="24"/>
      <c r="G3957" s="24"/>
      <c r="H3957" s="24"/>
      <c r="J3957" s="24"/>
      <c r="K3957" s="24"/>
      <c r="M3957" s="24"/>
      <c r="N3957" s="24"/>
      <c r="P3957" s="24"/>
    </row>
    <row r="3958" spans="2:16" x14ac:dyDescent="0.25">
      <c r="B3958" s="24"/>
      <c r="E3958" s="24"/>
      <c r="G3958" s="24"/>
      <c r="H3958" s="24"/>
      <c r="J3958" s="24"/>
      <c r="K3958" s="24"/>
      <c r="M3958" s="24"/>
      <c r="N3958" s="24"/>
      <c r="P3958" s="24"/>
    </row>
    <row r="3959" spans="2:16" x14ac:dyDescent="0.25">
      <c r="B3959" s="24"/>
      <c r="E3959" s="24"/>
      <c r="G3959" s="24"/>
      <c r="H3959" s="24"/>
      <c r="J3959" s="24"/>
      <c r="K3959" s="24"/>
      <c r="M3959" s="24"/>
      <c r="N3959" s="24"/>
      <c r="P3959" s="24"/>
    </row>
    <row r="3960" spans="2:16" x14ac:dyDescent="0.25">
      <c r="B3960" s="24"/>
      <c r="E3960" s="24"/>
      <c r="G3960" s="24"/>
      <c r="H3960" s="24"/>
      <c r="J3960" s="24"/>
      <c r="K3960" s="24"/>
      <c r="M3960" s="24"/>
      <c r="N3960" s="24"/>
      <c r="P3960" s="24"/>
    </row>
    <row r="3961" spans="2:16" x14ac:dyDescent="0.25">
      <c r="B3961" s="24"/>
      <c r="E3961" s="24"/>
      <c r="G3961" s="24"/>
      <c r="H3961" s="24"/>
      <c r="J3961" s="24"/>
      <c r="K3961" s="24"/>
      <c r="M3961" s="24"/>
      <c r="N3961" s="24"/>
      <c r="P3961" s="24"/>
    </row>
    <row r="3962" spans="2:16" x14ac:dyDescent="0.25">
      <c r="B3962" s="24"/>
      <c r="E3962" s="24"/>
      <c r="G3962" s="24"/>
      <c r="H3962" s="24"/>
      <c r="J3962" s="24"/>
      <c r="K3962" s="24"/>
      <c r="M3962" s="24"/>
      <c r="N3962" s="24"/>
      <c r="P3962" s="24"/>
    </row>
    <row r="3963" spans="2:16" x14ac:dyDescent="0.25">
      <c r="B3963" s="24"/>
      <c r="E3963" s="24"/>
      <c r="G3963" s="24"/>
      <c r="H3963" s="24"/>
      <c r="J3963" s="24"/>
      <c r="K3963" s="24"/>
      <c r="M3963" s="24"/>
      <c r="N3963" s="24"/>
      <c r="P3963" s="24"/>
    </row>
    <row r="3964" spans="2:16" x14ac:dyDescent="0.25">
      <c r="B3964" s="24"/>
      <c r="E3964" s="24"/>
      <c r="G3964" s="24"/>
      <c r="H3964" s="24"/>
      <c r="J3964" s="24"/>
      <c r="K3964" s="24"/>
      <c r="M3964" s="24"/>
      <c r="N3964" s="24"/>
      <c r="P3964" s="24"/>
    </row>
    <row r="3965" spans="2:16" x14ac:dyDescent="0.25">
      <c r="B3965" s="24"/>
      <c r="E3965" s="24"/>
      <c r="G3965" s="24"/>
      <c r="H3965" s="24"/>
      <c r="J3965" s="24"/>
      <c r="K3965" s="24"/>
      <c r="M3965" s="24"/>
      <c r="N3965" s="24"/>
      <c r="P3965" s="24"/>
    </row>
    <row r="3966" spans="2:16" x14ac:dyDescent="0.25">
      <c r="B3966" s="24"/>
      <c r="E3966" s="24"/>
      <c r="G3966" s="24"/>
      <c r="H3966" s="24"/>
      <c r="J3966" s="24"/>
      <c r="K3966" s="24"/>
      <c r="M3966" s="24"/>
      <c r="N3966" s="24"/>
      <c r="P3966" s="24"/>
    </row>
    <row r="3967" spans="2:16" x14ac:dyDescent="0.25">
      <c r="B3967" s="24"/>
      <c r="E3967" s="24"/>
      <c r="G3967" s="24"/>
      <c r="H3967" s="24"/>
      <c r="J3967" s="24"/>
      <c r="K3967" s="24"/>
      <c r="M3967" s="24"/>
      <c r="N3967" s="24"/>
      <c r="P3967" s="24"/>
    </row>
    <row r="3968" spans="2:16" x14ac:dyDescent="0.25">
      <c r="B3968" s="24"/>
      <c r="E3968" s="24"/>
      <c r="G3968" s="24"/>
      <c r="H3968" s="24"/>
      <c r="J3968" s="24"/>
      <c r="K3968" s="24"/>
      <c r="M3968" s="24"/>
      <c r="N3968" s="24"/>
      <c r="P3968" s="24"/>
    </row>
    <row r="3969" spans="2:16" x14ac:dyDescent="0.25">
      <c r="B3969" s="24"/>
      <c r="E3969" s="24"/>
      <c r="G3969" s="24"/>
      <c r="H3969" s="24"/>
      <c r="J3969" s="24"/>
      <c r="K3969" s="24"/>
      <c r="M3969" s="24"/>
      <c r="N3969" s="24"/>
      <c r="P3969" s="24"/>
    </row>
    <row r="3970" spans="2:16" x14ac:dyDescent="0.25">
      <c r="B3970" s="24"/>
      <c r="E3970" s="24"/>
      <c r="G3970" s="24"/>
      <c r="H3970" s="24"/>
      <c r="J3970" s="24"/>
      <c r="K3970" s="24"/>
      <c r="M3970" s="24"/>
      <c r="N3970" s="24"/>
      <c r="P3970" s="24"/>
    </row>
    <row r="3971" spans="2:16" x14ac:dyDescent="0.25">
      <c r="B3971" s="24"/>
      <c r="E3971" s="24"/>
      <c r="G3971" s="24"/>
      <c r="H3971" s="24"/>
      <c r="J3971" s="24"/>
      <c r="K3971" s="24"/>
      <c r="M3971" s="24"/>
      <c r="N3971" s="24"/>
      <c r="P3971" s="24"/>
    </row>
    <row r="3972" spans="2:16" x14ac:dyDescent="0.25">
      <c r="B3972" s="24"/>
      <c r="E3972" s="24"/>
      <c r="G3972" s="24"/>
      <c r="H3972" s="24"/>
      <c r="J3972" s="24"/>
      <c r="K3972" s="24"/>
      <c r="M3972" s="24"/>
      <c r="N3972" s="24"/>
      <c r="P3972" s="24"/>
    </row>
    <row r="3973" spans="2:16" x14ac:dyDescent="0.25">
      <c r="B3973" s="24"/>
      <c r="E3973" s="24"/>
      <c r="G3973" s="24"/>
      <c r="H3973" s="24"/>
      <c r="J3973" s="24"/>
      <c r="K3973" s="24"/>
      <c r="M3973" s="24"/>
      <c r="N3973" s="24"/>
      <c r="P3973" s="24"/>
    </row>
    <row r="3974" spans="2:16" x14ac:dyDescent="0.25">
      <c r="B3974" s="24"/>
      <c r="E3974" s="24"/>
      <c r="G3974" s="24"/>
      <c r="H3974" s="24"/>
      <c r="J3974" s="24"/>
      <c r="K3974" s="24"/>
      <c r="M3974" s="24"/>
      <c r="N3974" s="24"/>
      <c r="P3974" s="24"/>
    </row>
    <row r="3975" spans="2:16" x14ac:dyDescent="0.25">
      <c r="B3975" s="24"/>
      <c r="E3975" s="24"/>
      <c r="G3975" s="24"/>
      <c r="H3975" s="24"/>
      <c r="J3975" s="24"/>
      <c r="K3975" s="24"/>
      <c r="M3975" s="24"/>
      <c r="N3975" s="24"/>
      <c r="P3975" s="24"/>
    </row>
    <row r="3976" spans="2:16" x14ac:dyDescent="0.25">
      <c r="B3976" s="24"/>
      <c r="E3976" s="24"/>
      <c r="G3976" s="24"/>
      <c r="H3976" s="24"/>
      <c r="J3976" s="24"/>
      <c r="K3976" s="24"/>
      <c r="M3976" s="24"/>
      <c r="N3976" s="24"/>
      <c r="P3976" s="24"/>
    </row>
    <row r="3977" spans="2:16" x14ac:dyDescent="0.25">
      <c r="B3977" s="24"/>
      <c r="E3977" s="24"/>
      <c r="G3977" s="24"/>
      <c r="H3977" s="24"/>
      <c r="J3977" s="24"/>
      <c r="K3977" s="24"/>
      <c r="M3977" s="24"/>
      <c r="N3977" s="24"/>
      <c r="P3977" s="24"/>
    </row>
    <row r="3978" spans="2:16" x14ac:dyDescent="0.25">
      <c r="B3978" s="24"/>
      <c r="E3978" s="24"/>
      <c r="G3978" s="24"/>
      <c r="H3978" s="24"/>
      <c r="J3978" s="24"/>
      <c r="K3978" s="24"/>
      <c r="M3978" s="24"/>
      <c r="N3978" s="24"/>
      <c r="P3978" s="24"/>
    </row>
    <row r="3979" spans="2:16" x14ac:dyDescent="0.25">
      <c r="B3979" s="24"/>
      <c r="E3979" s="24"/>
      <c r="G3979" s="24"/>
      <c r="H3979" s="24"/>
      <c r="J3979" s="24"/>
      <c r="K3979" s="24"/>
      <c r="M3979" s="24"/>
      <c r="N3979" s="24"/>
      <c r="P3979" s="24"/>
    </row>
    <row r="3980" spans="2:16" x14ac:dyDescent="0.25">
      <c r="B3980" s="24"/>
      <c r="E3980" s="24"/>
      <c r="G3980" s="24"/>
      <c r="H3980" s="24"/>
      <c r="J3980" s="24"/>
      <c r="K3980" s="24"/>
      <c r="M3980" s="24"/>
      <c r="N3980" s="24"/>
      <c r="P3980" s="24"/>
    </row>
    <row r="3981" spans="2:16" x14ac:dyDescent="0.25">
      <c r="B3981" s="24"/>
      <c r="E3981" s="24"/>
      <c r="G3981" s="24"/>
      <c r="H3981" s="24"/>
      <c r="J3981" s="24"/>
      <c r="K3981" s="24"/>
      <c r="M3981" s="24"/>
      <c r="N3981" s="24"/>
      <c r="P3981" s="24"/>
    </row>
    <row r="3982" spans="2:16" x14ac:dyDescent="0.25">
      <c r="B3982" s="24"/>
      <c r="E3982" s="24"/>
      <c r="G3982" s="24"/>
      <c r="H3982" s="24"/>
      <c r="J3982" s="24"/>
      <c r="K3982" s="24"/>
      <c r="M3982" s="24"/>
      <c r="N3982" s="24"/>
      <c r="P3982" s="24"/>
    </row>
    <row r="3983" spans="2:16" x14ac:dyDescent="0.25">
      <c r="B3983" s="24"/>
      <c r="E3983" s="24"/>
      <c r="G3983" s="24"/>
      <c r="H3983" s="24"/>
      <c r="J3983" s="24"/>
      <c r="K3983" s="24"/>
      <c r="M3983" s="24"/>
      <c r="N3983" s="24"/>
      <c r="P3983" s="24"/>
    </row>
    <row r="3984" spans="2:16" x14ac:dyDescent="0.25">
      <c r="B3984" s="24"/>
      <c r="E3984" s="24"/>
      <c r="G3984" s="24"/>
      <c r="H3984" s="24"/>
      <c r="J3984" s="24"/>
      <c r="K3984" s="24"/>
      <c r="M3984" s="24"/>
      <c r="N3984" s="24"/>
      <c r="P3984" s="24"/>
    </row>
    <row r="3985" spans="2:16" x14ac:dyDescent="0.25">
      <c r="B3985" s="24"/>
      <c r="E3985" s="24"/>
      <c r="G3985" s="24"/>
      <c r="H3985" s="24"/>
      <c r="J3985" s="24"/>
      <c r="K3985" s="24"/>
      <c r="M3985" s="24"/>
      <c r="N3985" s="24"/>
      <c r="P3985" s="24"/>
    </row>
    <row r="3986" spans="2:16" x14ac:dyDescent="0.25">
      <c r="B3986" s="24"/>
      <c r="E3986" s="24"/>
      <c r="G3986" s="24"/>
      <c r="H3986" s="24"/>
      <c r="J3986" s="24"/>
      <c r="K3986" s="24"/>
      <c r="M3986" s="24"/>
      <c r="N3986" s="24"/>
      <c r="P3986" s="24"/>
    </row>
    <row r="3987" spans="2:16" x14ac:dyDescent="0.25">
      <c r="B3987" s="24"/>
      <c r="E3987" s="24"/>
      <c r="G3987" s="24"/>
      <c r="H3987" s="24"/>
      <c r="J3987" s="24"/>
      <c r="K3987" s="24"/>
      <c r="M3987" s="24"/>
      <c r="N3987" s="24"/>
      <c r="P3987" s="24"/>
    </row>
    <row r="3988" spans="2:16" x14ac:dyDescent="0.25">
      <c r="B3988" s="24"/>
      <c r="E3988" s="24"/>
      <c r="G3988" s="24"/>
      <c r="H3988" s="24"/>
      <c r="J3988" s="24"/>
      <c r="K3988" s="24"/>
      <c r="M3988" s="24"/>
      <c r="N3988" s="24"/>
      <c r="P3988" s="24"/>
    </row>
    <row r="3989" spans="2:16" x14ac:dyDescent="0.25">
      <c r="B3989" s="24"/>
      <c r="E3989" s="24"/>
      <c r="G3989" s="24"/>
      <c r="H3989" s="24"/>
      <c r="J3989" s="24"/>
      <c r="K3989" s="24"/>
      <c r="M3989" s="24"/>
      <c r="N3989" s="24"/>
      <c r="P3989" s="24"/>
    </row>
    <row r="3990" spans="2:16" x14ac:dyDescent="0.25">
      <c r="B3990" s="24"/>
      <c r="E3990" s="24"/>
      <c r="G3990" s="24"/>
      <c r="H3990" s="24"/>
      <c r="J3990" s="24"/>
      <c r="K3990" s="24"/>
      <c r="M3990" s="24"/>
      <c r="N3990" s="24"/>
      <c r="P3990" s="24"/>
    </row>
    <row r="3991" spans="2:16" x14ac:dyDescent="0.25">
      <c r="B3991" s="24"/>
      <c r="E3991" s="24"/>
      <c r="G3991" s="24"/>
      <c r="H3991" s="24"/>
      <c r="J3991" s="24"/>
      <c r="K3991" s="24"/>
      <c r="M3991" s="24"/>
      <c r="N3991" s="24"/>
      <c r="P3991" s="24"/>
    </row>
    <row r="3992" spans="2:16" x14ac:dyDescent="0.25">
      <c r="B3992" s="24"/>
      <c r="E3992" s="24"/>
      <c r="G3992" s="24"/>
      <c r="H3992" s="24"/>
      <c r="J3992" s="24"/>
      <c r="K3992" s="24"/>
      <c r="M3992" s="24"/>
      <c r="N3992" s="24"/>
      <c r="P3992" s="24"/>
    </row>
    <row r="3993" spans="2:16" x14ac:dyDescent="0.25">
      <c r="B3993" s="24"/>
      <c r="E3993" s="24"/>
      <c r="G3993" s="24"/>
      <c r="H3993" s="24"/>
      <c r="J3993" s="24"/>
      <c r="K3993" s="24"/>
      <c r="M3993" s="24"/>
      <c r="N3993" s="24"/>
      <c r="P3993" s="24"/>
    </row>
    <row r="3994" spans="2:16" x14ac:dyDescent="0.25">
      <c r="B3994" s="24"/>
      <c r="E3994" s="24"/>
      <c r="G3994" s="24"/>
      <c r="H3994" s="24"/>
      <c r="J3994" s="24"/>
      <c r="K3994" s="24"/>
      <c r="M3994" s="24"/>
      <c r="N3994" s="24"/>
      <c r="P3994" s="24"/>
    </row>
    <row r="3995" spans="2:16" x14ac:dyDescent="0.25">
      <c r="B3995" s="24"/>
      <c r="E3995" s="24"/>
      <c r="G3995" s="24"/>
      <c r="H3995" s="24"/>
      <c r="J3995" s="24"/>
      <c r="K3995" s="24"/>
      <c r="M3995" s="24"/>
      <c r="N3995" s="24"/>
      <c r="P3995" s="24"/>
    </row>
    <row r="3996" spans="2:16" x14ac:dyDescent="0.25">
      <c r="B3996" s="24"/>
      <c r="E3996" s="24"/>
      <c r="G3996" s="24"/>
      <c r="H3996" s="24"/>
      <c r="J3996" s="24"/>
      <c r="K3996" s="24"/>
      <c r="M3996" s="24"/>
      <c r="N3996" s="24"/>
      <c r="P3996" s="24"/>
    </row>
    <row r="3997" spans="2:16" x14ac:dyDescent="0.25">
      <c r="B3997" s="24"/>
      <c r="E3997" s="24"/>
      <c r="G3997" s="24"/>
      <c r="H3997" s="24"/>
      <c r="J3997" s="24"/>
      <c r="K3997" s="24"/>
      <c r="M3997" s="24"/>
      <c r="N3997" s="24"/>
      <c r="P3997" s="24"/>
    </row>
    <row r="3998" spans="2:16" x14ac:dyDescent="0.25">
      <c r="B3998" s="24"/>
      <c r="E3998" s="24"/>
      <c r="G3998" s="24"/>
      <c r="H3998" s="24"/>
      <c r="J3998" s="24"/>
      <c r="K3998" s="24"/>
      <c r="M3998" s="24"/>
      <c r="N3998" s="24"/>
      <c r="P3998" s="24"/>
    </row>
    <row r="3999" spans="2:16" x14ac:dyDescent="0.25">
      <c r="B3999" s="24"/>
      <c r="E3999" s="24"/>
      <c r="G3999" s="24"/>
      <c r="H3999" s="24"/>
      <c r="J3999" s="24"/>
      <c r="K3999" s="24"/>
      <c r="M3999" s="24"/>
      <c r="N3999" s="24"/>
      <c r="P3999" s="24"/>
    </row>
    <row r="4000" spans="2:16" x14ac:dyDescent="0.25">
      <c r="B4000" s="24"/>
      <c r="E4000" s="24"/>
      <c r="G4000" s="24"/>
      <c r="H4000" s="24"/>
      <c r="J4000" s="24"/>
      <c r="K4000" s="24"/>
      <c r="M4000" s="24"/>
      <c r="N4000" s="24"/>
      <c r="P4000" s="24"/>
    </row>
    <row r="4001" spans="2:16" x14ac:dyDescent="0.25">
      <c r="B4001" s="24"/>
      <c r="E4001" s="24"/>
      <c r="G4001" s="24"/>
      <c r="H4001" s="24"/>
      <c r="J4001" s="24"/>
      <c r="K4001" s="24"/>
      <c r="M4001" s="24"/>
      <c r="N4001" s="24"/>
      <c r="P4001" s="24"/>
    </row>
    <row r="4002" spans="2:16" x14ac:dyDescent="0.25">
      <c r="B4002" s="24"/>
      <c r="E4002" s="24"/>
      <c r="G4002" s="24"/>
      <c r="H4002" s="24"/>
      <c r="J4002" s="24"/>
      <c r="K4002" s="24"/>
      <c r="M4002" s="24"/>
      <c r="N4002" s="24"/>
      <c r="P4002" s="24"/>
    </row>
    <row r="4003" spans="2:16" x14ac:dyDescent="0.25">
      <c r="B4003" s="24"/>
      <c r="E4003" s="24"/>
      <c r="G4003" s="24"/>
      <c r="H4003" s="24"/>
      <c r="J4003" s="24"/>
      <c r="K4003" s="24"/>
      <c r="M4003" s="24"/>
      <c r="N4003" s="24"/>
      <c r="P4003" s="24"/>
    </row>
    <row r="4004" spans="2:16" x14ac:dyDescent="0.25">
      <c r="B4004" s="24"/>
      <c r="E4004" s="24"/>
      <c r="G4004" s="24"/>
      <c r="H4004" s="24"/>
      <c r="J4004" s="24"/>
      <c r="K4004" s="24"/>
      <c r="M4004" s="24"/>
      <c r="N4004" s="24"/>
      <c r="P4004" s="24"/>
    </row>
    <row r="4005" spans="2:16" x14ac:dyDescent="0.25">
      <c r="B4005" s="24"/>
      <c r="E4005" s="24"/>
      <c r="G4005" s="24"/>
      <c r="H4005" s="24"/>
      <c r="J4005" s="24"/>
      <c r="K4005" s="24"/>
      <c r="M4005" s="24"/>
      <c r="N4005" s="24"/>
      <c r="P4005" s="24"/>
    </row>
    <row r="4006" spans="2:16" x14ac:dyDescent="0.25">
      <c r="B4006" s="24"/>
      <c r="E4006" s="24"/>
      <c r="G4006" s="24"/>
      <c r="H4006" s="24"/>
      <c r="J4006" s="24"/>
      <c r="K4006" s="24"/>
      <c r="M4006" s="24"/>
      <c r="N4006" s="24"/>
      <c r="P4006" s="24"/>
    </row>
    <row r="4007" spans="2:16" x14ac:dyDescent="0.25">
      <c r="B4007" s="24"/>
      <c r="E4007" s="24"/>
      <c r="G4007" s="24"/>
      <c r="H4007" s="24"/>
      <c r="J4007" s="24"/>
      <c r="K4007" s="24"/>
      <c r="M4007" s="24"/>
      <c r="N4007" s="24"/>
      <c r="P4007" s="24"/>
    </row>
    <row r="4008" spans="2:16" x14ac:dyDescent="0.25">
      <c r="B4008" s="24"/>
      <c r="E4008" s="24"/>
      <c r="G4008" s="24"/>
      <c r="H4008" s="24"/>
      <c r="J4008" s="24"/>
      <c r="K4008" s="24"/>
      <c r="M4008" s="24"/>
      <c r="N4008" s="24"/>
      <c r="P4008" s="24"/>
    </row>
    <row r="4009" spans="2:16" x14ac:dyDescent="0.25">
      <c r="B4009" s="24"/>
      <c r="E4009" s="24"/>
      <c r="G4009" s="24"/>
      <c r="H4009" s="24"/>
      <c r="J4009" s="24"/>
      <c r="K4009" s="24"/>
      <c r="M4009" s="24"/>
      <c r="N4009" s="24"/>
      <c r="P4009" s="24"/>
    </row>
    <row r="4010" spans="2:16" x14ac:dyDescent="0.25">
      <c r="B4010" s="24"/>
      <c r="E4010" s="24"/>
      <c r="G4010" s="24"/>
      <c r="H4010" s="24"/>
      <c r="J4010" s="24"/>
      <c r="K4010" s="24"/>
      <c r="M4010" s="24"/>
      <c r="N4010" s="24"/>
      <c r="P4010" s="24"/>
    </row>
    <row r="4011" spans="2:16" x14ac:dyDescent="0.25">
      <c r="B4011" s="24"/>
      <c r="E4011" s="24"/>
      <c r="G4011" s="24"/>
      <c r="H4011" s="24"/>
      <c r="J4011" s="24"/>
      <c r="K4011" s="24"/>
      <c r="M4011" s="24"/>
      <c r="N4011" s="24"/>
      <c r="P4011" s="24"/>
    </row>
    <row r="4012" spans="2:16" x14ac:dyDescent="0.25">
      <c r="B4012" s="24"/>
      <c r="E4012" s="24"/>
      <c r="G4012" s="24"/>
      <c r="H4012" s="24"/>
      <c r="J4012" s="24"/>
      <c r="K4012" s="24"/>
      <c r="M4012" s="24"/>
      <c r="N4012" s="24"/>
      <c r="P4012" s="24"/>
    </row>
    <row r="4013" spans="2:16" x14ac:dyDescent="0.25">
      <c r="B4013" s="24"/>
      <c r="E4013" s="24"/>
      <c r="G4013" s="24"/>
      <c r="H4013" s="24"/>
      <c r="J4013" s="24"/>
      <c r="K4013" s="24"/>
      <c r="M4013" s="24"/>
      <c r="N4013" s="24"/>
      <c r="P4013" s="24"/>
    </row>
    <row r="4014" spans="2:16" x14ac:dyDescent="0.25">
      <c r="B4014" s="24"/>
      <c r="E4014" s="24"/>
      <c r="G4014" s="24"/>
      <c r="H4014" s="24"/>
      <c r="J4014" s="24"/>
      <c r="K4014" s="24"/>
      <c r="M4014" s="24"/>
      <c r="N4014" s="24"/>
      <c r="P4014" s="24"/>
    </row>
    <row r="4015" spans="2:16" x14ac:dyDescent="0.25">
      <c r="B4015" s="24"/>
      <c r="E4015" s="24"/>
      <c r="G4015" s="24"/>
      <c r="H4015" s="24"/>
      <c r="J4015" s="24"/>
      <c r="K4015" s="24"/>
      <c r="M4015" s="24"/>
      <c r="N4015" s="24"/>
      <c r="P4015" s="24"/>
    </row>
    <row r="4016" spans="2:16" x14ac:dyDescent="0.25">
      <c r="B4016" s="24"/>
      <c r="E4016" s="24"/>
      <c r="G4016" s="24"/>
      <c r="H4016" s="24"/>
      <c r="J4016" s="24"/>
      <c r="K4016" s="24"/>
      <c r="M4016" s="24"/>
      <c r="N4016" s="24"/>
      <c r="P4016" s="24"/>
    </row>
    <row r="4017" spans="2:16" x14ac:dyDescent="0.25">
      <c r="B4017" s="24"/>
      <c r="E4017" s="24"/>
      <c r="G4017" s="24"/>
      <c r="H4017" s="24"/>
      <c r="J4017" s="24"/>
      <c r="K4017" s="24"/>
      <c r="M4017" s="24"/>
      <c r="N4017" s="24"/>
      <c r="P4017" s="24"/>
    </row>
    <row r="4018" spans="2:16" x14ac:dyDescent="0.25">
      <c r="B4018" s="24"/>
      <c r="E4018" s="24"/>
      <c r="G4018" s="24"/>
      <c r="H4018" s="24"/>
      <c r="J4018" s="24"/>
      <c r="K4018" s="24"/>
      <c r="M4018" s="24"/>
      <c r="N4018" s="24"/>
      <c r="P4018" s="24"/>
    </row>
    <row r="4019" spans="2:16" x14ac:dyDescent="0.25">
      <c r="B4019" s="24"/>
      <c r="E4019" s="24"/>
      <c r="G4019" s="24"/>
      <c r="H4019" s="24"/>
      <c r="J4019" s="24"/>
      <c r="K4019" s="24"/>
      <c r="M4019" s="24"/>
      <c r="N4019" s="24"/>
      <c r="P4019" s="24"/>
    </row>
    <row r="4020" spans="2:16" x14ac:dyDescent="0.25">
      <c r="B4020" s="24"/>
      <c r="E4020" s="24"/>
      <c r="G4020" s="24"/>
      <c r="H4020" s="24"/>
      <c r="J4020" s="24"/>
      <c r="K4020" s="24"/>
      <c r="M4020" s="24"/>
      <c r="N4020" s="24"/>
      <c r="P4020" s="24"/>
    </row>
    <row r="4021" spans="2:16" x14ac:dyDescent="0.25">
      <c r="B4021" s="24"/>
      <c r="E4021" s="24"/>
      <c r="G4021" s="24"/>
      <c r="H4021" s="24"/>
      <c r="J4021" s="24"/>
      <c r="K4021" s="24"/>
      <c r="M4021" s="24"/>
      <c r="N4021" s="24"/>
      <c r="P4021" s="24"/>
    </row>
    <row r="4022" spans="2:16" x14ac:dyDescent="0.25">
      <c r="B4022" s="24"/>
      <c r="E4022" s="24"/>
      <c r="G4022" s="24"/>
      <c r="H4022" s="24"/>
      <c r="J4022" s="24"/>
      <c r="K4022" s="24"/>
      <c r="M4022" s="24"/>
      <c r="N4022" s="24"/>
      <c r="P4022" s="24"/>
    </row>
    <row r="4023" spans="2:16" x14ac:dyDescent="0.25">
      <c r="B4023" s="24"/>
      <c r="E4023" s="24"/>
      <c r="G4023" s="24"/>
      <c r="H4023" s="24"/>
      <c r="J4023" s="24"/>
      <c r="K4023" s="24"/>
      <c r="M4023" s="24"/>
      <c r="N4023" s="24"/>
      <c r="P4023" s="24"/>
    </row>
    <row r="4024" spans="2:16" x14ac:dyDescent="0.25">
      <c r="B4024" s="24"/>
      <c r="E4024" s="24"/>
      <c r="G4024" s="24"/>
      <c r="H4024" s="24"/>
      <c r="J4024" s="24"/>
      <c r="K4024" s="24"/>
      <c r="M4024" s="24"/>
      <c r="N4024" s="24"/>
      <c r="P4024" s="24"/>
    </row>
    <row r="4025" spans="2:16" x14ac:dyDescent="0.25">
      <c r="B4025" s="24"/>
      <c r="E4025" s="24"/>
      <c r="G4025" s="24"/>
      <c r="H4025" s="24"/>
      <c r="J4025" s="24"/>
      <c r="K4025" s="24"/>
      <c r="M4025" s="24"/>
      <c r="N4025" s="24"/>
      <c r="P4025" s="24"/>
    </row>
    <row r="4026" spans="2:16" x14ac:dyDescent="0.25">
      <c r="B4026" s="24"/>
      <c r="E4026" s="24"/>
      <c r="G4026" s="24"/>
      <c r="H4026" s="24"/>
      <c r="J4026" s="24"/>
      <c r="K4026" s="24"/>
      <c r="M4026" s="24"/>
      <c r="N4026" s="24"/>
      <c r="P4026" s="24"/>
    </row>
    <row r="4027" spans="2:16" x14ac:dyDescent="0.25">
      <c r="B4027" s="24"/>
      <c r="E4027" s="24"/>
      <c r="G4027" s="24"/>
      <c r="H4027" s="24"/>
      <c r="J4027" s="24"/>
      <c r="K4027" s="24"/>
      <c r="M4027" s="24"/>
      <c r="N4027" s="24"/>
      <c r="P4027" s="24"/>
    </row>
    <row r="4028" spans="2:16" x14ac:dyDescent="0.25">
      <c r="B4028" s="24"/>
      <c r="E4028" s="24"/>
      <c r="G4028" s="24"/>
      <c r="H4028" s="24"/>
      <c r="J4028" s="24"/>
      <c r="K4028" s="24"/>
      <c r="M4028" s="24"/>
      <c r="N4028" s="24"/>
      <c r="P4028" s="24"/>
    </row>
    <row r="4029" spans="2:16" x14ac:dyDescent="0.25">
      <c r="B4029" s="24"/>
      <c r="E4029" s="24"/>
      <c r="G4029" s="24"/>
      <c r="H4029" s="24"/>
      <c r="J4029" s="24"/>
      <c r="K4029" s="24"/>
      <c r="M4029" s="24"/>
      <c r="N4029" s="24"/>
      <c r="P4029" s="24"/>
    </row>
    <row r="4030" spans="2:16" x14ac:dyDescent="0.25">
      <c r="B4030" s="24"/>
      <c r="E4030" s="24"/>
      <c r="G4030" s="24"/>
      <c r="H4030" s="24"/>
      <c r="J4030" s="24"/>
      <c r="K4030" s="24"/>
      <c r="M4030" s="24"/>
      <c r="N4030" s="24"/>
      <c r="P4030" s="24"/>
    </row>
    <row r="4031" spans="2:16" x14ac:dyDescent="0.25">
      <c r="B4031" s="24"/>
      <c r="E4031" s="24"/>
      <c r="G4031" s="24"/>
      <c r="H4031" s="24"/>
      <c r="J4031" s="24"/>
      <c r="K4031" s="24"/>
      <c r="M4031" s="24"/>
      <c r="N4031" s="24"/>
      <c r="P4031" s="24"/>
    </row>
    <row r="4032" spans="2:16" x14ac:dyDescent="0.25">
      <c r="B4032" s="24"/>
      <c r="E4032" s="24"/>
      <c r="G4032" s="24"/>
      <c r="H4032" s="24"/>
      <c r="J4032" s="24"/>
      <c r="K4032" s="24"/>
      <c r="M4032" s="24"/>
      <c r="N4032" s="24"/>
      <c r="P4032" s="24"/>
    </row>
    <row r="4033" spans="2:16" x14ac:dyDescent="0.25">
      <c r="B4033" s="24"/>
      <c r="E4033" s="24"/>
      <c r="G4033" s="24"/>
      <c r="H4033" s="24"/>
      <c r="J4033" s="24"/>
      <c r="K4033" s="24"/>
      <c r="M4033" s="24"/>
      <c r="N4033" s="24"/>
      <c r="P4033" s="24"/>
    </row>
    <row r="4034" spans="2:16" x14ac:dyDescent="0.25">
      <c r="B4034" s="24"/>
      <c r="E4034" s="24"/>
      <c r="G4034" s="24"/>
      <c r="H4034" s="24"/>
      <c r="J4034" s="24"/>
      <c r="K4034" s="24"/>
      <c r="M4034" s="24"/>
      <c r="N4034" s="24"/>
      <c r="P4034" s="24"/>
    </row>
    <row r="4035" spans="2:16" x14ac:dyDescent="0.25">
      <c r="B4035" s="24"/>
      <c r="E4035" s="24"/>
      <c r="G4035" s="24"/>
      <c r="H4035" s="24"/>
      <c r="J4035" s="24"/>
      <c r="K4035" s="24"/>
      <c r="M4035" s="24"/>
      <c r="N4035" s="24"/>
      <c r="P4035" s="24"/>
    </row>
    <row r="4036" spans="2:16" x14ac:dyDescent="0.25">
      <c r="B4036" s="24"/>
      <c r="E4036" s="24"/>
      <c r="G4036" s="24"/>
      <c r="H4036" s="24"/>
      <c r="J4036" s="24"/>
      <c r="K4036" s="24"/>
      <c r="M4036" s="24"/>
      <c r="N4036" s="24"/>
      <c r="P4036" s="24"/>
    </row>
    <row r="4037" spans="2:16" x14ac:dyDescent="0.25">
      <c r="B4037" s="24"/>
      <c r="E4037" s="24"/>
      <c r="G4037" s="24"/>
      <c r="H4037" s="24"/>
      <c r="J4037" s="24"/>
      <c r="K4037" s="24"/>
      <c r="M4037" s="24"/>
      <c r="N4037" s="24"/>
      <c r="P4037" s="24"/>
    </row>
    <row r="4038" spans="2:16" x14ac:dyDescent="0.25">
      <c r="B4038" s="24"/>
      <c r="E4038" s="24"/>
      <c r="G4038" s="24"/>
      <c r="H4038" s="24"/>
      <c r="J4038" s="24"/>
      <c r="K4038" s="24"/>
      <c r="M4038" s="24"/>
      <c r="N4038" s="24"/>
      <c r="P4038" s="24"/>
    </row>
    <row r="4039" spans="2:16" x14ac:dyDescent="0.25">
      <c r="B4039" s="24"/>
      <c r="E4039" s="24"/>
      <c r="G4039" s="24"/>
      <c r="H4039" s="24"/>
      <c r="J4039" s="24"/>
      <c r="K4039" s="24"/>
      <c r="M4039" s="24"/>
      <c r="N4039" s="24"/>
      <c r="P4039" s="24"/>
    </row>
    <row r="4040" spans="2:16" x14ac:dyDescent="0.25">
      <c r="B4040" s="24"/>
      <c r="E4040" s="24"/>
      <c r="G4040" s="24"/>
      <c r="H4040" s="24"/>
      <c r="J4040" s="24"/>
      <c r="K4040" s="24"/>
      <c r="M4040" s="24"/>
      <c r="N4040" s="24"/>
      <c r="P4040" s="24"/>
    </row>
    <row r="4041" spans="2:16" x14ac:dyDescent="0.25">
      <c r="B4041" s="24"/>
      <c r="E4041" s="24"/>
      <c r="G4041" s="24"/>
      <c r="H4041" s="24"/>
      <c r="J4041" s="24"/>
      <c r="K4041" s="24"/>
      <c r="M4041" s="24"/>
      <c r="N4041" s="24"/>
      <c r="P4041" s="24"/>
    </row>
    <row r="4042" spans="2:16" x14ac:dyDescent="0.25">
      <c r="B4042" s="24"/>
      <c r="E4042" s="24"/>
      <c r="G4042" s="24"/>
      <c r="H4042" s="24"/>
      <c r="J4042" s="24"/>
      <c r="K4042" s="24"/>
      <c r="M4042" s="24"/>
      <c r="N4042" s="24"/>
      <c r="P4042" s="24"/>
    </row>
    <row r="4043" spans="2:16" x14ac:dyDescent="0.25">
      <c r="B4043" s="24"/>
      <c r="E4043" s="24"/>
      <c r="G4043" s="24"/>
      <c r="H4043" s="24"/>
      <c r="J4043" s="24"/>
      <c r="K4043" s="24"/>
      <c r="M4043" s="24"/>
      <c r="N4043" s="24"/>
      <c r="P4043" s="24"/>
    </row>
    <row r="4044" spans="2:16" x14ac:dyDescent="0.25">
      <c r="B4044" s="24"/>
      <c r="E4044" s="24"/>
      <c r="G4044" s="24"/>
      <c r="H4044" s="24"/>
      <c r="J4044" s="24"/>
      <c r="K4044" s="24"/>
      <c r="M4044" s="24"/>
      <c r="N4044" s="24"/>
      <c r="P4044" s="24"/>
    </row>
    <row r="4045" spans="2:16" x14ac:dyDescent="0.25">
      <c r="B4045" s="24"/>
      <c r="E4045" s="24"/>
      <c r="G4045" s="24"/>
      <c r="H4045" s="24"/>
      <c r="J4045" s="24"/>
      <c r="K4045" s="24"/>
      <c r="M4045" s="24"/>
      <c r="N4045" s="24"/>
      <c r="P4045" s="24"/>
    </row>
    <row r="4046" spans="2:16" x14ac:dyDescent="0.25">
      <c r="B4046" s="24"/>
      <c r="E4046" s="24"/>
      <c r="G4046" s="24"/>
      <c r="H4046" s="24"/>
      <c r="J4046" s="24"/>
      <c r="K4046" s="24"/>
      <c r="M4046" s="24"/>
      <c r="N4046" s="24"/>
      <c r="P4046" s="24"/>
    </row>
    <row r="4047" spans="2:16" x14ac:dyDescent="0.25">
      <c r="B4047" s="24"/>
      <c r="E4047" s="24"/>
      <c r="G4047" s="24"/>
      <c r="H4047" s="24"/>
      <c r="J4047" s="24"/>
      <c r="K4047" s="24"/>
      <c r="M4047" s="24"/>
      <c r="N4047" s="24"/>
      <c r="P4047" s="24"/>
    </row>
    <row r="4048" spans="2:16" x14ac:dyDescent="0.25">
      <c r="B4048" s="24"/>
      <c r="E4048" s="24"/>
      <c r="G4048" s="24"/>
      <c r="H4048" s="24"/>
      <c r="J4048" s="24"/>
      <c r="K4048" s="24"/>
      <c r="M4048" s="24"/>
      <c r="N4048" s="24"/>
      <c r="P4048" s="24"/>
    </row>
    <row r="4049" spans="2:16" x14ac:dyDescent="0.25">
      <c r="B4049" s="24"/>
      <c r="E4049" s="24"/>
      <c r="G4049" s="24"/>
      <c r="H4049" s="24"/>
      <c r="J4049" s="24"/>
      <c r="K4049" s="24"/>
      <c r="M4049" s="24"/>
      <c r="N4049" s="24"/>
      <c r="P4049" s="24"/>
    </row>
    <row r="4050" spans="2:16" x14ac:dyDescent="0.25">
      <c r="B4050" s="24"/>
      <c r="E4050" s="24"/>
      <c r="G4050" s="24"/>
      <c r="H4050" s="24"/>
      <c r="J4050" s="24"/>
      <c r="K4050" s="24"/>
      <c r="M4050" s="24"/>
      <c r="N4050" s="24"/>
      <c r="P4050" s="24"/>
    </row>
    <row r="4051" spans="2:16" x14ac:dyDescent="0.25">
      <c r="B4051" s="24"/>
      <c r="E4051" s="24"/>
      <c r="G4051" s="24"/>
      <c r="H4051" s="24"/>
      <c r="J4051" s="24"/>
      <c r="K4051" s="24"/>
      <c r="M4051" s="24"/>
      <c r="N4051" s="24"/>
      <c r="P4051" s="24"/>
    </row>
    <row r="4052" spans="2:16" x14ac:dyDescent="0.25">
      <c r="B4052" s="24"/>
      <c r="E4052" s="24"/>
      <c r="G4052" s="24"/>
      <c r="H4052" s="24"/>
      <c r="J4052" s="24"/>
      <c r="K4052" s="24"/>
      <c r="M4052" s="24"/>
      <c r="N4052" s="24"/>
      <c r="P4052" s="24"/>
    </row>
    <row r="4053" spans="2:16" x14ac:dyDescent="0.25">
      <c r="B4053" s="24"/>
      <c r="E4053" s="24"/>
      <c r="G4053" s="24"/>
      <c r="H4053" s="24"/>
      <c r="J4053" s="24"/>
      <c r="K4053" s="24"/>
      <c r="M4053" s="24"/>
      <c r="N4053" s="24"/>
      <c r="P4053" s="24"/>
    </row>
    <row r="4054" spans="2:16" x14ac:dyDescent="0.25">
      <c r="B4054" s="24"/>
      <c r="E4054" s="24"/>
      <c r="G4054" s="24"/>
      <c r="H4054" s="24"/>
      <c r="J4054" s="24"/>
      <c r="K4054" s="24"/>
      <c r="M4054" s="24"/>
      <c r="N4054" s="24"/>
      <c r="P4054" s="24"/>
    </row>
    <row r="4055" spans="2:16" x14ac:dyDescent="0.25">
      <c r="B4055" s="24"/>
      <c r="E4055" s="24"/>
      <c r="G4055" s="24"/>
      <c r="H4055" s="24"/>
      <c r="J4055" s="24"/>
      <c r="K4055" s="24"/>
      <c r="M4055" s="24"/>
      <c r="N4055" s="24"/>
      <c r="P4055" s="24"/>
    </row>
    <row r="4056" spans="2:16" x14ac:dyDescent="0.25">
      <c r="B4056" s="24"/>
      <c r="E4056" s="24"/>
      <c r="G4056" s="24"/>
      <c r="H4056" s="24"/>
      <c r="J4056" s="24"/>
      <c r="K4056" s="24"/>
      <c r="M4056" s="24"/>
      <c r="N4056" s="24"/>
      <c r="P4056" s="24"/>
    </row>
    <row r="4057" spans="2:16" x14ac:dyDescent="0.25">
      <c r="B4057" s="24"/>
      <c r="E4057" s="24"/>
      <c r="G4057" s="24"/>
      <c r="H4057" s="24"/>
      <c r="J4057" s="24"/>
      <c r="K4057" s="24"/>
      <c r="M4057" s="24"/>
      <c r="N4057" s="24"/>
      <c r="P4057" s="24"/>
    </row>
    <row r="4058" spans="2:16" x14ac:dyDescent="0.25">
      <c r="B4058" s="24"/>
      <c r="E4058" s="24"/>
      <c r="G4058" s="24"/>
      <c r="H4058" s="24"/>
      <c r="J4058" s="24"/>
      <c r="K4058" s="24"/>
      <c r="M4058" s="24"/>
      <c r="N4058" s="24"/>
      <c r="P4058" s="24"/>
    </row>
    <row r="4059" spans="2:16" x14ac:dyDescent="0.25">
      <c r="B4059" s="24"/>
      <c r="E4059" s="24"/>
      <c r="G4059" s="24"/>
      <c r="H4059" s="24"/>
      <c r="J4059" s="24"/>
      <c r="K4059" s="24"/>
      <c r="M4059" s="24"/>
      <c r="N4059" s="24"/>
      <c r="P4059" s="24"/>
    </row>
    <row r="4060" spans="2:16" x14ac:dyDescent="0.25">
      <c r="B4060" s="24"/>
      <c r="E4060" s="24"/>
      <c r="G4060" s="24"/>
      <c r="H4060" s="24"/>
      <c r="J4060" s="24"/>
      <c r="K4060" s="24"/>
      <c r="M4060" s="24"/>
      <c r="N4060" s="24"/>
      <c r="P4060" s="24"/>
    </row>
    <row r="4061" spans="2:16" x14ac:dyDescent="0.25">
      <c r="B4061" s="24"/>
      <c r="E4061" s="24"/>
      <c r="G4061" s="24"/>
      <c r="H4061" s="24"/>
      <c r="J4061" s="24"/>
      <c r="K4061" s="24"/>
      <c r="M4061" s="24"/>
      <c r="N4061" s="24"/>
      <c r="P4061" s="24"/>
    </row>
    <row r="4062" spans="2:16" x14ac:dyDescent="0.25">
      <c r="B4062" s="24"/>
      <c r="E4062" s="24"/>
      <c r="G4062" s="24"/>
      <c r="H4062" s="24"/>
      <c r="J4062" s="24"/>
      <c r="K4062" s="24"/>
      <c r="M4062" s="24"/>
      <c r="N4062" s="24"/>
      <c r="P4062" s="24"/>
    </row>
    <row r="4063" spans="2:16" x14ac:dyDescent="0.25">
      <c r="B4063" s="24"/>
      <c r="E4063" s="24"/>
      <c r="G4063" s="24"/>
      <c r="H4063" s="24"/>
      <c r="J4063" s="24"/>
      <c r="K4063" s="24"/>
      <c r="M4063" s="24"/>
      <c r="N4063" s="24"/>
      <c r="P4063" s="24"/>
    </row>
    <row r="4064" spans="2:16" x14ac:dyDescent="0.25">
      <c r="B4064" s="24"/>
      <c r="E4064" s="24"/>
      <c r="G4064" s="24"/>
      <c r="H4064" s="24"/>
      <c r="J4064" s="24"/>
      <c r="K4064" s="24"/>
      <c r="M4064" s="24"/>
      <c r="N4064" s="24"/>
      <c r="P4064" s="24"/>
    </row>
    <row r="4065" spans="2:16" x14ac:dyDescent="0.25">
      <c r="B4065" s="24"/>
      <c r="E4065" s="24"/>
      <c r="G4065" s="24"/>
      <c r="H4065" s="24"/>
      <c r="J4065" s="24"/>
      <c r="K4065" s="24"/>
      <c r="M4065" s="24"/>
      <c r="N4065" s="24"/>
      <c r="P4065" s="24"/>
    </row>
    <row r="4066" spans="2:16" x14ac:dyDescent="0.25">
      <c r="B4066" s="24"/>
      <c r="E4066" s="24"/>
      <c r="G4066" s="24"/>
      <c r="H4066" s="24"/>
      <c r="J4066" s="24"/>
      <c r="K4066" s="24"/>
      <c r="M4066" s="24"/>
      <c r="N4066" s="24"/>
      <c r="P4066" s="24"/>
    </row>
    <row r="4067" spans="2:16" x14ac:dyDescent="0.25">
      <c r="B4067" s="24"/>
      <c r="E4067" s="24"/>
      <c r="G4067" s="24"/>
      <c r="H4067" s="24"/>
      <c r="J4067" s="24"/>
      <c r="K4067" s="24"/>
      <c r="M4067" s="24"/>
      <c r="N4067" s="24"/>
      <c r="P4067" s="24"/>
    </row>
    <row r="4068" spans="2:16" x14ac:dyDescent="0.25">
      <c r="B4068" s="24"/>
      <c r="E4068" s="24"/>
      <c r="G4068" s="24"/>
      <c r="H4068" s="24"/>
      <c r="J4068" s="24"/>
      <c r="K4068" s="24"/>
      <c r="M4068" s="24"/>
      <c r="N4068" s="24"/>
      <c r="P4068" s="24"/>
    </row>
    <row r="4069" spans="2:16" x14ac:dyDescent="0.25">
      <c r="B4069" s="24"/>
      <c r="E4069" s="24"/>
      <c r="G4069" s="24"/>
      <c r="H4069" s="24"/>
      <c r="J4069" s="24"/>
      <c r="K4069" s="24"/>
      <c r="M4069" s="24"/>
      <c r="N4069" s="24"/>
      <c r="P4069" s="24"/>
    </row>
    <row r="4070" spans="2:16" x14ac:dyDescent="0.25">
      <c r="B4070" s="24"/>
      <c r="E4070" s="24"/>
      <c r="G4070" s="24"/>
      <c r="H4070" s="24"/>
      <c r="J4070" s="24"/>
      <c r="K4070" s="24"/>
      <c r="M4070" s="24"/>
      <c r="N4070" s="24"/>
      <c r="P4070" s="24"/>
    </row>
    <row r="4071" spans="2:16" x14ac:dyDescent="0.25">
      <c r="B4071" s="24"/>
      <c r="E4071" s="24"/>
      <c r="G4071" s="24"/>
      <c r="H4071" s="24"/>
      <c r="J4071" s="24"/>
      <c r="K4071" s="24"/>
      <c r="M4071" s="24"/>
      <c r="N4071" s="24"/>
      <c r="P4071" s="24"/>
    </row>
    <row r="4072" spans="2:16" x14ac:dyDescent="0.25">
      <c r="B4072" s="24"/>
      <c r="E4072" s="24"/>
      <c r="G4072" s="24"/>
      <c r="H4072" s="24"/>
      <c r="J4072" s="24"/>
      <c r="K4072" s="24"/>
      <c r="M4072" s="24"/>
      <c r="N4072" s="24"/>
      <c r="P4072" s="24"/>
    </row>
    <row r="4073" spans="2:16" x14ac:dyDescent="0.25">
      <c r="B4073" s="24"/>
      <c r="E4073" s="24"/>
      <c r="G4073" s="24"/>
      <c r="H4073" s="24"/>
      <c r="J4073" s="24"/>
      <c r="K4073" s="24"/>
      <c r="M4073" s="24"/>
      <c r="N4073" s="24"/>
      <c r="P4073" s="24"/>
    </row>
    <row r="4074" spans="2:16" x14ac:dyDescent="0.25">
      <c r="B4074" s="24"/>
      <c r="E4074" s="24"/>
      <c r="G4074" s="24"/>
      <c r="H4074" s="24"/>
      <c r="J4074" s="24"/>
      <c r="K4074" s="24"/>
      <c r="M4074" s="24"/>
      <c r="N4074" s="24"/>
      <c r="P4074" s="24"/>
    </row>
    <row r="4075" spans="2:16" x14ac:dyDescent="0.25">
      <c r="B4075" s="24"/>
      <c r="E4075" s="24"/>
      <c r="G4075" s="24"/>
      <c r="H4075" s="24"/>
      <c r="J4075" s="24"/>
      <c r="K4075" s="24"/>
      <c r="M4075" s="24"/>
      <c r="N4075" s="24"/>
      <c r="P4075" s="24"/>
    </row>
    <row r="4076" spans="2:16" x14ac:dyDescent="0.25">
      <c r="B4076" s="24"/>
      <c r="E4076" s="24"/>
      <c r="G4076" s="24"/>
      <c r="H4076" s="24"/>
      <c r="J4076" s="24"/>
      <c r="K4076" s="24"/>
      <c r="M4076" s="24"/>
      <c r="N4076" s="24"/>
      <c r="P4076" s="24"/>
    </row>
    <row r="4077" spans="2:16" x14ac:dyDescent="0.25">
      <c r="B4077" s="24"/>
      <c r="E4077" s="24"/>
      <c r="G4077" s="24"/>
      <c r="H4077" s="24"/>
      <c r="J4077" s="24"/>
      <c r="K4077" s="24"/>
      <c r="M4077" s="24"/>
      <c r="N4077" s="24"/>
      <c r="P4077" s="24"/>
    </row>
    <row r="4078" spans="2:16" x14ac:dyDescent="0.25">
      <c r="B4078" s="24"/>
      <c r="E4078" s="24"/>
      <c r="G4078" s="24"/>
      <c r="H4078" s="24"/>
      <c r="J4078" s="24"/>
      <c r="K4078" s="24"/>
      <c r="M4078" s="24"/>
      <c r="N4078" s="24"/>
      <c r="P4078" s="24"/>
    </row>
    <row r="4079" spans="2:16" x14ac:dyDescent="0.25">
      <c r="B4079" s="24"/>
      <c r="E4079" s="24"/>
      <c r="G4079" s="24"/>
      <c r="H4079" s="24"/>
      <c r="J4079" s="24"/>
      <c r="K4079" s="24"/>
      <c r="M4079" s="24"/>
      <c r="N4079" s="24"/>
      <c r="P4079" s="24"/>
    </row>
    <row r="4080" spans="2:16" x14ac:dyDescent="0.25">
      <c r="B4080" s="24"/>
      <c r="E4080" s="24"/>
      <c r="G4080" s="24"/>
      <c r="H4080" s="24"/>
      <c r="J4080" s="24"/>
      <c r="K4080" s="24"/>
      <c r="M4080" s="24"/>
      <c r="N4080" s="24"/>
      <c r="P4080" s="24"/>
    </row>
    <row r="4081" spans="2:16" x14ac:dyDescent="0.25">
      <c r="B4081" s="24"/>
      <c r="E4081" s="24"/>
      <c r="G4081" s="24"/>
      <c r="H4081" s="24"/>
      <c r="J4081" s="24"/>
      <c r="K4081" s="24"/>
      <c r="M4081" s="24"/>
      <c r="N4081" s="24"/>
      <c r="P4081" s="24"/>
    </row>
    <row r="4082" spans="2:16" x14ac:dyDescent="0.25">
      <c r="B4082" s="24"/>
      <c r="E4082" s="24"/>
      <c r="G4082" s="24"/>
      <c r="H4082" s="24"/>
      <c r="J4082" s="24"/>
      <c r="K4082" s="24"/>
      <c r="M4082" s="24"/>
      <c r="N4082" s="24"/>
      <c r="P4082" s="24"/>
    </row>
    <row r="4083" spans="2:16" x14ac:dyDescent="0.25">
      <c r="B4083" s="24"/>
      <c r="E4083" s="24"/>
      <c r="G4083" s="24"/>
      <c r="H4083" s="24"/>
      <c r="J4083" s="24"/>
      <c r="K4083" s="24"/>
      <c r="M4083" s="24"/>
      <c r="N4083" s="24"/>
      <c r="P4083" s="24"/>
    </row>
    <row r="4084" spans="2:16" x14ac:dyDescent="0.25">
      <c r="B4084" s="24"/>
      <c r="E4084" s="24"/>
      <c r="G4084" s="24"/>
      <c r="H4084" s="24"/>
      <c r="J4084" s="24"/>
      <c r="K4084" s="24"/>
      <c r="M4084" s="24"/>
      <c r="N4084" s="24"/>
      <c r="P4084" s="24"/>
    </row>
    <row r="4085" spans="2:16" x14ac:dyDescent="0.25">
      <c r="B4085" s="24"/>
      <c r="E4085" s="24"/>
      <c r="G4085" s="24"/>
      <c r="H4085" s="24"/>
      <c r="J4085" s="24"/>
      <c r="K4085" s="24"/>
      <c r="M4085" s="24"/>
      <c r="N4085" s="24"/>
      <c r="P4085" s="24"/>
    </row>
    <row r="4086" spans="2:16" x14ac:dyDescent="0.25">
      <c r="B4086" s="24"/>
      <c r="E4086" s="24"/>
      <c r="G4086" s="24"/>
      <c r="H4086" s="24"/>
      <c r="J4086" s="24"/>
      <c r="K4086" s="24"/>
      <c r="M4086" s="24"/>
      <c r="N4086" s="24"/>
      <c r="P4086" s="24"/>
    </row>
    <row r="4087" spans="2:16" x14ac:dyDescent="0.25">
      <c r="B4087" s="24"/>
      <c r="E4087" s="24"/>
      <c r="G4087" s="24"/>
      <c r="H4087" s="24"/>
      <c r="J4087" s="24"/>
      <c r="K4087" s="24"/>
      <c r="M4087" s="24"/>
      <c r="N4087" s="24"/>
      <c r="P4087" s="24"/>
    </row>
    <row r="4088" spans="2:16" x14ac:dyDescent="0.25">
      <c r="B4088" s="24"/>
      <c r="E4088" s="24"/>
      <c r="G4088" s="24"/>
      <c r="H4088" s="24"/>
      <c r="J4088" s="24"/>
      <c r="K4088" s="24"/>
      <c r="M4088" s="24"/>
      <c r="N4088" s="24"/>
      <c r="P4088" s="24"/>
    </row>
    <row r="4089" spans="2:16" x14ac:dyDescent="0.25">
      <c r="B4089" s="24"/>
      <c r="E4089" s="24"/>
      <c r="G4089" s="24"/>
      <c r="H4089" s="24"/>
      <c r="J4089" s="24"/>
      <c r="K4089" s="24"/>
      <c r="M4089" s="24"/>
      <c r="N4089" s="24"/>
      <c r="P4089" s="24"/>
    </row>
    <row r="4090" spans="2:16" x14ac:dyDescent="0.25">
      <c r="B4090" s="24"/>
      <c r="E4090" s="24"/>
      <c r="G4090" s="24"/>
      <c r="H4090" s="24"/>
      <c r="J4090" s="24"/>
      <c r="K4090" s="24"/>
      <c r="M4090" s="24"/>
      <c r="N4090" s="24"/>
      <c r="P4090" s="24"/>
    </row>
    <row r="4091" spans="2:16" x14ac:dyDescent="0.25">
      <c r="B4091" s="24"/>
      <c r="E4091" s="24"/>
      <c r="G4091" s="24"/>
      <c r="H4091" s="24"/>
      <c r="J4091" s="24"/>
      <c r="K4091" s="24"/>
      <c r="M4091" s="24"/>
      <c r="N4091" s="24"/>
      <c r="P4091" s="24"/>
    </row>
    <row r="4092" spans="2:16" x14ac:dyDescent="0.25">
      <c r="B4092" s="24"/>
      <c r="E4092" s="24"/>
      <c r="G4092" s="24"/>
      <c r="H4092" s="24"/>
      <c r="J4092" s="24"/>
      <c r="K4092" s="24"/>
      <c r="M4092" s="24"/>
      <c r="N4092" s="24"/>
      <c r="P4092" s="24"/>
    </row>
    <row r="4093" spans="2:16" x14ac:dyDescent="0.25">
      <c r="B4093" s="24"/>
      <c r="E4093" s="24"/>
      <c r="G4093" s="24"/>
      <c r="H4093" s="24"/>
      <c r="J4093" s="24"/>
      <c r="K4093" s="24"/>
      <c r="M4093" s="24"/>
      <c r="N4093" s="24"/>
      <c r="P4093" s="24"/>
    </row>
    <row r="4094" spans="2:16" x14ac:dyDescent="0.25">
      <c r="B4094" s="24"/>
      <c r="E4094" s="24"/>
      <c r="G4094" s="24"/>
      <c r="H4094" s="24"/>
      <c r="J4094" s="24"/>
      <c r="K4094" s="24"/>
      <c r="M4094" s="24"/>
      <c r="N4094" s="24"/>
      <c r="P4094" s="24"/>
    </row>
    <row r="4095" spans="2:16" x14ac:dyDescent="0.25">
      <c r="B4095" s="24"/>
      <c r="E4095" s="24"/>
      <c r="G4095" s="24"/>
      <c r="H4095" s="24"/>
      <c r="J4095" s="24"/>
      <c r="K4095" s="24"/>
      <c r="M4095" s="24"/>
      <c r="N4095" s="24"/>
      <c r="P4095" s="24"/>
    </row>
    <row r="4096" spans="2:16" x14ac:dyDescent="0.25">
      <c r="B4096" s="24"/>
      <c r="E4096" s="24"/>
      <c r="G4096" s="24"/>
      <c r="H4096" s="24"/>
      <c r="J4096" s="24"/>
      <c r="K4096" s="24"/>
      <c r="M4096" s="24"/>
      <c r="N4096" s="24"/>
      <c r="P4096" s="24"/>
    </row>
    <row r="4097" spans="2:16" x14ac:dyDescent="0.25">
      <c r="B4097" s="24"/>
      <c r="E4097" s="24"/>
      <c r="G4097" s="24"/>
      <c r="H4097" s="24"/>
      <c r="J4097" s="24"/>
      <c r="K4097" s="24"/>
      <c r="M4097" s="24"/>
      <c r="N4097" s="24"/>
      <c r="P4097" s="24"/>
    </row>
    <row r="4098" spans="2:16" x14ac:dyDescent="0.25">
      <c r="B4098" s="24"/>
      <c r="E4098" s="24"/>
      <c r="G4098" s="24"/>
      <c r="H4098" s="24"/>
      <c r="J4098" s="24"/>
      <c r="K4098" s="24"/>
      <c r="M4098" s="24"/>
      <c r="N4098" s="24"/>
      <c r="P4098" s="24"/>
    </row>
    <row r="4099" spans="2:16" x14ac:dyDescent="0.25">
      <c r="B4099" s="24"/>
      <c r="E4099" s="24"/>
      <c r="G4099" s="24"/>
      <c r="H4099" s="24"/>
      <c r="J4099" s="24"/>
      <c r="K4099" s="24"/>
      <c r="M4099" s="24"/>
      <c r="N4099" s="24"/>
      <c r="P4099" s="24"/>
    </row>
    <row r="4100" spans="2:16" x14ac:dyDescent="0.25">
      <c r="B4100" s="24"/>
      <c r="E4100" s="24"/>
      <c r="G4100" s="24"/>
      <c r="H4100" s="24"/>
      <c r="J4100" s="24"/>
      <c r="K4100" s="24"/>
      <c r="M4100" s="24"/>
      <c r="N4100" s="24"/>
      <c r="P4100" s="24"/>
    </row>
    <row r="4101" spans="2:16" x14ac:dyDescent="0.25">
      <c r="B4101" s="24"/>
      <c r="E4101" s="24"/>
      <c r="G4101" s="24"/>
      <c r="H4101" s="24"/>
      <c r="J4101" s="24"/>
      <c r="K4101" s="24"/>
      <c r="M4101" s="24"/>
      <c r="N4101" s="24"/>
      <c r="P4101" s="24"/>
    </row>
    <row r="4102" spans="2:16" x14ac:dyDescent="0.25">
      <c r="B4102" s="24"/>
      <c r="E4102" s="24"/>
      <c r="G4102" s="24"/>
      <c r="H4102" s="24"/>
      <c r="J4102" s="24"/>
      <c r="K4102" s="24"/>
      <c r="M4102" s="24"/>
      <c r="N4102" s="24"/>
      <c r="P4102" s="24"/>
    </row>
    <row r="4103" spans="2:16" x14ac:dyDescent="0.25">
      <c r="B4103" s="24"/>
      <c r="E4103" s="24"/>
      <c r="G4103" s="24"/>
      <c r="H4103" s="24"/>
      <c r="J4103" s="24"/>
      <c r="K4103" s="24"/>
      <c r="M4103" s="24"/>
      <c r="N4103" s="24"/>
      <c r="P4103" s="24"/>
    </row>
    <row r="4104" spans="2:16" x14ac:dyDescent="0.25">
      <c r="B4104" s="24"/>
      <c r="E4104" s="24"/>
      <c r="G4104" s="24"/>
      <c r="H4104" s="24"/>
      <c r="J4104" s="24"/>
      <c r="K4104" s="24"/>
      <c r="M4104" s="24"/>
      <c r="N4104" s="24"/>
      <c r="P4104" s="24"/>
    </row>
    <row r="4105" spans="2:16" x14ac:dyDescent="0.25">
      <c r="B4105" s="24"/>
      <c r="E4105" s="24"/>
      <c r="G4105" s="24"/>
      <c r="H4105" s="24"/>
      <c r="J4105" s="24"/>
      <c r="K4105" s="24"/>
      <c r="M4105" s="24"/>
      <c r="N4105" s="24"/>
      <c r="P4105" s="24"/>
    </row>
    <row r="4106" spans="2:16" x14ac:dyDescent="0.25">
      <c r="B4106" s="24"/>
      <c r="E4106" s="24"/>
      <c r="G4106" s="24"/>
      <c r="H4106" s="24"/>
      <c r="J4106" s="24"/>
      <c r="K4106" s="24"/>
      <c r="M4106" s="24"/>
      <c r="N4106" s="24"/>
      <c r="P4106" s="24"/>
    </row>
    <row r="4107" spans="2:16" x14ac:dyDescent="0.25">
      <c r="B4107" s="24"/>
      <c r="E4107" s="24"/>
      <c r="G4107" s="24"/>
      <c r="H4107" s="24"/>
      <c r="J4107" s="24"/>
      <c r="K4107" s="24"/>
      <c r="M4107" s="24"/>
      <c r="N4107" s="24"/>
      <c r="P4107" s="24"/>
    </row>
    <row r="4108" spans="2:16" x14ac:dyDescent="0.25">
      <c r="B4108" s="24"/>
      <c r="E4108" s="24"/>
      <c r="G4108" s="24"/>
      <c r="H4108" s="24"/>
      <c r="J4108" s="24"/>
      <c r="K4108" s="24"/>
      <c r="M4108" s="24"/>
      <c r="N4108" s="24"/>
      <c r="P4108" s="24"/>
    </row>
    <row r="4109" spans="2:16" x14ac:dyDescent="0.25">
      <c r="B4109" s="24"/>
      <c r="E4109" s="24"/>
      <c r="G4109" s="24"/>
      <c r="H4109" s="24"/>
      <c r="J4109" s="24"/>
      <c r="K4109" s="24"/>
      <c r="M4109" s="24"/>
      <c r="N4109" s="24"/>
      <c r="P4109" s="24"/>
    </row>
    <row r="4110" spans="2:16" x14ac:dyDescent="0.25">
      <c r="B4110" s="24"/>
      <c r="E4110" s="24"/>
      <c r="G4110" s="24"/>
      <c r="H4110" s="24"/>
      <c r="J4110" s="24"/>
      <c r="K4110" s="24"/>
      <c r="M4110" s="24"/>
      <c r="N4110" s="24"/>
      <c r="P4110" s="24"/>
    </row>
    <row r="4111" spans="2:16" x14ac:dyDescent="0.25">
      <c r="B4111" s="24"/>
      <c r="E4111" s="24"/>
      <c r="G4111" s="24"/>
      <c r="H4111" s="24"/>
      <c r="J4111" s="24"/>
      <c r="K4111" s="24"/>
      <c r="M4111" s="24"/>
      <c r="N4111" s="24"/>
      <c r="P4111" s="24"/>
    </row>
    <row r="4112" spans="2:16" x14ac:dyDescent="0.25">
      <c r="B4112" s="24"/>
      <c r="E4112" s="24"/>
      <c r="G4112" s="24"/>
      <c r="H4112" s="24"/>
      <c r="J4112" s="24"/>
      <c r="K4112" s="24"/>
      <c r="M4112" s="24"/>
      <c r="N4112" s="24"/>
      <c r="P4112" s="24"/>
    </row>
    <row r="4113" spans="2:16" x14ac:dyDescent="0.25">
      <c r="B4113" s="24"/>
      <c r="E4113" s="24"/>
      <c r="G4113" s="24"/>
      <c r="H4113" s="24"/>
      <c r="J4113" s="24"/>
      <c r="K4113" s="24"/>
      <c r="M4113" s="24"/>
      <c r="N4113" s="24"/>
      <c r="P4113" s="24"/>
    </row>
    <row r="4114" spans="2:16" x14ac:dyDescent="0.25">
      <c r="B4114" s="24"/>
      <c r="E4114" s="24"/>
      <c r="G4114" s="24"/>
      <c r="H4114" s="24"/>
      <c r="J4114" s="24"/>
      <c r="K4114" s="24"/>
      <c r="M4114" s="24"/>
      <c r="N4114" s="24"/>
      <c r="P4114" s="24"/>
    </row>
    <row r="4115" spans="2:16" x14ac:dyDescent="0.25">
      <c r="B4115" s="24"/>
      <c r="E4115" s="24"/>
      <c r="G4115" s="24"/>
      <c r="H4115" s="24"/>
      <c r="J4115" s="24"/>
      <c r="K4115" s="24"/>
      <c r="M4115" s="24"/>
      <c r="N4115" s="24"/>
      <c r="P4115" s="24"/>
    </row>
    <row r="4116" spans="2:16" x14ac:dyDescent="0.25">
      <c r="B4116" s="24"/>
      <c r="E4116" s="24"/>
      <c r="G4116" s="24"/>
      <c r="H4116" s="24"/>
      <c r="J4116" s="24"/>
      <c r="K4116" s="24"/>
      <c r="M4116" s="24"/>
      <c r="N4116" s="24"/>
      <c r="P4116" s="24"/>
    </row>
    <row r="4117" spans="2:16" x14ac:dyDescent="0.25">
      <c r="B4117" s="24"/>
      <c r="E4117" s="24"/>
      <c r="G4117" s="24"/>
      <c r="H4117" s="24"/>
      <c r="J4117" s="24"/>
      <c r="K4117" s="24"/>
      <c r="M4117" s="24"/>
      <c r="N4117" s="24"/>
      <c r="P4117" s="24"/>
    </row>
    <row r="4118" spans="2:16" x14ac:dyDescent="0.25">
      <c r="B4118" s="24"/>
      <c r="E4118" s="24"/>
      <c r="G4118" s="24"/>
      <c r="H4118" s="24"/>
      <c r="J4118" s="24"/>
      <c r="K4118" s="24"/>
      <c r="M4118" s="24"/>
      <c r="N4118" s="24"/>
      <c r="P4118" s="24"/>
    </row>
    <row r="4119" spans="2:16" x14ac:dyDescent="0.25">
      <c r="B4119" s="24"/>
      <c r="E4119" s="24"/>
      <c r="G4119" s="24"/>
      <c r="H4119" s="24"/>
      <c r="J4119" s="24"/>
      <c r="K4119" s="24"/>
      <c r="M4119" s="24"/>
      <c r="N4119" s="24"/>
      <c r="P4119" s="24"/>
    </row>
    <row r="4120" spans="2:16" x14ac:dyDescent="0.25">
      <c r="B4120" s="24"/>
      <c r="E4120" s="24"/>
      <c r="G4120" s="24"/>
      <c r="H4120" s="24"/>
      <c r="J4120" s="24"/>
      <c r="K4120" s="24"/>
      <c r="M4120" s="24"/>
      <c r="N4120" s="24"/>
      <c r="P4120" s="24"/>
    </row>
    <row r="4121" spans="2:16" x14ac:dyDescent="0.25">
      <c r="B4121" s="24"/>
      <c r="E4121" s="24"/>
      <c r="G4121" s="24"/>
      <c r="H4121" s="24"/>
      <c r="J4121" s="24"/>
      <c r="K4121" s="24"/>
      <c r="M4121" s="24"/>
      <c r="N4121" s="24"/>
      <c r="P4121" s="24"/>
    </row>
    <row r="4122" spans="2:16" x14ac:dyDescent="0.25">
      <c r="B4122" s="24"/>
      <c r="E4122" s="24"/>
      <c r="G4122" s="24"/>
      <c r="H4122" s="24"/>
      <c r="J4122" s="24"/>
      <c r="K4122" s="24"/>
      <c r="M4122" s="24"/>
      <c r="N4122" s="24"/>
      <c r="P4122" s="24"/>
    </row>
    <row r="4123" spans="2:16" x14ac:dyDescent="0.25">
      <c r="B4123" s="24"/>
      <c r="E4123" s="24"/>
      <c r="G4123" s="24"/>
      <c r="H4123" s="24"/>
      <c r="J4123" s="24"/>
      <c r="K4123" s="24"/>
      <c r="M4123" s="24"/>
      <c r="N4123" s="24"/>
      <c r="P4123" s="24"/>
    </row>
    <row r="4124" spans="2:16" x14ac:dyDescent="0.25">
      <c r="B4124" s="24"/>
      <c r="E4124" s="24"/>
      <c r="G4124" s="24"/>
      <c r="H4124" s="24"/>
      <c r="J4124" s="24"/>
      <c r="K4124" s="24"/>
      <c r="M4124" s="24"/>
      <c r="N4124" s="24"/>
      <c r="P4124" s="24"/>
    </row>
    <row r="4125" spans="2:16" x14ac:dyDescent="0.25">
      <c r="B4125" s="24"/>
      <c r="E4125" s="24"/>
      <c r="G4125" s="24"/>
      <c r="H4125" s="24"/>
      <c r="J4125" s="24"/>
      <c r="K4125" s="24"/>
      <c r="M4125" s="24"/>
      <c r="N4125" s="24"/>
      <c r="P4125" s="24"/>
    </row>
    <row r="4126" spans="2:16" x14ac:dyDescent="0.25">
      <c r="B4126" s="24"/>
      <c r="E4126" s="24"/>
      <c r="G4126" s="24"/>
      <c r="H4126" s="24"/>
      <c r="J4126" s="24"/>
      <c r="K4126" s="24"/>
      <c r="M4126" s="24"/>
      <c r="N4126" s="24"/>
      <c r="P4126" s="24"/>
    </row>
    <row r="4127" spans="2:16" x14ac:dyDescent="0.25">
      <c r="B4127" s="24"/>
      <c r="E4127" s="24"/>
      <c r="G4127" s="24"/>
      <c r="H4127" s="24"/>
      <c r="J4127" s="24"/>
      <c r="K4127" s="24"/>
      <c r="M4127" s="24"/>
      <c r="N4127" s="24"/>
      <c r="P4127" s="24"/>
    </row>
    <row r="4128" spans="2:16" x14ac:dyDescent="0.25">
      <c r="B4128" s="24"/>
      <c r="E4128" s="24"/>
      <c r="G4128" s="24"/>
      <c r="H4128" s="24"/>
      <c r="J4128" s="24"/>
      <c r="K4128" s="24"/>
      <c r="M4128" s="24"/>
      <c r="N4128" s="24"/>
      <c r="P4128" s="24"/>
    </row>
    <row r="4129" spans="2:16" x14ac:dyDescent="0.25">
      <c r="B4129" s="24"/>
      <c r="E4129" s="24"/>
      <c r="G4129" s="24"/>
      <c r="H4129" s="24"/>
      <c r="J4129" s="24"/>
      <c r="K4129" s="24"/>
      <c r="M4129" s="24"/>
      <c r="N4129" s="24"/>
      <c r="P4129" s="24"/>
    </row>
    <row r="4130" spans="2:16" x14ac:dyDescent="0.25">
      <c r="B4130" s="24"/>
      <c r="E4130" s="24"/>
      <c r="G4130" s="24"/>
      <c r="H4130" s="24"/>
      <c r="J4130" s="24"/>
      <c r="K4130" s="24"/>
      <c r="M4130" s="24"/>
      <c r="N4130" s="24"/>
      <c r="P4130" s="24"/>
    </row>
    <row r="4131" spans="2:16" x14ac:dyDescent="0.25">
      <c r="B4131" s="24"/>
      <c r="E4131" s="24"/>
      <c r="G4131" s="24"/>
      <c r="H4131" s="24"/>
      <c r="J4131" s="24"/>
      <c r="K4131" s="24"/>
      <c r="M4131" s="24"/>
      <c r="N4131" s="24"/>
      <c r="P4131" s="24"/>
    </row>
    <row r="4132" spans="2:16" x14ac:dyDescent="0.25">
      <c r="B4132" s="24"/>
      <c r="E4132" s="24"/>
      <c r="G4132" s="24"/>
      <c r="H4132" s="24"/>
      <c r="J4132" s="24"/>
      <c r="K4132" s="24"/>
      <c r="M4132" s="24"/>
      <c r="N4132" s="24"/>
      <c r="P4132" s="24"/>
    </row>
    <row r="4133" spans="2:16" x14ac:dyDescent="0.25">
      <c r="B4133" s="24"/>
      <c r="E4133" s="24"/>
      <c r="G4133" s="24"/>
      <c r="H4133" s="24"/>
      <c r="J4133" s="24"/>
      <c r="K4133" s="24"/>
      <c r="M4133" s="24"/>
      <c r="N4133" s="24"/>
      <c r="P4133" s="24"/>
    </row>
    <row r="4134" spans="2:16" x14ac:dyDescent="0.25">
      <c r="B4134" s="24"/>
      <c r="E4134" s="24"/>
      <c r="G4134" s="24"/>
      <c r="H4134" s="24"/>
      <c r="J4134" s="24"/>
      <c r="K4134" s="24"/>
      <c r="M4134" s="24"/>
      <c r="N4134" s="24"/>
      <c r="P4134" s="24"/>
    </row>
    <row r="4135" spans="2:16" x14ac:dyDescent="0.25">
      <c r="B4135" s="24"/>
      <c r="E4135" s="24"/>
      <c r="G4135" s="24"/>
      <c r="H4135" s="24"/>
      <c r="J4135" s="24"/>
      <c r="K4135" s="24"/>
      <c r="M4135" s="24"/>
      <c r="N4135" s="24"/>
      <c r="P4135" s="24"/>
    </row>
    <row r="4136" spans="2:16" x14ac:dyDescent="0.25">
      <c r="B4136" s="24"/>
      <c r="E4136" s="24"/>
      <c r="G4136" s="24"/>
      <c r="H4136" s="24"/>
      <c r="J4136" s="24"/>
      <c r="K4136" s="24"/>
      <c r="M4136" s="24"/>
      <c r="N4136" s="24"/>
      <c r="P4136" s="24"/>
    </row>
    <row r="4137" spans="2:16" x14ac:dyDescent="0.25">
      <c r="B4137" s="24"/>
      <c r="E4137" s="24"/>
      <c r="G4137" s="24"/>
      <c r="H4137" s="24"/>
      <c r="J4137" s="24"/>
      <c r="K4137" s="24"/>
      <c r="M4137" s="24"/>
      <c r="N4137" s="24"/>
      <c r="P4137" s="24"/>
    </row>
    <row r="4138" spans="2:16" x14ac:dyDescent="0.25">
      <c r="B4138" s="24"/>
      <c r="E4138" s="24"/>
      <c r="G4138" s="24"/>
      <c r="H4138" s="24"/>
      <c r="J4138" s="24"/>
      <c r="K4138" s="24"/>
      <c r="M4138" s="24"/>
      <c r="N4138" s="24"/>
      <c r="P4138" s="24"/>
    </row>
    <row r="4139" spans="2:16" x14ac:dyDescent="0.25">
      <c r="B4139" s="24"/>
      <c r="E4139" s="24"/>
      <c r="G4139" s="24"/>
      <c r="H4139" s="24"/>
      <c r="J4139" s="24"/>
      <c r="K4139" s="24"/>
      <c r="M4139" s="24"/>
      <c r="N4139" s="24"/>
      <c r="P4139" s="24"/>
    </row>
    <row r="4140" spans="2:16" x14ac:dyDescent="0.25">
      <c r="B4140" s="24"/>
      <c r="E4140" s="24"/>
      <c r="G4140" s="24"/>
      <c r="H4140" s="24"/>
      <c r="J4140" s="24"/>
      <c r="K4140" s="24"/>
      <c r="M4140" s="24"/>
      <c r="N4140" s="24"/>
      <c r="P4140" s="24"/>
    </row>
    <row r="4141" spans="2:16" x14ac:dyDescent="0.25">
      <c r="B4141" s="24"/>
      <c r="E4141" s="24"/>
      <c r="G4141" s="24"/>
      <c r="H4141" s="24"/>
      <c r="J4141" s="24"/>
      <c r="K4141" s="24"/>
      <c r="M4141" s="24"/>
      <c r="N4141" s="24"/>
      <c r="P4141" s="24"/>
    </row>
    <row r="4142" spans="2:16" x14ac:dyDescent="0.25">
      <c r="B4142" s="24"/>
      <c r="E4142" s="24"/>
      <c r="G4142" s="24"/>
      <c r="H4142" s="24"/>
      <c r="J4142" s="24"/>
      <c r="K4142" s="24"/>
      <c r="M4142" s="24"/>
      <c r="N4142" s="24"/>
      <c r="P4142" s="24"/>
    </row>
    <row r="4143" spans="2:16" x14ac:dyDescent="0.25">
      <c r="B4143" s="24"/>
      <c r="E4143" s="24"/>
      <c r="G4143" s="24"/>
      <c r="H4143" s="24"/>
      <c r="J4143" s="24"/>
      <c r="K4143" s="24"/>
      <c r="M4143" s="24"/>
      <c r="N4143" s="24"/>
      <c r="P4143" s="24"/>
    </row>
    <row r="4144" spans="2:16" x14ac:dyDescent="0.25">
      <c r="B4144" s="24"/>
      <c r="E4144" s="24"/>
      <c r="G4144" s="24"/>
      <c r="H4144" s="24"/>
      <c r="J4144" s="24"/>
      <c r="K4144" s="24"/>
      <c r="M4144" s="24"/>
      <c r="N4144" s="24"/>
      <c r="P4144" s="24"/>
    </row>
    <row r="4145" spans="2:16" x14ac:dyDescent="0.25">
      <c r="B4145" s="24"/>
      <c r="E4145" s="24"/>
      <c r="G4145" s="24"/>
      <c r="H4145" s="24"/>
      <c r="J4145" s="24"/>
      <c r="K4145" s="24"/>
      <c r="M4145" s="24"/>
      <c r="N4145" s="24"/>
      <c r="P4145" s="24"/>
    </row>
    <row r="4146" spans="2:16" x14ac:dyDescent="0.25">
      <c r="B4146" s="24"/>
      <c r="E4146" s="24"/>
      <c r="G4146" s="24"/>
      <c r="H4146" s="24"/>
      <c r="J4146" s="24"/>
      <c r="K4146" s="24"/>
      <c r="M4146" s="24"/>
      <c r="N4146" s="24"/>
      <c r="P4146" s="24"/>
    </row>
    <row r="4147" spans="2:16" x14ac:dyDescent="0.25">
      <c r="B4147" s="24"/>
      <c r="E4147" s="24"/>
      <c r="G4147" s="24"/>
      <c r="H4147" s="24"/>
      <c r="J4147" s="24"/>
      <c r="K4147" s="24"/>
      <c r="M4147" s="24"/>
      <c r="N4147" s="24"/>
      <c r="P4147" s="24"/>
    </row>
    <row r="4148" spans="2:16" x14ac:dyDescent="0.25">
      <c r="B4148" s="24"/>
      <c r="E4148" s="24"/>
      <c r="G4148" s="24"/>
      <c r="H4148" s="24"/>
      <c r="J4148" s="24"/>
      <c r="K4148" s="24"/>
      <c r="M4148" s="24"/>
      <c r="N4148" s="24"/>
      <c r="P4148" s="24"/>
    </row>
    <row r="4149" spans="2:16" x14ac:dyDescent="0.25">
      <c r="B4149" s="24"/>
      <c r="E4149" s="24"/>
      <c r="G4149" s="24"/>
      <c r="H4149" s="24"/>
      <c r="J4149" s="24"/>
      <c r="K4149" s="24"/>
      <c r="M4149" s="24"/>
      <c r="N4149" s="24"/>
      <c r="P4149" s="24"/>
    </row>
    <row r="4150" spans="2:16" x14ac:dyDescent="0.25">
      <c r="B4150" s="24"/>
      <c r="E4150" s="24"/>
      <c r="G4150" s="24"/>
      <c r="H4150" s="24"/>
      <c r="J4150" s="24"/>
      <c r="K4150" s="24"/>
      <c r="M4150" s="24"/>
      <c r="N4150" s="24"/>
      <c r="P4150" s="24"/>
    </row>
    <row r="4151" spans="2:16" x14ac:dyDescent="0.25">
      <c r="B4151" s="24"/>
      <c r="E4151" s="24"/>
      <c r="G4151" s="24"/>
      <c r="H4151" s="24"/>
      <c r="J4151" s="24"/>
      <c r="K4151" s="24"/>
      <c r="M4151" s="24"/>
      <c r="N4151" s="24"/>
      <c r="P4151" s="24"/>
    </row>
    <row r="4152" spans="2:16" x14ac:dyDescent="0.25">
      <c r="B4152" s="24"/>
      <c r="E4152" s="24"/>
      <c r="G4152" s="24"/>
      <c r="H4152" s="24"/>
      <c r="J4152" s="24"/>
      <c r="K4152" s="24"/>
      <c r="M4152" s="24"/>
      <c r="N4152" s="24"/>
      <c r="P4152" s="24"/>
    </row>
    <row r="4153" spans="2:16" x14ac:dyDescent="0.25">
      <c r="B4153" s="24"/>
      <c r="E4153" s="24"/>
      <c r="G4153" s="24"/>
      <c r="H4153" s="24"/>
      <c r="J4153" s="24"/>
      <c r="K4153" s="24"/>
      <c r="M4153" s="24"/>
      <c r="N4153" s="24"/>
      <c r="P4153" s="24"/>
    </row>
    <row r="4154" spans="2:16" x14ac:dyDescent="0.25">
      <c r="B4154" s="24"/>
      <c r="E4154" s="24"/>
      <c r="G4154" s="24"/>
      <c r="H4154" s="24"/>
      <c r="J4154" s="24"/>
      <c r="K4154" s="24"/>
      <c r="M4154" s="24"/>
      <c r="N4154" s="24"/>
      <c r="P4154" s="24"/>
    </row>
    <row r="4155" spans="2:16" x14ac:dyDescent="0.25">
      <c r="B4155" s="24"/>
      <c r="E4155" s="24"/>
      <c r="G4155" s="24"/>
      <c r="H4155" s="24"/>
      <c r="J4155" s="24"/>
      <c r="K4155" s="24"/>
      <c r="M4155" s="24"/>
      <c r="N4155" s="24"/>
      <c r="P4155" s="24"/>
    </row>
    <row r="4156" spans="2:16" x14ac:dyDescent="0.25">
      <c r="B4156" s="24"/>
      <c r="E4156" s="24"/>
      <c r="G4156" s="24"/>
      <c r="H4156" s="24"/>
      <c r="J4156" s="24"/>
      <c r="K4156" s="24"/>
      <c r="M4156" s="24"/>
      <c r="N4156" s="24"/>
      <c r="P4156" s="24"/>
    </row>
    <row r="4157" spans="2:16" x14ac:dyDescent="0.25">
      <c r="B4157" s="24"/>
      <c r="E4157" s="24"/>
      <c r="G4157" s="24"/>
      <c r="H4157" s="24"/>
      <c r="J4157" s="24"/>
      <c r="K4157" s="24"/>
      <c r="M4157" s="24"/>
      <c r="N4157" s="24"/>
      <c r="P4157" s="24"/>
    </row>
    <row r="4158" spans="2:16" x14ac:dyDescent="0.25">
      <c r="B4158" s="24"/>
      <c r="E4158" s="24"/>
      <c r="G4158" s="24"/>
      <c r="H4158" s="24"/>
      <c r="J4158" s="24"/>
      <c r="K4158" s="24"/>
      <c r="M4158" s="24"/>
      <c r="N4158" s="24"/>
      <c r="P4158" s="24"/>
    </row>
    <row r="4159" spans="2:16" x14ac:dyDescent="0.25">
      <c r="B4159" s="24"/>
      <c r="E4159" s="24"/>
      <c r="G4159" s="24"/>
      <c r="H4159" s="24"/>
      <c r="J4159" s="24"/>
      <c r="K4159" s="24"/>
      <c r="M4159" s="24"/>
      <c r="N4159" s="24"/>
      <c r="P4159" s="24"/>
    </row>
    <row r="4160" spans="2:16" x14ac:dyDescent="0.25">
      <c r="B4160" s="24"/>
      <c r="E4160" s="24"/>
      <c r="G4160" s="24"/>
      <c r="H4160" s="24"/>
      <c r="J4160" s="24"/>
      <c r="K4160" s="24"/>
      <c r="M4160" s="24"/>
      <c r="N4160" s="24"/>
      <c r="P4160" s="24"/>
    </row>
    <row r="4161" spans="2:16" x14ac:dyDescent="0.25">
      <c r="B4161" s="24"/>
      <c r="E4161" s="24"/>
      <c r="G4161" s="24"/>
      <c r="H4161" s="24"/>
      <c r="J4161" s="24"/>
      <c r="K4161" s="24"/>
      <c r="M4161" s="24"/>
      <c r="N4161" s="24"/>
      <c r="P4161" s="24"/>
    </row>
    <row r="4162" spans="2:16" x14ac:dyDescent="0.25">
      <c r="B4162" s="24"/>
      <c r="E4162" s="24"/>
      <c r="G4162" s="24"/>
      <c r="H4162" s="24"/>
      <c r="J4162" s="24"/>
      <c r="K4162" s="24"/>
      <c r="M4162" s="24"/>
      <c r="N4162" s="24"/>
      <c r="P4162" s="24"/>
    </row>
    <row r="4163" spans="2:16" x14ac:dyDescent="0.25">
      <c r="B4163" s="24"/>
      <c r="E4163" s="24"/>
      <c r="G4163" s="24"/>
      <c r="H4163" s="24"/>
      <c r="J4163" s="24"/>
      <c r="K4163" s="24"/>
      <c r="M4163" s="24"/>
      <c r="N4163" s="24"/>
      <c r="P4163" s="24"/>
    </row>
    <row r="4164" spans="2:16" x14ac:dyDescent="0.25">
      <c r="B4164" s="24"/>
      <c r="E4164" s="24"/>
      <c r="G4164" s="24"/>
      <c r="H4164" s="24"/>
      <c r="J4164" s="24"/>
      <c r="K4164" s="24"/>
      <c r="M4164" s="24"/>
      <c r="N4164" s="24"/>
      <c r="P4164" s="24"/>
    </row>
    <row r="4165" spans="2:16" x14ac:dyDescent="0.25">
      <c r="B4165" s="24"/>
      <c r="E4165" s="24"/>
      <c r="G4165" s="24"/>
      <c r="H4165" s="24"/>
      <c r="J4165" s="24"/>
      <c r="K4165" s="24"/>
      <c r="M4165" s="24"/>
      <c r="N4165" s="24"/>
      <c r="P4165" s="24"/>
    </row>
    <row r="4166" spans="2:16" x14ac:dyDescent="0.25">
      <c r="B4166" s="24"/>
      <c r="E4166" s="24"/>
      <c r="G4166" s="24"/>
      <c r="H4166" s="24"/>
      <c r="J4166" s="24"/>
      <c r="K4166" s="24"/>
      <c r="M4166" s="24"/>
      <c r="N4166" s="24"/>
      <c r="P4166" s="24"/>
    </row>
    <row r="4167" spans="2:16" x14ac:dyDescent="0.25">
      <c r="B4167" s="24"/>
      <c r="E4167" s="24"/>
      <c r="G4167" s="24"/>
      <c r="H4167" s="24"/>
      <c r="J4167" s="24"/>
      <c r="K4167" s="24"/>
      <c r="M4167" s="24"/>
      <c r="N4167" s="24"/>
      <c r="P4167" s="24"/>
    </row>
    <row r="4168" spans="2:16" x14ac:dyDescent="0.25">
      <c r="B4168" s="24"/>
      <c r="E4168" s="24"/>
      <c r="G4168" s="24"/>
      <c r="H4168" s="24"/>
      <c r="J4168" s="24"/>
      <c r="K4168" s="24"/>
      <c r="M4168" s="24"/>
      <c r="N4168" s="24"/>
      <c r="P4168" s="24"/>
    </row>
    <row r="4169" spans="2:16" x14ac:dyDescent="0.25">
      <c r="B4169" s="24"/>
      <c r="E4169" s="24"/>
      <c r="G4169" s="24"/>
      <c r="H4169" s="24"/>
      <c r="J4169" s="24"/>
      <c r="K4169" s="24"/>
      <c r="M4169" s="24"/>
      <c r="N4169" s="24"/>
      <c r="P4169" s="24"/>
    </row>
    <row r="4170" spans="2:16" x14ac:dyDescent="0.25">
      <c r="B4170" s="24"/>
      <c r="E4170" s="24"/>
      <c r="G4170" s="24"/>
      <c r="H4170" s="24"/>
      <c r="J4170" s="24"/>
      <c r="K4170" s="24"/>
      <c r="M4170" s="24"/>
      <c r="N4170" s="24"/>
      <c r="P4170" s="24"/>
    </row>
    <row r="4171" spans="2:16" x14ac:dyDescent="0.25">
      <c r="B4171" s="24"/>
      <c r="E4171" s="24"/>
      <c r="G4171" s="24"/>
      <c r="H4171" s="24"/>
      <c r="J4171" s="24"/>
      <c r="K4171" s="24"/>
      <c r="M4171" s="24"/>
      <c r="N4171" s="24"/>
      <c r="P4171" s="24"/>
    </row>
    <row r="4172" spans="2:16" x14ac:dyDescent="0.25">
      <c r="B4172" s="24"/>
      <c r="E4172" s="24"/>
      <c r="G4172" s="24"/>
      <c r="H4172" s="24"/>
      <c r="J4172" s="24"/>
      <c r="K4172" s="24"/>
      <c r="M4172" s="24"/>
      <c r="N4172" s="24"/>
      <c r="P4172" s="24"/>
    </row>
    <row r="4173" spans="2:16" x14ac:dyDescent="0.25">
      <c r="B4173" s="24"/>
      <c r="E4173" s="24"/>
      <c r="G4173" s="24"/>
      <c r="H4173" s="24"/>
      <c r="J4173" s="24"/>
      <c r="K4173" s="24"/>
      <c r="M4173" s="24"/>
      <c r="N4173" s="24"/>
      <c r="P4173" s="24"/>
    </row>
    <row r="4174" spans="2:16" x14ac:dyDescent="0.25">
      <c r="B4174" s="24"/>
      <c r="E4174" s="24"/>
      <c r="G4174" s="24"/>
      <c r="H4174" s="24"/>
      <c r="J4174" s="24"/>
      <c r="K4174" s="24"/>
      <c r="M4174" s="24"/>
      <c r="N4174" s="24"/>
      <c r="P4174" s="24"/>
    </row>
    <row r="4175" spans="2:16" x14ac:dyDescent="0.25">
      <c r="B4175" s="24"/>
      <c r="E4175" s="24"/>
      <c r="G4175" s="24"/>
      <c r="H4175" s="24"/>
      <c r="J4175" s="24"/>
      <c r="K4175" s="24"/>
      <c r="M4175" s="24"/>
      <c r="N4175" s="24"/>
      <c r="P4175" s="24"/>
    </row>
    <row r="4176" spans="2:16" x14ac:dyDescent="0.25">
      <c r="B4176" s="24"/>
      <c r="E4176" s="24"/>
      <c r="G4176" s="24"/>
      <c r="H4176" s="24"/>
      <c r="J4176" s="24"/>
      <c r="K4176" s="24"/>
      <c r="M4176" s="24"/>
      <c r="N4176" s="24"/>
      <c r="P4176" s="24"/>
    </row>
    <row r="4177" spans="2:16" x14ac:dyDescent="0.25">
      <c r="B4177" s="24"/>
      <c r="E4177" s="24"/>
      <c r="G4177" s="24"/>
      <c r="H4177" s="24"/>
      <c r="J4177" s="24"/>
      <c r="K4177" s="24"/>
      <c r="M4177" s="24"/>
      <c r="N4177" s="24"/>
      <c r="P4177" s="24"/>
    </row>
    <row r="4178" spans="2:16" x14ac:dyDescent="0.25">
      <c r="B4178" s="24"/>
      <c r="E4178" s="24"/>
      <c r="G4178" s="24"/>
      <c r="H4178" s="24"/>
      <c r="J4178" s="24"/>
      <c r="K4178" s="24"/>
      <c r="M4178" s="24"/>
      <c r="N4178" s="24"/>
      <c r="P4178" s="24"/>
    </row>
    <row r="4179" spans="2:16" x14ac:dyDescent="0.25">
      <c r="B4179" s="24"/>
      <c r="E4179" s="24"/>
      <c r="G4179" s="24"/>
      <c r="H4179" s="24"/>
      <c r="J4179" s="24"/>
      <c r="K4179" s="24"/>
      <c r="M4179" s="24"/>
      <c r="N4179" s="24"/>
      <c r="P4179" s="24"/>
    </row>
    <row r="4180" spans="2:16" x14ac:dyDescent="0.25">
      <c r="B4180" s="24"/>
      <c r="E4180" s="24"/>
      <c r="G4180" s="24"/>
      <c r="H4180" s="24"/>
      <c r="J4180" s="24"/>
      <c r="K4180" s="24"/>
      <c r="M4180" s="24"/>
      <c r="N4180" s="24"/>
      <c r="P4180" s="24"/>
    </row>
    <row r="4181" spans="2:16" x14ac:dyDescent="0.25">
      <c r="B4181" s="24"/>
      <c r="E4181" s="24"/>
      <c r="G4181" s="24"/>
      <c r="H4181" s="24"/>
      <c r="J4181" s="24"/>
      <c r="K4181" s="24"/>
      <c r="M4181" s="24"/>
      <c r="N4181" s="24"/>
      <c r="P4181" s="24"/>
    </row>
    <row r="4182" spans="2:16" x14ac:dyDescent="0.25">
      <c r="B4182" s="24"/>
      <c r="E4182" s="24"/>
      <c r="G4182" s="24"/>
      <c r="H4182" s="24"/>
      <c r="J4182" s="24"/>
      <c r="K4182" s="24"/>
      <c r="M4182" s="24"/>
      <c r="N4182" s="24"/>
      <c r="P4182" s="24"/>
    </row>
    <row r="4183" spans="2:16" x14ac:dyDescent="0.25">
      <c r="B4183" s="24"/>
      <c r="E4183" s="24"/>
      <c r="G4183" s="24"/>
      <c r="H4183" s="24"/>
      <c r="J4183" s="24"/>
      <c r="K4183" s="24"/>
      <c r="M4183" s="24"/>
      <c r="N4183" s="24"/>
      <c r="P4183" s="24"/>
    </row>
    <row r="4184" spans="2:16" x14ac:dyDescent="0.25">
      <c r="B4184" s="24"/>
      <c r="E4184" s="24"/>
      <c r="G4184" s="24"/>
      <c r="H4184" s="24"/>
      <c r="J4184" s="24"/>
      <c r="K4184" s="24"/>
      <c r="M4184" s="24"/>
      <c r="N4184" s="24"/>
      <c r="P4184" s="24"/>
    </row>
    <row r="4185" spans="2:16" x14ac:dyDescent="0.25">
      <c r="B4185" s="24"/>
      <c r="E4185" s="24"/>
      <c r="G4185" s="24"/>
      <c r="H4185" s="24"/>
      <c r="J4185" s="24"/>
      <c r="K4185" s="24"/>
      <c r="M4185" s="24"/>
      <c r="N4185" s="24"/>
      <c r="P4185" s="24"/>
    </row>
    <row r="4186" spans="2:16" x14ac:dyDescent="0.25">
      <c r="B4186" s="24"/>
      <c r="E4186" s="24"/>
      <c r="G4186" s="24"/>
      <c r="H4186" s="24"/>
      <c r="J4186" s="24"/>
      <c r="K4186" s="24"/>
      <c r="M4186" s="24"/>
      <c r="N4186" s="24"/>
      <c r="P4186" s="24"/>
    </row>
    <row r="4187" spans="2:16" x14ac:dyDescent="0.25">
      <c r="B4187" s="24"/>
      <c r="E4187" s="24"/>
      <c r="G4187" s="24"/>
      <c r="H4187" s="24"/>
      <c r="J4187" s="24"/>
      <c r="K4187" s="24"/>
      <c r="M4187" s="24"/>
      <c r="N4187" s="24"/>
      <c r="P4187" s="24"/>
    </row>
    <row r="4188" spans="2:16" x14ac:dyDescent="0.25">
      <c r="B4188" s="24"/>
      <c r="E4188" s="24"/>
      <c r="G4188" s="24"/>
      <c r="H4188" s="24"/>
      <c r="J4188" s="24"/>
      <c r="K4188" s="24"/>
      <c r="M4188" s="24"/>
      <c r="N4188" s="24"/>
      <c r="P4188" s="24"/>
    </row>
    <row r="4189" spans="2:16" x14ac:dyDescent="0.25">
      <c r="B4189" s="24"/>
      <c r="E4189" s="24"/>
      <c r="G4189" s="24"/>
      <c r="H4189" s="24"/>
      <c r="J4189" s="24"/>
      <c r="K4189" s="24"/>
      <c r="M4189" s="24"/>
      <c r="N4189" s="24"/>
      <c r="P4189" s="24"/>
    </row>
    <row r="4190" spans="2:16" x14ac:dyDescent="0.25">
      <c r="B4190" s="24"/>
      <c r="E4190" s="24"/>
      <c r="G4190" s="24"/>
      <c r="H4190" s="24"/>
      <c r="J4190" s="24"/>
      <c r="K4190" s="24"/>
      <c r="M4190" s="24"/>
      <c r="N4190" s="24"/>
      <c r="P4190" s="24"/>
    </row>
    <row r="4191" spans="2:16" x14ac:dyDescent="0.25">
      <c r="B4191" s="24"/>
      <c r="E4191" s="24"/>
      <c r="G4191" s="24"/>
      <c r="H4191" s="24"/>
      <c r="J4191" s="24"/>
      <c r="K4191" s="24"/>
      <c r="M4191" s="24"/>
      <c r="N4191" s="24"/>
      <c r="P4191" s="24"/>
    </row>
    <row r="4192" spans="2:16" x14ac:dyDescent="0.25">
      <c r="B4192" s="24"/>
      <c r="E4192" s="24"/>
      <c r="G4192" s="24"/>
      <c r="H4192" s="24"/>
      <c r="J4192" s="24"/>
      <c r="K4192" s="24"/>
      <c r="M4192" s="24"/>
      <c r="N4192" s="24"/>
      <c r="P4192" s="24"/>
    </row>
    <row r="4193" spans="2:16" x14ac:dyDescent="0.25">
      <c r="B4193" s="24"/>
      <c r="E4193" s="24"/>
      <c r="G4193" s="24"/>
      <c r="H4193" s="24"/>
      <c r="J4193" s="24"/>
      <c r="K4193" s="24"/>
      <c r="M4193" s="24"/>
      <c r="N4193" s="24"/>
      <c r="P4193" s="24"/>
    </row>
    <row r="4194" spans="2:16" x14ac:dyDescent="0.25">
      <c r="B4194" s="24"/>
      <c r="E4194" s="24"/>
      <c r="G4194" s="24"/>
      <c r="H4194" s="24"/>
      <c r="J4194" s="24"/>
      <c r="K4194" s="24"/>
      <c r="M4194" s="24"/>
      <c r="N4194" s="24"/>
      <c r="P4194" s="24"/>
    </row>
    <row r="4195" spans="2:16" x14ac:dyDescent="0.25">
      <c r="B4195" s="24"/>
      <c r="E4195" s="24"/>
      <c r="G4195" s="24"/>
      <c r="H4195" s="24"/>
      <c r="J4195" s="24"/>
      <c r="K4195" s="24"/>
      <c r="M4195" s="24"/>
      <c r="N4195" s="24"/>
      <c r="P4195" s="24"/>
    </row>
    <row r="4196" spans="2:16" x14ac:dyDescent="0.25">
      <c r="B4196" s="24"/>
      <c r="E4196" s="24"/>
      <c r="G4196" s="24"/>
      <c r="H4196" s="24"/>
      <c r="J4196" s="24"/>
      <c r="K4196" s="24"/>
      <c r="M4196" s="24"/>
      <c r="N4196" s="24"/>
      <c r="P4196" s="24"/>
    </row>
    <row r="4197" spans="2:16" x14ac:dyDescent="0.25">
      <c r="B4197" s="24"/>
      <c r="E4197" s="24"/>
      <c r="G4197" s="24"/>
      <c r="H4197" s="24"/>
      <c r="J4197" s="24"/>
      <c r="K4197" s="24"/>
      <c r="M4197" s="24"/>
      <c r="N4197" s="24"/>
      <c r="P4197" s="24"/>
    </row>
    <row r="4198" spans="2:16" x14ac:dyDescent="0.25">
      <c r="B4198" s="24"/>
      <c r="E4198" s="24"/>
      <c r="G4198" s="24"/>
      <c r="H4198" s="24"/>
      <c r="J4198" s="24"/>
      <c r="K4198" s="24"/>
      <c r="M4198" s="24"/>
      <c r="N4198" s="24"/>
      <c r="P4198" s="24"/>
    </row>
    <row r="4199" spans="2:16" x14ac:dyDescent="0.25">
      <c r="B4199" s="24"/>
      <c r="E4199" s="24"/>
      <c r="G4199" s="24"/>
      <c r="H4199" s="24"/>
      <c r="J4199" s="24"/>
      <c r="K4199" s="24"/>
      <c r="M4199" s="24"/>
      <c r="N4199" s="24"/>
      <c r="P4199" s="24"/>
    </row>
    <row r="4200" spans="2:16" x14ac:dyDescent="0.25">
      <c r="B4200" s="24"/>
      <c r="E4200" s="24"/>
      <c r="G4200" s="24"/>
      <c r="H4200" s="24"/>
      <c r="J4200" s="24"/>
      <c r="K4200" s="24"/>
      <c r="M4200" s="24"/>
      <c r="N4200" s="24"/>
      <c r="P4200" s="24"/>
    </row>
    <row r="4201" spans="2:16" x14ac:dyDescent="0.25">
      <c r="B4201" s="24"/>
      <c r="E4201" s="24"/>
      <c r="G4201" s="24"/>
      <c r="H4201" s="24"/>
      <c r="J4201" s="24"/>
      <c r="K4201" s="24"/>
      <c r="M4201" s="24"/>
      <c r="N4201" s="24"/>
      <c r="P4201" s="24"/>
    </row>
    <row r="4202" spans="2:16" x14ac:dyDescent="0.25">
      <c r="B4202" s="24"/>
      <c r="E4202" s="24"/>
      <c r="G4202" s="24"/>
      <c r="H4202" s="24"/>
      <c r="J4202" s="24"/>
      <c r="K4202" s="24"/>
      <c r="M4202" s="24"/>
      <c r="N4202" s="24"/>
      <c r="P4202" s="24"/>
    </row>
    <row r="4203" spans="2:16" x14ac:dyDescent="0.25">
      <c r="B4203" s="24"/>
      <c r="E4203" s="24"/>
      <c r="G4203" s="24"/>
      <c r="H4203" s="24"/>
      <c r="J4203" s="24"/>
      <c r="K4203" s="24"/>
      <c r="M4203" s="24"/>
      <c r="N4203" s="24"/>
      <c r="P4203" s="24"/>
    </row>
    <row r="4204" spans="2:16" x14ac:dyDescent="0.25">
      <c r="B4204" s="24"/>
      <c r="E4204" s="24"/>
      <c r="G4204" s="24"/>
      <c r="H4204" s="24"/>
      <c r="J4204" s="24"/>
      <c r="K4204" s="24"/>
      <c r="M4204" s="24"/>
      <c r="N4204" s="24"/>
      <c r="P4204" s="24"/>
    </row>
    <row r="4205" spans="2:16" x14ac:dyDescent="0.25">
      <c r="B4205" s="24"/>
      <c r="E4205" s="24"/>
      <c r="G4205" s="24"/>
      <c r="H4205" s="24"/>
      <c r="J4205" s="24"/>
      <c r="K4205" s="24"/>
      <c r="M4205" s="24"/>
      <c r="N4205" s="24"/>
      <c r="P4205" s="24"/>
    </row>
    <row r="4206" spans="2:16" x14ac:dyDescent="0.25">
      <c r="B4206" s="24"/>
      <c r="E4206" s="24"/>
      <c r="G4206" s="24"/>
      <c r="H4206" s="24"/>
      <c r="J4206" s="24"/>
      <c r="K4206" s="24"/>
      <c r="M4206" s="24"/>
      <c r="N4206" s="24"/>
      <c r="P4206" s="24"/>
    </row>
    <row r="4207" spans="2:16" x14ac:dyDescent="0.25">
      <c r="B4207" s="24"/>
      <c r="E4207" s="24"/>
      <c r="G4207" s="24"/>
      <c r="H4207" s="24"/>
      <c r="J4207" s="24"/>
      <c r="K4207" s="24"/>
      <c r="M4207" s="24"/>
      <c r="N4207" s="24"/>
      <c r="P4207" s="24"/>
    </row>
    <row r="4208" spans="2:16" x14ac:dyDescent="0.25">
      <c r="B4208" s="24"/>
      <c r="E4208" s="24"/>
      <c r="G4208" s="24"/>
      <c r="H4208" s="24"/>
      <c r="J4208" s="24"/>
      <c r="K4208" s="24"/>
      <c r="M4208" s="24"/>
      <c r="N4208" s="24"/>
      <c r="P4208" s="24"/>
    </row>
    <row r="4209" spans="2:16" x14ac:dyDescent="0.25">
      <c r="B4209" s="24"/>
      <c r="E4209" s="24"/>
      <c r="G4209" s="24"/>
      <c r="H4209" s="24"/>
      <c r="J4209" s="24"/>
      <c r="K4209" s="24"/>
      <c r="M4209" s="24"/>
      <c r="N4209" s="24"/>
      <c r="P4209" s="24"/>
    </row>
    <row r="4210" spans="2:16" x14ac:dyDescent="0.25">
      <c r="B4210" s="24"/>
      <c r="E4210" s="24"/>
      <c r="G4210" s="24"/>
      <c r="H4210" s="24"/>
      <c r="J4210" s="24"/>
      <c r="K4210" s="24"/>
      <c r="M4210" s="24"/>
      <c r="N4210" s="24"/>
      <c r="P4210" s="24"/>
    </row>
    <row r="4211" spans="2:16" x14ac:dyDescent="0.25">
      <c r="B4211" s="24"/>
      <c r="E4211" s="24"/>
      <c r="G4211" s="24"/>
      <c r="H4211" s="24"/>
      <c r="J4211" s="24"/>
      <c r="K4211" s="24"/>
      <c r="M4211" s="24"/>
      <c r="N4211" s="24"/>
      <c r="P4211" s="24"/>
    </row>
    <row r="4212" spans="2:16" x14ac:dyDescent="0.25">
      <c r="B4212" s="24"/>
      <c r="E4212" s="24"/>
      <c r="G4212" s="24"/>
      <c r="H4212" s="24"/>
      <c r="J4212" s="24"/>
      <c r="K4212" s="24"/>
      <c r="M4212" s="24"/>
      <c r="N4212" s="24"/>
      <c r="P4212" s="24"/>
    </row>
    <row r="4213" spans="2:16" x14ac:dyDescent="0.25">
      <c r="B4213" s="24"/>
      <c r="E4213" s="24"/>
      <c r="G4213" s="24"/>
      <c r="H4213" s="24"/>
      <c r="J4213" s="24"/>
      <c r="K4213" s="24"/>
      <c r="M4213" s="24"/>
      <c r="N4213" s="24"/>
      <c r="P4213" s="24"/>
    </row>
    <row r="4214" spans="2:16" x14ac:dyDescent="0.25">
      <c r="B4214" s="24"/>
      <c r="E4214" s="24"/>
      <c r="G4214" s="24"/>
      <c r="H4214" s="24"/>
      <c r="J4214" s="24"/>
      <c r="K4214" s="24"/>
      <c r="M4214" s="24"/>
      <c r="N4214" s="24"/>
      <c r="P4214" s="24"/>
    </row>
    <row r="4215" spans="2:16" x14ac:dyDescent="0.25">
      <c r="B4215" s="24"/>
      <c r="E4215" s="24"/>
      <c r="G4215" s="24"/>
      <c r="H4215" s="24"/>
      <c r="J4215" s="24"/>
      <c r="K4215" s="24"/>
      <c r="M4215" s="24"/>
      <c r="N4215" s="24"/>
      <c r="P4215" s="24"/>
    </row>
    <row r="4216" spans="2:16" x14ac:dyDescent="0.25">
      <c r="B4216" s="24"/>
      <c r="E4216" s="24"/>
      <c r="G4216" s="24"/>
      <c r="H4216" s="24"/>
      <c r="J4216" s="24"/>
      <c r="K4216" s="24"/>
      <c r="M4216" s="24"/>
      <c r="N4216" s="24"/>
      <c r="P4216" s="24"/>
    </row>
    <row r="4217" spans="2:16" x14ac:dyDescent="0.25">
      <c r="B4217" s="24"/>
      <c r="E4217" s="24"/>
      <c r="G4217" s="24"/>
      <c r="H4217" s="24"/>
      <c r="J4217" s="24"/>
      <c r="K4217" s="24"/>
      <c r="M4217" s="24"/>
      <c r="N4217" s="24"/>
      <c r="P4217" s="24"/>
    </row>
    <row r="4218" spans="2:16" x14ac:dyDescent="0.25">
      <c r="B4218" s="24"/>
      <c r="E4218" s="24"/>
      <c r="G4218" s="24"/>
      <c r="H4218" s="24"/>
      <c r="J4218" s="24"/>
      <c r="K4218" s="24"/>
      <c r="M4218" s="24"/>
      <c r="N4218" s="24"/>
      <c r="P4218" s="24"/>
    </row>
    <row r="4219" spans="2:16" x14ac:dyDescent="0.25">
      <c r="B4219" s="24"/>
      <c r="E4219" s="24"/>
      <c r="G4219" s="24"/>
      <c r="H4219" s="24"/>
      <c r="J4219" s="24"/>
      <c r="K4219" s="24"/>
      <c r="M4219" s="24"/>
      <c r="N4219" s="24"/>
      <c r="P4219" s="24"/>
    </row>
    <row r="4220" spans="2:16" x14ac:dyDescent="0.25">
      <c r="B4220" s="24"/>
      <c r="E4220" s="24"/>
      <c r="G4220" s="24"/>
      <c r="H4220" s="24"/>
      <c r="J4220" s="24"/>
      <c r="K4220" s="24"/>
      <c r="M4220" s="24"/>
      <c r="N4220" s="24"/>
      <c r="P4220" s="24"/>
    </row>
    <row r="4221" spans="2:16" x14ac:dyDescent="0.25">
      <c r="B4221" s="24"/>
      <c r="E4221" s="24"/>
      <c r="G4221" s="24"/>
      <c r="H4221" s="24"/>
      <c r="J4221" s="24"/>
      <c r="K4221" s="24"/>
      <c r="M4221" s="24"/>
      <c r="N4221" s="24"/>
      <c r="P4221" s="24"/>
    </row>
    <row r="4222" spans="2:16" x14ac:dyDescent="0.25">
      <c r="B4222" s="24"/>
      <c r="E4222" s="24"/>
      <c r="G4222" s="24"/>
      <c r="H4222" s="24"/>
      <c r="J4222" s="24"/>
      <c r="K4222" s="24"/>
      <c r="M4222" s="24"/>
      <c r="N4222" s="24"/>
      <c r="P4222" s="24"/>
    </row>
    <row r="4223" spans="2:16" x14ac:dyDescent="0.25">
      <c r="B4223" s="24"/>
      <c r="E4223" s="24"/>
      <c r="G4223" s="24"/>
      <c r="H4223" s="24"/>
      <c r="J4223" s="24"/>
      <c r="K4223" s="24"/>
      <c r="M4223" s="24"/>
      <c r="N4223" s="24"/>
      <c r="P4223" s="24"/>
    </row>
    <row r="4224" spans="2:16" x14ac:dyDescent="0.25">
      <c r="B4224" s="24"/>
      <c r="E4224" s="24"/>
      <c r="G4224" s="24"/>
      <c r="H4224" s="24"/>
      <c r="J4224" s="24"/>
      <c r="K4224" s="24"/>
      <c r="M4224" s="24"/>
      <c r="N4224" s="24"/>
      <c r="P4224" s="24"/>
    </row>
    <row r="4225" spans="2:16" x14ac:dyDescent="0.25">
      <c r="B4225" s="24"/>
      <c r="E4225" s="24"/>
      <c r="G4225" s="24"/>
      <c r="H4225" s="24"/>
      <c r="J4225" s="24"/>
      <c r="K4225" s="24"/>
      <c r="M4225" s="24"/>
      <c r="N4225" s="24"/>
      <c r="P4225" s="24"/>
    </row>
    <row r="4226" spans="2:16" x14ac:dyDescent="0.25">
      <c r="B4226" s="24"/>
      <c r="E4226" s="24"/>
      <c r="G4226" s="24"/>
      <c r="H4226" s="24"/>
      <c r="J4226" s="24"/>
      <c r="K4226" s="24"/>
      <c r="M4226" s="24"/>
      <c r="N4226" s="24"/>
      <c r="P4226" s="24"/>
    </row>
    <row r="4227" spans="2:16" x14ac:dyDescent="0.25">
      <c r="B4227" s="24"/>
      <c r="E4227" s="24"/>
      <c r="G4227" s="24"/>
      <c r="H4227" s="24"/>
      <c r="J4227" s="24"/>
      <c r="K4227" s="24"/>
      <c r="M4227" s="24"/>
      <c r="N4227" s="24"/>
      <c r="P4227" s="24"/>
    </row>
    <row r="4228" spans="2:16" x14ac:dyDescent="0.25">
      <c r="B4228" s="24"/>
      <c r="E4228" s="24"/>
      <c r="G4228" s="24"/>
      <c r="H4228" s="24"/>
      <c r="J4228" s="24"/>
      <c r="K4228" s="24"/>
      <c r="M4228" s="24"/>
      <c r="N4228" s="24"/>
      <c r="P4228" s="24"/>
    </row>
    <row r="4229" spans="2:16" x14ac:dyDescent="0.25">
      <c r="B4229" s="24"/>
      <c r="E4229" s="24"/>
      <c r="G4229" s="24"/>
      <c r="H4229" s="24"/>
      <c r="J4229" s="24"/>
      <c r="K4229" s="24"/>
      <c r="M4229" s="24"/>
      <c r="N4229" s="24"/>
      <c r="P4229" s="24"/>
    </row>
    <row r="4230" spans="2:16" x14ac:dyDescent="0.25">
      <c r="B4230" s="24"/>
      <c r="E4230" s="24"/>
      <c r="G4230" s="24"/>
      <c r="H4230" s="24"/>
      <c r="J4230" s="24"/>
      <c r="K4230" s="24"/>
      <c r="M4230" s="24"/>
      <c r="N4230" s="24"/>
      <c r="P4230" s="24"/>
    </row>
    <row r="4231" spans="2:16" x14ac:dyDescent="0.25">
      <c r="B4231" s="24"/>
      <c r="E4231" s="24"/>
      <c r="G4231" s="24"/>
      <c r="H4231" s="24"/>
      <c r="J4231" s="24"/>
      <c r="K4231" s="24"/>
      <c r="M4231" s="24"/>
      <c r="N4231" s="24"/>
      <c r="P4231" s="24"/>
    </row>
    <row r="4232" spans="2:16" x14ac:dyDescent="0.25">
      <c r="B4232" s="24"/>
      <c r="E4232" s="24"/>
      <c r="G4232" s="24"/>
      <c r="H4232" s="24"/>
      <c r="J4232" s="24"/>
      <c r="K4232" s="24"/>
      <c r="M4232" s="24"/>
      <c r="N4232" s="24"/>
      <c r="P4232" s="24"/>
    </row>
    <row r="4233" spans="2:16" x14ac:dyDescent="0.25">
      <c r="B4233" s="24"/>
      <c r="E4233" s="24"/>
      <c r="G4233" s="24"/>
      <c r="H4233" s="24"/>
      <c r="J4233" s="24"/>
      <c r="K4233" s="24"/>
      <c r="M4233" s="24"/>
      <c r="N4233" s="24"/>
      <c r="P4233" s="24"/>
    </row>
    <row r="4234" spans="2:16" x14ac:dyDescent="0.25">
      <c r="B4234" s="24"/>
      <c r="E4234" s="24"/>
      <c r="G4234" s="24"/>
      <c r="H4234" s="24"/>
      <c r="J4234" s="24"/>
      <c r="K4234" s="24"/>
      <c r="M4234" s="24"/>
      <c r="N4234" s="24"/>
      <c r="P4234" s="24"/>
    </row>
    <row r="4235" spans="2:16" x14ac:dyDescent="0.25">
      <c r="B4235" s="24"/>
      <c r="E4235" s="24"/>
      <c r="G4235" s="24"/>
      <c r="H4235" s="24"/>
      <c r="J4235" s="24"/>
      <c r="K4235" s="24"/>
      <c r="M4235" s="24"/>
      <c r="N4235" s="24"/>
      <c r="P4235" s="24"/>
    </row>
    <row r="4236" spans="2:16" x14ac:dyDescent="0.25">
      <c r="B4236" s="24"/>
      <c r="E4236" s="24"/>
      <c r="G4236" s="24"/>
      <c r="H4236" s="24"/>
      <c r="J4236" s="24"/>
      <c r="K4236" s="24"/>
      <c r="M4236" s="24"/>
      <c r="N4236" s="24"/>
      <c r="P4236" s="24"/>
    </row>
    <row r="4237" spans="2:16" x14ac:dyDescent="0.25">
      <c r="B4237" s="24"/>
      <c r="E4237" s="24"/>
      <c r="G4237" s="24"/>
      <c r="H4237" s="24"/>
      <c r="J4237" s="24"/>
      <c r="K4237" s="24"/>
      <c r="M4237" s="24"/>
      <c r="N4237" s="24"/>
      <c r="P4237" s="24"/>
    </row>
    <row r="4238" spans="2:16" x14ac:dyDescent="0.25">
      <c r="B4238" s="24"/>
      <c r="E4238" s="24"/>
      <c r="G4238" s="24"/>
      <c r="H4238" s="24"/>
      <c r="J4238" s="24"/>
      <c r="K4238" s="24"/>
      <c r="M4238" s="24"/>
      <c r="N4238" s="24"/>
      <c r="P4238" s="24"/>
    </row>
    <row r="4239" spans="2:16" x14ac:dyDescent="0.25">
      <c r="B4239" s="24"/>
      <c r="E4239" s="24"/>
      <c r="G4239" s="24"/>
      <c r="H4239" s="24"/>
      <c r="J4239" s="24"/>
      <c r="K4239" s="24"/>
      <c r="M4239" s="24"/>
      <c r="N4239" s="24"/>
      <c r="P4239" s="24"/>
    </row>
    <row r="4240" spans="2:16" x14ac:dyDescent="0.25">
      <c r="B4240" s="24"/>
      <c r="E4240" s="24"/>
      <c r="G4240" s="24"/>
      <c r="H4240" s="24"/>
      <c r="J4240" s="24"/>
      <c r="K4240" s="24"/>
      <c r="M4240" s="24"/>
      <c r="N4240" s="24"/>
      <c r="P4240" s="24"/>
    </row>
    <row r="4241" spans="2:16" x14ac:dyDescent="0.25">
      <c r="B4241" s="24"/>
      <c r="E4241" s="24"/>
      <c r="G4241" s="24"/>
      <c r="H4241" s="24"/>
      <c r="J4241" s="24"/>
      <c r="K4241" s="24"/>
      <c r="M4241" s="24"/>
      <c r="N4241" s="24"/>
      <c r="P4241" s="24"/>
    </row>
    <row r="4242" spans="2:16" x14ac:dyDescent="0.25">
      <c r="B4242" s="24"/>
      <c r="E4242" s="24"/>
      <c r="G4242" s="24"/>
      <c r="H4242" s="24"/>
      <c r="J4242" s="24"/>
      <c r="K4242" s="24"/>
      <c r="M4242" s="24"/>
      <c r="N4242" s="24"/>
      <c r="P4242" s="24"/>
    </row>
    <row r="4243" spans="2:16" x14ac:dyDescent="0.25">
      <c r="B4243" s="24"/>
      <c r="E4243" s="24"/>
      <c r="G4243" s="24"/>
      <c r="H4243" s="24"/>
      <c r="J4243" s="24"/>
      <c r="K4243" s="24"/>
      <c r="M4243" s="24"/>
      <c r="N4243" s="24"/>
      <c r="P4243" s="24"/>
    </row>
    <row r="4244" spans="2:16" x14ac:dyDescent="0.25">
      <c r="B4244" s="24"/>
      <c r="E4244" s="24"/>
      <c r="G4244" s="24"/>
      <c r="H4244" s="24"/>
      <c r="J4244" s="24"/>
      <c r="K4244" s="24"/>
      <c r="M4244" s="24"/>
      <c r="N4244" s="24"/>
      <c r="P4244" s="24"/>
    </row>
    <row r="4245" spans="2:16" x14ac:dyDescent="0.25">
      <c r="B4245" s="24"/>
      <c r="E4245" s="24"/>
      <c r="G4245" s="24"/>
      <c r="H4245" s="24"/>
      <c r="J4245" s="24"/>
      <c r="K4245" s="24"/>
      <c r="M4245" s="24"/>
      <c r="N4245" s="24"/>
      <c r="P4245" s="24"/>
    </row>
    <row r="4246" spans="2:16" x14ac:dyDescent="0.25">
      <c r="B4246" s="24"/>
      <c r="E4246" s="24"/>
      <c r="G4246" s="24"/>
      <c r="H4246" s="24"/>
      <c r="J4246" s="24"/>
      <c r="K4246" s="24"/>
      <c r="M4246" s="24"/>
      <c r="N4246" s="24"/>
      <c r="P4246" s="24"/>
    </row>
    <row r="4247" spans="2:16" x14ac:dyDescent="0.25">
      <c r="B4247" s="24"/>
      <c r="E4247" s="24"/>
      <c r="G4247" s="24"/>
      <c r="H4247" s="24"/>
      <c r="J4247" s="24"/>
      <c r="K4247" s="24"/>
      <c r="M4247" s="24"/>
      <c r="N4247" s="24"/>
      <c r="P4247" s="24"/>
    </row>
    <row r="4248" spans="2:16" x14ac:dyDescent="0.25">
      <c r="B4248" s="24"/>
      <c r="E4248" s="24"/>
      <c r="G4248" s="24"/>
      <c r="H4248" s="24"/>
      <c r="J4248" s="24"/>
      <c r="K4248" s="24"/>
      <c r="M4248" s="24"/>
      <c r="N4248" s="24"/>
      <c r="P4248" s="24"/>
    </row>
    <row r="4249" spans="2:16" x14ac:dyDescent="0.25">
      <c r="B4249" s="24"/>
      <c r="E4249" s="24"/>
      <c r="G4249" s="24"/>
      <c r="H4249" s="24"/>
      <c r="J4249" s="24"/>
      <c r="K4249" s="24"/>
      <c r="M4249" s="24"/>
      <c r="N4249" s="24"/>
      <c r="P4249" s="24"/>
    </row>
    <row r="4250" spans="2:16" x14ac:dyDescent="0.25">
      <c r="B4250" s="24"/>
      <c r="E4250" s="24"/>
      <c r="G4250" s="24"/>
      <c r="H4250" s="24"/>
      <c r="J4250" s="24"/>
      <c r="K4250" s="24"/>
      <c r="M4250" s="24"/>
      <c r="N4250" s="24"/>
      <c r="P4250" s="24"/>
    </row>
    <row r="4251" spans="2:16" x14ac:dyDescent="0.25">
      <c r="B4251" s="24"/>
      <c r="E4251" s="24"/>
      <c r="G4251" s="24"/>
      <c r="H4251" s="24"/>
      <c r="J4251" s="24"/>
      <c r="K4251" s="24"/>
      <c r="M4251" s="24"/>
      <c r="N4251" s="24"/>
      <c r="P4251" s="24"/>
    </row>
    <row r="4252" spans="2:16" x14ac:dyDescent="0.25">
      <c r="B4252" s="24"/>
      <c r="E4252" s="24"/>
      <c r="G4252" s="24"/>
      <c r="H4252" s="24"/>
      <c r="J4252" s="24"/>
      <c r="K4252" s="24"/>
      <c r="M4252" s="24"/>
      <c r="N4252" s="24"/>
      <c r="P4252" s="24"/>
    </row>
    <row r="4253" spans="2:16" x14ac:dyDescent="0.25">
      <c r="B4253" s="24"/>
      <c r="E4253" s="24"/>
      <c r="G4253" s="24"/>
      <c r="H4253" s="24"/>
      <c r="J4253" s="24"/>
      <c r="K4253" s="24"/>
      <c r="M4253" s="24"/>
      <c r="N4253" s="24"/>
      <c r="P4253" s="24"/>
    </row>
    <row r="4254" spans="2:16" x14ac:dyDescent="0.25">
      <c r="B4254" s="24"/>
      <c r="E4254" s="24"/>
      <c r="G4254" s="24"/>
      <c r="H4254" s="24"/>
      <c r="J4254" s="24"/>
      <c r="K4254" s="24"/>
      <c r="M4254" s="24"/>
      <c r="N4254" s="24"/>
      <c r="P4254" s="24"/>
    </row>
    <row r="4255" spans="2:16" x14ac:dyDescent="0.25">
      <c r="B4255" s="24"/>
      <c r="E4255" s="24"/>
      <c r="G4255" s="24"/>
      <c r="H4255" s="24"/>
      <c r="J4255" s="24"/>
      <c r="K4255" s="24"/>
      <c r="M4255" s="24"/>
      <c r="N4255" s="24"/>
      <c r="P4255" s="24"/>
    </row>
    <row r="4256" spans="2:16" x14ac:dyDescent="0.25">
      <c r="B4256" s="24"/>
      <c r="E4256" s="24"/>
      <c r="G4256" s="24"/>
      <c r="H4256" s="24"/>
      <c r="J4256" s="24"/>
      <c r="K4256" s="24"/>
      <c r="M4256" s="24"/>
      <c r="N4256" s="24"/>
      <c r="P4256" s="24"/>
    </row>
    <row r="4257" spans="2:16" x14ac:dyDescent="0.25">
      <c r="B4257" s="24"/>
      <c r="E4257" s="24"/>
      <c r="G4257" s="24"/>
      <c r="H4257" s="24"/>
      <c r="J4257" s="24"/>
      <c r="K4257" s="24"/>
      <c r="M4257" s="24"/>
      <c r="N4257" s="24"/>
      <c r="P4257" s="24"/>
    </row>
    <row r="4258" spans="2:16" x14ac:dyDescent="0.25">
      <c r="B4258" s="24"/>
      <c r="E4258" s="24"/>
      <c r="G4258" s="24"/>
      <c r="H4258" s="24"/>
      <c r="J4258" s="24"/>
      <c r="K4258" s="24"/>
      <c r="M4258" s="24"/>
      <c r="N4258" s="24"/>
      <c r="P4258" s="24"/>
    </row>
    <row r="4259" spans="2:16" x14ac:dyDescent="0.25">
      <c r="B4259" s="24"/>
      <c r="E4259" s="24"/>
      <c r="G4259" s="24"/>
      <c r="H4259" s="24"/>
      <c r="J4259" s="24"/>
      <c r="K4259" s="24"/>
      <c r="M4259" s="24"/>
      <c r="N4259" s="24"/>
      <c r="P4259" s="24"/>
    </row>
    <row r="4260" spans="2:16" x14ac:dyDescent="0.25">
      <c r="B4260" s="24"/>
      <c r="E4260" s="24"/>
      <c r="G4260" s="24"/>
      <c r="H4260" s="24"/>
      <c r="J4260" s="24"/>
      <c r="K4260" s="24"/>
      <c r="M4260" s="24"/>
      <c r="N4260" s="24"/>
      <c r="P4260" s="24"/>
    </row>
    <row r="4261" spans="2:16" x14ac:dyDescent="0.25">
      <c r="B4261" s="24"/>
      <c r="E4261" s="24"/>
      <c r="G4261" s="24"/>
      <c r="H4261" s="24"/>
      <c r="J4261" s="24"/>
      <c r="K4261" s="24"/>
      <c r="M4261" s="24"/>
      <c r="N4261" s="24"/>
      <c r="P4261" s="24"/>
    </row>
    <row r="4262" spans="2:16" x14ac:dyDescent="0.25">
      <c r="B4262" s="24"/>
      <c r="E4262" s="24"/>
      <c r="G4262" s="24"/>
      <c r="H4262" s="24"/>
      <c r="J4262" s="24"/>
      <c r="K4262" s="24"/>
      <c r="M4262" s="24"/>
      <c r="N4262" s="24"/>
      <c r="P4262" s="24"/>
    </row>
    <row r="4263" spans="2:16" x14ac:dyDescent="0.25">
      <c r="B4263" s="24"/>
      <c r="E4263" s="24"/>
      <c r="G4263" s="24"/>
      <c r="H4263" s="24"/>
      <c r="J4263" s="24"/>
      <c r="K4263" s="24"/>
      <c r="M4263" s="24"/>
      <c r="N4263" s="24"/>
      <c r="P4263" s="24"/>
    </row>
    <row r="4264" spans="2:16" x14ac:dyDescent="0.25">
      <c r="B4264" s="24"/>
      <c r="E4264" s="24"/>
      <c r="G4264" s="24"/>
      <c r="H4264" s="24"/>
      <c r="J4264" s="24"/>
      <c r="K4264" s="24"/>
      <c r="M4264" s="24"/>
      <c r="N4264" s="24"/>
      <c r="P4264" s="24"/>
    </row>
    <row r="4265" spans="2:16" x14ac:dyDescent="0.25">
      <c r="B4265" s="24"/>
      <c r="E4265" s="24"/>
      <c r="G4265" s="24"/>
      <c r="H4265" s="24"/>
      <c r="J4265" s="24"/>
      <c r="K4265" s="24"/>
      <c r="M4265" s="24"/>
      <c r="N4265" s="24"/>
      <c r="P4265" s="24"/>
    </row>
    <row r="4266" spans="2:16" x14ac:dyDescent="0.25">
      <c r="B4266" s="24"/>
      <c r="E4266" s="24"/>
      <c r="G4266" s="24"/>
      <c r="H4266" s="24"/>
      <c r="J4266" s="24"/>
      <c r="K4266" s="24"/>
      <c r="M4266" s="24"/>
      <c r="N4266" s="24"/>
      <c r="P4266" s="24"/>
    </row>
    <row r="4267" spans="2:16" x14ac:dyDescent="0.25">
      <c r="B4267" s="24"/>
      <c r="E4267" s="24"/>
      <c r="G4267" s="24"/>
      <c r="H4267" s="24"/>
      <c r="J4267" s="24"/>
      <c r="K4267" s="24"/>
      <c r="M4267" s="24"/>
      <c r="N4267" s="24"/>
      <c r="P4267" s="24"/>
    </row>
    <row r="4268" spans="2:16" x14ac:dyDescent="0.25">
      <c r="B4268" s="24"/>
      <c r="E4268" s="24"/>
      <c r="G4268" s="24"/>
      <c r="H4268" s="24"/>
      <c r="J4268" s="24"/>
      <c r="K4268" s="24"/>
      <c r="M4268" s="24"/>
      <c r="N4268" s="24"/>
      <c r="P4268" s="24"/>
    </row>
    <row r="4269" spans="2:16" x14ac:dyDescent="0.25">
      <c r="B4269" s="24"/>
      <c r="E4269" s="24"/>
      <c r="G4269" s="24"/>
      <c r="H4269" s="24"/>
      <c r="J4269" s="24"/>
      <c r="K4269" s="24"/>
      <c r="M4269" s="24"/>
      <c r="N4269" s="24"/>
      <c r="P4269" s="24"/>
    </row>
    <row r="4270" spans="2:16" x14ac:dyDescent="0.25">
      <c r="B4270" s="24"/>
      <c r="E4270" s="24"/>
      <c r="G4270" s="24"/>
      <c r="H4270" s="24"/>
      <c r="J4270" s="24"/>
      <c r="K4270" s="24"/>
      <c r="M4270" s="24"/>
      <c r="N4270" s="24"/>
      <c r="P4270" s="24"/>
    </row>
    <row r="4271" spans="2:16" x14ac:dyDescent="0.25">
      <c r="B4271" s="24"/>
      <c r="E4271" s="24"/>
      <c r="G4271" s="24"/>
      <c r="H4271" s="24"/>
      <c r="J4271" s="24"/>
      <c r="K4271" s="24"/>
      <c r="M4271" s="24"/>
      <c r="N4271" s="24"/>
      <c r="P4271" s="24"/>
    </row>
    <row r="4272" spans="2:16" x14ac:dyDescent="0.25">
      <c r="B4272" s="24"/>
      <c r="E4272" s="24"/>
      <c r="G4272" s="24"/>
      <c r="H4272" s="24"/>
      <c r="J4272" s="24"/>
      <c r="K4272" s="24"/>
      <c r="M4272" s="24"/>
      <c r="N4272" s="24"/>
      <c r="P4272" s="24"/>
    </row>
    <row r="4273" spans="2:16" x14ac:dyDescent="0.25">
      <c r="B4273" s="24"/>
      <c r="E4273" s="24"/>
      <c r="G4273" s="24"/>
      <c r="H4273" s="24"/>
      <c r="J4273" s="24"/>
      <c r="K4273" s="24"/>
      <c r="M4273" s="24"/>
      <c r="N4273" s="24"/>
      <c r="P4273" s="24"/>
    </row>
    <row r="4274" spans="2:16" x14ac:dyDescent="0.25">
      <c r="B4274" s="24"/>
      <c r="E4274" s="24"/>
      <c r="G4274" s="24"/>
      <c r="H4274" s="24"/>
      <c r="J4274" s="24"/>
      <c r="K4274" s="24"/>
      <c r="M4274" s="24"/>
      <c r="N4274" s="24"/>
      <c r="P4274" s="24"/>
    </row>
    <row r="4275" spans="2:16" x14ac:dyDescent="0.25">
      <c r="B4275" s="24"/>
      <c r="E4275" s="24"/>
      <c r="G4275" s="24"/>
      <c r="H4275" s="24"/>
      <c r="J4275" s="24"/>
      <c r="K4275" s="24"/>
      <c r="M4275" s="24"/>
      <c r="N4275" s="24"/>
      <c r="P4275" s="24"/>
    </row>
    <row r="4276" spans="2:16" x14ac:dyDescent="0.25">
      <c r="B4276" s="24"/>
      <c r="E4276" s="24"/>
      <c r="G4276" s="24"/>
      <c r="H4276" s="24"/>
      <c r="J4276" s="24"/>
      <c r="K4276" s="24"/>
      <c r="M4276" s="24"/>
      <c r="N4276" s="24"/>
      <c r="P4276" s="24"/>
    </row>
    <row r="4277" spans="2:16" x14ac:dyDescent="0.25">
      <c r="B4277" s="24"/>
      <c r="E4277" s="24"/>
      <c r="G4277" s="24"/>
      <c r="H4277" s="24"/>
      <c r="J4277" s="24"/>
      <c r="K4277" s="24"/>
      <c r="M4277" s="24"/>
      <c r="N4277" s="24"/>
      <c r="P4277" s="24"/>
    </row>
    <row r="4278" spans="2:16" x14ac:dyDescent="0.25">
      <c r="B4278" s="24"/>
      <c r="E4278" s="24"/>
      <c r="G4278" s="24"/>
      <c r="H4278" s="24"/>
      <c r="J4278" s="24"/>
      <c r="K4278" s="24"/>
      <c r="M4278" s="24"/>
      <c r="N4278" s="24"/>
      <c r="P4278" s="24"/>
    </row>
    <row r="4279" spans="2:16" x14ac:dyDescent="0.25">
      <c r="B4279" s="24"/>
      <c r="E4279" s="24"/>
      <c r="G4279" s="24"/>
      <c r="H4279" s="24"/>
      <c r="J4279" s="24"/>
      <c r="K4279" s="24"/>
      <c r="M4279" s="24"/>
      <c r="N4279" s="24"/>
      <c r="P4279" s="24"/>
    </row>
    <row r="4280" spans="2:16" x14ac:dyDescent="0.25">
      <c r="B4280" s="24"/>
      <c r="E4280" s="24"/>
      <c r="G4280" s="24"/>
      <c r="H4280" s="24"/>
      <c r="J4280" s="24"/>
      <c r="K4280" s="24"/>
      <c r="M4280" s="24"/>
      <c r="N4280" s="24"/>
      <c r="P4280" s="24"/>
    </row>
    <row r="4281" spans="2:16" x14ac:dyDescent="0.25">
      <c r="B4281" s="24"/>
      <c r="E4281" s="24"/>
      <c r="G4281" s="24"/>
      <c r="H4281" s="24"/>
      <c r="J4281" s="24"/>
      <c r="K4281" s="24"/>
      <c r="M4281" s="24"/>
      <c r="N4281" s="24"/>
      <c r="P4281" s="24"/>
    </row>
    <row r="4282" spans="2:16" x14ac:dyDescent="0.25">
      <c r="B4282" s="24"/>
      <c r="E4282" s="24"/>
      <c r="G4282" s="24"/>
      <c r="H4282" s="24"/>
      <c r="J4282" s="24"/>
      <c r="K4282" s="24"/>
      <c r="M4282" s="24"/>
      <c r="N4282" s="24"/>
      <c r="P4282" s="24"/>
    </row>
    <row r="4283" spans="2:16" x14ac:dyDescent="0.25">
      <c r="B4283" s="24"/>
      <c r="E4283" s="24"/>
      <c r="G4283" s="24"/>
      <c r="H4283" s="24"/>
      <c r="J4283" s="24"/>
      <c r="K4283" s="24"/>
      <c r="M4283" s="24"/>
      <c r="N4283" s="24"/>
      <c r="P4283" s="24"/>
    </row>
    <row r="4284" spans="2:16" x14ac:dyDescent="0.25">
      <c r="B4284" s="24"/>
      <c r="E4284" s="24"/>
      <c r="G4284" s="24"/>
      <c r="H4284" s="24"/>
      <c r="J4284" s="24"/>
      <c r="K4284" s="24"/>
      <c r="M4284" s="24"/>
      <c r="N4284" s="24"/>
      <c r="P4284" s="24"/>
    </row>
    <row r="4285" spans="2:16" x14ac:dyDescent="0.25">
      <c r="B4285" s="24"/>
      <c r="E4285" s="24"/>
      <c r="G4285" s="24"/>
      <c r="H4285" s="24"/>
      <c r="J4285" s="24"/>
      <c r="K4285" s="24"/>
      <c r="M4285" s="24"/>
      <c r="N4285" s="24"/>
      <c r="P4285" s="24"/>
    </row>
    <row r="4286" spans="2:16" x14ac:dyDescent="0.25">
      <c r="B4286" s="24"/>
      <c r="E4286" s="24"/>
      <c r="G4286" s="24"/>
      <c r="H4286" s="24"/>
      <c r="J4286" s="24"/>
      <c r="K4286" s="24"/>
      <c r="M4286" s="24"/>
      <c r="N4286" s="24"/>
      <c r="P4286" s="24"/>
    </row>
    <row r="4287" spans="2:16" x14ac:dyDescent="0.25">
      <c r="B4287" s="24"/>
      <c r="E4287" s="24"/>
      <c r="G4287" s="24"/>
      <c r="H4287" s="24"/>
      <c r="J4287" s="24"/>
      <c r="K4287" s="24"/>
      <c r="M4287" s="24"/>
      <c r="N4287" s="24"/>
      <c r="P4287" s="24"/>
    </row>
    <row r="4288" spans="2:16" x14ac:dyDescent="0.25">
      <c r="B4288" s="24"/>
      <c r="E4288" s="24"/>
      <c r="G4288" s="24"/>
      <c r="H4288" s="24"/>
      <c r="J4288" s="24"/>
      <c r="K4288" s="24"/>
      <c r="M4288" s="24"/>
      <c r="N4288" s="24"/>
      <c r="P4288" s="24"/>
    </row>
    <row r="4289" spans="2:16" x14ac:dyDescent="0.25">
      <c r="B4289" s="24"/>
      <c r="E4289" s="24"/>
      <c r="G4289" s="24"/>
      <c r="H4289" s="24"/>
      <c r="J4289" s="24"/>
      <c r="K4289" s="24"/>
      <c r="M4289" s="24"/>
      <c r="N4289" s="24"/>
      <c r="P4289" s="24"/>
    </row>
    <row r="4290" spans="2:16" x14ac:dyDescent="0.25">
      <c r="B4290" s="24"/>
      <c r="E4290" s="24"/>
      <c r="G4290" s="24"/>
      <c r="H4290" s="24"/>
      <c r="J4290" s="24"/>
      <c r="K4290" s="24"/>
      <c r="M4290" s="24"/>
      <c r="N4290" s="24"/>
      <c r="P4290" s="24"/>
    </row>
    <row r="4291" spans="2:16" x14ac:dyDescent="0.25">
      <c r="B4291" s="24"/>
      <c r="E4291" s="24"/>
      <c r="G4291" s="24"/>
      <c r="H4291" s="24"/>
      <c r="J4291" s="24"/>
      <c r="K4291" s="24"/>
      <c r="M4291" s="24"/>
      <c r="N4291" s="24"/>
      <c r="P4291" s="24"/>
    </row>
    <row r="4292" spans="2:16" x14ac:dyDescent="0.25">
      <c r="B4292" s="24"/>
      <c r="E4292" s="24"/>
      <c r="G4292" s="24"/>
      <c r="H4292" s="24"/>
      <c r="J4292" s="24"/>
      <c r="K4292" s="24"/>
      <c r="M4292" s="24"/>
      <c r="N4292" s="24"/>
      <c r="P4292" s="24"/>
    </row>
    <row r="4293" spans="2:16" x14ac:dyDescent="0.25">
      <c r="B4293" s="24"/>
      <c r="E4293" s="24"/>
      <c r="G4293" s="24"/>
      <c r="H4293" s="24"/>
      <c r="J4293" s="24"/>
      <c r="K4293" s="24"/>
      <c r="M4293" s="24"/>
      <c r="N4293" s="24"/>
      <c r="P4293" s="24"/>
    </row>
    <row r="4294" spans="2:16" x14ac:dyDescent="0.25">
      <c r="B4294" s="24"/>
      <c r="E4294" s="24"/>
      <c r="G4294" s="24"/>
      <c r="H4294" s="24"/>
      <c r="J4294" s="24"/>
      <c r="K4294" s="24"/>
      <c r="M4294" s="24"/>
      <c r="N4294" s="24"/>
      <c r="P4294" s="24"/>
    </row>
    <row r="4295" spans="2:16" x14ac:dyDescent="0.25">
      <c r="B4295" s="24"/>
      <c r="E4295" s="24"/>
      <c r="G4295" s="24"/>
      <c r="H4295" s="24"/>
      <c r="J4295" s="24"/>
      <c r="K4295" s="24"/>
      <c r="M4295" s="24"/>
      <c r="N4295" s="24"/>
      <c r="P4295" s="24"/>
    </row>
    <row r="4296" spans="2:16" x14ac:dyDescent="0.25">
      <c r="B4296" s="24"/>
      <c r="E4296" s="24"/>
      <c r="G4296" s="24"/>
      <c r="H4296" s="24"/>
      <c r="J4296" s="24"/>
      <c r="K4296" s="24"/>
      <c r="M4296" s="24"/>
      <c r="N4296" s="24"/>
      <c r="P4296" s="24"/>
    </row>
    <row r="4297" spans="2:16" x14ac:dyDescent="0.25">
      <c r="B4297" s="24"/>
      <c r="E4297" s="24"/>
      <c r="G4297" s="24"/>
      <c r="H4297" s="24"/>
      <c r="J4297" s="24"/>
      <c r="K4297" s="24"/>
      <c r="M4297" s="24"/>
      <c r="N4297" s="24"/>
      <c r="P4297" s="24"/>
    </row>
    <row r="4298" spans="2:16" x14ac:dyDescent="0.25">
      <c r="B4298" s="24"/>
      <c r="E4298" s="24"/>
      <c r="G4298" s="24"/>
      <c r="H4298" s="24"/>
      <c r="J4298" s="24"/>
      <c r="K4298" s="24"/>
      <c r="M4298" s="24"/>
      <c r="N4298" s="24"/>
      <c r="P4298" s="24"/>
    </row>
    <row r="4299" spans="2:16" x14ac:dyDescent="0.25">
      <c r="B4299" s="24"/>
      <c r="E4299" s="24"/>
      <c r="G4299" s="24"/>
      <c r="H4299" s="24"/>
      <c r="J4299" s="24"/>
      <c r="K4299" s="24"/>
      <c r="M4299" s="24"/>
      <c r="N4299" s="24"/>
      <c r="P4299" s="24"/>
    </row>
    <row r="4300" spans="2:16" x14ac:dyDescent="0.25">
      <c r="B4300" s="24"/>
      <c r="E4300" s="24"/>
      <c r="G4300" s="24"/>
      <c r="H4300" s="24"/>
      <c r="J4300" s="24"/>
      <c r="K4300" s="24"/>
      <c r="M4300" s="24"/>
      <c r="N4300" s="24"/>
      <c r="P4300" s="24"/>
    </row>
    <row r="4301" spans="2:16" x14ac:dyDescent="0.25">
      <c r="B4301" s="24"/>
      <c r="E4301" s="24"/>
      <c r="G4301" s="24"/>
      <c r="H4301" s="24"/>
      <c r="J4301" s="24"/>
      <c r="K4301" s="24"/>
      <c r="M4301" s="24"/>
      <c r="N4301" s="24"/>
      <c r="P4301" s="24"/>
    </row>
    <row r="4302" spans="2:16" x14ac:dyDescent="0.25">
      <c r="B4302" s="24"/>
      <c r="E4302" s="24"/>
      <c r="G4302" s="24"/>
      <c r="H4302" s="24"/>
      <c r="J4302" s="24"/>
      <c r="K4302" s="24"/>
      <c r="M4302" s="24"/>
      <c r="N4302" s="24"/>
      <c r="P4302" s="24"/>
    </row>
    <row r="4303" spans="2:16" x14ac:dyDescent="0.25">
      <c r="B4303" s="24"/>
      <c r="E4303" s="24"/>
      <c r="G4303" s="24"/>
      <c r="H4303" s="24"/>
      <c r="J4303" s="24"/>
      <c r="K4303" s="24"/>
      <c r="M4303" s="24"/>
      <c r="N4303" s="24"/>
      <c r="P4303" s="24"/>
    </row>
    <row r="4304" spans="2:16" x14ac:dyDescent="0.25">
      <c r="B4304" s="24"/>
      <c r="E4304" s="24"/>
      <c r="G4304" s="24"/>
      <c r="H4304" s="24"/>
      <c r="J4304" s="24"/>
      <c r="K4304" s="24"/>
      <c r="M4304" s="24"/>
      <c r="N4304" s="24"/>
      <c r="P4304" s="24"/>
    </row>
    <row r="4305" spans="2:16" x14ac:dyDescent="0.25">
      <c r="B4305" s="24"/>
      <c r="E4305" s="24"/>
      <c r="G4305" s="24"/>
      <c r="H4305" s="24"/>
      <c r="J4305" s="24"/>
      <c r="K4305" s="24"/>
      <c r="M4305" s="24"/>
      <c r="N4305" s="24"/>
      <c r="P4305" s="24"/>
    </row>
    <row r="4306" spans="2:16" x14ac:dyDescent="0.25">
      <c r="B4306" s="24"/>
      <c r="E4306" s="24"/>
      <c r="G4306" s="24"/>
      <c r="H4306" s="24"/>
      <c r="J4306" s="24"/>
      <c r="K4306" s="24"/>
      <c r="M4306" s="24"/>
      <c r="N4306" s="24"/>
      <c r="P4306" s="24"/>
    </row>
    <row r="4307" spans="2:16" x14ac:dyDescent="0.25">
      <c r="B4307" s="24"/>
      <c r="E4307" s="24"/>
      <c r="G4307" s="24"/>
      <c r="H4307" s="24"/>
      <c r="J4307" s="24"/>
      <c r="K4307" s="24"/>
      <c r="M4307" s="24"/>
      <c r="N4307" s="24"/>
      <c r="P4307" s="24"/>
    </row>
    <row r="4308" spans="2:16" x14ac:dyDescent="0.25">
      <c r="B4308" s="24"/>
      <c r="E4308" s="24"/>
      <c r="G4308" s="24"/>
      <c r="H4308" s="24"/>
      <c r="J4308" s="24"/>
      <c r="K4308" s="24"/>
      <c r="M4308" s="24"/>
      <c r="N4308" s="24"/>
      <c r="P4308" s="24"/>
    </row>
    <row r="4309" spans="2:16" x14ac:dyDescent="0.25">
      <c r="B4309" s="24"/>
      <c r="E4309" s="24"/>
      <c r="G4309" s="24"/>
      <c r="H4309" s="24"/>
      <c r="J4309" s="24"/>
      <c r="K4309" s="24"/>
      <c r="M4309" s="24"/>
      <c r="N4309" s="24"/>
      <c r="P4309" s="24"/>
    </row>
    <row r="4310" spans="2:16" x14ac:dyDescent="0.25">
      <c r="B4310" s="24"/>
      <c r="E4310" s="24"/>
      <c r="G4310" s="24"/>
      <c r="H4310" s="24"/>
      <c r="J4310" s="24"/>
      <c r="K4310" s="24"/>
      <c r="M4310" s="24"/>
      <c r="N4310" s="24"/>
      <c r="P4310" s="24"/>
    </row>
    <row r="4311" spans="2:16" x14ac:dyDescent="0.25">
      <c r="B4311" s="24"/>
      <c r="E4311" s="24"/>
      <c r="G4311" s="24"/>
      <c r="H4311" s="24"/>
      <c r="J4311" s="24"/>
      <c r="K4311" s="24"/>
      <c r="M4311" s="24"/>
      <c r="N4311" s="24"/>
      <c r="P4311" s="24"/>
    </row>
    <row r="4312" spans="2:16" x14ac:dyDescent="0.25">
      <c r="B4312" s="24"/>
      <c r="E4312" s="24"/>
      <c r="G4312" s="24"/>
      <c r="H4312" s="24"/>
      <c r="J4312" s="24"/>
      <c r="K4312" s="24"/>
      <c r="M4312" s="24"/>
      <c r="N4312" s="24"/>
      <c r="P4312" s="24"/>
    </row>
    <row r="4313" spans="2:16" x14ac:dyDescent="0.25">
      <c r="B4313" s="24"/>
      <c r="E4313" s="24"/>
      <c r="G4313" s="24"/>
      <c r="H4313" s="24"/>
      <c r="J4313" s="24"/>
      <c r="K4313" s="24"/>
      <c r="M4313" s="24"/>
      <c r="N4313" s="24"/>
      <c r="P4313" s="24"/>
    </row>
    <row r="4314" spans="2:16" x14ac:dyDescent="0.25">
      <c r="B4314" s="24"/>
      <c r="E4314" s="24"/>
      <c r="G4314" s="24"/>
      <c r="H4314" s="24"/>
      <c r="J4314" s="24"/>
      <c r="K4314" s="24"/>
      <c r="M4314" s="24"/>
      <c r="N4314" s="24"/>
      <c r="P4314" s="24"/>
    </row>
    <row r="4315" spans="2:16" x14ac:dyDescent="0.25">
      <c r="B4315" s="24"/>
      <c r="E4315" s="24"/>
      <c r="G4315" s="24"/>
      <c r="H4315" s="24"/>
      <c r="J4315" s="24"/>
      <c r="K4315" s="24"/>
      <c r="M4315" s="24"/>
      <c r="N4315" s="24"/>
      <c r="P4315" s="24"/>
    </row>
    <row r="4316" spans="2:16" x14ac:dyDescent="0.25">
      <c r="B4316" s="24"/>
      <c r="E4316" s="24"/>
      <c r="G4316" s="24"/>
      <c r="H4316" s="24"/>
      <c r="J4316" s="24"/>
      <c r="K4316" s="24"/>
      <c r="M4316" s="24"/>
      <c r="N4316" s="24"/>
      <c r="P4316" s="24"/>
    </row>
    <row r="4317" spans="2:16" x14ac:dyDescent="0.25">
      <c r="B4317" s="24"/>
      <c r="E4317" s="24"/>
      <c r="G4317" s="24"/>
      <c r="H4317" s="24"/>
      <c r="J4317" s="24"/>
      <c r="K4317" s="24"/>
      <c r="M4317" s="24"/>
      <c r="N4317" s="24"/>
      <c r="P4317" s="24"/>
    </row>
    <row r="4318" spans="2:16" x14ac:dyDescent="0.25">
      <c r="B4318" s="24"/>
      <c r="E4318" s="24"/>
      <c r="G4318" s="24"/>
      <c r="H4318" s="24"/>
      <c r="J4318" s="24"/>
      <c r="K4318" s="24"/>
      <c r="M4318" s="24"/>
      <c r="N4318" s="24"/>
      <c r="P4318" s="24"/>
    </row>
    <row r="4319" spans="2:16" x14ac:dyDescent="0.25">
      <c r="B4319" s="24"/>
      <c r="E4319" s="24"/>
      <c r="G4319" s="24"/>
      <c r="H4319" s="24"/>
      <c r="J4319" s="24"/>
      <c r="K4319" s="24"/>
      <c r="M4319" s="24"/>
      <c r="N4319" s="24"/>
      <c r="P4319" s="24"/>
    </row>
    <row r="4320" spans="2:16" x14ac:dyDescent="0.25">
      <c r="B4320" s="24"/>
      <c r="E4320" s="24"/>
      <c r="G4320" s="24"/>
      <c r="H4320" s="24"/>
      <c r="J4320" s="24"/>
      <c r="K4320" s="24"/>
      <c r="M4320" s="24"/>
      <c r="N4320" s="24"/>
      <c r="P4320" s="24"/>
    </row>
    <row r="4321" spans="2:16" x14ac:dyDescent="0.25">
      <c r="B4321" s="24"/>
      <c r="E4321" s="24"/>
      <c r="G4321" s="24"/>
      <c r="H4321" s="24"/>
      <c r="J4321" s="24"/>
      <c r="K4321" s="24"/>
      <c r="M4321" s="24"/>
      <c r="N4321" s="24"/>
      <c r="P4321" s="24"/>
    </row>
    <row r="4322" spans="2:16" x14ac:dyDescent="0.25">
      <c r="B4322" s="24"/>
      <c r="E4322" s="24"/>
      <c r="G4322" s="24"/>
      <c r="H4322" s="24"/>
      <c r="J4322" s="24"/>
      <c r="K4322" s="24"/>
      <c r="M4322" s="24"/>
      <c r="N4322" s="24"/>
      <c r="P4322" s="24"/>
    </row>
    <row r="4323" spans="2:16" x14ac:dyDescent="0.25">
      <c r="B4323" s="24"/>
      <c r="E4323" s="24"/>
      <c r="G4323" s="24"/>
      <c r="H4323" s="24"/>
      <c r="J4323" s="24"/>
      <c r="K4323" s="24"/>
      <c r="M4323" s="24"/>
      <c r="N4323" s="24"/>
      <c r="P4323" s="24"/>
    </row>
    <row r="4324" spans="2:16" x14ac:dyDescent="0.25">
      <c r="B4324" s="24"/>
      <c r="E4324" s="24"/>
      <c r="G4324" s="24"/>
      <c r="H4324" s="24"/>
      <c r="J4324" s="24"/>
      <c r="K4324" s="24"/>
      <c r="M4324" s="24"/>
      <c r="N4324" s="24"/>
      <c r="P4324" s="24"/>
    </row>
    <row r="4325" spans="2:16" x14ac:dyDescent="0.25">
      <c r="B4325" s="24"/>
      <c r="E4325" s="24"/>
      <c r="G4325" s="24"/>
      <c r="H4325" s="24"/>
      <c r="J4325" s="24"/>
      <c r="K4325" s="24"/>
      <c r="M4325" s="24"/>
      <c r="N4325" s="24"/>
      <c r="P4325" s="24"/>
    </row>
    <row r="4326" spans="2:16" x14ac:dyDescent="0.25">
      <c r="B4326" s="24"/>
      <c r="E4326" s="24"/>
      <c r="G4326" s="24"/>
      <c r="H4326" s="24"/>
      <c r="J4326" s="24"/>
      <c r="K4326" s="24"/>
      <c r="M4326" s="24"/>
      <c r="N4326" s="24"/>
      <c r="P4326" s="24"/>
    </row>
    <row r="4327" spans="2:16" x14ac:dyDescent="0.25">
      <c r="B4327" s="24"/>
      <c r="E4327" s="24"/>
      <c r="G4327" s="24"/>
      <c r="H4327" s="24"/>
      <c r="J4327" s="24"/>
      <c r="K4327" s="24"/>
      <c r="M4327" s="24"/>
      <c r="N4327" s="24"/>
      <c r="P4327" s="24"/>
    </row>
    <row r="4328" spans="2:16" x14ac:dyDescent="0.25">
      <c r="B4328" s="24"/>
      <c r="E4328" s="24"/>
      <c r="G4328" s="24"/>
      <c r="H4328" s="24"/>
      <c r="J4328" s="24"/>
      <c r="K4328" s="24"/>
      <c r="M4328" s="24"/>
      <c r="N4328" s="24"/>
      <c r="P4328" s="24"/>
    </row>
    <row r="4329" spans="2:16" x14ac:dyDescent="0.25">
      <c r="B4329" s="24"/>
      <c r="E4329" s="24"/>
      <c r="G4329" s="24"/>
      <c r="H4329" s="24"/>
      <c r="J4329" s="24"/>
      <c r="K4329" s="24"/>
      <c r="M4329" s="24"/>
      <c r="N4329" s="24"/>
      <c r="P4329" s="24"/>
    </row>
    <row r="4330" spans="2:16" x14ac:dyDescent="0.25">
      <c r="B4330" s="24"/>
      <c r="E4330" s="24"/>
      <c r="G4330" s="24"/>
      <c r="H4330" s="24"/>
      <c r="J4330" s="24"/>
      <c r="K4330" s="24"/>
      <c r="M4330" s="24"/>
      <c r="N4330" s="24"/>
      <c r="P4330" s="24"/>
    </row>
    <row r="4331" spans="2:16" x14ac:dyDescent="0.25">
      <c r="B4331" s="24"/>
      <c r="E4331" s="24"/>
      <c r="G4331" s="24"/>
      <c r="H4331" s="24"/>
      <c r="J4331" s="24"/>
      <c r="K4331" s="24"/>
      <c r="M4331" s="24"/>
      <c r="N4331" s="24"/>
      <c r="P4331" s="24"/>
    </row>
    <row r="4332" spans="2:16" x14ac:dyDescent="0.25">
      <c r="B4332" s="24"/>
      <c r="E4332" s="24"/>
      <c r="G4332" s="24"/>
      <c r="H4332" s="24"/>
      <c r="J4332" s="24"/>
      <c r="K4332" s="24"/>
      <c r="M4332" s="24"/>
      <c r="N4332" s="24"/>
      <c r="P4332" s="24"/>
    </row>
    <row r="4333" spans="2:16" x14ac:dyDescent="0.25">
      <c r="B4333" s="24"/>
      <c r="E4333" s="24"/>
      <c r="G4333" s="24"/>
      <c r="H4333" s="24"/>
      <c r="J4333" s="24"/>
      <c r="K4333" s="24"/>
      <c r="M4333" s="24"/>
      <c r="N4333" s="24"/>
      <c r="P4333" s="24"/>
    </row>
    <row r="4334" spans="2:16" x14ac:dyDescent="0.25">
      <c r="B4334" s="24"/>
      <c r="E4334" s="24"/>
      <c r="G4334" s="24"/>
      <c r="H4334" s="24"/>
      <c r="J4334" s="24"/>
      <c r="K4334" s="24"/>
      <c r="M4334" s="24"/>
      <c r="N4334" s="24"/>
      <c r="P4334" s="24"/>
    </row>
    <row r="4335" spans="2:16" x14ac:dyDescent="0.25">
      <c r="B4335" s="24"/>
      <c r="E4335" s="24"/>
      <c r="G4335" s="24"/>
      <c r="H4335" s="24"/>
      <c r="J4335" s="24"/>
      <c r="K4335" s="24"/>
      <c r="M4335" s="24"/>
      <c r="N4335" s="24"/>
      <c r="P4335" s="24"/>
    </row>
    <row r="4336" spans="2:16" x14ac:dyDescent="0.25">
      <c r="B4336" s="24"/>
      <c r="E4336" s="24"/>
      <c r="G4336" s="24"/>
      <c r="H4336" s="24"/>
      <c r="J4336" s="24"/>
      <c r="K4336" s="24"/>
      <c r="M4336" s="24"/>
      <c r="N4336" s="24"/>
      <c r="P4336" s="24"/>
    </row>
    <row r="4337" spans="2:16" x14ac:dyDescent="0.25">
      <c r="B4337" s="24"/>
      <c r="E4337" s="24"/>
      <c r="G4337" s="24"/>
      <c r="H4337" s="24"/>
      <c r="J4337" s="24"/>
      <c r="K4337" s="24"/>
      <c r="M4337" s="24"/>
      <c r="N4337" s="24"/>
      <c r="P4337" s="24"/>
    </row>
    <row r="4338" spans="2:16" x14ac:dyDescent="0.25">
      <c r="B4338" s="24"/>
      <c r="E4338" s="24"/>
      <c r="G4338" s="24"/>
      <c r="H4338" s="24"/>
      <c r="J4338" s="24"/>
      <c r="K4338" s="24"/>
      <c r="M4338" s="24"/>
      <c r="N4338" s="24"/>
      <c r="P4338" s="24"/>
    </row>
    <row r="4339" spans="2:16" x14ac:dyDescent="0.25">
      <c r="B4339" s="24"/>
      <c r="E4339" s="24"/>
      <c r="G4339" s="24"/>
      <c r="H4339" s="24"/>
      <c r="J4339" s="24"/>
      <c r="K4339" s="24"/>
      <c r="M4339" s="24"/>
      <c r="N4339" s="24"/>
      <c r="P4339" s="24"/>
    </row>
    <row r="4340" spans="2:16" x14ac:dyDescent="0.25">
      <c r="B4340" s="24"/>
      <c r="E4340" s="24"/>
      <c r="G4340" s="24"/>
      <c r="H4340" s="24"/>
      <c r="J4340" s="24"/>
      <c r="K4340" s="24"/>
      <c r="M4340" s="24"/>
      <c r="N4340" s="24"/>
      <c r="P4340" s="24"/>
    </row>
    <row r="4341" spans="2:16" x14ac:dyDescent="0.25">
      <c r="B4341" s="24"/>
      <c r="E4341" s="24"/>
      <c r="G4341" s="24"/>
      <c r="H4341" s="24"/>
      <c r="J4341" s="24"/>
      <c r="K4341" s="24"/>
      <c r="M4341" s="24"/>
      <c r="N4341" s="24"/>
      <c r="P4341" s="24"/>
    </row>
    <row r="4342" spans="2:16" x14ac:dyDescent="0.25">
      <c r="B4342" s="24"/>
      <c r="E4342" s="24"/>
      <c r="G4342" s="24"/>
      <c r="H4342" s="24"/>
      <c r="J4342" s="24"/>
      <c r="K4342" s="24"/>
      <c r="M4342" s="24"/>
      <c r="N4342" s="24"/>
      <c r="P4342" s="24"/>
    </row>
    <row r="4343" spans="2:16" x14ac:dyDescent="0.25">
      <c r="B4343" s="24"/>
      <c r="E4343" s="24"/>
      <c r="G4343" s="24"/>
      <c r="H4343" s="24"/>
      <c r="J4343" s="24"/>
      <c r="K4343" s="24"/>
      <c r="M4343" s="24"/>
      <c r="N4343" s="24"/>
      <c r="P4343" s="24"/>
    </row>
    <row r="4344" spans="2:16" x14ac:dyDescent="0.25">
      <c r="B4344" s="24"/>
      <c r="E4344" s="24"/>
      <c r="G4344" s="24"/>
      <c r="H4344" s="24"/>
      <c r="J4344" s="24"/>
      <c r="K4344" s="24"/>
      <c r="M4344" s="24"/>
      <c r="N4344" s="24"/>
      <c r="P4344" s="24"/>
    </row>
    <row r="4345" spans="2:16" x14ac:dyDescent="0.25">
      <c r="B4345" s="24"/>
      <c r="E4345" s="24"/>
      <c r="G4345" s="24"/>
      <c r="H4345" s="24"/>
      <c r="J4345" s="24"/>
      <c r="K4345" s="24"/>
      <c r="M4345" s="24"/>
      <c r="N4345" s="24"/>
      <c r="P4345" s="24"/>
    </row>
    <row r="4346" spans="2:16" x14ac:dyDescent="0.25">
      <c r="B4346" s="24"/>
      <c r="E4346" s="24"/>
      <c r="G4346" s="24"/>
      <c r="H4346" s="24"/>
      <c r="J4346" s="24"/>
      <c r="K4346" s="24"/>
      <c r="M4346" s="24"/>
      <c r="N4346" s="24"/>
      <c r="P4346" s="24"/>
    </row>
    <row r="4347" spans="2:16" x14ac:dyDescent="0.25">
      <c r="B4347" s="24"/>
      <c r="E4347" s="24"/>
      <c r="G4347" s="24"/>
      <c r="H4347" s="24"/>
      <c r="J4347" s="24"/>
      <c r="K4347" s="24"/>
      <c r="M4347" s="24"/>
      <c r="N4347" s="24"/>
      <c r="P4347" s="24"/>
    </row>
    <row r="4348" spans="2:16" x14ac:dyDescent="0.25">
      <c r="B4348" s="24"/>
      <c r="E4348" s="24"/>
      <c r="G4348" s="24"/>
      <c r="H4348" s="24"/>
      <c r="J4348" s="24"/>
      <c r="K4348" s="24"/>
      <c r="M4348" s="24"/>
      <c r="N4348" s="24"/>
      <c r="P4348" s="24"/>
    </row>
    <row r="4349" spans="2:16" x14ac:dyDescent="0.25">
      <c r="B4349" s="24"/>
      <c r="E4349" s="24"/>
      <c r="G4349" s="24"/>
      <c r="H4349" s="24"/>
      <c r="J4349" s="24"/>
      <c r="K4349" s="24"/>
      <c r="M4349" s="24"/>
      <c r="N4349" s="24"/>
      <c r="P4349" s="24"/>
    </row>
    <row r="4350" spans="2:16" x14ac:dyDescent="0.25">
      <c r="B4350" s="24"/>
      <c r="E4350" s="24"/>
      <c r="G4350" s="24"/>
      <c r="H4350" s="24"/>
      <c r="J4350" s="24"/>
      <c r="K4350" s="24"/>
      <c r="M4350" s="24"/>
      <c r="N4350" s="24"/>
      <c r="P4350" s="24"/>
    </row>
    <row r="4351" spans="2:16" x14ac:dyDescent="0.25">
      <c r="B4351" s="24"/>
      <c r="E4351" s="24"/>
      <c r="G4351" s="24"/>
      <c r="H4351" s="24"/>
      <c r="J4351" s="24"/>
      <c r="K4351" s="24"/>
      <c r="M4351" s="24"/>
      <c r="N4351" s="24"/>
      <c r="P4351" s="24"/>
    </row>
    <row r="4352" spans="2:16" x14ac:dyDescent="0.25">
      <c r="B4352" s="24"/>
      <c r="E4352" s="24"/>
      <c r="G4352" s="24"/>
      <c r="H4352" s="24"/>
      <c r="J4352" s="24"/>
      <c r="K4352" s="24"/>
      <c r="M4352" s="24"/>
      <c r="N4352" s="24"/>
      <c r="P4352" s="24"/>
    </row>
    <row r="4353" spans="2:16" x14ac:dyDescent="0.25">
      <c r="B4353" s="24"/>
      <c r="E4353" s="24"/>
      <c r="G4353" s="24"/>
      <c r="H4353" s="24"/>
      <c r="J4353" s="24"/>
      <c r="K4353" s="24"/>
      <c r="M4353" s="24"/>
      <c r="N4353" s="24"/>
      <c r="P4353" s="24"/>
    </row>
    <row r="4354" spans="2:16" x14ac:dyDescent="0.25">
      <c r="B4354" s="24"/>
      <c r="E4354" s="24"/>
      <c r="G4354" s="24"/>
      <c r="H4354" s="24"/>
      <c r="J4354" s="24"/>
      <c r="K4354" s="24"/>
      <c r="M4354" s="24"/>
      <c r="N4354" s="24"/>
      <c r="P4354" s="24"/>
    </row>
    <row r="4355" spans="2:16" x14ac:dyDescent="0.25">
      <c r="B4355" s="24"/>
      <c r="E4355" s="24"/>
      <c r="G4355" s="24"/>
      <c r="H4355" s="24"/>
      <c r="J4355" s="24"/>
      <c r="K4355" s="24"/>
      <c r="M4355" s="24"/>
      <c r="N4355" s="24"/>
      <c r="P4355" s="24"/>
    </row>
    <row r="4356" spans="2:16" x14ac:dyDescent="0.25">
      <c r="B4356" s="24"/>
      <c r="E4356" s="24"/>
      <c r="G4356" s="24"/>
      <c r="H4356" s="24"/>
      <c r="J4356" s="24"/>
      <c r="K4356" s="24"/>
      <c r="M4356" s="24"/>
      <c r="N4356" s="24"/>
      <c r="P4356" s="24"/>
    </row>
    <row r="4357" spans="2:16" x14ac:dyDescent="0.25">
      <c r="B4357" s="24"/>
      <c r="E4357" s="24"/>
      <c r="G4357" s="24"/>
      <c r="H4357" s="24"/>
      <c r="J4357" s="24"/>
      <c r="K4357" s="24"/>
      <c r="M4357" s="24"/>
      <c r="N4357" s="24"/>
      <c r="P4357" s="24"/>
    </row>
    <row r="4358" spans="2:16" x14ac:dyDescent="0.25">
      <c r="B4358" s="24"/>
      <c r="E4358" s="24"/>
      <c r="G4358" s="24"/>
      <c r="H4358" s="24"/>
      <c r="J4358" s="24"/>
      <c r="K4358" s="24"/>
      <c r="M4358" s="24"/>
      <c r="N4358" s="24"/>
      <c r="P4358" s="24"/>
    </row>
    <row r="4359" spans="2:16" x14ac:dyDescent="0.25">
      <c r="B4359" s="24"/>
      <c r="E4359" s="24"/>
      <c r="G4359" s="24"/>
      <c r="H4359" s="24"/>
      <c r="J4359" s="24"/>
      <c r="K4359" s="24"/>
      <c r="M4359" s="24"/>
      <c r="N4359" s="24"/>
      <c r="P4359" s="24"/>
    </row>
    <row r="4360" spans="2:16" x14ac:dyDescent="0.25">
      <c r="B4360" s="24"/>
      <c r="E4360" s="24"/>
      <c r="G4360" s="24"/>
      <c r="H4360" s="24"/>
      <c r="J4360" s="24"/>
      <c r="K4360" s="24"/>
      <c r="M4360" s="24"/>
      <c r="N4360" s="24"/>
      <c r="P4360" s="24"/>
    </row>
    <row r="4361" spans="2:16" x14ac:dyDescent="0.25">
      <c r="B4361" s="24"/>
      <c r="E4361" s="24"/>
      <c r="G4361" s="24"/>
      <c r="H4361" s="24"/>
      <c r="J4361" s="24"/>
      <c r="K4361" s="24"/>
      <c r="M4361" s="24"/>
      <c r="N4361" s="24"/>
      <c r="P4361" s="24"/>
    </row>
    <row r="4362" spans="2:16" x14ac:dyDescent="0.25">
      <c r="B4362" s="24"/>
      <c r="E4362" s="24"/>
      <c r="G4362" s="24"/>
      <c r="H4362" s="24"/>
      <c r="J4362" s="24"/>
      <c r="K4362" s="24"/>
      <c r="M4362" s="24"/>
      <c r="N4362" s="24"/>
      <c r="P4362" s="24"/>
    </row>
    <row r="4363" spans="2:16" x14ac:dyDescent="0.25">
      <c r="B4363" s="24"/>
      <c r="E4363" s="24"/>
      <c r="G4363" s="24"/>
      <c r="H4363" s="24"/>
      <c r="J4363" s="24"/>
      <c r="K4363" s="24"/>
      <c r="M4363" s="24"/>
      <c r="N4363" s="24"/>
      <c r="P4363" s="24"/>
    </row>
    <row r="4364" spans="2:16" x14ac:dyDescent="0.25">
      <c r="B4364" s="24"/>
      <c r="E4364" s="24"/>
      <c r="G4364" s="24"/>
      <c r="H4364" s="24"/>
      <c r="J4364" s="24"/>
      <c r="K4364" s="24"/>
      <c r="M4364" s="24"/>
      <c r="N4364" s="24"/>
      <c r="P4364" s="24"/>
    </row>
    <row r="4365" spans="2:16" x14ac:dyDescent="0.25">
      <c r="B4365" s="24"/>
      <c r="E4365" s="24"/>
      <c r="G4365" s="24"/>
      <c r="H4365" s="24"/>
      <c r="J4365" s="24"/>
      <c r="K4365" s="24"/>
      <c r="M4365" s="24"/>
      <c r="N4365" s="24"/>
      <c r="P4365" s="24"/>
    </row>
    <row r="4366" spans="2:16" x14ac:dyDescent="0.25">
      <c r="B4366" s="24"/>
      <c r="E4366" s="24"/>
      <c r="G4366" s="24"/>
      <c r="H4366" s="24"/>
      <c r="J4366" s="24"/>
      <c r="K4366" s="24"/>
      <c r="M4366" s="24"/>
      <c r="N4366" s="24"/>
      <c r="P4366" s="24"/>
    </row>
    <row r="4367" spans="2:16" x14ac:dyDescent="0.25">
      <c r="B4367" s="24"/>
      <c r="E4367" s="24"/>
      <c r="G4367" s="24"/>
      <c r="H4367" s="24"/>
      <c r="J4367" s="24"/>
      <c r="K4367" s="24"/>
      <c r="M4367" s="24"/>
      <c r="N4367" s="24"/>
      <c r="P4367" s="24"/>
    </row>
    <row r="4368" spans="2:16" x14ac:dyDescent="0.25">
      <c r="B4368" s="24"/>
      <c r="E4368" s="24"/>
      <c r="G4368" s="24"/>
      <c r="H4368" s="24"/>
      <c r="J4368" s="24"/>
      <c r="K4368" s="24"/>
      <c r="M4368" s="24"/>
      <c r="N4368" s="24"/>
      <c r="P4368" s="24"/>
    </row>
    <row r="4369" spans="2:16" x14ac:dyDescent="0.25">
      <c r="B4369" s="24"/>
      <c r="E4369" s="24"/>
      <c r="G4369" s="24"/>
      <c r="H4369" s="24"/>
      <c r="J4369" s="24"/>
      <c r="K4369" s="24"/>
      <c r="M4369" s="24"/>
      <c r="N4369" s="24"/>
      <c r="P4369" s="24"/>
    </row>
    <row r="4370" spans="2:16" x14ac:dyDescent="0.25">
      <c r="B4370" s="24"/>
      <c r="E4370" s="24"/>
      <c r="G4370" s="24"/>
      <c r="H4370" s="24"/>
      <c r="J4370" s="24"/>
      <c r="K4370" s="24"/>
      <c r="M4370" s="24"/>
      <c r="N4370" s="24"/>
      <c r="P4370" s="24"/>
    </row>
    <row r="4371" spans="2:16" x14ac:dyDescent="0.25">
      <c r="B4371" s="24"/>
      <c r="E4371" s="24"/>
      <c r="G4371" s="24"/>
      <c r="H4371" s="24"/>
      <c r="J4371" s="24"/>
      <c r="K4371" s="24"/>
      <c r="M4371" s="24"/>
      <c r="N4371" s="24"/>
      <c r="P4371" s="24"/>
    </row>
    <row r="4372" spans="2:16" x14ac:dyDescent="0.25">
      <c r="B4372" s="24"/>
      <c r="E4372" s="24"/>
      <c r="G4372" s="24"/>
      <c r="H4372" s="24"/>
      <c r="J4372" s="24"/>
      <c r="K4372" s="24"/>
      <c r="M4372" s="24"/>
      <c r="N4372" s="24"/>
      <c r="P4372" s="24"/>
    </row>
    <row r="4373" spans="2:16" x14ac:dyDescent="0.25">
      <c r="B4373" s="24"/>
      <c r="E4373" s="24"/>
      <c r="G4373" s="24"/>
      <c r="H4373" s="24"/>
      <c r="J4373" s="24"/>
      <c r="K4373" s="24"/>
      <c r="M4373" s="24"/>
      <c r="N4373" s="24"/>
      <c r="P4373" s="24"/>
    </row>
    <row r="4374" spans="2:16" x14ac:dyDescent="0.25">
      <c r="B4374" s="24"/>
      <c r="E4374" s="24"/>
      <c r="G4374" s="24"/>
      <c r="H4374" s="24"/>
      <c r="J4374" s="24"/>
      <c r="K4374" s="24"/>
      <c r="M4374" s="24"/>
      <c r="N4374" s="24"/>
      <c r="P4374" s="24"/>
    </row>
    <row r="4375" spans="2:16" x14ac:dyDescent="0.25">
      <c r="B4375" s="24"/>
      <c r="E4375" s="24"/>
      <c r="G4375" s="24"/>
      <c r="H4375" s="24"/>
      <c r="J4375" s="24"/>
      <c r="K4375" s="24"/>
      <c r="M4375" s="24"/>
      <c r="N4375" s="24"/>
      <c r="P4375" s="24"/>
    </row>
    <row r="4376" spans="2:16" x14ac:dyDescent="0.25">
      <c r="B4376" s="24"/>
      <c r="E4376" s="24"/>
      <c r="G4376" s="24"/>
      <c r="H4376" s="24"/>
      <c r="J4376" s="24"/>
      <c r="K4376" s="24"/>
      <c r="M4376" s="24"/>
      <c r="N4376" s="24"/>
      <c r="P4376" s="24"/>
    </row>
    <row r="4377" spans="2:16" x14ac:dyDescent="0.25">
      <c r="B4377" s="24"/>
      <c r="E4377" s="24"/>
      <c r="G4377" s="24"/>
      <c r="H4377" s="24"/>
      <c r="J4377" s="24"/>
      <c r="K4377" s="24"/>
      <c r="M4377" s="24"/>
      <c r="N4377" s="24"/>
      <c r="P4377" s="24"/>
    </row>
    <row r="4378" spans="2:16" x14ac:dyDescent="0.25">
      <c r="B4378" s="24"/>
      <c r="E4378" s="24"/>
      <c r="G4378" s="24"/>
      <c r="H4378" s="24"/>
      <c r="J4378" s="24"/>
      <c r="K4378" s="24"/>
      <c r="M4378" s="24"/>
      <c r="N4378" s="24"/>
      <c r="P4378" s="24"/>
    </row>
    <row r="4379" spans="2:16" x14ac:dyDescent="0.25">
      <c r="B4379" s="24"/>
      <c r="E4379" s="24"/>
      <c r="G4379" s="24"/>
      <c r="H4379" s="24"/>
      <c r="J4379" s="24"/>
      <c r="K4379" s="24"/>
      <c r="M4379" s="24"/>
      <c r="N4379" s="24"/>
      <c r="P4379" s="24"/>
    </row>
    <row r="4380" spans="2:16" x14ac:dyDescent="0.25">
      <c r="B4380" s="24"/>
      <c r="E4380" s="24"/>
      <c r="G4380" s="24"/>
      <c r="H4380" s="24"/>
      <c r="J4380" s="24"/>
      <c r="K4380" s="24"/>
      <c r="M4380" s="24"/>
      <c r="N4380" s="24"/>
      <c r="P4380" s="24"/>
    </row>
    <row r="4381" spans="2:16" x14ac:dyDescent="0.25">
      <c r="B4381" s="24"/>
      <c r="E4381" s="24"/>
      <c r="G4381" s="24"/>
      <c r="H4381" s="24"/>
      <c r="J4381" s="24"/>
      <c r="K4381" s="24"/>
      <c r="M4381" s="24"/>
      <c r="N4381" s="24"/>
      <c r="P4381" s="24"/>
    </row>
    <row r="4382" spans="2:16" x14ac:dyDescent="0.25">
      <c r="B4382" s="24"/>
      <c r="E4382" s="24"/>
      <c r="G4382" s="24"/>
      <c r="H4382" s="24"/>
      <c r="J4382" s="24"/>
      <c r="K4382" s="24"/>
      <c r="M4382" s="24"/>
      <c r="N4382" s="24"/>
      <c r="P4382" s="24"/>
    </row>
    <row r="4383" spans="2:16" x14ac:dyDescent="0.25">
      <c r="B4383" s="24"/>
      <c r="E4383" s="24"/>
      <c r="G4383" s="24"/>
      <c r="H4383" s="24"/>
      <c r="J4383" s="24"/>
      <c r="K4383" s="24"/>
      <c r="M4383" s="24"/>
      <c r="N4383" s="24"/>
      <c r="P4383" s="24"/>
    </row>
    <row r="4384" spans="2:16" x14ac:dyDescent="0.25">
      <c r="B4384" s="24"/>
      <c r="E4384" s="24"/>
      <c r="G4384" s="24"/>
      <c r="H4384" s="24"/>
      <c r="J4384" s="24"/>
      <c r="K4384" s="24"/>
      <c r="M4384" s="24"/>
      <c r="N4384" s="24"/>
      <c r="P4384" s="24"/>
    </row>
    <row r="4385" spans="2:16" x14ac:dyDescent="0.25">
      <c r="B4385" s="24"/>
      <c r="E4385" s="24"/>
      <c r="G4385" s="24"/>
      <c r="H4385" s="24"/>
      <c r="J4385" s="24"/>
      <c r="K4385" s="24"/>
      <c r="M4385" s="24"/>
      <c r="N4385" s="24"/>
      <c r="P4385" s="24"/>
    </row>
    <row r="4386" spans="2:16" x14ac:dyDescent="0.25">
      <c r="B4386" s="24"/>
      <c r="E4386" s="24"/>
      <c r="G4386" s="24"/>
      <c r="H4386" s="24"/>
      <c r="J4386" s="24"/>
      <c r="K4386" s="24"/>
      <c r="M4386" s="24"/>
      <c r="N4386" s="24"/>
      <c r="P4386" s="24"/>
    </row>
    <row r="4387" spans="2:16" x14ac:dyDescent="0.25">
      <c r="B4387" s="24"/>
      <c r="E4387" s="24"/>
      <c r="G4387" s="24"/>
      <c r="H4387" s="24"/>
      <c r="J4387" s="24"/>
      <c r="K4387" s="24"/>
      <c r="M4387" s="24"/>
      <c r="N4387" s="24"/>
      <c r="P4387" s="24"/>
    </row>
    <row r="4388" spans="2:16" x14ac:dyDescent="0.25">
      <c r="B4388" s="24"/>
      <c r="E4388" s="24"/>
      <c r="G4388" s="24"/>
      <c r="H4388" s="24"/>
      <c r="J4388" s="24"/>
      <c r="K4388" s="24"/>
      <c r="M4388" s="24"/>
      <c r="N4388" s="24"/>
      <c r="P4388" s="24"/>
    </row>
    <row r="4389" spans="2:16" x14ac:dyDescent="0.25">
      <c r="B4389" s="24"/>
      <c r="E4389" s="24"/>
      <c r="G4389" s="24"/>
      <c r="H4389" s="24"/>
      <c r="J4389" s="24"/>
      <c r="K4389" s="24"/>
      <c r="M4389" s="24"/>
      <c r="N4389" s="24"/>
      <c r="P4389" s="24"/>
    </row>
    <row r="4390" spans="2:16" x14ac:dyDescent="0.25">
      <c r="B4390" s="24"/>
      <c r="E4390" s="24"/>
      <c r="G4390" s="24"/>
      <c r="H4390" s="24"/>
      <c r="J4390" s="24"/>
      <c r="K4390" s="24"/>
      <c r="M4390" s="24"/>
      <c r="N4390" s="24"/>
      <c r="P4390" s="24"/>
    </row>
    <row r="4391" spans="2:16" x14ac:dyDescent="0.25">
      <c r="B4391" s="24"/>
      <c r="E4391" s="24"/>
      <c r="G4391" s="24"/>
      <c r="H4391" s="24"/>
      <c r="J4391" s="24"/>
      <c r="K4391" s="24"/>
      <c r="M4391" s="24"/>
      <c r="N4391" s="24"/>
      <c r="P4391" s="24"/>
    </row>
    <row r="4392" spans="2:16" x14ac:dyDescent="0.25">
      <c r="B4392" s="24"/>
      <c r="E4392" s="24"/>
      <c r="G4392" s="24"/>
      <c r="H4392" s="24"/>
      <c r="J4392" s="24"/>
      <c r="K4392" s="24"/>
      <c r="M4392" s="24"/>
      <c r="N4392" s="24"/>
      <c r="P4392" s="24"/>
    </row>
    <row r="4393" spans="2:16" x14ac:dyDescent="0.25">
      <c r="B4393" s="24"/>
      <c r="E4393" s="24"/>
      <c r="G4393" s="24"/>
      <c r="H4393" s="24"/>
      <c r="J4393" s="24"/>
      <c r="K4393" s="24"/>
      <c r="M4393" s="24"/>
      <c r="N4393" s="24"/>
      <c r="P4393" s="24"/>
    </row>
    <row r="4394" spans="2:16" x14ac:dyDescent="0.25">
      <c r="B4394" s="24"/>
      <c r="E4394" s="24"/>
      <c r="G4394" s="24"/>
      <c r="H4394" s="24"/>
      <c r="J4394" s="24"/>
      <c r="K4394" s="24"/>
      <c r="M4394" s="24"/>
      <c r="N4394" s="24"/>
      <c r="P4394" s="24"/>
    </row>
    <row r="4395" spans="2:16" x14ac:dyDescent="0.25">
      <c r="B4395" s="24"/>
      <c r="E4395" s="24"/>
      <c r="G4395" s="24"/>
      <c r="H4395" s="24"/>
      <c r="J4395" s="24"/>
      <c r="K4395" s="24"/>
      <c r="M4395" s="24"/>
      <c r="N4395" s="24"/>
      <c r="P4395" s="24"/>
    </row>
    <row r="4396" spans="2:16" x14ac:dyDescent="0.25">
      <c r="B4396" s="24"/>
      <c r="E4396" s="24"/>
      <c r="G4396" s="24"/>
      <c r="H4396" s="24"/>
      <c r="J4396" s="24"/>
      <c r="K4396" s="24"/>
      <c r="M4396" s="24"/>
      <c r="N4396" s="24"/>
      <c r="P4396" s="24"/>
    </row>
    <row r="4397" spans="2:16" x14ac:dyDescent="0.25">
      <c r="B4397" s="24"/>
      <c r="E4397" s="24"/>
      <c r="G4397" s="24"/>
      <c r="H4397" s="24"/>
      <c r="J4397" s="24"/>
      <c r="K4397" s="24"/>
      <c r="M4397" s="24"/>
      <c r="N4397" s="24"/>
      <c r="P4397" s="24"/>
    </row>
    <row r="4398" spans="2:16" x14ac:dyDescent="0.25">
      <c r="B4398" s="24"/>
      <c r="E4398" s="24"/>
      <c r="G4398" s="24"/>
      <c r="H4398" s="24"/>
      <c r="J4398" s="24"/>
      <c r="K4398" s="24"/>
      <c r="M4398" s="24"/>
      <c r="N4398" s="24"/>
      <c r="P4398" s="24"/>
    </row>
    <row r="4399" spans="2:16" x14ac:dyDescent="0.25">
      <c r="B4399" s="24"/>
      <c r="E4399" s="24"/>
      <c r="G4399" s="24"/>
      <c r="H4399" s="24"/>
      <c r="J4399" s="24"/>
      <c r="K4399" s="24"/>
      <c r="M4399" s="24"/>
      <c r="N4399" s="24"/>
      <c r="P4399" s="24"/>
    </row>
    <row r="4400" spans="2:16" x14ac:dyDescent="0.25">
      <c r="B4400" s="24"/>
      <c r="E4400" s="24"/>
      <c r="G4400" s="24"/>
      <c r="H4400" s="24"/>
      <c r="J4400" s="24"/>
      <c r="K4400" s="24"/>
      <c r="M4400" s="24"/>
      <c r="N4400" s="24"/>
      <c r="P4400" s="24"/>
    </row>
    <row r="4401" spans="2:16" x14ac:dyDescent="0.25">
      <c r="B4401" s="24"/>
      <c r="E4401" s="24"/>
      <c r="G4401" s="24"/>
      <c r="H4401" s="24"/>
      <c r="J4401" s="24"/>
      <c r="K4401" s="24"/>
      <c r="M4401" s="24"/>
      <c r="N4401" s="24"/>
      <c r="P4401" s="24"/>
    </row>
    <row r="4402" spans="2:16" x14ac:dyDescent="0.25">
      <c r="B4402" s="24"/>
      <c r="E4402" s="24"/>
      <c r="G4402" s="24"/>
      <c r="H4402" s="24"/>
      <c r="J4402" s="24"/>
      <c r="K4402" s="24"/>
      <c r="M4402" s="24"/>
      <c r="N4402" s="24"/>
      <c r="P4402" s="24"/>
    </row>
    <row r="4403" spans="2:16" x14ac:dyDescent="0.25">
      <c r="B4403" s="24"/>
      <c r="E4403" s="24"/>
      <c r="G4403" s="24"/>
      <c r="H4403" s="24"/>
      <c r="J4403" s="24"/>
      <c r="K4403" s="24"/>
      <c r="M4403" s="24"/>
      <c r="N4403" s="24"/>
      <c r="P4403" s="24"/>
    </row>
    <row r="4404" spans="2:16" x14ac:dyDescent="0.25">
      <c r="B4404" s="24"/>
      <c r="E4404" s="24"/>
      <c r="G4404" s="24"/>
      <c r="H4404" s="24"/>
      <c r="J4404" s="24"/>
      <c r="K4404" s="24"/>
      <c r="M4404" s="24"/>
      <c r="N4404" s="24"/>
      <c r="P4404" s="24"/>
    </row>
    <row r="4405" spans="2:16" x14ac:dyDescent="0.25">
      <c r="B4405" s="24"/>
      <c r="E4405" s="24"/>
      <c r="G4405" s="24"/>
      <c r="H4405" s="24"/>
      <c r="J4405" s="24"/>
      <c r="K4405" s="24"/>
      <c r="M4405" s="24"/>
      <c r="N4405" s="24"/>
      <c r="P4405" s="24"/>
    </row>
    <row r="4406" spans="2:16" x14ac:dyDescent="0.25">
      <c r="B4406" s="24"/>
      <c r="E4406" s="24"/>
      <c r="G4406" s="24"/>
      <c r="H4406" s="24"/>
      <c r="J4406" s="24"/>
      <c r="K4406" s="24"/>
      <c r="M4406" s="24"/>
      <c r="N4406" s="24"/>
      <c r="P4406" s="24"/>
    </row>
    <row r="4407" spans="2:16" x14ac:dyDescent="0.25">
      <c r="B4407" s="24"/>
      <c r="E4407" s="24"/>
      <c r="G4407" s="24"/>
      <c r="H4407" s="24"/>
      <c r="J4407" s="24"/>
      <c r="K4407" s="24"/>
      <c r="M4407" s="24"/>
      <c r="N4407" s="24"/>
      <c r="P4407" s="24"/>
    </row>
    <row r="4408" spans="2:16" x14ac:dyDescent="0.25">
      <c r="B4408" s="24"/>
      <c r="E4408" s="24"/>
      <c r="G4408" s="24"/>
      <c r="H4408" s="24"/>
      <c r="J4408" s="24"/>
      <c r="K4408" s="24"/>
      <c r="M4408" s="24"/>
      <c r="N4408" s="24"/>
      <c r="P4408" s="24"/>
    </row>
    <row r="4409" spans="2:16" x14ac:dyDescent="0.25">
      <c r="B4409" s="24"/>
      <c r="E4409" s="24"/>
      <c r="G4409" s="24"/>
      <c r="H4409" s="24"/>
      <c r="J4409" s="24"/>
      <c r="K4409" s="24"/>
      <c r="M4409" s="24"/>
      <c r="N4409" s="24"/>
      <c r="P4409" s="24"/>
    </row>
    <row r="4410" spans="2:16" x14ac:dyDescent="0.25">
      <c r="B4410" s="24"/>
      <c r="E4410" s="24"/>
      <c r="G4410" s="24"/>
      <c r="H4410" s="24"/>
      <c r="J4410" s="24"/>
      <c r="K4410" s="24"/>
      <c r="M4410" s="24"/>
      <c r="N4410" s="24"/>
      <c r="P4410" s="24"/>
    </row>
    <row r="4411" spans="2:16" x14ac:dyDescent="0.25">
      <c r="B4411" s="24"/>
      <c r="E4411" s="24"/>
      <c r="G4411" s="24"/>
      <c r="H4411" s="24"/>
      <c r="J4411" s="24"/>
      <c r="K4411" s="24"/>
      <c r="M4411" s="24"/>
      <c r="N4411" s="24"/>
      <c r="P4411" s="24"/>
    </row>
    <row r="4412" spans="2:16" x14ac:dyDescent="0.25">
      <c r="B4412" s="24"/>
      <c r="E4412" s="24"/>
      <c r="G4412" s="24"/>
      <c r="H4412" s="24"/>
      <c r="J4412" s="24"/>
      <c r="K4412" s="24"/>
      <c r="M4412" s="24"/>
      <c r="N4412" s="24"/>
      <c r="P4412" s="24"/>
    </row>
    <row r="4413" spans="2:16" x14ac:dyDescent="0.25">
      <c r="B4413" s="24"/>
      <c r="E4413" s="24"/>
      <c r="G4413" s="24"/>
      <c r="H4413" s="24"/>
      <c r="J4413" s="24"/>
      <c r="K4413" s="24"/>
      <c r="M4413" s="24"/>
      <c r="N4413" s="24"/>
      <c r="P4413" s="24"/>
    </row>
    <row r="4414" spans="2:16" x14ac:dyDescent="0.25">
      <c r="B4414" s="24"/>
      <c r="E4414" s="24"/>
      <c r="G4414" s="24"/>
      <c r="H4414" s="24"/>
      <c r="J4414" s="24"/>
      <c r="K4414" s="24"/>
      <c r="M4414" s="24"/>
      <c r="N4414" s="24"/>
      <c r="P4414" s="24"/>
    </row>
    <row r="4415" spans="2:16" x14ac:dyDescent="0.25">
      <c r="B4415" s="24"/>
      <c r="E4415" s="24"/>
      <c r="G4415" s="24"/>
      <c r="H4415" s="24"/>
      <c r="J4415" s="24"/>
      <c r="K4415" s="24"/>
      <c r="M4415" s="24"/>
      <c r="N4415" s="24"/>
      <c r="P4415" s="24"/>
    </row>
    <row r="4416" spans="2:16" x14ac:dyDescent="0.25">
      <c r="B4416" s="24"/>
      <c r="E4416" s="24"/>
      <c r="G4416" s="24"/>
      <c r="H4416" s="24"/>
      <c r="J4416" s="24"/>
      <c r="K4416" s="24"/>
      <c r="M4416" s="24"/>
      <c r="N4416" s="24"/>
      <c r="P4416" s="24"/>
    </row>
    <row r="4417" spans="2:16" x14ac:dyDescent="0.25">
      <c r="B4417" s="24"/>
      <c r="E4417" s="24"/>
      <c r="G4417" s="24"/>
      <c r="H4417" s="24"/>
      <c r="J4417" s="24"/>
      <c r="K4417" s="24"/>
      <c r="M4417" s="24"/>
      <c r="N4417" s="24"/>
      <c r="P4417" s="24"/>
    </row>
    <row r="4418" spans="2:16" x14ac:dyDescent="0.25">
      <c r="B4418" s="24"/>
      <c r="E4418" s="24"/>
      <c r="G4418" s="24"/>
      <c r="H4418" s="24"/>
      <c r="J4418" s="24"/>
      <c r="K4418" s="24"/>
      <c r="M4418" s="24"/>
      <c r="N4418" s="24"/>
      <c r="P4418" s="24"/>
    </row>
    <row r="4419" spans="2:16" x14ac:dyDescent="0.25">
      <c r="B4419" s="24"/>
      <c r="E4419" s="24"/>
      <c r="G4419" s="24"/>
      <c r="H4419" s="24"/>
      <c r="J4419" s="24"/>
      <c r="K4419" s="24"/>
      <c r="M4419" s="24"/>
      <c r="N4419" s="24"/>
      <c r="P4419" s="24"/>
    </row>
    <row r="4420" spans="2:16" x14ac:dyDescent="0.25">
      <c r="B4420" s="24"/>
      <c r="E4420" s="24"/>
      <c r="G4420" s="24"/>
      <c r="H4420" s="24"/>
      <c r="J4420" s="24"/>
      <c r="K4420" s="24"/>
      <c r="M4420" s="24"/>
      <c r="N4420" s="24"/>
      <c r="P4420" s="24"/>
    </row>
    <row r="4421" spans="2:16" x14ac:dyDescent="0.25">
      <c r="B4421" s="24"/>
      <c r="E4421" s="24"/>
      <c r="G4421" s="24"/>
      <c r="H4421" s="24"/>
      <c r="J4421" s="24"/>
      <c r="K4421" s="24"/>
      <c r="M4421" s="24"/>
      <c r="N4421" s="24"/>
      <c r="P4421" s="24"/>
    </row>
    <row r="4422" spans="2:16" x14ac:dyDescent="0.25">
      <c r="B4422" s="24"/>
      <c r="E4422" s="24"/>
      <c r="G4422" s="24"/>
      <c r="H4422" s="24"/>
      <c r="J4422" s="24"/>
      <c r="K4422" s="24"/>
      <c r="M4422" s="24"/>
      <c r="N4422" s="24"/>
      <c r="P4422" s="24"/>
    </row>
    <row r="4423" spans="2:16" x14ac:dyDescent="0.25">
      <c r="B4423" s="24"/>
      <c r="E4423" s="24"/>
      <c r="G4423" s="24"/>
      <c r="H4423" s="24"/>
      <c r="J4423" s="24"/>
      <c r="K4423" s="24"/>
      <c r="M4423" s="24"/>
      <c r="N4423" s="24"/>
      <c r="P4423" s="24"/>
    </row>
    <row r="4424" spans="2:16" x14ac:dyDescent="0.25">
      <c r="B4424" s="24"/>
      <c r="E4424" s="24"/>
      <c r="G4424" s="24"/>
      <c r="H4424" s="24"/>
      <c r="J4424" s="24"/>
      <c r="K4424" s="24"/>
      <c r="M4424" s="24"/>
      <c r="N4424" s="24"/>
      <c r="P4424" s="24"/>
    </row>
    <row r="4425" spans="2:16" x14ac:dyDescent="0.25">
      <c r="B4425" s="24"/>
      <c r="E4425" s="24"/>
      <c r="G4425" s="24"/>
      <c r="H4425" s="24"/>
      <c r="J4425" s="24"/>
      <c r="K4425" s="24"/>
      <c r="M4425" s="24"/>
      <c r="N4425" s="24"/>
      <c r="P4425" s="24"/>
    </row>
    <row r="4426" spans="2:16" x14ac:dyDescent="0.25">
      <c r="B4426" s="24"/>
      <c r="E4426" s="24"/>
      <c r="G4426" s="24"/>
      <c r="H4426" s="24"/>
      <c r="J4426" s="24"/>
      <c r="K4426" s="24"/>
      <c r="M4426" s="24"/>
      <c r="N4426" s="24"/>
      <c r="P4426" s="24"/>
    </row>
    <row r="4427" spans="2:16" x14ac:dyDescent="0.25">
      <c r="B4427" s="24"/>
      <c r="E4427" s="24"/>
      <c r="G4427" s="24"/>
      <c r="H4427" s="24"/>
      <c r="J4427" s="24"/>
      <c r="K4427" s="24"/>
      <c r="M4427" s="24"/>
      <c r="N4427" s="24"/>
      <c r="P4427" s="24"/>
    </row>
    <row r="4428" spans="2:16" x14ac:dyDescent="0.25">
      <c r="B4428" s="24"/>
      <c r="E4428" s="24"/>
      <c r="G4428" s="24"/>
      <c r="H4428" s="24"/>
      <c r="J4428" s="24"/>
      <c r="K4428" s="24"/>
      <c r="M4428" s="24"/>
      <c r="N4428" s="24"/>
      <c r="P4428" s="24"/>
    </row>
    <row r="4429" spans="2:16" x14ac:dyDescent="0.25">
      <c r="B4429" s="24"/>
      <c r="E4429" s="24"/>
      <c r="G4429" s="24"/>
      <c r="H4429" s="24"/>
      <c r="J4429" s="24"/>
      <c r="K4429" s="24"/>
      <c r="M4429" s="24"/>
      <c r="N4429" s="24"/>
      <c r="P4429" s="24"/>
    </row>
    <row r="4430" spans="2:16" x14ac:dyDescent="0.25">
      <c r="B4430" s="24"/>
      <c r="E4430" s="24"/>
      <c r="G4430" s="24"/>
      <c r="H4430" s="24"/>
      <c r="J4430" s="24"/>
      <c r="K4430" s="24"/>
      <c r="M4430" s="24"/>
      <c r="N4430" s="24"/>
      <c r="P4430" s="24"/>
    </row>
    <row r="4431" spans="2:16" x14ac:dyDescent="0.25">
      <c r="B4431" s="24"/>
      <c r="E4431" s="24"/>
      <c r="G4431" s="24"/>
      <c r="H4431" s="24"/>
      <c r="J4431" s="24"/>
      <c r="K4431" s="24"/>
      <c r="M4431" s="24"/>
      <c r="N4431" s="24"/>
      <c r="P4431" s="24"/>
    </row>
    <row r="4432" spans="2:16" x14ac:dyDescent="0.25">
      <c r="B4432" s="24"/>
      <c r="E4432" s="24"/>
      <c r="G4432" s="24"/>
      <c r="H4432" s="24"/>
      <c r="J4432" s="24"/>
      <c r="K4432" s="24"/>
      <c r="M4432" s="24"/>
      <c r="N4432" s="24"/>
      <c r="P4432" s="24"/>
    </row>
    <row r="4433" spans="2:16" x14ac:dyDescent="0.25">
      <c r="B4433" s="24"/>
      <c r="E4433" s="24"/>
      <c r="G4433" s="24"/>
      <c r="H4433" s="24"/>
      <c r="J4433" s="24"/>
      <c r="K4433" s="24"/>
      <c r="M4433" s="24"/>
      <c r="N4433" s="24"/>
      <c r="P4433" s="24"/>
    </row>
    <row r="4434" spans="2:16" x14ac:dyDescent="0.25">
      <c r="B4434" s="24"/>
      <c r="E4434" s="24"/>
      <c r="G4434" s="24"/>
      <c r="H4434" s="24"/>
      <c r="J4434" s="24"/>
      <c r="K4434" s="24"/>
      <c r="M4434" s="24"/>
      <c r="N4434" s="24"/>
      <c r="P4434" s="24"/>
    </row>
    <row r="4435" spans="2:16" x14ac:dyDescent="0.25">
      <c r="B4435" s="24"/>
      <c r="E4435" s="24"/>
      <c r="G4435" s="24"/>
      <c r="H4435" s="24"/>
      <c r="J4435" s="24"/>
      <c r="K4435" s="24"/>
      <c r="M4435" s="24"/>
      <c r="N4435" s="24"/>
      <c r="P4435" s="24"/>
    </row>
    <row r="4436" spans="2:16" x14ac:dyDescent="0.25">
      <c r="B4436" s="24"/>
      <c r="E4436" s="24"/>
      <c r="G4436" s="24"/>
      <c r="H4436" s="24"/>
      <c r="J4436" s="24"/>
      <c r="K4436" s="24"/>
      <c r="M4436" s="24"/>
      <c r="N4436" s="24"/>
      <c r="P4436" s="24"/>
    </row>
    <row r="4437" spans="2:16" x14ac:dyDescent="0.25">
      <c r="B4437" s="24"/>
      <c r="E4437" s="24"/>
      <c r="G4437" s="24"/>
      <c r="H4437" s="24"/>
      <c r="J4437" s="24"/>
      <c r="K4437" s="24"/>
      <c r="M4437" s="24"/>
      <c r="N4437" s="24"/>
      <c r="P4437" s="24"/>
    </row>
    <row r="4438" spans="2:16" x14ac:dyDescent="0.25">
      <c r="B4438" s="24"/>
      <c r="E4438" s="24"/>
      <c r="G4438" s="24"/>
      <c r="H4438" s="24"/>
      <c r="J4438" s="24"/>
      <c r="K4438" s="24"/>
      <c r="M4438" s="24"/>
      <c r="N4438" s="24"/>
      <c r="P4438" s="24"/>
    </row>
    <row r="4439" spans="2:16" x14ac:dyDescent="0.25">
      <c r="B4439" s="24"/>
      <c r="E4439" s="24"/>
      <c r="G4439" s="24"/>
      <c r="H4439" s="24"/>
      <c r="J4439" s="24"/>
      <c r="K4439" s="24"/>
      <c r="M4439" s="24"/>
      <c r="N4439" s="24"/>
      <c r="P4439" s="24"/>
    </row>
    <row r="4440" spans="2:16" x14ac:dyDescent="0.25">
      <c r="B4440" s="24"/>
      <c r="E4440" s="24"/>
      <c r="G4440" s="24"/>
      <c r="H4440" s="24"/>
      <c r="J4440" s="24"/>
      <c r="K4440" s="24"/>
      <c r="M4440" s="24"/>
      <c r="N4440" s="24"/>
      <c r="P4440" s="24"/>
    </row>
    <row r="4441" spans="2:16" x14ac:dyDescent="0.25">
      <c r="B4441" s="24"/>
      <c r="E4441" s="24"/>
      <c r="G4441" s="24"/>
      <c r="H4441" s="24"/>
      <c r="J4441" s="24"/>
      <c r="K4441" s="24"/>
      <c r="M4441" s="24"/>
      <c r="N4441" s="24"/>
      <c r="P4441" s="24"/>
    </row>
    <row r="4442" spans="2:16" x14ac:dyDescent="0.25">
      <c r="B4442" s="24"/>
      <c r="E4442" s="24"/>
      <c r="G4442" s="24"/>
      <c r="H4442" s="24"/>
      <c r="J4442" s="24"/>
      <c r="K4442" s="24"/>
      <c r="M4442" s="24"/>
      <c r="N4442" s="24"/>
      <c r="P4442" s="24"/>
    </row>
    <row r="4443" spans="2:16" x14ac:dyDescent="0.25">
      <c r="B4443" s="24"/>
      <c r="E4443" s="24"/>
      <c r="G4443" s="24"/>
      <c r="H4443" s="24"/>
      <c r="J4443" s="24"/>
      <c r="K4443" s="24"/>
      <c r="M4443" s="24"/>
      <c r="N4443" s="24"/>
      <c r="P4443" s="24"/>
    </row>
    <row r="4444" spans="2:16" x14ac:dyDescent="0.25">
      <c r="B4444" s="24"/>
      <c r="E4444" s="24"/>
      <c r="G4444" s="24"/>
      <c r="H4444" s="24"/>
      <c r="J4444" s="24"/>
      <c r="K4444" s="24"/>
      <c r="M4444" s="24"/>
      <c r="N4444" s="24"/>
      <c r="P4444" s="24"/>
    </row>
    <row r="4445" spans="2:16" x14ac:dyDescent="0.25">
      <c r="B4445" s="24"/>
      <c r="E4445" s="24"/>
      <c r="G4445" s="24"/>
      <c r="H4445" s="24"/>
      <c r="J4445" s="24"/>
      <c r="K4445" s="24"/>
      <c r="M4445" s="24"/>
      <c r="N4445" s="24"/>
      <c r="P4445" s="24"/>
    </row>
    <row r="4446" spans="2:16" x14ac:dyDescent="0.25">
      <c r="B4446" s="24"/>
      <c r="E4446" s="24"/>
      <c r="G4446" s="24"/>
      <c r="H4446" s="24"/>
      <c r="J4446" s="24"/>
      <c r="K4446" s="24"/>
      <c r="M4446" s="24"/>
      <c r="N4446" s="24"/>
      <c r="P4446" s="24"/>
    </row>
    <row r="4447" spans="2:16" x14ac:dyDescent="0.25">
      <c r="B4447" s="24"/>
      <c r="E4447" s="24"/>
      <c r="G4447" s="24"/>
      <c r="H4447" s="24"/>
      <c r="J4447" s="24"/>
      <c r="K4447" s="24"/>
      <c r="M4447" s="24"/>
      <c r="N4447" s="24"/>
      <c r="P4447" s="24"/>
    </row>
    <row r="4448" spans="2:16" x14ac:dyDescent="0.25">
      <c r="B4448" s="24"/>
      <c r="E4448" s="24"/>
      <c r="G4448" s="24"/>
      <c r="H4448" s="24"/>
      <c r="J4448" s="24"/>
      <c r="K4448" s="24"/>
      <c r="M4448" s="24"/>
      <c r="N4448" s="24"/>
      <c r="P4448" s="24"/>
    </row>
    <row r="4449" spans="2:16" x14ac:dyDescent="0.25">
      <c r="B4449" s="24"/>
      <c r="E4449" s="24"/>
      <c r="G4449" s="24"/>
      <c r="H4449" s="24"/>
      <c r="J4449" s="24"/>
      <c r="K4449" s="24"/>
      <c r="M4449" s="24"/>
      <c r="N4449" s="24"/>
      <c r="P4449" s="24"/>
    </row>
    <row r="4450" spans="2:16" x14ac:dyDescent="0.25">
      <c r="B4450" s="24"/>
      <c r="E4450" s="24"/>
      <c r="G4450" s="24"/>
      <c r="H4450" s="24"/>
      <c r="J4450" s="24"/>
      <c r="K4450" s="24"/>
      <c r="M4450" s="24"/>
      <c r="N4450" s="24"/>
      <c r="P4450" s="24"/>
    </row>
    <row r="4451" spans="2:16" x14ac:dyDescent="0.25">
      <c r="B4451" s="24"/>
      <c r="E4451" s="24"/>
      <c r="G4451" s="24"/>
      <c r="H4451" s="24"/>
      <c r="J4451" s="24"/>
      <c r="K4451" s="24"/>
      <c r="M4451" s="24"/>
      <c r="N4451" s="24"/>
      <c r="P4451" s="24"/>
    </row>
    <row r="4452" spans="2:16" x14ac:dyDescent="0.25">
      <c r="B4452" s="24"/>
      <c r="E4452" s="24"/>
      <c r="G4452" s="24"/>
      <c r="H4452" s="24"/>
      <c r="J4452" s="24"/>
      <c r="K4452" s="24"/>
      <c r="M4452" s="24"/>
      <c r="N4452" s="24"/>
      <c r="P4452" s="24"/>
    </row>
    <row r="4453" spans="2:16" x14ac:dyDescent="0.25">
      <c r="B4453" s="24"/>
      <c r="E4453" s="24"/>
      <c r="G4453" s="24"/>
      <c r="H4453" s="24"/>
      <c r="J4453" s="24"/>
      <c r="K4453" s="24"/>
      <c r="M4453" s="24"/>
      <c r="N4453" s="24"/>
      <c r="P4453" s="24"/>
    </row>
    <row r="4454" spans="2:16" x14ac:dyDescent="0.25">
      <c r="B4454" s="24"/>
      <c r="E4454" s="24"/>
      <c r="G4454" s="24"/>
      <c r="H4454" s="24"/>
      <c r="J4454" s="24"/>
      <c r="K4454" s="24"/>
      <c r="M4454" s="24"/>
      <c r="N4454" s="24"/>
      <c r="P4454" s="24"/>
    </row>
    <row r="4455" spans="2:16" x14ac:dyDescent="0.25">
      <c r="B4455" s="24"/>
      <c r="E4455" s="24"/>
      <c r="G4455" s="24"/>
      <c r="H4455" s="24"/>
      <c r="J4455" s="24"/>
      <c r="K4455" s="24"/>
      <c r="M4455" s="24"/>
      <c r="N4455" s="24"/>
      <c r="P4455" s="24"/>
    </row>
    <row r="4456" spans="2:16" x14ac:dyDescent="0.25">
      <c r="B4456" s="24"/>
      <c r="E4456" s="24"/>
      <c r="G4456" s="24"/>
      <c r="H4456" s="24"/>
      <c r="J4456" s="24"/>
      <c r="K4456" s="24"/>
      <c r="M4456" s="24"/>
      <c r="N4456" s="24"/>
      <c r="P4456" s="24"/>
    </row>
    <row r="4457" spans="2:16" x14ac:dyDescent="0.25">
      <c r="B4457" s="24"/>
      <c r="E4457" s="24"/>
      <c r="G4457" s="24"/>
      <c r="H4457" s="24"/>
      <c r="J4457" s="24"/>
      <c r="K4457" s="24"/>
      <c r="M4457" s="24"/>
      <c r="N4457" s="24"/>
      <c r="P4457" s="24"/>
    </row>
    <row r="4458" spans="2:16" x14ac:dyDescent="0.25">
      <c r="B4458" s="24"/>
      <c r="E4458" s="24"/>
      <c r="G4458" s="24"/>
      <c r="H4458" s="24"/>
      <c r="J4458" s="24"/>
      <c r="K4458" s="24"/>
      <c r="M4458" s="24"/>
      <c r="N4458" s="24"/>
      <c r="P4458" s="24"/>
    </row>
    <row r="4459" spans="2:16" x14ac:dyDescent="0.25">
      <c r="B4459" s="24"/>
      <c r="E4459" s="24"/>
      <c r="G4459" s="24"/>
      <c r="H4459" s="24"/>
      <c r="J4459" s="24"/>
      <c r="K4459" s="24"/>
      <c r="M4459" s="24"/>
      <c r="N4459" s="24"/>
      <c r="P4459" s="24"/>
    </row>
    <row r="4460" spans="2:16" x14ac:dyDescent="0.25">
      <c r="B4460" s="24"/>
      <c r="E4460" s="24"/>
      <c r="G4460" s="24"/>
      <c r="H4460" s="24"/>
      <c r="J4460" s="24"/>
      <c r="K4460" s="24"/>
      <c r="M4460" s="24"/>
      <c r="N4460" s="24"/>
      <c r="P4460" s="24"/>
    </row>
    <row r="4461" spans="2:16" x14ac:dyDescent="0.25">
      <c r="B4461" s="24"/>
      <c r="E4461" s="24"/>
      <c r="G4461" s="24"/>
      <c r="H4461" s="24"/>
      <c r="J4461" s="24"/>
      <c r="K4461" s="24"/>
      <c r="M4461" s="24"/>
      <c r="N4461" s="24"/>
      <c r="P4461" s="24"/>
    </row>
    <row r="4462" spans="2:16" x14ac:dyDescent="0.25">
      <c r="B4462" s="24"/>
      <c r="E4462" s="24"/>
      <c r="G4462" s="24"/>
      <c r="H4462" s="24"/>
      <c r="J4462" s="24"/>
      <c r="K4462" s="24"/>
      <c r="M4462" s="24"/>
      <c r="N4462" s="24"/>
      <c r="P4462" s="24"/>
    </row>
    <row r="4463" spans="2:16" x14ac:dyDescent="0.25">
      <c r="B4463" s="24"/>
      <c r="E4463" s="24"/>
      <c r="G4463" s="24"/>
      <c r="H4463" s="24"/>
      <c r="J4463" s="24"/>
      <c r="K4463" s="24"/>
      <c r="M4463" s="24"/>
      <c r="N4463" s="24"/>
      <c r="P4463" s="24"/>
    </row>
    <row r="4464" spans="2:16" x14ac:dyDescent="0.25">
      <c r="B4464" s="24"/>
      <c r="E4464" s="24"/>
      <c r="G4464" s="24"/>
      <c r="H4464" s="24"/>
      <c r="J4464" s="24"/>
      <c r="K4464" s="24"/>
      <c r="M4464" s="24"/>
      <c r="N4464" s="24"/>
      <c r="P4464" s="24"/>
    </row>
    <row r="4465" spans="2:16" x14ac:dyDescent="0.25">
      <c r="B4465" s="24"/>
      <c r="E4465" s="24"/>
      <c r="G4465" s="24"/>
      <c r="H4465" s="24"/>
      <c r="J4465" s="24"/>
      <c r="K4465" s="24"/>
      <c r="M4465" s="24"/>
      <c r="N4465" s="24"/>
      <c r="P4465" s="24"/>
    </row>
    <row r="4466" spans="2:16" x14ac:dyDescent="0.25">
      <c r="B4466" s="24"/>
      <c r="E4466" s="24"/>
      <c r="G4466" s="24"/>
      <c r="H4466" s="24"/>
      <c r="J4466" s="24"/>
      <c r="K4466" s="24"/>
      <c r="M4466" s="24"/>
      <c r="N4466" s="24"/>
      <c r="P4466" s="24"/>
    </row>
    <row r="4467" spans="2:16" x14ac:dyDescent="0.25">
      <c r="B4467" s="24"/>
      <c r="E4467" s="24"/>
      <c r="G4467" s="24"/>
      <c r="H4467" s="24"/>
      <c r="J4467" s="24"/>
      <c r="K4467" s="24"/>
      <c r="M4467" s="24"/>
      <c r="N4467" s="24"/>
      <c r="P4467" s="24"/>
    </row>
    <row r="4468" spans="2:16" x14ac:dyDescent="0.25">
      <c r="B4468" s="24"/>
      <c r="E4468" s="24"/>
      <c r="G4468" s="24"/>
      <c r="H4468" s="24"/>
      <c r="J4468" s="24"/>
      <c r="K4468" s="24"/>
      <c r="M4468" s="24"/>
      <c r="N4468" s="24"/>
      <c r="P4468" s="24"/>
    </row>
    <row r="4469" spans="2:16" x14ac:dyDescent="0.25">
      <c r="B4469" s="24"/>
      <c r="E4469" s="24"/>
      <c r="G4469" s="24"/>
      <c r="H4469" s="24"/>
      <c r="J4469" s="24"/>
      <c r="K4469" s="24"/>
      <c r="M4469" s="24"/>
      <c r="N4469" s="24"/>
      <c r="P4469" s="24"/>
    </row>
    <row r="4470" spans="2:16" x14ac:dyDescent="0.25">
      <c r="B4470" s="24"/>
      <c r="E4470" s="24"/>
      <c r="G4470" s="24"/>
      <c r="H4470" s="24"/>
      <c r="J4470" s="24"/>
      <c r="K4470" s="24"/>
      <c r="M4470" s="24"/>
      <c r="N4470" s="24"/>
      <c r="P4470" s="24"/>
    </row>
    <row r="4471" spans="2:16" x14ac:dyDescent="0.25">
      <c r="B4471" s="24"/>
      <c r="E4471" s="24"/>
      <c r="G4471" s="24"/>
      <c r="H4471" s="24"/>
      <c r="J4471" s="24"/>
      <c r="K4471" s="24"/>
      <c r="M4471" s="24"/>
      <c r="N4471" s="24"/>
      <c r="P4471" s="24"/>
    </row>
    <row r="4472" spans="2:16" x14ac:dyDescent="0.25">
      <c r="B4472" s="24"/>
      <c r="E4472" s="24"/>
      <c r="G4472" s="24"/>
      <c r="H4472" s="24"/>
      <c r="J4472" s="24"/>
      <c r="K4472" s="24"/>
      <c r="M4472" s="24"/>
      <c r="N4472" s="24"/>
      <c r="P4472" s="24"/>
    </row>
    <row r="4473" spans="2:16" x14ac:dyDescent="0.25">
      <c r="B4473" s="24"/>
      <c r="E4473" s="24"/>
      <c r="G4473" s="24"/>
      <c r="H4473" s="24"/>
      <c r="J4473" s="24"/>
      <c r="K4473" s="24"/>
      <c r="M4473" s="24"/>
      <c r="N4473" s="24"/>
      <c r="P4473" s="24"/>
    </row>
    <row r="4474" spans="2:16" x14ac:dyDescent="0.25">
      <c r="B4474" s="24"/>
      <c r="E4474" s="24"/>
      <c r="G4474" s="24"/>
      <c r="H4474" s="24"/>
      <c r="J4474" s="24"/>
      <c r="K4474" s="24"/>
      <c r="M4474" s="24"/>
      <c r="N4474" s="24"/>
      <c r="P4474" s="24"/>
    </row>
    <row r="4475" spans="2:16" x14ac:dyDescent="0.25">
      <c r="B4475" s="24"/>
      <c r="E4475" s="24"/>
      <c r="G4475" s="24"/>
      <c r="H4475" s="24"/>
      <c r="J4475" s="24"/>
      <c r="K4475" s="24"/>
      <c r="M4475" s="24"/>
      <c r="N4475" s="24"/>
      <c r="P4475" s="24"/>
    </row>
    <row r="4476" spans="2:16" x14ac:dyDescent="0.25">
      <c r="B4476" s="24"/>
      <c r="E4476" s="24"/>
      <c r="G4476" s="24"/>
      <c r="H4476" s="24"/>
      <c r="J4476" s="24"/>
      <c r="K4476" s="24"/>
      <c r="M4476" s="24"/>
      <c r="N4476" s="24"/>
      <c r="P4476" s="24"/>
    </row>
    <row r="4477" spans="2:16" x14ac:dyDescent="0.25">
      <c r="B4477" s="24"/>
      <c r="E4477" s="24"/>
      <c r="G4477" s="24"/>
      <c r="H4477" s="24"/>
      <c r="J4477" s="24"/>
      <c r="K4477" s="24"/>
      <c r="M4477" s="24"/>
      <c r="N4477" s="24"/>
      <c r="P4477" s="24"/>
    </row>
    <row r="4478" spans="2:16" x14ac:dyDescent="0.25">
      <c r="B4478" s="24"/>
      <c r="E4478" s="24"/>
      <c r="G4478" s="24"/>
      <c r="H4478" s="24"/>
      <c r="J4478" s="24"/>
      <c r="K4478" s="24"/>
      <c r="M4478" s="24"/>
      <c r="N4478" s="24"/>
      <c r="P4478" s="24"/>
    </row>
    <row r="4479" spans="2:16" x14ac:dyDescent="0.25">
      <c r="B4479" s="24"/>
      <c r="E4479" s="24"/>
      <c r="G4479" s="24"/>
      <c r="H4479" s="24"/>
      <c r="J4479" s="24"/>
      <c r="K4479" s="24"/>
      <c r="M4479" s="24"/>
      <c r="N4479" s="24"/>
      <c r="P4479" s="24"/>
    </row>
    <row r="4480" spans="2:16" x14ac:dyDescent="0.25">
      <c r="B4480" s="24"/>
      <c r="E4480" s="24"/>
      <c r="G4480" s="24"/>
      <c r="H4480" s="24"/>
      <c r="J4480" s="24"/>
      <c r="K4480" s="24"/>
      <c r="M4480" s="24"/>
      <c r="N4480" s="24"/>
      <c r="P4480" s="24"/>
    </row>
    <row r="4481" spans="2:16" x14ac:dyDescent="0.25">
      <c r="B4481" s="24"/>
      <c r="E4481" s="24"/>
      <c r="G4481" s="24"/>
      <c r="H4481" s="24"/>
      <c r="J4481" s="24"/>
      <c r="K4481" s="24"/>
      <c r="M4481" s="24"/>
      <c r="N4481" s="24"/>
      <c r="P4481" s="24"/>
    </row>
    <row r="4482" spans="2:16" x14ac:dyDescent="0.25">
      <c r="B4482" s="24"/>
      <c r="E4482" s="24"/>
      <c r="G4482" s="24"/>
      <c r="H4482" s="24"/>
      <c r="J4482" s="24"/>
      <c r="K4482" s="24"/>
      <c r="M4482" s="24"/>
      <c r="N4482" s="24"/>
      <c r="P4482" s="24"/>
    </row>
    <row r="4483" spans="2:16" x14ac:dyDescent="0.25">
      <c r="B4483" s="24"/>
      <c r="E4483" s="24"/>
      <c r="G4483" s="24"/>
      <c r="H4483" s="24"/>
      <c r="J4483" s="24"/>
      <c r="K4483" s="24"/>
      <c r="M4483" s="24"/>
      <c r="N4483" s="24"/>
      <c r="P4483" s="24"/>
    </row>
    <row r="4484" spans="2:16" x14ac:dyDescent="0.25">
      <c r="B4484" s="24"/>
      <c r="E4484" s="24"/>
      <c r="G4484" s="24"/>
      <c r="H4484" s="24"/>
      <c r="J4484" s="24"/>
      <c r="K4484" s="24"/>
      <c r="M4484" s="24"/>
      <c r="N4484" s="24"/>
      <c r="P4484" s="24"/>
    </row>
    <row r="4485" spans="2:16" x14ac:dyDescent="0.25">
      <c r="B4485" s="24"/>
      <c r="E4485" s="24"/>
      <c r="G4485" s="24"/>
      <c r="H4485" s="24"/>
      <c r="J4485" s="24"/>
      <c r="K4485" s="24"/>
      <c r="M4485" s="24"/>
      <c r="N4485" s="24"/>
      <c r="P4485" s="24"/>
    </row>
    <row r="4486" spans="2:16" x14ac:dyDescent="0.25">
      <c r="B4486" s="24"/>
      <c r="E4486" s="24"/>
      <c r="G4486" s="24"/>
      <c r="H4486" s="24"/>
      <c r="J4486" s="24"/>
      <c r="K4486" s="24"/>
      <c r="M4486" s="24"/>
      <c r="N4486" s="24"/>
      <c r="P4486" s="24"/>
    </row>
    <row r="4487" spans="2:16" x14ac:dyDescent="0.25">
      <c r="B4487" s="24"/>
      <c r="E4487" s="24"/>
      <c r="G4487" s="24"/>
      <c r="H4487" s="24"/>
      <c r="J4487" s="24"/>
      <c r="K4487" s="24"/>
      <c r="M4487" s="24"/>
      <c r="N4487" s="24"/>
      <c r="P4487" s="24"/>
    </row>
    <row r="4488" spans="2:16" x14ac:dyDescent="0.25">
      <c r="B4488" s="24"/>
      <c r="E4488" s="24"/>
      <c r="G4488" s="24"/>
      <c r="H4488" s="24"/>
      <c r="J4488" s="24"/>
      <c r="K4488" s="24"/>
      <c r="M4488" s="24"/>
      <c r="N4488" s="24"/>
      <c r="P4488" s="24"/>
    </row>
    <row r="4489" spans="2:16" x14ac:dyDescent="0.25">
      <c r="B4489" s="24"/>
      <c r="E4489" s="24"/>
      <c r="G4489" s="24"/>
      <c r="H4489" s="24"/>
      <c r="J4489" s="24"/>
      <c r="K4489" s="24"/>
      <c r="M4489" s="24"/>
      <c r="N4489" s="24"/>
      <c r="P4489" s="24"/>
    </row>
    <row r="4490" spans="2:16" x14ac:dyDescent="0.25">
      <c r="B4490" s="24"/>
      <c r="E4490" s="24"/>
      <c r="G4490" s="24"/>
      <c r="H4490" s="24"/>
      <c r="J4490" s="24"/>
      <c r="K4490" s="24"/>
      <c r="M4490" s="24"/>
      <c r="N4490" s="24"/>
      <c r="P4490" s="24"/>
    </row>
    <row r="4491" spans="2:16" x14ac:dyDescent="0.25">
      <c r="B4491" s="24"/>
      <c r="E4491" s="24"/>
      <c r="G4491" s="24"/>
      <c r="H4491" s="24"/>
      <c r="J4491" s="24"/>
      <c r="K4491" s="24"/>
      <c r="M4491" s="24"/>
      <c r="N4491" s="24"/>
      <c r="P4491" s="24"/>
    </row>
    <row r="4492" spans="2:16" x14ac:dyDescent="0.25">
      <c r="B4492" s="24"/>
      <c r="E4492" s="24"/>
      <c r="G4492" s="24"/>
      <c r="H4492" s="24"/>
      <c r="J4492" s="24"/>
      <c r="K4492" s="24"/>
      <c r="M4492" s="24"/>
      <c r="N4492" s="24"/>
      <c r="P4492" s="24"/>
    </row>
    <row r="4493" spans="2:16" x14ac:dyDescent="0.25">
      <c r="B4493" s="24"/>
      <c r="E4493" s="24"/>
      <c r="G4493" s="24"/>
      <c r="H4493" s="24"/>
      <c r="J4493" s="24"/>
      <c r="K4493" s="24"/>
      <c r="M4493" s="24"/>
      <c r="N4493" s="24"/>
      <c r="P4493" s="24"/>
    </row>
    <row r="4494" spans="2:16" x14ac:dyDescent="0.25">
      <c r="B4494" s="24"/>
      <c r="E4494" s="24"/>
      <c r="G4494" s="24"/>
      <c r="H4494" s="24"/>
      <c r="J4494" s="24"/>
      <c r="K4494" s="24"/>
      <c r="M4494" s="24"/>
      <c r="N4494" s="24"/>
      <c r="P4494" s="24"/>
    </row>
    <row r="4495" spans="2:16" x14ac:dyDescent="0.25">
      <c r="B4495" s="24"/>
      <c r="E4495" s="24"/>
      <c r="G4495" s="24"/>
      <c r="H4495" s="24"/>
      <c r="J4495" s="24"/>
      <c r="K4495" s="24"/>
      <c r="M4495" s="24"/>
      <c r="N4495" s="24"/>
      <c r="P4495" s="24"/>
    </row>
    <row r="4496" spans="2:16" x14ac:dyDescent="0.25">
      <c r="B4496" s="24"/>
      <c r="E4496" s="24"/>
      <c r="G4496" s="24"/>
      <c r="H4496" s="24"/>
      <c r="J4496" s="24"/>
      <c r="K4496" s="24"/>
      <c r="M4496" s="24"/>
      <c r="N4496" s="24"/>
      <c r="P4496" s="24"/>
    </row>
    <row r="4497" spans="2:16" x14ac:dyDescent="0.25">
      <c r="B4497" s="24"/>
      <c r="E4497" s="24"/>
      <c r="G4497" s="24"/>
      <c r="H4497" s="24"/>
      <c r="J4497" s="24"/>
      <c r="K4497" s="24"/>
      <c r="M4497" s="24"/>
      <c r="N4497" s="24"/>
      <c r="P4497" s="24"/>
    </row>
    <row r="4498" spans="2:16" x14ac:dyDescent="0.25">
      <c r="B4498" s="24"/>
      <c r="E4498" s="24"/>
      <c r="G4498" s="24"/>
      <c r="H4498" s="24"/>
      <c r="J4498" s="24"/>
      <c r="K4498" s="24"/>
      <c r="M4498" s="24"/>
      <c r="N4498" s="24"/>
      <c r="P4498" s="24"/>
    </row>
    <row r="4499" spans="2:16" x14ac:dyDescent="0.25">
      <c r="B4499" s="24"/>
      <c r="E4499" s="24"/>
      <c r="G4499" s="24"/>
      <c r="H4499" s="24"/>
      <c r="J4499" s="24"/>
      <c r="K4499" s="24"/>
      <c r="M4499" s="24"/>
      <c r="N4499" s="24"/>
      <c r="P4499" s="24"/>
    </row>
    <row r="4500" spans="2:16" x14ac:dyDescent="0.25">
      <c r="B4500" s="24"/>
      <c r="E4500" s="24"/>
      <c r="G4500" s="24"/>
      <c r="H4500" s="24"/>
      <c r="J4500" s="24"/>
      <c r="K4500" s="24"/>
      <c r="M4500" s="24"/>
      <c r="N4500" s="24"/>
      <c r="P4500" s="24"/>
    </row>
    <row r="4501" spans="2:16" x14ac:dyDescent="0.25">
      <c r="B4501" s="24"/>
      <c r="E4501" s="24"/>
      <c r="G4501" s="24"/>
      <c r="H4501" s="24"/>
      <c r="J4501" s="24"/>
      <c r="K4501" s="24"/>
      <c r="M4501" s="24"/>
      <c r="N4501" s="24"/>
      <c r="P4501" s="24"/>
    </row>
    <row r="4502" spans="2:16" x14ac:dyDescent="0.25">
      <c r="B4502" s="24"/>
      <c r="E4502" s="24"/>
      <c r="G4502" s="24"/>
      <c r="H4502" s="24"/>
      <c r="J4502" s="24"/>
      <c r="K4502" s="24"/>
      <c r="M4502" s="24"/>
      <c r="N4502" s="24"/>
      <c r="P4502" s="24"/>
    </row>
    <row r="4503" spans="2:16" x14ac:dyDescent="0.25">
      <c r="B4503" s="24"/>
      <c r="E4503" s="24"/>
      <c r="G4503" s="24"/>
      <c r="H4503" s="24"/>
      <c r="J4503" s="24"/>
      <c r="K4503" s="24"/>
      <c r="M4503" s="24"/>
      <c r="N4503" s="24"/>
      <c r="P4503" s="24"/>
    </row>
    <row r="4504" spans="2:16" x14ac:dyDescent="0.25">
      <c r="B4504" s="24"/>
      <c r="E4504" s="24"/>
      <c r="G4504" s="24"/>
      <c r="H4504" s="24"/>
      <c r="J4504" s="24"/>
      <c r="K4504" s="24"/>
      <c r="M4504" s="24"/>
      <c r="N4504" s="24"/>
      <c r="P4504" s="24"/>
    </row>
    <row r="4505" spans="2:16" x14ac:dyDescent="0.25">
      <c r="B4505" s="24"/>
      <c r="E4505" s="24"/>
      <c r="G4505" s="24"/>
      <c r="H4505" s="24"/>
      <c r="J4505" s="24"/>
      <c r="K4505" s="24"/>
      <c r="M4505" s="24"/>
      <c r="N4505" s="24"/>
      <c r="P4505" s="24"/>
    </row>
    <row r="4506" spans="2:16" x14ac:dyDescent="0.25">
      <c r="B4506" s="24"/>
      <c r="E4506" s="24"/>
      <c r="G4506" s="24"/>
      <c r="H4506" s="24"/>
      <c r="J4506" s="24"/>
      <c r="K4506" s="24"/>
      <c r="M4506" s="24"/>
      <c r="N4506" s="24"/>
      <c r="P4506" s="24"/>
    </row>
    <row r="4507" spans="2:16" x14ac:dyDescent="0.25">
      <c r="B4507" s="24"/>
      <c r="E4507" s="24"/>
      <c r="G4507" s="24"/>
      <c r="H4507" s="24"/>
      <c r="J4507" s="24"/>
      <c r="K4507" s="24"/>
      <c r="M4507" s="24"/>
      <c r="N4507" s="24"/>
      <c r="P4507" s="24"/>
    </row>
    <row r="4508" spans="2:16" x14ac:dyDescent="0.25">
      <c r="B4508" s="24"/>
      <c r="E4508" s="24"/>
      <c r="G4508" s="24"/>
      <c r="H4508" s="24"/>
      <c r="J4508" s="24"/>
      <c r="K4508" s="24"/>
      <c r="M4508" s="24"/>
      <c r="N4508" s="24"/>
      <c r="P4508" s="24"/>
    </row>
    <row r="4509" spans="2:16" x14ac:dyDescent="0.25">
      <c r="B4509" s="24"/>
      <c r="E4509" s="24"/>
      <c r="G4509" s="24"/>
      <c r="H4509" s="24"/>
      <c r="J4509" s="24"/>
      <c r="K4509" s="24"/>
      <c r="M4509" s="24"/>
      <c r="N4509" s="24"/>
      <c r="P4509" s="24"/>
    </row>
    <row r="4510" spans="2:16" x14ac:dyDescent="0.25">
      <c r="B4510" s="24"/>
      <c r="E4510" s="24"/>
      <c r="G4510" s="24"/>
      <c r="H4510" s="24"/>
      <c r="J4510" s="24"/>
      <c r="K4510" s="24"/>
      <c r="M4510" s="24"/>
      <c r="N4510" s="24"/>
      <c r="P4510" s="24"/>
    </row>
    <row r="4511" spans="2:16" x14ac:dyDescent="0.25">
      <c r="B4511" s="24"/>
      <c r="E4511" s="24"/>
      <c r="G4511" s="24"/>
      <c r="H4511" s="24"/>
      <c r="J4511" s="24"/>
      <c r="K4511" s="24"/>
      <c r="M4511" s="24"/>
      <c r="N4511" s="24"/>
      <c r="P4511" s="24"/>
    </row>
    <row r="4512" spans="2:16" x14ac:dyDescent="0.25">
      <c r="B4512" s="24"/>
      <c r="E4512" s="24"/>
      <c r="G4512" s="24"/>
      <c r="H4512" s="24"/>
      <c r="J4512" s="24"/>
      <c r="K4512" s="24"/>
      <c r="M4512" s="24"/>
      <c r="N4512" s="24"/>
      <c r="P4512" s="24"/>
    </row>
    <row r="4513" spans="2:16" x14ac:dyDescent="0.25">
      <c r="B4513" s="24"/>
      <c r="E4513" s="24"/>
      <c r="G4513" s="24"/>
      <c r="H4513" s="24"/>
      <c r="J4513" s="24"/>
      <c r="K4513" s="24"/>
      <c r="M4513" s="24"/>
      <c r="N4513" s="24"/>
      <c r="P4513" s="24"/>
    </row>
    <row r="4514" spans="2:16" x14ac:dyDescent="0.25">
      <c r="B4514" s="24"/>
      <c r="E4514" s="24"/>
      <c r="G4514" s="24"/>
      <c r="H4514" s="24"/>
      <c r="J4514" s="24"/>
      <c r="K4514" s="24"/>
      <c r="M4514" s="24"/>
      <c r="N4514" s="24"/>
      <c r="P4514" s="24"/>
    </row>
    <row r="4515" spans="2:16" x14ac:dyDescent="0.25">
      <c r="B4515" s="24"/>
      <c r="E4515" s="24"/>
      <c r="G4515" s="24"/>
      <c r="H4515" s="24"/>
      <c r="J4515" s="24"/>
      <c r="K4515" s="24"/>
      <c r="M4515" s="24"/>
      <c r="N4515" s="24"/>
      <c r="P4515" s="24"/>
    </row>
    <row r="4516" spans="2:16" x14ac:dyDescent="0.25">
      <c r="B4516" s="24"/>
      <c r="E4516" s="24"/>
      <c r="G4516" s="24"/>
      <c r="H4516" s="24"/>
      <c r="J4516" s="24"/>
      <c r="K4516" s="24"/>
      <c r="M4516" s="24"/>
      <c r="N4516" s="24"/>
      <c r="P4516" s="24"/>
    </row>
    <row r="4517" spans="2:16" x14ac:dyDescent="0.25">
      <c r="B4517" s="24"/>
      <c r="E4517" s="24"/>
      <c r="G4517" s="24"/>
      <c r="H4517" s="24"/>
      <c r="J4517" s="24"/>
      <c r="K4517" s="24"/>
      <c r="M4517" s="24"/>
      <c r="N4517" s="24"/>
      <c r="P4517" s="24"/>
    </row>
    <row r="4518" spans="2:16" x14ac:dyDescent="0.25">
      <c r="B4518" s="24"/>
      <c r="E4518" s="24"/>
      <c r="G4518" s="24"/>
      <c r="H4518" s="24"/>
      <c r="J4518" s="24"/>
      <c r="K4518" s="24"/>
      <c r="M4518" s="24"/>
      <c r="N4518" s="24"/>
      <c r="P4518" s="24"/>
    </row>
    <row r="4519" spans="2:16" x14ac:dyDescent="0.25">
      <c r="B4519" s="24"/>
      <c r="E4519" s="24"/>
      <c r="G4519" s="24"/>
      <c r="H4519" s="24"/>
      <c r="J4519" s="24"/>
      <c r="K4519" s="24"/>
      <c r="M4519" s="24"/>
      <c r="N4519" s="24"/>
      <c r="P4519" s="24"/>
    </row>
    <row r="4520" spans="2:16" x14ac:dyDescent="0.25">
      <c r="B4520" s="24"/>
      <c r="E4520" s="24"/>
      <c r="G4520" s="24"/>
      <c r="H4520" s="24"/>
      <c r="J4520" s="24"/>
      <c r="K4520" s="24"/>
      <c r="M4520" s="24"/>
      <c r="N4520" s="24"/>
      <c r="P4520" s="24"/>
    </row>
    <row r="4521" spans="2:16" x14ac:dyDescent="0.25">
      <c r="B4521" s="24"/>
      <c r="E4521" s="24"/>
      <c r="G4521" s="24"/>
      <c r="H4521" s="24"/>
      <c r="J4521" s="24"/>
      <c r="K4521" s="24"/>
      <c r="M4521" s="24"/>
      <c r="N4521" s="24"/>
      <c r="P4521" s="24"/>
    </row>
    <row r="4522" spans="2:16" x14ac:dyDescent="0.25">
      <c r="B4522" s="24"/>
      <c r="E4522" s="24"/>
      <c r="G4522" s="24"/>
      <c r="H4522" s="24"/>
      <c r="J4522" s="24"/>
      <c r="K4522" s="24"/>
      <c r="M4522" s="24"/>
      <c r="N4522" s="24"/>
      <c r="P4522" s="24"/>
    </row>
    <row r="4523" spans="2:16" x14ac:dyDescent="0.25">
      <c r="B4523" s="24"/>
      <c r="E4523" s="24"/>
      <c r="G4523" s="24"/>
      <c r="H4523" s="24"/>
      <c r="J4523" s="24"/>
      <c r="K4523" s="24"/>
      <c r="M4523" s="24"/>
      <c r="N4523" s="24"/>
      <c r="P4523" s="24"/>
    </row>
    <row r="4524" spans="2:16" x14ac:dyDescent="0.25">
      <c r="B4524" s="24"/>
      <c r="E4524" s="24"/>
      <c r="G4524" s="24"/>
      <c r="H4524" s="24"/>
      <c r="J4524" s="24"/>
      <c r="K4524" s="24"/>
      <c r="M4524" s="24"/>
      <c r="N4524" s="24"/>
      <c r="P4524" s="24"/>
    </row>
    <row r="4525" spans="2:16" x14ac:dyDescent="0.25">
      <c r="B4525" s="24"/>
      <c r="E4525" s="24"/>
      <c r="G4525" s="24"/>
      <c r="H4525" s="24"/>
      <c r="J4525" s="24"/>
      <c r="K4525" s="24"/>
      <c r="M4525" s="24"/>
      <c r="N4525" s="24"/>
      <c r="P4525" s="24"/>
    </row>
    <row r="4526" spans="2:16" x14ac:dyDescent="0.25">
      <c r="B4526" s="24"/>
      <c r="E4526" s="24"/>
      <c r="G4526" s="24"/>
      <c r="H4526" s="24"/>
      <c r="J4526" s="24"/>
      <c r="K4526" s="24"/>
      <c r="M4526" s="24"/>
      <c r="N4526" s="24"/>
      <c r="P4526" s="24"/>
    </row>
    <row r="4527" spans="2:16" x14ac:dyDescent="0.25">
      <c r="B4527" s="24"/>
      <c r="E4527" s="24"/>
      <c r="G4527" s="24"/>
      <c r="H4527" s="24"/>
      <c r="J4527" s="24"/>
      <c r="K4527" s="24"/>
      <c r="M4527" s="24"/>
      <c r="N4527" s="24"/>
      <c r="P4527" s="24"/>
    </row>
    <row r="4528" spans="2:16" x14ac:dyDescent="0.25">
      <c r="B4528" s="24"/>
      <c r="E4528" s="24"/>
      <c r="G4528" s="24"/>
      <c r="H4528" s="24"/>
      <c r="J4528" s="24"/>
      <c r="K4528" s="24"/>
      <c r="M4528" s="24"/>
      <c r="N4528" s="24"/>
      <c r="P4528" s="24"/>
    </row>
    <row r="4529" spans="2:16" x14ac:dyDescent="0.25">
      <c r="B4529" s="24"/>
      <c r="E4529" s="24"/>
      <c r="G4529" s="24"/>
      <c r="H4529" s="24"/>
      <c r="J4529" s="24"/>
      <c r="K4529" s="24"/>
      <c r="M4529" s="24"/>
      <c r="N4529" s="24"/>
      <c r="P4529" s="24"/>
    </row>
    <row r="4530" spans="2:16" x14ac:dyDescent="0.25">
      <c r="B4530" s="24"/>
      <c r="E4530" s="24"/>
      <c r="G4530" s="24"/>
      <c r="H4530" s="24"/>
      <c r="J4530" s="24"/>
      <c r="K4530" s="24"/>
      <c r="M4530" s="24"/>
      <c r="N4530" s="24"/>
      <c r="P4530" s="24"/>
    </row>
    <row r="4531" spans="2:16" x14ac:dyDescent="0.25">
      <c r="B4531" s="24"/>
      <c r="E4531" s="24"/>
      <c r="G4531" s="24"/>
      <c r="H4531" s="24"/>
      <c r="J4531" s="24"/>
      <c r="K4531" s="24"/>
      <c r="M4531" s="24"/>
      <c r="N4531" s="24"/>
      <c r="P4531" s="24"/>
    </row>
    <row r="4532" spans="2:16" x14ac:dyDescent="0.25">
      <c r="B4532" s="24"/>
      <c r="E4532" s="24"/>
      <c r="G4532" s="24"/>
      <c r="H4532" s="24"/>
      <c r="J4532" s="24"/>
      <c r="K4532" s="24"/>
      <c r="M4532" s="24"/>
      <c r="N4532" s="24"/>
      <c r="P4532" s="24"/>
    </row>
    <row r="4533" spans="2:16" x14ac:dyDescent="0.25">
      <c r="B4533" s="24"/>
      <c r="E4533" s="24"/>
      <c r="G4533" s="24"/>
      <c r="H4533" s="24"/>
      <c r="J4533" s="24"/>
      <c r="K4533" s="24"/>
      <c r="M4533" s="24"/>
      <c r="N4533" s="24"/>
      <c r="P4533" s="24"/>
    </row>
    <row r="4534" spans="2:16" x14ac:dyDescent="0.25">
      <c r="B4534" s="24"/>
      <c r="E4534" s="24"/>
      <c r="G4534" s="24"/>
      <c r="H4534" s="24"/>
      <c r="J4534" s="24"/>
      <c r="K4534" s="24"/>
      <c r="M4534" s="24"/>
      <c r="N4534" s="24"/>
      <c r="P4534" s="24"/>
    </row>
    <row r="4535" spans="2:16" x14ac:dyDescent="0.25">
      <c r="B4535" s="24"/>
      <c r="E4535" s="24"/>
      <c r="G4535" s="24"/>
      <c r="H4535" s="24"/>
      <c r="J4535" s="24"/>
      <c r="K4535" s="24"/>
      <c r="M4535" s="24"/>
      <c r="N4535" s="24"/>
      <c r="P4535" s="24"/>
    </row>
    <row r="4536" spans="2:16" x14ac:dyDescent="0.25">
      <c r="B4536" s="24"/>
      <c r="E4536" s="24"/>
      <c r="G4536" s="24"/>
      <c r="H4536" s="24"/>
      <c r="J4536" s="24"/>
      <c r="K4536" s="24"/>
      <c r="M4536" s="24"/>
      <c r="N4536" s="24"/>
      <c r="P4536" s="24"/>
    </row>
    <row r="4537" spans="2:16" x14ac:dyDescent="0.25">
      <c r="B4537" s="24"/>
      <c r="E4537" s="24"/>
      <c r="G4537" s="24"/>
      <c r="H4537" s="24"/>
      <c r="J4537" s="24"/>
      <c r="K4537" s="24"/>
      <c r="M4537" s="24"/>
      <c r="N4537" s="24"/>
      <c r="P4537" s="24"/>
    </row>
    <row r="4538" spans="2:16" x14ac:dyDescent="0.25">
      <c r="B4538" s="24"/>
      <c r="E4538" s="24"/>
      <c r="G4538" s="24"/>
      <c r="H4538" s="24"/>
      <c r="J4538" s="24"/>
      <c r="K4538" s="24"/>
      <c r="M4538" s="24"/>
      <c r="N4538" s="24"/>
      <c r="P4538" s="24"/>
    </row>
    <row r="4539" spans="2:16" x14ac:dyDescent="0.25">
      <c r="B4539" s="24"/>
      <c r="E4539" s="24"/>
      <c r="G4539" s="24"/>
      <c r="H4539" s="24"/>
      <c r="J4539" s="24"/>
      <c r="K4539" s="24"/>
      <c r="M4539" s="24"/>
      <c r="N4539" s="24"/>
      <c r="P4539" s="24"/>
    </row>
    <row r="4540" spans="2:16" x14ac:dyDescent="0.25">
      <c r="B4540" s="24"/>
      <c r="E4540" s="24"/>
      <c r="G4540" s="24"/>
      <c r="H4540" s="24"/>
      <c r="J4540" s="24"/>
      <c r="K4540" s="24"/>
      <c r="M4540" s="24"/>
      <c r="N4540" s="24"/>
      <c r="P4540" s="24"/>
    </row>
    <row r="4541" spans="2:16" x14ac:dyDescent="0.25">
      <c r="B4541" s="24"/>
      <c r="E4541" s="24"/>
      <c r="G4541" s="24"/>
      <c r="H4541" s="24"/>
      <c r="J4541" s="24"/>
      <c r="K4541" s="24"/>
      <c r="M4541" s="24"/>
      <c r="N4541" s="24"/>
      <c r="P4541" s="24"/>
    </row>
    <row r="4542" spans="2:16" x14ac:dyDescent="0.25">
      <c r="B4542" s="24"/>
      <c r="E4542" s="24"/>
      <c r="G4542" s="24"/>
      <c r="H4542" s="24"/>
      <c r="J4542" s="24"/>
      <c r="K4542" s="24"/>
      <c r="M4542" s="24"/>
      <c r="N4542" s="24"/>
      <c r="P4542" s="24"/>
    </row>
    <row r="4543" spans="2:16" x14ac:dyDescent="0.25">
      <c r="B4543" s="24"/>
      <c r="E4543" s="24"/>
      <c r="G4543" s="24"/>
      <c r="H4543" s="24"/>
      <c r="J4543" s="24"/>
      <c r="K4543" s="24"/>
      <c r="M4543" s="24"/>
      <c r="N4543" s="24"/>
      <c r="P4543" s="24"/>
    </row>
    <row r="4544" spans="2:16" x14ac:dyDescent="0.25">
      <c r="B4544" s="24"/>
      <c r="E4544" s="24"/>
      <c r="G4544" s="24"/>
      <c r="H4544" s="24"/>
      <c r="J4544" s="24"/>
      <c r="K4544" s="24"/>
      <c r="M4544" s="24"/>
      <c r="N4544" s="24"/>
      <c r="P4544" s="24"/>
    </row>
    <row r="4545" spans="2:16" x14ac:dyDescent="0.25">
      <c r="B4545" s="24"/>
      <c r="E4545" s="24"/>
      <c r="G4545" s="24"/>
      <c r="H4545" s="24"/>
      <c r="J4545" s="24"/>
      <c r="K4545" s="24"/>
      <c r="M4545" s="24"/>
      <c r="N4545" s="24"/>
      <c r="P4545" s="24"/>
    </row>
    <row r="4546" spans="2:16" x14ac:dyDescent="0.25">
      <c r="B4546" s="24"/>
      <c r="E4546" s="24"/>
      <c r="G4546" s="24"/>
      <c r="H4546" s="24"/>
      <c r="J4546" s="24"/>
      <c r="K4546" s="24"/>
      <c r="M4546" s="24"/>
      <c r="N4546" s="24"/>
      <c r="P4546" s="24"/>
    </row>
    <row r="4547" spans="2:16" x14ac:dyDescent="0.25">
      <c r="B4547" s="24"/>
      <c r="E4547" s="24"/>
      <c r="G4547" s="24"/>
      <c r="H4547" s="24"/>
      <c r="J4547" s="24"/>
      <c r="K4547" s="24"/>
      <c r="M4547" s="24"/>
      <c r="N4547" s="24"/>
      <c r="P4547" s="24"/>
    </row>
    <row r="4548" spans="2:16" x14ac:dyDescent="0.25">
      <c r="B4548" s="24"/>
      <c r="E4548" s="24"/>
      <c r="G4548" s="24"/>
      <c r="H4548" s="24"/>
      <c r="J4548" s="24"/>
      <c r="K4548" s="24"/>
      <c r="M4548" s="24"/>
      <c r="N4548" s="24"/>
      <c r="P4548" s="24"/>
    </row>
    <row r="4549" spans="2:16" x14ac:dyDescent="0.25">
      <c r="B4549" s="24"/>
      <c r="E4549" s="24"/>
      <c r="G4549" s="24"/>
      <c r="H4549" s="24"/>
      <c r="J4549" s="24"/>
      <c r="K4549" s="24"/>
      <c r="M4549" s="24"/>
      <c r="N4549" s="24"/>
      <c r="P4549" s="24"/>
    </row>
    <row r="4550" spans="2:16" x14ac:dyDescent="0.25">
      <c r="B4550" s="24"/>
      <c r="E4550" s="24"/>
      <c r="G4550" s="24"/>
      <c r="H4550" s="24"/>
      <c r="J4550" s="24"/>
      <c r="K4550" s="24"/>
      <c r="M4550" s="24"/>
      <c r="N4550" s="24"/>
      <c r="P4550" s="24"/>
    </row>
    <row r="4551" spans="2:16" x14ac:dyDescent="0.25">
      <c r="B4551" s="24"/>
      <c r="E4551" s="24"/>
      <c r="G4551" s="24"/>
      <c r="H4551" s="24"/>
      <c r="J4551" s="24"/>
      <c r="K4551" s="24"/>
      <c r="M4551" s="24"/>
      <c r="N4551" s="24"/>
      <c r="P4551" s="24"/>
    </row>
    <row r="4552" spans="2:16" x14ac:dyDescent="0.25">
      <c r="B4552" s="24"/>
      <c r="E4552" s="24"/>
      <c r="G4552" s="24"/>
      <c r="H4552" s="24"/>
      <c r="J4552" s="24"/>
      <c r="K4552" s="24"/>
      <c r="M4552" s="24"/>
      <c r="N4552" s="24"/>
      <c r="P4552" s="24"/>
    </row>
    <row r="4553" spans="2:16" x14ac:dyDescent="0.25">
      <c r="B4553" s="24"/>
      <c r="E4553" s="24"/>
      <c r="G4553" s="24"/>
      <c r="H4553" s="24"/>
      <c r="J4553" s="24"/>
      <c r="K4553" s="24"/>
      <c r="M4553" s="24"/>
      <c r="N4553" s="24"/>
      <c r="P4553" s="24"/>
    </row>
    <row r="4554" spans="2:16" x14ac:dyDescent="0.25">
      <c r="B4554" s="24"/>
      <c r="E4554" s="24"/>
      <c r="G4554" s="24"/>
      <c r="H4554" s="24"/>
      <c r="J4554" s="24"/>
      <c r="K4554" s="24"/>
      <c r="M4554" s="24"/>
      <c r="N4554" s="24"/>
      <c r="P4554" s="24"/>
    </row>
    <row r="4555" spans="2:16" x14ac:dyDescent="0.25">
      <c r="B4555" s="24"/>
      <c r="E4555" s="24"/>
      <c r="G4555" s="24"/>
      <c r="H4555" s="24"/>
      <c r="J4555" s="24"/>
      <c r="K4555" s="24"/>
      <c r="M4555" s="24"/>
      <c r="N4555" s="24"/>
      <c r="P4555" s="24"/>
    </row>
    <row r="4556" spans="2:16" x14ac:dyDescent="0.25">
      <c r="B4556" s="24"/>
      <c r="E4556" s="24"/>
      <c r="G4556" s="24"/>
      <c r="H4556" s="24"/>
      <c r="J4556" s="24"/>
      <c r="K4556" s="24"/>
      <c r="M4556" s="24"/>
      <c r="N4556" s="24"/>
      <c r="P4556" s="24"/>
    </row>
    <row r="4557" spans="2:16" x14ac:dyDescent="0.25">
      <c r="B4557" s="24"/>
      <c r="E4557" s="24"/>
      <c r="G4557" s="24"/>
      <c r="H4557" s="24"/>
      <c r="J4557" s="24"/>
      <c r="K4557" s="24"/>
      <c r="M4557" s="24"/>
      <c r="N4557" s="24"/>
      <c r="P4557" s="24"/>
    </row>
    <row r="4558" spans="2:16" x14ac:dyDescent="0.25">
      <c r="B4558" s="24"/>
      <c r="E4558" s="24"/>
      <c r="G4558" s="24"/>
      <c r="H4558" s="24"/>
      <c r="J4558" s="24"/>
      <c r="K4558" s="24"/>
      <c r="M4558" s="24"/>
      <c r="N4558" s="24"/>
      <c r="P4558" s="24"/>
    </row>
    <row r="4559" spans="2:16" x14ac:dyDescent="0.25">
      <c r="B4559" s="24"/>
      <c r="E4559" s="24"/>
      <c r="G4559" s="24"/>
      <c r="H4559" s="24"/>
      <c r="J4559" s="24"/>
      <c r="K4559" s="24"/>
      <c r="M4559" s="24"/>
      <c r="N4559" s="24"/>
      <c r="P4559" s="24"/>
    </row>
    <row r="4560" spans="2:16" x14ac:dyDescent="0.25">
      <c r="B4560" s="24"/>
      <c r="E4560" s="24"/>
      <c r="G4560" s="24"/>
      <c r="H4560" s="24"/>
      <c r="J4560" s="24"/>
      <c r="K4560" s="24"/>
      <c r="M4560" s="24"/>
      <c r="N4560" s="24"/>
      <c r="P4560" s="24"/>
    </row>
    <row r="4561" spans="2:16" x14ac:dyDescent="0.25">
      <c r="B4561" s="24"/>
      <c r="E4561" s="24"/>
      <c r="G4561" s="24"/>
      <c r="H4561" s="24"/>
      <c r="J4561" s="24"/>
      <c r="K4561" s="24"/>
      <c r="M4561" s="24"/>
      <c r="N4561" s="24"/>
      <c r="P4561" s="24"/>
    </row>
    <row r="4562" spans="2:16" x14ac:dyDescent="0.25">
      <c r="B4562" s="24"/>
      <c r="E4562" s="24"/>
      <c r="G4562" s="24"/>
      <c r="H4562" s="24"/>
      <c r="J4562" s="24"/>
      <c r="K4562" s="24"/>
      <c r="M4562" s="24"/>
      <c r="N4562" s="24"/>
      <c r="P4562" s="24"/>
    </row>
    <row r="4563" spans="2:16" x14ac:dyDescent="0.25">
      <c r="B4563" s="24"/>
      <c r="E4563" s="24"/>
      <c r="G4563" s="24"/>
      <c r="H4563" s="24"/>
      <c r="J4563" s="24"/>
      <c r="K4563" s="24"/>
      <c r="M4563" s="24"/>
      <c r="N4563" s="24"/>
      <c r="P4563" s="24"/>
    </row>
    <row r="4564" spans="2:16" x14ac:dyDescent="0.25">
      <c r="B4564" s="24"/>
      <c r="E4564" s="24"/>
      <c r="G4564" s="24"/>
      <c r="H4564" s="24"/>
      <c r="J4564" s="24"/>
      <c r="K4564" s="24"/>
      <c r="M4564" s="24"/>
      <c r="N4564" s="24"/>
      <c r="P4564" s="24"/>
    </row>
    <row r="4565" spans="2:16" x14ac:dyDescent="0.25">
      <c r="B4565" s="24"/>
      <c r="E4565" s="24"/>
      <c r="G4565" s="24"/>
      <c r="H4565" s="24"/>
      <c r="J4565" s="24"/>
      <c r="K4565" s="24"/>
      <c r="M4565" s="24"/>
      <c r="N4565" s="24"/>
      <c r="P4565" s="24"/>
    </row>
    <row r="4566" spans="2:16" x14ac:dyDescent="0.25">
      <c r="B4566" s="24"/>
      <c r="E4566" s="24"/>
      <c r="G4566" s="24"/>
      <c r="H4566" s="24"/>
      <c r="J4566" s="24"/>
      <c r="K4566" s="24"/>
      <c r="M4566" s="24"/>
      <c r="N4566" s="24"/>
      <c r="P4566" s="24"/>
    </row>
    <row r="4567" spans="2:16" x14ac:dyDescent="0.25">
      <c r="B4567" s="24"/>
      <c r="E4567" s="24"/>
      <c r="G4567" s="24"/>
      <c r="H4567" s="24"/>
      <c r="J4567" s="24"/>
      <c r="K4567" s="24"/>
      <c r="M4567" s="24"/>
      <c r="N4567" s="24"/>
      <c r="P4567" s="24"/>
    </row>
    <row r="4568" spans="2:16" x14ac:dyDescent="0.25">
      <c r="B4568" s="24"/>
      <c r="E4568" s="24"/>
      <c r="G4568" s="24"/>
      <c r="H4568" s="24"/>
      <c r="J4568" s="24"/>
      <c r="K4568" s="24"/>
      <c r="M4568" s="24"/>
      <c r="N4568" s="24"/>
      <c r="P4568" s="24"/>
    </row>
    <row r="4569" spans="2:16" x14ac:dyDescent="0.25">
      <c r="B4569" s="24"/>
      <c r="E4569" s="24"/>
      <c r="G4569" s="24"/>
      <c r="H4569" s="24"/>
      <c r="J4569" s="24"/>
      <c r="K4569" s="24"/>
      <c r="M4569" s="24"/>
      <c r="N4569" s="24"/>
      <c r="P4569" s="24"/>
    </row>
    <row r="4570" spans="2:16" x14ac:dyDescent="0.25">
      <c r="B4570" s="24"/>
      <c r="E4570" s="24"/>
      <c r="G4570" s="24"/>
      <c r="H4570" s="24"/>
      <c r="J4570" s="24"/>
      <c r="K4570" s="24"/>
      <c r="M4570" s="24"/>
      <c r="N4570" s="24"/>
      <c r="P4570" s="24"/>
    </row>
    <row r="4571" spans="2:16" x14ac:dyDescent="0.25">
      <c r="B4571" s="24"/>
      <c r="E4571" s="24"/>
      <c r="G4571" s="24"/>
      <c r="H4571" s="24"/>
      <c r="J4571" s="24"/>
      <c r="K4571" s="24"/>
      <c r="M4571" s="24"/>
      <c r="N4571" s="24"/>
      <c r="P4571" s="24"/>
    </row>
    <row r="4572" spans="2:16" x14ac:dyDescent="0.25">
      <c r="B4572" s="24"/>
      <c r="E4572" s="24"/>
      <c r="G4572" s="24"/>
      <c r="H4572" s="24"/>
      <c r="J4572" s="24"/>
      <c r="K4572" s="24"/>
      <c r="M4572" s="24"/>
      <c r="N4572" s="24"/>
      <c r="P4572" s="24"/>
    </row>
    <row r="4573" spans="2:16" x14ac:dyDescent="0.25">
      <c r="B4573" s="24"/>
      <c r="E4573" s="24"/>
      <c r="G4573" s="24"/>
      <c r="H4573" s="24"/>
      <c r="J4573" s="24"/>
      <c r="K4573" s="24"/>
      <c r="M4573" s="24"/>
      <c r="N4573" s="24"/>
      <c r="P4573" s="24"/>
    </row>
    <row r="4574" spans="2:16" x14ac:dyDescent="0.25">
      <c r="B4574" s="24"/>
      <c r="E4574" s="24"/>
      <c r="G4574" s="24"/>
      <c r="H4574" s="24"/>
      <c r="J4574" s="24"/>
      <c r="K4574" s="24"/>
      <c r="M4574" s="24"/>
      <c r="N4574" s="24"/>
      <c r="P4574" s="24"/>
    </row>
    <row r="4575" spans="2:16" x14ac:dyDescent="0.25">
      <c r="B4575" s="24"/>
      <c r="E4575" s="24"/>
      <c r="G4575" s="24"/>
      <c r="H4575" s="24"/>
      <c r="J4575" s="24"/>
      <c r="K4575" s="24"/>
      <c r="M4575" s="24"/>
      <c r="N4575" s="24"/>
      <c r="P4575" s="24"/>
    </row>
    <row r="4576" spans="2:16" x14ac:dyDescent="0.25">
      <c r="B4576" s="24"/>
      <c r="E4576" s="24"/>
      <c r="G4576" s="24"/>
      <c r="H4576" s="24"/>
      <c r="J4576" s="24"/>
      <c r="K4576" s="24"/>
      <c r="M4576" s="24"/>
      <c r="N4576" s="24"/>
      <c r="P4576" s="24"/>
    </row>
    <row r="4577" spans="2:16" x14ac:dyDescent="0.25">
      <c r="B4577" s="24"/>
      <c r="E4577" s="24"/>
      <c r="G4577" s="24"/>
      <c r="H4577" s="24"/>
      <c r="J4577" s="24"/>
      <c r="K4577" s="24"/>
      <c r="M4577" s="24"/>
      <c r="N4577" s="24"/>
      <c r="P4577" s="24"/>
    </row>
    <row r="4578" spans="2:16" x14ac:dyDescent="0.25">
      <c r="B4578" s="24"/>
      <c r="E4578" s="24"/>
      <c r="G4578" s="24"/>
      <c r="H4578" s="24"/>
      <c r="J4578" s="24"/>
      <c r="K4578" s="24"/>
      <c r="M4578" s="24"/>
      <c r="N4578" s="24"/>
      <c r="P4578" s="24"/>
    </row>
    <row r="4579" spans="2:16" x14ac:dyDescent="0.25">
      <c r="B4579" s="24"/>
      <c r="E4579" s="24"/>
      <c r="G4579" s="24"/>
      <c r="H4579" s="24"/>
      <c r="J4579" s="24"/>
      <c r="K4579" s="24"/>
      <c r="M4579" s="24"/>
      <c r="N4579" s="24"/>
      <c r="P4579" s="24"/>
    </row>
    <row r="4580" spans="2:16" x14ac:dyDescent="0.25">
      <c r="B4580" s="24"/>
      <c r="E4580" s="24"/>
      <c r="G4580" s="24"/>
      <c r="H4580" s="24"/>
      <c r="J4580" s="24"/>
      <c r="K4580" s="24"/>
      <c r="M4580" s="24"/>
      <c r="N4580" s="24"/>
      <c r="P4580" s="24"/>
    </row>
    <row r="4581" spans="2:16" x14ac:dyDescent="0.25">
      <c r="B4581" s="24"/>
      <c r="E4581" s="24"/>
      <c r="G4581" s="24"/>
      <c r="H4581" s="24"/>
      <c r="J4581" s="24"/>
      <c r="K4581" s="24"/>
      <c r="M4581" s="24"/>
      <c r="N4581" s="24"/>
      <c r="P4581" s="24"/>
    </row>
    <row r="4582" spans="2:16" x14ac:dyDescent="0.25">
      <c r="B4582" s="24"/>
      <c r="E4582" s="24"/>
      <c r="G4582" s="24"/>
      <c r="H4582" s="24"/>
      <c r="J4582" s="24"/>
      <c r="K4582" s="24"/>
      <c r="M4582" s="24"/>
      <c r="N4582" s="24"/>
      <c r="P4582" s="24"/>
    </row>
    <row r="4583" spans="2:16" x14ac:dyDescent="0.25">
      <c r="B4583" s="24"/>
      <c r="E4583" s="24"/>
      <c r="G4583" s="24"/>
      <c r="H4583" s="24"/>
      <c r="J4583" s="24"/>
      <c r="K4583" s="24"/>
      <c r="M4583" s="24"/>
      <c r="N4583" s="24"/>
      <c r="P4583" s="24"/>
    </row>
    <row r="4584" spans="2:16" x14ac:dyDescent="0.25">
      <c r="B4584" s="24"/>
      <c r="E4584" s="24"/>
      <c r="G4584" s="24"/>
      <c r="H4584" s="24"/>
      <c r="J4584" s="24"/>
      <c r="K4584" s="24"/>
      <c r="M4584" s="24"/>
      <c r="N4584" s="24"/>
      <c r="P4584" s="24"/>
    </row>
    <row r="4585" spans="2:16" x14ac:dyDescent="0.25">
      <c r="B4585" s="24"/>
      <c r="E4585" s="24"/>
      <c r="G4585" s="24"/>
      <c r="H4585" s="24"/>
      <c r="J4585" s="24"/>
      <c r="K4585" s="24"/>
      <c r="M4585" s="24"/>
      <c r="N4585" s="24"/>
      <c r="P4585" s="24"/>
    </row>
    <row r="4586" spans="2:16" x14ac:dyDescent="0.25">
      <c r="B4586" s="24"/>
      <c r="E4586" s="24"/>
      <c r="G4586" s="24"/>
      <c r="H4586" s="24"/>
      <c r="J4586" s="24"/>
      <c r="K4586" s="24"/>
      <c r="M4586" s="24"/>
      <c r="N4586" s="24"/>
      <c r="P4586" s="24"/>
    </row>
    <row r="4587" spans="2:16" x14ac:dyDescent="0.25">
      <c r="B4587" s="24"/>
      <c r="E4587" s="24"/>
      <c r="G4587" s="24"/>
      <c r="H4587" s="24"/>
      <c r="J4587" s="24"/>
      <c r="K4587" s="24"/>
      <c r="M4587" s="24"/>
      <c r="N4587" s="24"/>
      <c r="P4587" s="24"/>
    </row>
    <row r="4588" spans="2:16" x14ac:dyDescent="0.25">
      <c r="B4588" s="24"/>
      <c r="E4588" s="24"/>
      <c r="G4588" s="24"/>
      <c r="H4588" s="24"/>
      <c r="J4588" s="24"/>
      <c r="K4588" s="24"/>
      <c r="M4588" s="24"/>
      <c r="N4588" s="24"/>
      <c r="P4588" s="24"/>
    </row>
    <row r="4589" spans="2:16" x14ac:dyDescent="0.25">
      <c r="B4589" s="24"/>
      <c r="E4589" s="24"/>
      <c r="G4589" s="24"/>
      <c r="H4589" s="24"/>
      <c r="J4589" s="24"/>
      <c r="K4589" s="24"/>
      <c r="M4589" s="24"/>
      <c r="N4589" s="24"/>
      <c r="P4589" s="24"/>
    </row>
    <row r="4590" spans="2:16" x14ac:dyDescent="0.25">
      <c r="B4590" s="24"/>
      <c r="E4590" s="24"/>
      <c r="G4590" s="24"/>
      <c r="H4590" s="24"/>
      <c r="J4590" s="24"/>
      <c r="K4590" s="24"/>
      <c r="M4590" s="24"/>
      <c r="N4590" s="24"/>
      <c r="P4590" s="24"/>
    </row>
    <row r="4591" spans="2:16" x14ac:dyDescent="0.25">
      <c r="B4591" s="24"/>
      <c r="E4591" s="24"/>
      <c r="G4591" s="24"/>
      <c r="H4591" s="24"/>
      <c r="J4591" s="24"/>
      <c r="K4591" s="24"/>
      <c r="M4591" s="24"/>
      <c r="N4591" s="24"/>
      <c r="P4591" s="24"/>
    </row>
    <row r="4592" spans="2:16" x14ac:dyDescent="0.25">
      <c r="B4592" s="24"/>
      <c r="E4592" s="24"/>
      <c r="G4592" s="24"/>
      <c r="H4592" s="24"/>
      <c r="J4592" s="24"/>
      <c r="K4592" s="24"/>
      <c r="M4592" s="24"/>
      <c r="N4592" s="24"/>
      <c r="P4592" s="24"/>
    </row>
    <row r="4593" spans="2:16" x14ac:dyDescent="0.25">
      <c r="B4593" s="24"/>
      <c r="E4593" s="24"/>
      <c r="G4593" s="24"/>
      <c r="H4593" s="24"/>
      <c r="J4593" s="24"/>
      <c r="K4593" s="24"/>
      <c r="M4593" s="24"/>
      <c r="N4593" s="24"/>
      <c r="P4593" s="24"/>
    </row>
    <row r="4594" spans="2:16" x14ac:dyDescent="0.25">
      <c r="B4594" s="24"/>
      <c r="E4594" s="24"/>
      <c r="G4594" s="24"/>
      <c r="H4594" s="24"/>
      <c r="J4594" s="24"/>
      <c r="K4594" s="24"/>
      <c r="M4594" s="24"/>
      <c r="N4594" s="24"/>
      <c r="P4594" s="24"/>
    </row>
    <row r="4595" spans="2:16" x14ac:dyDescent="0.25">
      <c r="B4595" s="24"/>
      <c r="E4595" s="24"/>
      <c r="G4595" s="24"/>
      <c r="H4595" s="24"/>
      <c r="J4595" s="24"/>
      <c r="K4595" s="24"/>
      <c r="M4595" s="24"/>
      <c r="N4595" s="24"/>
      <c r="P4595" s="24"/>
    </row>
    <row r="4596" spans="2:16" x14ac:dyDescent="0.25">
      <c r="B4596" s="24"/>
      <c r="E4596" s="24"/>
      <c r="G4596" s="24"/>
      <c r="H4596" s="24"/>
      <c r="J4596" s="24"/>
      <c r="K4596" s="24"/>
      <c r="M4596" s="24"/>
      <c r="N4596" s="24"/>
      <c r="P4596" s="24"/>
    </row>
    <row r="4597" spans="2:16" x14ac:dyDescent="0.25">
      <c r="B4597" s="24"/>
      <c r="E4597" s="24"/>
      <c r="G4597" s="24"/>
      <c r="H4597" s="24"/>
      <c r="J4597" s="24"/>
      <c r="K4597" s="24"/>
      <c r="M4597" s="24"/>
      <c r="N4597" s="24"/>
      <c r="P4597" s="24"/>
    </row>
    <row r="4598" spans="2:16" x14ac:dyDescent="0.25">
      <c r="B4598" s="24"/>
      <c r="E4598" s="24"/>
      <c r="G4598" s="24"/>
      <c r="H4598" s="24"/>
      <c r="J4598" s="24"/>
      <c r="K4598" s="24"/>
      <c r="M4598" s="24"/>
      <c r="N4598" s="24"/>
      <c r="P4598" s="24"/>
    </row>
    <row r="4599" spans="2:16" x14ac:dyDescent="0.25">
      <c r="B4599" s="24"/>
      <c r="E4599" s="24"/>
      <c r="G4599" s="24"/>
      <c r="H4599" s="24"/>
      <c r="J4599" s="24"/>
      <c r="K4599" s="24"/>
      <c r="M4599" s="24"/>
      <c r="N4599" s="24"/>
      <c r="P4599" s="24"/>
    </row>
    <row r="4600" spans="2:16" x14ac:dyDescent="0.25">
      <c r="B4600" s="24"/>
      <c r="E4600" s="24"/>
      <c r="G4600" s="24"/>
      <c r="H4600" s="24"/>
      <c r="J4600" s="24"/>
      <c r="K4600" s="24"/>
      <c r="M4600" s="24"/>
      <c r="N4600" s="24"/>
      <c r="P4600" s="24"/>
    </row>
    <row r="4601" spans="2:16" x14ac:dyDescent="0.25">
      <c r="B4601" s="24"/>
      <c r="E4601" s="24"/>
      <c r="G4601" s="24"/>
      <c r="H4601" s="24"/>
      <c r="J4601" s="24"/>
      <c r="K4601" s="24"/>
      <c r="M4601" s="24"/>
      <c r="N4601" s="24"/>
      <c r="P4601" s="24"/>
    </row>
    <row r="4602" spans="2:16" x14ac:dyDescent="0.25">
      <c r="B4602" s="24"/>
      <c r="E4602" s="24"/>
      <c r="G4602" s="24"/>
      <c r="H4602" s="24"/>
      <c r="J4602" s="24"/>
      <c r="K4602" s="24"/>
      <c r="M4602" s="24"/>
      <c r="N4602" s="24"/>
      <c r="P4602" s="24"/>
    </row>
    <row r="4603" spans="2:16" x14ac:dyDescent="0.25">
      <c r="B4603" s="24"/>
      <c r="E4603" s="24"/>
      <c r="G4603" s="24"/>
      <c r="H4603" s="24"/>
      <c r="J4603" s="24"/>
      <c r="K4603" s="24"/>
      <c r="M4603" s="24"/>
      <c r="N4603" s="24"/>
      <c r="P4603" s="24"/>
    </row>
    <row r="4604" spans="2:16" x14ac:dyDescent="0.25">
      <c r="B4604" s="24"/>
      <c r="E4604" s="24"/>
      <c r="G4604" s="24"/>
      <c r="H4604" s="24"/>
      <c r="J4604" s="24"/>
      <c r="K4604" s="24"/>
      <c r="M4604" s="24"/>
      <c r="N4604" s="24"/>
      <c r="P4604" s="24"/>
    </row>
    <row r="4605" spans="2:16" x14ac:dyDescent="0.25">
      <c r="B4605" s="24"/>
      <c r="E4605" s="24"/>
      <c r="G4605" s="24"/>
      <c r="H4605" s="24"/>
      <c r="J4605" s="24"/>
      <c r="K4605" s="24"/>
      <c r="M4605" s="24"/>
      <c r="N4605" s="24"/>
      <c r="P4605" s="24"/>
    </row>
    <row r="4606" spans="2:16" x14ac:dyDescent="0.25">
      <c r="B4606" s="24"/>
      <c r="E4606" s="24"/>
      <c r="G4606" s="24"/>
      <c r="H4606" s="24"/>
      <c r="J4606" s="24"/>
      <c r="K4606" s="24"/>
      <c r="M4606" s="24"/>
      <c r="N4606" s="24"/>
      <c r="P4606" s="24"/>
    </row>
    <row r="4607" spans="2:16" x14ac:dyDescent="0.25">
      <c r="B4607" s="24"/>
      <c r="E4607" s="24"/>
      <c r="G4607" s="24"/>
      <c r="H4607" s="24"/>
      <c r="J4607" s="24"/>
      <c r="K4607" s="24"/>
      <c r="M4607" s="24"/>
      <c r="N4607" s="24"/>
      <c r="P4607" s="24"/>
    </row>
    <row r="4608" spans="2:16" x14ac:dyDescent="0.25">
      <c r="B4608" s="24"/>
      <c r="E4608" s="24"/>
      <c r="G4608" s="24"/>
      <c r="H4608" s="24"/>
      <c r="J4608" s="24"/>
      <c r="K4608" s="24"/>
      <c r="M4608" s="24"/>
      <c r="N4608" s="24"/>
      <c r="P4608" s="24"/>
    </row>
    <row r="4609" spans="2:16" x14ac:dyDescent="0.25">
      <c r="B4609" s="24"/>
      <c r="E4609" s="24"/>
      <c r="G4609" s="24"/>
      <c r="H4609" s="24"/>
      <c r="J4609" s="24"/>
      <c r="K4609" s="24"/>
      <c r="M4609" s="24"/>
      <c r="N4609" s="24"/>
      <c r="P4609" s="24"/>
    </row>
    <row r="4610" spans="2:16" x14ac:dyDescent="0.25">
      <c r="B4610" s="24"/>
      <c r="E4610" s="24"/>
      <c r="G4610" s="24"/>
      <c r="H4610" s="24"/>
      <c r="J4610" s="24"/>
      <c r="K4610" s="24"/>
      <c r="M4610" s="24"/>
      <c r="N4610" s="24"/>
      <c r="P4610" s="24"/>
    </row>
    <row r="4611" spans="2:16" x14ac:dyDescent="0.25">
      <c r="B4611" s="24"/>
      <c r="E4611" s="24"/>
      <c r="G4611" s="24"/>
      <c r="H4611" s="24"/>
      <c r="J4611" s="24"/>
      <c r="K4611" s="24"/>
      <c r="M4611" s="24"/>
      <c r="N4611" s="24"/>
      <c r="P4611" s="24"/>
    </row>
    <row r="4612" spans="2:16" x14ac:dyDescent="0.25">
      <c r="B4612" s="24"/>
      <c r="E4612" s="24"/>
      <c r="G4612" s="24"/>
      <c r="H4612" s="24"/>
      <c r="J4612" s="24"/>
      <c r="K4612" s="24"/>
      <c r="M4612" s="24"/>
      <c r="N4612" s="24"/>
      <c r="P4612" s="24"/>
    </row>
    <row r="4613" spans="2:16" x14ac:dyDescent="0.25">
      <c r="B4613" s="24"/>
      <c r="E4613" s="24"/>
      <c r="G4613" s="24"/>
      <c r="H4613" s="24"/>
      <c r="J4613" s="24"/>
      <c r="K4613" s="24"/>
      <c r="M4613" s="24"/>
      <c r="N4613" s="24"/>
      <c r="P4613" s="24"/>
    </row>
    <row r="4614" spans="2:16" x14ac:dyDescent="0.25">
      <c r="B4614" s="24"/>
      <c r="E4614" s="24"/>
      <c r="G4614" s="24"/>
      <c r="H4614" s="24"/>
      <c r="J4614" s="24"/>
      <c r="K4614" s="24"/>
      <c r="M4614" s="24"/>
      <c r="N4614" s="24"/>
      <c r="P4614" s="24"/>
    </row>
    <row r="4615" spans="2:16" x14ac:dyDescent="0.25">
      <c r="B4615" s="24"/>
      <c r="E4615" s="24"/>
      <c r="G4615" s="24"/>
      <c r="H4615" s="24"/>
      <c r="J4615" s="24"/>
      <c r="K4615" s="24"/>
      <c r="M4615" s="24"/>
      <c r="N4615" s="24"/>
      <c r="P4615" s="24"/>
    </row>
    <row r="4616" spans="2:16" x14ac:dyDescent="0.25">
      <c r="B4616" s="24"/>
      <c r="E4616" s="24"/>
      <c r="G4616" s="24"/>
      <c r="H4616" s="24"/>
      <c r="J4616" s="24"/>
      <c r="K4616" s="24"/>
      <c r="M4616" s="24"/>
      <c r="N4616" s="24"/>
      <c r="P4616" s="24"/>
    </row>
    <row r="4617" spans="2:16" x14ac:dyDescent="0.25">
      <c r="B4617" s="24"/>
      <c r="E4617" s="24"/>
      <c r="G4617" s="24"/>
      <c r="H4617" s="24"/>
      <c r="J4617" s="24"/>
      <c r="K4617" s="24"/>
      <c r="M4617" s="24"/>
      <c r="N4617" s="24"/>
      <c r="P4617" s="24"/>
    </row>
    <row r="4618" spans="2:16" x14ac:dyDescent="0.25">
      <c r="B4618" s="24"/>
      <c r="E4618" s="24"/>
      <c r="G4618" s="24"/>
      <c r="H4618" s="24"/>
      <c r="J4618" s="24"/>
      <c r="K4618" s="24"/>
      <c r="M4618" s="24"/>
      <c r="N4618" s="24"/>
      <c r="P4618" s="24"/>
    </row>
    <row r="4619" spans="2:16" x14ac:dyDescent="0.25">
      <c r="B4619" s="24"/>
      <c r="E4619" s="24"/>
      <c r="G4619" s="24"/>
      <c r="H4619" s="24"/>
      <c r="J4619" s="24"/>
      <c r="K4619" s="24"/>
      <c r="M4619" s="24"/>
      <c r="N4619" s="24"/>
      <c r="P4619" s="24"/>
    </row>
    <row r="4620" spans="2:16" x14ac:dyDescent="0.25">
      <c r="B4620" s="24"/>
      <c r="E4620" s="24"/>
      <c r="G4620" s="24"/>
      <c r="H4620" s="24"/>
      <c r="J4620" s="24"/>
      <c r="K4620" s="24"/>
      <c r="M4620" s="24"/>
      <c r="N4620" s="24"/>
      <c r="P4620" s="24"/>
    </row>
    <row r="4621" spans="2:16" x14ac:dyDescent="0.25">
      <c r="B4621" s="24"/>
      <c r="E4621" s="24"/>
      <c r="G4621" s="24"/>
      <c r="H4621" s="24"/>
      <c r="J4621" s="24"/>
      <c r="K4621" s="24"/>
      <c r="M4621" s="24"/>
      <c r="N4621" s="24"/>
      <c r="P4621" s="24"/>
    </row>
    <row r="4622" spans="2:16" x14ac:dyDescent="0.25">
      <c r="B4622" s="24"/>
      <c r="E4622" s="24"/>
      <c r="G4622" s="24"/>
      <c r="H4622" s="24"/>
      <c r="J4622" s="24"/>
      <c r="K4622" s="24"/>
      <c r="M4622" s="24"/>
      <c r="N4622" s="24"/>
      <c r="P4622" s="24"/>
    </row>
    <row r="4623" spans="2:16" x14ac:dyDescent="0.25">
      <c r="B4623" s="24"/>
      <c r="E4623" s="24"/>
      <c r="G4623" s="24"/>
      <c r="H4623" s="24"/>
      <c r="J4623" s="24"/>
      <c r="K4623" s="24"/>
      <c r="M4623" s="24"/>
      <c r="N4623" s="24"/>
      <c r="P4623" s="24"/>
    </row>
    <row r="4624" spans="2:16" x14ac:dyDescent="0.25">
      <c r="B4624" s="24"/>
      <c r="E4624" s="24"/>
      <c r="G4624" s="24"/>
      <c r="H4624" s="24"/>
      <c r="J4624" s="24"/>
      <c r="K4624" s="24"/>
      <c r="M4624" s="24"/>
      <c r="N4624" s="24"/>
      <c r="P4624" s="24"/>
    </row>
    <row r="4625" spans="2:16" x14ac:dyDescent="0.25">
      <c r="B4625" s="24"/>
      <c r="E4625" s="24"/>
      <c r="G4625" s="24"/>
      <c r="H4625" s="24"/>
      <c r="J4625" s="24"/>
      <c r="K4625" s="24"/>
      <c r="M4625" s="24"/>
      <c r="N4625" s="24"/>
      <c r="P4625" s="24"/>
    </row>
    <row r="4626" spans="2:16" x14ac:dyDescent="0.25">
      <c r="B4626" s="24"/>
      <c r="E4626" s="24"/>
      <c r="G4626" s="24"/>
      <c r="H4626" s="24"/>
      <c r="J4626" s="24"/>
      <c r="K4626" s="24"/>
      <c r="M4626" s="24"/>
      <c r="N4626" s="24"/>
      <c r="P4626" s="24"/>
    </row>
    <row r="4627" spans="2:16" x14ac:dyDescent="0.25">
      <c r="B4627" s="24"/>
      <c r="E4627" s="24"/>
      <c r="G4627" s="24"/>
      <c r="H4627" s="24"/>
      <c r="J4627" s="24"/>
      <c r="K4627" s="24"/>
      <c r="M4627" s="24"/>
      <c r="N4627" s="24"/>
      <c r="P4627" s="24"/>
    </row>
    <row r="4628" spans="2:16" x14ac:dyDescent="0.25">
      <c r="B4628" s="24"/>
      <c r="E4628" s="24"/>
      <c r="G4628" s="24"/>
      <c r="H4628" s="24"/>
      <c r="J4628" s="24"/>
      <c r="K4628" s="24"/>
      <c r="M4628" s="24"/>
      <c r="N4628" s="24"/>
      <c r="P4628" s="24"/>
    </row>
    <row r="4629" spans="2:16" x14ac:dyDescent="0.25">
      <c r="B4629" s="24"/>
      <c r="E4629" s="24"/>
      <c r="G4629" s="24"/>
      <c r="H4629" s="24"/>
      <c r="J4629" s="24"/>
      <c r="K4629" s="24"/>
      <c r="M4629" s="24"/>
      <c r="N4629" s="24"/>
      <c r="P4629" s="24"/>
    </row>
    <row r="4630" spans="2:16" x14ac:dyDescent="0.25">
      <c r="B4630" s="24"/>
      <c r="E4630" s="24"/>
      <c r="G4630" s="24"/>
      <c r="H4630" s="24"/>
      <c r="J4630" s="24"/>
      <c r="K4630" s="24"/>
      <c r="M4630" s="24"/>
      <c r="N4630" s="24"/>
      <c r="P4630" s="24"/>
    </row>
    <row r="4631" spans="2:16" x14ac:dyDescent="0.25">
      <c r="B4631" s="24"/>
      <c r="E4631" s="24"/>
      <c r="G4631" s="24"/>
      <c r="H4631" s="24"/>
      <c r="J4631" s="24"/>
      <c r="K4631" s="24"/>
      <c r="M4631" s="24"/>
      <c r="N4631" s="24"/>
      <c r="P4631" s="24"/>
    </row>
    <row r="4632" spans="2:16" x14ac:dyDescent="0.25">
      <c r="B4632" s="24"/>
      <c r="E4632" s="24"/>
      <c r="G4632" s="24"/>
      <c r="H4632" s="24"/>
      <c r="J4632" s="24"/>
      <c r="K4632" s="24"/>
      <c r="M4632" s="24"/>
      <c r="N4632" s="24"/>
      <c r="P4632" s="24"/>
    </row>
    <row r="4633" spans="2:16" x14ac:dyDescent="0.25">
      <c r="B4633" s="24"/>
      <c r="E4633" s="24"/>
      <c r="G4633" s="24"/>
      <c r="H4633" s="24"/>
      <c r="J4633" s="24"/>
      <c r="K4633" s="24"/>
      <c r="M4633" s="24"/>
      <c r="N4633" s="24"/>
      <c r="P4633" s="24"/>
    </row>
    <row r="4634" spans="2:16" x14ac:dyDescent="0.25">
      <c r="B4634" s="24"/>
      <c r="E4634" s="24"/>
      <c r="G4634" s="24"/>
      <c r="H4634" s="24"/>
      <c r="J4634" s="24"/>
      <c r="K4634" s="24"/>
      <c r="M4634" s="24"/>
      <c r="N4634" s="24"/>
      <c r="P4634" s="24"/>
    </row>
    <row r="4635" spans="2:16" x14ac:dyDescent="0.25">
      <c r="B4635" s="24"/>
      <c r="E4635" s="24"/>
      <c r="G4635" s="24"/>
      <c r="H4635" s="24"/>
      <c r="J4635" s="24"/>
      <c r="K4635" s="24"/>
      <c r="M4635" s="24"/>
      <c r="N4635" s="24"/>
      <c r="P4635" s="24"/>
    </row>
    <row r="4636" spans="2:16" x14ac:dyDescent="0.25">
      <c r="B4636" s="24"/>
      <c r="E4636" s="24"/>
      <c r="G4636" s="24"/>
      <c r="H4636" s="24"/>
      <c r="J4636" s="24"/>
      <c r="K4636" s="24"/>
      <c r="M4636" s="24"/>
      <c r="N4636" s="24"/>
      <c r="P4636" s="24"/>
    </row>
    <row r="4637" spans="2:16" x14ac:dyDescent="0.25">
      <c r="B4637" s="24"/>
      <c r="E4637" s="24"/>
      <c r="G4637" s="24"/>
      <c r="H4637" s="24"/>
      <c r="J4637" s="24"/>
      <c r="K4637" s="24"/>
      <c r="M4637" s="24"/>
      <c r="N4637" s="24"/>
      <c r="P4637" s="24"/>
    </row>
    <row r="4638" spans="2:16" x14ac:dyDescent="0.25">
      <c r="B4638" s="24"/>
      <c r="E4638" s="24"/>
      <c r="G4638" s="24"/>
      <c r="H4638" s="24"/>
      <c r="J4638" s="24"/>
      <c r="K4638" s="24"/>
      <c r="M4638" s="24"/>
      <c r="N4638" s="24"/>
      <c r="P4638" s="24"/>
    </row>
    <row r="4639" spans="2:16" x14ac:dyDescent="0.25">
      <c r="B4639" s="24"/>
      <c r="E4639" s="24"/>
      <c r="G4639" s="24"/>
      <c r="H4639" s="24"/>
      <c r="J4639" s="24"/>
      <c r="K4639" s="24"/>
      <c r="M4639" s="24"/>
      <c r="N4639" s="24"/>
      <c r="P4639" s="24"/>
    </row>
    <row r="4640" spans="2:16" x14ac:dyDescent="0.25">
      <c r="B4640" s="24"/>
      <c r="E4640" s="24"/>
      <c r="G4640" s="24"/>
      <c r="H4640" s="24"/>
      <c r="J4640" s="24"/>
      <c r="K4640" s="24"/>
      <c r="M4640" s="24"/>
      <c r="N4640" s="24"/>
      <c r="P4640" s="24"/>
    </row>
    <row r="4641" spans="2:16" x14ac:dyDescent="0.25">
      <c r="B4641" s="24"/>
      <c r="E4641" s="24"/>
      <c r="G4641" s="24"/>
      <c r="H4641" s="24"/>
      <c r="J4641" s="24"/>
      <c r="K4641" s="24"/>
      <c r="M4641" s="24"/>
      <c r="N4641" s="24"/>
      <c r="P4641" s="24"/>
    </row>
    <row r="4642" spans="2:16" x14ac:dyDescent="0.25">
      <c r="B4642" s="24"/>
      <c r="E4642" s="24"/>
      <c r="G4642" s="24"/>
      <c r="H4642" s="24"/>
      <c r="J4642" s="24"/>
      <c r="K4642" s="24"/>
      <c r="M4642" s="24"/>
      <c r="N4642" s="24"/>
      <c r="P4642" s="24"/>
    </row>
    <row r="4643" spans="2:16" x14ac:dyDescent="0.25">
      <c r="B4643" s="24"/>
      <c r="E4643" s="24"/>
      <c r="G4643" s="24"/>
      <c r="H4643" s="24"/>
      <c r="J4643" s="24"/>
      <c r="K4643" s="24"/>
      <c r="M4643" s="24"/>
      <c r="N4643" s="24"/>
      <c r="P4643" s="24"/>
    </row>
    <row r="4644" spans="2:16" x14ac:dyDescent="0.25">
      <c r="B4644" s="24"/>
      <c r="E4644" s="24"/>
      <c r="G4644" s="24"/>
      <c r="H4644" s="24"/>
      <c r="J4644" s="24"/>
      <c r="K4644" s="24"/>
      <c r="M4644" s="24"/>
      <c r="N4644" s="24"/>
      <c r="P4644" s="24"/>
    </row>
    <row r="4645" spans="2:16" x14ac:dyDescent="0.25">
      <c r="B4645" s="24"/>
      <c r="E4645" s="24"/>
      <c r="G4645" s="24"/>
      <c r="H4645" s="24"/>
      <c r="J4645" s="24"/>
      <c r="K4645" s="24"/>
      <c r="M4645" s="24"/>
      <c r="N4645" s="24"/>
      <c r="P4645" s="24"/>
    </row>
    <row r="4646" spans="2:16" x14ac:dyDescent="0.25">
      <c r="B4646" s="24"/>
      <c r="E4646" s="24"/>
      <c r="G4646" s="24"/>
      <c r="H4646" s="24"/>
      <c r="J4646" s="24"/>
      <c r="K4646" s="24"/>
      <c r="M4646" s="24"/>
      <c r="N4646" s="24"/>
      <c r="P4646" s="24"/>
    </row>
    <row r="4647" spans="2:16" x14ac:dyDescent="0.25">
      <c r="B4647" s="24"/>
      <c r="E4647" s="24"/>
      <c r="G4647" s="24"/>
      <c r="H4647" s="24"/>
      <c r="J4647" s="24"/>
      <c r="K4647" s="24"/>
      <c r="M4647" s="24"/>
      <c r="N4647" s="24"/>
      <c r="P4647" s="24"/>
    </row>
    <row r="4648" spans="2:16" x14ac:dyDescent="0.25">
      <c r="B4648" s="24"/>
      <c r="E4648" s="24"/>
      <c r="G4648" s="24"/>
      <c r="H4648" s="24"/>
      <c r="J4648" s="24"/>
      <c r="K4648" s="24"/>
      <c r="M4648" s="24"/>
      <c r="N4648" s="24"/>
      <c r="P4648" s="24"/>
    </row>
    <row r="4649" spans="2:16" x14ac:dyDescent="0.25">
      <c r="B4649" s="24"/>
      <c r="E4649" s="24"/>
      <c r="G4649" s="24"/>
      <c r="H4649" s="24"/>
      <c r="J4649" s="24"/>
      <c r="K4649" s="24"/>
      <c r="M4649" s="24"/>
      <c r="N4649" s="24"/>
      <c r="P4649" s="24"/>
    </row>
    <row r="4650" spans="2:16" x14ac:dyDescent="0.25">
      <c r="B4650" s="24"/>
      <c r="E4650" s="24"/>
      <c r="G4650" s="24"/>
      <c r="H4650" s="24"/>
      <c r="J4650" s="24"/>
      <c r="K4650" s="24"/>
      <c r="M4650" s="24"/>
      <c r="N4650" s="24"/>
      <c r="P4650" s="24"/>
    </row>
    <row r="4651" spans="2:16" x14ac:dyDescent="0.25">
      <c r="B4651" s="24"/>
      <c r="E4651" s="24"/>
      <c r="G4651" s="24"/>
      <c r="H4651" s="24"/>
      <c r="J4651" s="24"/>
      <c r="K4651" s="24"/>
      <c r="M4651" s="24"/>
      <c r="N4651" s="24"/>
      <c r="P4651" s="24"/>
    </row>
    <row r="4652" spans="2:16" x14ac:dyDescent="0.25">
      <c r="B4652" s="24"/>
      <c r="E4652" s="24"/>
      <c r="G4652" s="24"/>
      <c r="H4652" s="24"/>
      <c r="J4652" s="24"/>
      <c r="K4652" s="24"/>
      <c r="M4652" s="24"/>
      <c r="N4652" s="24"/>
      <c r="P4652" s="24"/>
    </row>
    <row r="4653" spans="2:16" x14ac:dyDescent="0.25">
      <c r="B4653" s="24"/>
      <c r="E4653" s="24"/>
      <c r="G4653" s="24"/>
      <c r="H4653" s="24"/>
      <c r="J4653" s="24"/>
      <c r="K4653" s="24"/>
      <c r="M4653" s="24"/>
      <c r="N4653" s="24"/>
      <c r="P4653" s="24"/>
    </row>
    <row r="4654" spans="2:16" x14ac:dyDescent="0.25">
      <c r="B4654" s="24"/>
      <c r="E4654" s="24"/>
      <c r="G4654" s="24"/>
      <c r="H4654" s="24"/>
      <c r="J4654" s="24"/>
      <c r="K4654" s="24"/>
      <c r="M4654" s="24"/>
      <c r="N4654" s="24"/>
      <c r="P4654" s="24"/>
    </row>
    <row r="4655" spans="2:16" x14ac:dyDescent="0.25">
      <c r="B4655" s="24"/>
      <c r="E4655" s="24"/>
      <c r="G4655" s="24"/>
      <c r="H4655" s="24"/>
      <c r="J4655" s="24"/>
      <c r="K4655" s="24"/>
      <c r="M4655" s="24"/>
      <c r="N4655" s="24"/>
      <c r="P4655" s="24"/>
    </row>
    <row r="4656" spans="2:16" x14ac:dyDescent="0.25">
      <c r="B4656" s="24"/>
      <c r="E4656" s="24"/>
      <c r="G4656" s="24"/>
      <c r="H4656" s="24"/>
      <c r="J4656" s="24"/>
      <c r="K4656" s="24"/>
      <c r="M4656" s="24"/>
      <c r="N4656" s="24"/>
      <c r="P4656" s="24"/>
    </row>
    <row r="4657" spans="2:16" x14ac:dyDescent="0.25">
      <c r="B4657" s="24"/>
      <c r="E4657" s="24"/>
      <c r="G4657" s="24"/>
      <c r="H4657" s="24"/>
      <c r="J4657" s="24"/>
      <c r="K4657" s="24"/>
      <c r="M4657" s="24"/>
      <c r="N4657" s="24"/>
      <c r="P4657" s="24"/>
    </row>
    <row r="4658" spans="2:16" x14ac:dyDescent="0.25">
      <c r="B4658" s="24"/>
      <c r="E4658" s="24"/>
      <c r="G4658" s="24"/>
      <c r="H4658" s="24"/>
      <c r="J4658" s="24"/>
      <c r="K4658" s="24"/>
      <c r="M4658" s="24"/>
      <c r="N4658" s="24"/>
      <c r="P4658" s="24"/>
    </row>
    <row r="4659" spans="2:16" x14ac:dyDescent="0.25">
      <c r="B4659" s="24"/>
      <c r="E4659" s="24"/>
      <c r="G4659" s="24"/>
      <c r="H4659" s="24"/>
      <c r="J4659" s="24"/>
      <c r="K4659" s="24"/>
      <c r="M4659" s="24"/>
      <c r="N4659" s="24"/>
      <c r="P4659" s="24"/>
    </row>
    <row r="4660" spans="2:16" x14ac:dyDescent="0.25">
      <c r="B4660" s="24"/>
      <c r="E4660" s="24"/>
      <c r="G4660" s="24"/>
      <c r="H4660" s="24"/>
      <c r="J4660" s="24"/>
      <c r="K4660" s="24"/>
      <c r="M4660" s="24"/>
      <c r="N4660" s="24"/>
      <c r="P4660" s="24"/>
    </row>
    <row r="4661" spans="2:16" x14ac:dyDescent="0.25">
      <c r="B4661" s="24"/>
      <c r="E4661" s="24"/>
      <c r="G4661" s="24"/>
      <c r="H4661" s="24"/>
      <c r="J4661" s="24"/>
      <c r="K4661" s="24"/>
      <c r="M4661" s="24"/>
      <c r="N4661" s="24"/>
      <c r="P4661" s="24"/>
    </row>
    <row r="4662" spans="2:16" x14ac:dyDescent="0.25">
      <c r="B4662" s="24"/>
      <c r="E4662" s="24"/>
      <c r="G4662" s="24"/>
      <c r="H4662" s="24"/>
      <c r="J4662" s="24"/>
      <c r="K4662" s="24"/>
      <c r="M4662" s="24"/>
      <c r="N4662" s="24"/>
      <c r="P4662" s="24"/>
    </row>
    <row r="4663" spans="2:16" x14ac:dyDescent="0.25">
      <c r="B4663" s="24"/>
      <c r="E4663" s="24"/>
      <c r="G4663" s="24"/>
      <c r="H4663" s="24"/>
      <c r="J4663" s="24"/>
      <c r="K4663" s="24"/>
      <c r="M4663" s="24"/>
      <c r="N4663" s="24"/>
      <c r="P4663" s="24"/>
    </row>
    <row r="4664" spans="2:16" x14ac:dyDescent="0.25">
      <c r="B4664" s="24"/>
      <c r="E4664" s="24"/>
      <c r="G4664" s="24"/>
      <c r="H4664" s="24"/>
      <c r="J4664" s="24"/>
      <c r="K4664" s="24"/>
      <c r="M4664" s="24"/>
      <c r="N4664" s="24"/>
      <c r="P4664" s="24"/>
    </row>
    <row r="4665" spans="2:16" x14ac:dyDescent="0.25">
      <c r="B4665" s="24"/>
      <c r="E4665" s="24"/>
      <c r="G4665" s="24"/>
      <c r="H4665" s="24"/>
      <c r="J4665" s="24"/>
      <c r="K4665" s="24"/>
      <c r="M4665" s="24"/>
      <c r="N4665" s="24"/>
      <c r="P4665" s="24"/>
    </row>
    <row r="4666" spans="2:16" x14ac:dyDescent="0.25">
      <c r="B4666" s="24"/>
      <c r="E4666" s="24"/>
      <c r="G4666" s="24"/>
      <c r="H4666" s="24"/>
      <c r="J4666" s="24"/>
      <c r="K4666" s="24"/>
      <c r="M4666" s="24"/>
      <c r="N4666" s="24"/>
      <c r="P4666" s="24"/>
    </row>
    <row r="4667" spans="2:16" x14ac:dyDescent="0.25">
      <c r="B4667" s="24"/>
      <c r="E4667" s="24"/>
      <c r="G4667" s="24"/>
      <c r="H4667" s="24"/>
      <c r="J4667" s="24"/>
      <c r="K4667" s="24"/>
      <c r="M4667" s="24"/>
      <c r="N4667" s="24"/>
      <c r="P4667" s="24"/>
    </row>
    <row r="4668" spans="2:16" x14ac:dyDescent="0.25">
      <c r="B4668" s="24"/>
      <c r="E4668" s="24"/>
      <c r="G4668" s="24"/>
      <c r="H4668" s="24"/>
      <c r="J4668" s="24"/>
      <c r="K4668" s="24"/>
      <c r="M4668" s="24"/>
      <c r="N4668" s="24"/>
      <c r="P4668" s="24"/>
    </row>
    <row r="4669" spans="2:16" x14ac:dyDescent="0.25">
      <c r="B4669" s="24"/>
      <c r="E4669" s="24"/>
      <c r="G4669" s="24"/>
      <c r="H4669" s="24"/>
      <c r="J4669" s="24"/>
      <c r="K4669" s="24"/>
      <c r="M4669" s="24"/>
      <c r="N4669" s="24"/>
      <c r="P4669" s="24"/>
    </row>
    <row r="4670" spans="2:16" x14ac:dyDescent="0.25">
      <c r="B4670" s="24"/>
      <c r="E4670" s="24"/>
      <c r="G4670" s="24"/>
      <c r="H4670" s="24"/>
      <c r="J4670" s="24"/>
      <c r="K4670" s="24"/>
      <c r="M4670" s="24"/>
      <c r="N4670" s="24"/>
      <c r="P4670" s="24"/>
    </row>
    <row r="4671" spans="2:16" x14ac:dyDescent="0.25">
      <c r="B4671" s="24"/>
      <c r="E4671" s="24"/>
      <c r="G4671" s="24"/>
      <c r="H4671" s="24"/>
      <c r="J4671" s="24"/>
      <c r="K4671" s="24"/>
      <c r="M4671" s="24"/>
      <c r="N4671" s="24"/>
      <c r="P4671" s="24"/>
    </row>
    <row r="4672" spans="2:16" x14ac:dyDescent="0.25">
      <c r="B4672" s="24"/>
      <c r="E4672" s="24"/>
      <c r="G4672" s="24"/>
      <c r="H4672" s="24"/>
      <c r="J4672" s="24"/>
      <c r="K4672" s="24"/>
      <c r="M4672" s="24"/>
      <c r="N4672" s="24"/>
      <c r="P4672" s="24"/>
    </row>
    <row r="4673" spans="2:16" x14ac:dyDescent="0.25">
      <c r="B4673" s="24"/>
      <c r="E4673" s="24"/>
      <c r="G4673" s="24"/>
      <c r="H4673" s="24"/>
      <c r="J4673" s="24"/>
      <c r="K4673" s="24"/>
      <c r="M4673" s="24"/>
      <c r="N4673" s="24"/>
      <c r="P4673" s="24"/>
    </row>
    <row r="4674" spans="2:16" x14ac:dyDescent="0.25">
      <c r="B4674" s="24"/>
      <c r="E4674" s="24"/>
      <c r="G4674" s="24"/>
      <c r="H4674" s="24"/>
      <c r="J4674" s="24"/>
      <c r="K4674" s="24"/>
      <c r="M4674" s="24"/>
      <c r="N4674" s="24"/>
      <c r="P4674" s="24"/>
    </row>
    <row r="4675" spans="2:16" x14ac:dyDescent="0.25">
      <c r="B4675" s="24"/>
      <c r="E4675" s="24"/>
      <c r="G4675" s="24"/>
      <c r="H4675" s="24"/>
      <c r="J4675" s="24"/>
      <c r="K4675" s="24"/>
      <c r="M4675" s="24"/>
      <c r="N4675" s="24"/>
      <c r="P4675" s="24"/>
    </row>
    <row r="4676" spans="2:16" x14ac:dyDescent="0.25">
      <c r="B4676" s="24"/>
      <c r="E4676" s="24"/>
      <c r="G4676" s="24"/>
      <c r="H4676" s="24"/>
      <c r="J4676" s="24"/>
      <c r="K4676" s="24"/>
      <c r="M4676" s="24"/>
      <c r="N4676" s="24"/>
      <c r="P4676" s="24"/>
    </row>
    <row r="4677" spans="2:16" x14ac:dyDescent="0.25">
      <c r="B4677" s="24"/>
      <c r="E4677" s="24"/>
      <c r="G4677" s="24"/>
      <c r="H4677" s="24"/>
      <c r="J4677" s="24"/>
      <c r="K4677" s="24"/>
      <c r="M4677" s="24"/>
      <c r="N4677" s="24"/>
      <c r="P4677" s="24"/>
    </row>
    <row r="4678" spans="2:16" x14ac:dyDescent="0.25">
      <c r="B4678" s="24"/>
      <c r="E4678" s="24"/>
      <c r="G4678" s="24"/>
      <c r="H4678" s="24"/>
      <c r="J4678" s="24"/>
      <c r="K4678" s="24"/>
      <c r="M4678" s="24"/>
      <c r="N4678" s="24"/>
      <c r="P4678" s="24"/>
    </row>
    <row r="4679" spans="2:16" x14ac:dyDescent="0.25">
      <c r="B4679" s="24"/>
      <c r="E4679" s="24"/>
      <c r="G4679" s="24"/>
      <c r="H4679" s="24"/>
      <c r="J4679" s="24"/>
      <c r="K4679" s="24"/>
      <c r="M4679" s="24"/>
      <c r="N4679" s="24"/>
      <c r="P4679" s="24"/>
    </row>
    <row r="4680" spans="2:16" x14ac:dyDescent="0.25">
      <c r="B4680" s="24"/>
      <c r="E4680" s="24"/>
      <c r="G4680" s="24"/>
      <c r="H4680" s="24"/>
      <c r="J4680" s="24"/>
      <c r="K4680" s="24"/>
      <c r="M4680" s="24"/>
      <c r="N4680" s="24"/>
      <c r="P4680" s="24"/>
    </row>
    <row r="4681" spans="2:16" x14ac:dyDescent="0.25">
      <c r="B4681" s="24"/>
      <c r="E4681" s="24"/>
      <c r="G4681" s="24"/>
      <c r="H4681" s="24"/>
      <c r="J4681" s="24"/>
      <c r="K4681" s="24"/>
      <c r="M4681" s="24"/>
      <c r="N4681" s="24"/>
      <c r="P4681" s="24"/>
    </row>
    <row r="4682" spans="2:16" x14ac:dyDescent="0.25">
      <c r="B4682" s="24"/>
      <c r="E4682" s="24"/>
      <c r="G4682" s="24"/>
      <c r="H4682" s="24"/>
      <c r="J4682" s="24"/>
      <c r="K4682" s="24"/>
      <c r="M4682" s="24"/>
      <c r="N4682" s="24"/>
      <c r="P4682" s="24"/>
    </row>
    <row r="4683" spans="2:16" x14ac:dyDescent="0.25">
      <c r="B4683" s="24"/>
      <c r="E4683" s="24"/>
      <c r="G4683" s="24"/>
      <c r="H4683" s="24"/>
      <c r="J4683" s="24"/>
      <c r="K4683" s="24"/>
      <c r="M4683" s="24"/>
      <c r="N4683" s="24"/>
      <c r="P4683" s="24"/>
    </row>
    <row r="4684" spans="2:16" x14ac:dyDescent="0.25">
      <c r="B4684" s="24"/>
      <c r="E4684" s="24"/>
      <c r="G4684" s="24"/>
      <c r="H4684" s="24"/>
      <c r="J4684" s="24"/>
      <c r="K4684" s="24"/>
      <c r="M4684" s="24"/>
      <c r="N4684" s="24"/>
      <c r="P4684" s="24"/>
    </row>
    <row r="4685" spans="2:16" x14ac:dyDescent="0.25">
      <c r="B4685" s="24"/>
      <c r="E4685" s="24"/>
      <c r="G4685" s="24"/>
      <c r="H4685" s="24"/>
      <c r="J4685" s="24"/>
      <c r="K4685" s="24"/>
      <c r="M4685" s="24"/>
      <c r="N4685" s="24"/>
      <c r="P4685" s="24"/>
    </row>
    <row r="4686" spans="2:16" x14ac:dyDescent="0.25">
      <c r="B4686" s="24"/>
      <c r="E4686" s="24"/>
      <c r="G4686" s="24"/>
      <c r="H4686" s="24"/>
      <c r="J4686" s="24"/>
      <c r="K4686" s="24"/>
      <c r="M4686" s="24"/>
      <c r="N4686" s="24"/>
      <c r="P4686" s="24"/>
    </row>
    <row r="4687" spans="2:16" x14ac:dyDescent="0.25">
      <c r="B4687" s="24"/>
      <c r="E4687" s="24"/>
      <c r="G4687" s="24"/>
      <c r="H4687" s="24"/>
      <c r="J4687" s="24"/>
      <c r="K4687" s="24"/>
      <c r="M4687" s="24"/>
      <c r="N4687" s="24"/>
      <c r="P4687" s="24"/>
    </row>
    <row r="4688" spans="2:16" x14ac:dyDescent="0.25">
      <c r="B4688" s="24"/>
      <c r="E4688" s="24"/>
      <c r="G4688" s="24"/>
      <c r="H4688" s="24"/>
      <c r="J4688" s="24"/>
      <c r="K4688" s="24"/>
      <c r="M4688" s="24"/>
      <c r="N4688" s="24"/>
      <c r="P4688" s="24"/>
    </row>
    <row r="4689" spans="2:16" x14ac:dyDescent="0.25">
      <c r="B4689" s="24"/>
      <c r="E4689" s="24"/>
      <c r="G4689" s="24"/>
      <c r="H4689" s="24"/>
      <c r="J4689" s="24"/>
      <c r="K4689" s="24"/>
      <c r="M4689" s="24"/>
      <c r="N4689" s="24"/>
      <c r="P4689" s="24"/>
    </row>
    <row r="4690" spans="2:16" x14ac:dyDescent="0.25">
      <c r="B4690" s="24"/>
      <c r="E4690" s="24"/>
      <c r="G4690" s="24"/>
      <c r="H4690" s="24"/>
      <c r="J4690" s="24"/>
      <c r="K4690" s="24"/>
      <c r="M4690" s="24"/>
      <c r="N4690" s="24"/>
      <c r="P4690" s="24"/>
    </row>
    <row r="4691" spans="2:16" x14ac:dyDescent="0.25">
      <c r="B4691" s="24"/>
      <c r="E4691" s="24"/>
      <c r="G4691" s="24"/>
      <c r="H4691" s="24"/>
      <c r="J4691" s="24"/>
      <c r="K4691" s="24"/>
      <c r="M4691" s="24"/>
      <c r="N4691" s="24"/>
      <c r="P4691" s="24"/>
    </row>
    <row r="4692" spans="2:16" x14ac:dyDescent="0.25">
      <c r="B4692" s="24"/>
      <c r="E4692" s="24"/>
      <c r="G4692" s="24"/>
      <c r="H4692" s="24"/>
      <c r="J4692" s="24"/>
      <c r="K4692" s="24"/>
      <c r="M4692" s="24"/>
      <c r="N4692" s="24"/>
      <c r="P4692" s="24"/>
    </row>
    <row r="4693" spans="2:16" x14ac:dyDescent="0.25">
      <c r="B4693" s="24"/>
      <c r="E4693" s="24"/>
      <c r="G4693" s="24"/>
      <c r="H4693" s="24"/>
      <c r="J4693" s="24"/>
      <c r="K4693" s="24"/>
      <c r="M4693" s="24"/>
      <c r="N4693" s="24"/>
      <c r="P4693" s="24"/>
    </row>
    <row r="4694" spans="2:16" x14ac:dyDescent="0.25">
      <c r="B4694" s="24"/>
      <c r="E4694" s="24"/>
      <c r="G4694" s="24"/>
      <c r="H4694" s="24"/>
      <c r="J4694" s="24"/>
      <c r="K4694" s="24"/>
      <c r="M4694" s="24"/>
      <c r="N4694" s="24"/>
      <c r="P4694" s="24"/>
    </row>
    <row r="4695" spans="2:16" x14ac:dyDescent="0.25">
      <c r="B4695" s="24"/>
      <c r="E4695" s="24"/>
      <c r="G4695" s="24"/>
      <c r="H4695" s="24"/>
      <c r="J4695" s="24"/>
      <c r="K4695" s="24"/>
      <c r="M4695" s="24"/>
      <c r="N4695" s="24"/>
      <c r="P4695" s="24"/>
    </row>
    <row r="4696" spans="2:16" x14ac:dyDescent="0.25">
      <c r="B4696" s="24"/>
      <c r="E4696" s="24"/>
      <c r="G4696" s="24"/>
      <c r="H4696" s="24"/>
      <c r="J4696" s="24"/>
      <c r="K4696" s="24"/>
      <c r="M4696" s="24"/>
      <c r="N4696" s="24"/>
      <c r="P4696" s="24"/>
    </row>
    <row r="4697" spans="2:16" x14ac:dyDescent="0.25">
      <c r="B4697" s="24"/>
      <c r="E4697" s="24"/>
      <c r="G4697" s="24"/>
      <c r="H4697" s="24"/>
      <c r="J4697" s="24"/>
      <c r="K4697" s="24"/>
      <c r="M4697" s="24"/>
      <c r="N4697" s="24"/>
      <c r="P4697" s="24"/>
    </row>
    <row r="4698" spans="2:16" x14ac:dyDescent="0.25">
      <c r="B4698" s="24"/>
      <c r="E4698" s="24"/>
      <c r="G4698" s="24"/>
      <c r="H4698" s="24"/>
      <c r="J4698" s="24"/>
      <c r="K4698" s="24"/>
      <c r="M4698" s="24"/>
      <c r="N4698" s="24"/>
      <c r="P4698" s="24"/>
    </row>
    <row r="4699" spans="2:16" x14ac:dyDescent="0.25">
      <c r="B4699" s="24"/>
      <c r="E4699" s="24"/>
      <c r="G4699" s="24"/>
      <c r="H4699" s="24"/>
      <c r="J4699" s="24"/>
      <c r="K4699" s="24"/>
      <c r="M4699" s="24"/>
      <c r="N4699" s="24"/>
      <c r="P4699" s="24"/>
    </row>
    <row r="4700" spans="2:16" x14ac:dyDescent="0.25">
      <c r="B4700" s="24"/>
      <c r="E4700" s="24"/>
      <c r="G4700" s="24"/>
      <c r="H4700" s="24"/>
      <c r="J4700" s="24"/>
      <c r="K4700" s="24"/>
      <c r="M4700" s="24"/>
      <c r="N4700" s="24"/>
      <c r="P4700" s="24"/>
    </row>
    <row r="4701" spans="2:16" x14ac:dyDescent="0.25">
      <c r="B4701" s="24"/>
      <c r="E4701" s="24"/>
      <c r="G4701" s="24"/>
      <c r="H4701" s="24"/>
      <c r="J4701" s="24"/>
      <c r="K4701" s="24"/>
      <c r="M4701" s="24"/>
      <c r="N4701" s="24"/>
      <c r="P4701" s="24"/>
    </row>
    <row r="4702" spans="2:16" x14ac:dyDescent="0.25">
      <c r="B4702" s="24"/>
      <c r="E4702" s="24"/>
      <c r="G4702" s="24"/>
      <c r="H4702" s="24"/>
      <c r="J4702" s="24"/>
      <c r="K4702" s="24"/>
      <c r="M4702" s="24"/>
      <c r="N4702" s="24"/>
      <c r="P4702" s="24"/>
    </row>
    <row r="4703" spans="2:16" x14ac:dyDescent="0.25">
      <c r="B4703" s="24"/>
      <c r="E4703" s="24"/>
      <c r="G4703" s="24"/>
      <c r="H4703" s="24"/>
      <c r="J4703" s="24"/>
      <c r="K4703" s="24"/>
      <c r="M4703" s="24"/>
      <c r="N4703" s="24"/>
      <c r="P4703" s="24"/>
    </row>
    <row r="4704" spans="2:16" x14ac:dyDescent="0.25">
      <c r="B4704" s="24"/>
      <c r="E4704" s="24"/>
      <c r="G4704" s="24"/>
      <c r="H4704" s="24"/>
      <c r="J4704" s="24"/>
      <c r="K4704" s="24"/>
      <c r="M4704" s="24"/>
      <c r="N4704" s="24"/>
      <c r="P4704" s="24"/>
    </row>
    <row r="4705" spans="2:16" x14ac:dyDescent="0.25">
      <c r="B4705" s="24"/>
      <c r="E4705" s="24"/>
      <c r="G4705" s="24"/>
      <c r="H4705" s="24"/>
      <c r="J4705" s="24"/>
      <c r="K4705" s="24"/>
      <c r="M4705" s="24"/>
      <c r="N4705" s="24"/>
      <c r="P4705" s="24"/>
    </row>
    <row r="4706" spans="2:16" x14ac:dyDescent="0.25">
      <c r="B4706" s="24"/>
      <c r="E4706" s="24"/>
      <c r="G4706" s="24"/>
      <c r="H4706" s="24"/>
      <c r="J4706" s="24"/>
      <c r="K4706" s="24"/>
      <c r="M4706" s="24"/>
      <c r="N4706" s="24"/>
      <c r="P4706" s="24"/>
    </row>
    <row r="4707" spans="2:16" x14ac:dyDescent="0.25">
      <c r="B4707" s="24"/>
      <c r="E4707" s="24"/>
      <c r="G4707" s="24"/>
      <c r="H4707" s="24"/>
      <c r="J4707" s="24"/>
      <c r="K4707" s="24"/>
      <c r="M4707" s="24"/>
      <c r="N4707" s="24"/>
      <c r="P4707" s="24"/>
    </row>
    <row r="4708" spans="2:16" x14ac:dyDescent="0.25">
      <c r="B4708" s="24"/>
      <c r="E4708" s="24"/>
      <c r="G4708" s="24"/>
      <c r="H4708" s="24"/>
      <c r="J4708" s="24"/>
      <c r="K4708" s="24"/>
      <c r="M4708" s="24"/>
      <c r="N4708" s="24"/>
      <c r="P4708" s="24"/>
    </row>
    <row r="4709" spans="2:16" x14ac:dyDescent="0.25">
      <c r="B4709" s="24"/>
      <c r="E4709" s="24"/>
      <c r="G4709" s="24"/>
      <c r="H4709" s="24"/>
      <c r="J4709" s="24"/>
      <c r="K4709" s="24"/>
      <c r="M4709" s="24"/>
      <c r="N4709" s="24"/>
      <c r="P4709" s="24"/>
    </row>
    <row r="4710" spans="2:16" x14ac:dyDescent="0.25">
      <c r="B4710" s="24"/>
      <c r="E4710" s="24"/>
      <c r="G4710" s="24"/>
      <c r="H4710" s="24"/>
      <c r="J4710" s="24"/>
      <c r="K4710" s="24"/>
      <c r="M4710" s="24"/>
      <c r="N4710" s="24"/>
      <c r="P4710" s="24"/>
    </row>
    <row r="4711" spans="2:16" x14ac:dyDescent="0.25">
      <c r="B4711" s="24"/>
      <c r="E4711" s="24"/>
      <c r="G4711" s="24"/>
      <c r="H4711" s="24"/>
      <c r="J4711" s="24"/>
      <c r="K4711" s="24"/>
      <c r="M4711" s="24"/>
      <c r="N4711" s="24"/>
      <c r="P4711" s="24"/>
    </row>
    <row r="4712" spans="2:16" x14ac:dyDescent="0.25">
      <c r="B4712" s="24"/>
      <c r="E4712" s="24"/>
      <c r="G4712" s="24"/>
      <c r="H4712" s="24"/>
      <c r="J4712" s="24"/>
      <c r="K4712" s="24"/>
      <c r="M4712" s="24"/>
      <c r="N4712" s="24"/>
      <c r="P4712" s="24"/>
    </row>
    <row r="4713" spans="2:16" x14ac:dyDescent="0.25">
      <c r="B4713" s="24"/>
      <c r="E4713" s="24"/>
      <c r="G4713" s="24"/>
      <c r="H4713" s="24"/>
      <c r="J4713" s="24"/>
      <c r="K4713" s="24"/>
      <c r="M4713" s="24"/>
      <c r="N4713" s="24"/>
      <c r="P4713" s="24"/>
    </row>
    <row r="4714" spans="2:16" x14ac:dyDescent="0.25">
      <c r="B4714" s="24"/>
      <c r="E4714" s="24"/>
      <c r="G4714" s="24"/>
      <c r="H4714" s="24"/>
      <c r="J4714" s="24"/>
      <c r="K4714" s="24"/>
      <c r="M4714" s="24"/>
      <c r="N4714" s="24"/>
      <c r="P4714" s="24"/>
    </row>
    <row r="4715" spans="2:16" x14ac:dyDescent="0.25">
      <c r="B4715" s="24"/>
      <c r="E4715" s="24"/>
      <c r="G4715" s="24"/>
      <c r="H4715" s="24"/>
      <c r="J4715" s="24"/>
      <c r="K4715" s="24"/>
      <c r="M4715" s="24"/>
      <c r="N4715" s="24"/>
      <c r="P4715" s="24"/>
    </row>
    <row r="4716" spans="2:16" x14ac:dyDescent="0.25">
      <c r="B4716" s="24"/>
      <c r="E4716" s="24"/>
      <c r="G4716" s="24"/>
      <c r="H4716" s="24"/>
      <c r="J4716" s="24"/>
      <c r="K4716" s="24"/>
      <c r="M4716" s="24"/>
      <c r="N4716" s="24"/>
      <c r="P4716" s="24"/>
    </row>
    <row r="4717" spans="2:16" x14ac:dyDescent="0.25">
      <c r="B4717" s="24"/>
      <c r="E4717" s="24"/>
      <c r="G4717" s="24"/>
      <c r="H4717" s="24"/>
      <c r="J4717" s="24"/>
      <c r="K4717" s="24"/>
      <c r="M4717" s="24"/>
      <c r="N4717" s="24"/>
      <c r="P4717" s="24"/>
    </row>
    <row r="4718" spans="2:16" x14ac:dyDescent="0.25">
      <c r="B4718" s="24"/>
      <c r="E4718" s="24"/>
      <c r="G4718" s="24"/>
      <c r="H4718" s="24"/>
      <c r="J4718" s="24"/>
      <c r="K4718" s="24"/>
      <c r="M4718" s="24"/>
      <c r="N4718" s="24"/>
      <c r="P4718" s="24"/>
    </row>
    <row r="4719" spans="2:16" x14ac:dyDescent="0.25">
      <c r="B4719" s="24"/>
      <c r="E4719" s="24"/>
      <c r="G4719" s="24"/>
      <c r="H4719" s="24"/>
      <c r="J4719" s="24"/>
      <c r="K4719" s="24"/>
      <c r="M4719" s="24"/>
      <c r="N4719" s="24"/>
      <c r="P4719" s="24"/>
    </row>
    <row r="4720" spans="2:16" x14ac:dyDescent="0.25">
      <c r="B4720" s="24"/>
      <c r="E4720" s="24"/>
      <c r="G4720" s="24"/>
      <c r="H4720" s="24"/>
      <c r="J4720" s="24"/>
      <c r="K4720" s="24"/>
      <c r="M4720" s="24"/>
      <c r="N4720" s="24"/>
      <c r="P4720" s="24"/>
    </row>
    <row r="4721" spans="2:16" x14ac:dyDescent="0.25">
      <c r="B4721" s="24"/>
      <c r="E4721" s="24"/>
      <c r="G4721" s="24"/>
      <c r="H4721" s="24"/>
      <c r="J4721" s="24"/>
      <c r="K4721" s="24"/>
      <c r="M4721" s="24"/>
      <c r="N4721" s="24"/>
      <c r="P4721" s="24"/>
    </row>
    <row r="4722" spans="2:16" x14ac:dyDescent="0.25">
      <c r="B4722" s="24"/>
      <c r="E4722" s="24"/>
      <c r="G4722" s="24"/>
      <c r="H4722" s="24"/>
      <c r="J4722" s="24"/>
      <c r="K4722" s="24"/>
      <c r="M4722" s="24"/>
      <c r="N4722" s="24"/>
      <c r="P4722" s="24"/>
    </row>
    <row r="4723" spans="2:16" x14ac:dyDescent="0.25">
      <c r="B4723" s="24"/>
      <c r="E4723" s="24"/>
      <c r="G4723" s="24"/>
      <c r="H4723" s="24"/>
      <c r="J4723" s="24"/>
      <c r="K4723" s="24"/>
      <c r="M4723" s="24"/>
      <c r="N4723" s="24"/>
      <c r="P4723" s="24"/>
    </row>
    <row r="4724" spans="2:16" x14ac:dyDescent="0.25">
      <c r="B4724" s="24"/>
      <c r="E4724" s="24"/>
      <c r="G4724" s="24"/>
      <c r="H4724" s="24"/>
      <c r="J4724" s="24"/>
      <c r="K4724" s="24"/>
      <c r="M4724" s="24"/>
      <c r="N4724" s="24"/>
      <c r="P4724" s="24"/>
    </row>
    <row r="4725" spans="2:16" x14ac:dyDescent="0.25">
      <c r="B4725" s="24"/>
      <c r="E4725" s="24"/>
      <c r="G4725" s="24"/>
      <c r="H4725" s="24"/>
      <c r="J4725" s="24"/>
      <c r="K4725" s="24"/>
      <c r="M4725" s="24"/>
      <c r="N4725" s="24"/>
      <c r="P4725" s="24"/>
    </row>
    <row r="4726" spans="2:16" x14ac:dyDescent="0.25">
      <c r="B4726" s="24"/>
      <c r="E4726" s="24"/>
      <c r="G4726" s="24"/>
      <c r="H4726" s="24"/>
      <c r="J4726" s="24"/>
      <c r="K4726" s="24"/>
      <c r="M4726" s="24"/>
      <c r="N4726" s="24"/>
      <c r="P4726" s="24"/>
    </row>
    <row r="4727" spans="2:16" x14ac:dyDescent="0.25">
      <c r="B4727" s="24"/>
      <c r="E4727" s="24"/>
      <c r="G4727" s="24"/>
      <c r="H4727" s="24"/>
      <c r="J4727" s="24"/>
      <c r="K4727" s="24"/>
      <c r="M4727" s="24"/>
      <c r="N4727" s="24"/>
      <c r="P4727" s="24"/>
    </row>
    <row r="4728" spans="2:16" x14ac:dyDescent="0.25">
      <c r="B4728" s="24"/>
      <c r="E4728" s="24"/>
      <c r="G4728" s="24"/>
      <c r="H4728" s="24"/>
      <c r="J4728" s="24"/>
      <c r="K4728" s="24"/>
      <c r="M4728" s="24"/>
      <c r="N4728" s="24"/>
      <c r="P4728" s="24"/>
    </row>
    <row r="4729" spans="2:16" x14ac:dyDescent="0.25">
      <c r="B4729" s="24"/>
      <c r="E4729" s="24"/>
      <c r="G4729" s="24"/>
      <c r="H4729" s="24"/>
      <c r="J4729" s="24"/>
      <c r="K4729" s="24"/>
      <c r="M4729" s="24"/>
      <c r="N4729" s="24"/>
      <c r="P4729" s="24"/>
    </row>
    <row r="4730" spans="2:16" x14ac:dyDescent="0.25">
      <c r="B4730" s="24"/>
      <c r="E4730" s="24"/>
      <c r="G4730" s="24"/>
      <c r="H4730" s="24"/>
      <c r="J4730" s="24"/>
      <c r="K4730" s="24"/>
      <c r="M4730" s="24"/>
      <c r="N4730" s="24"/>
      <c r="P4730" s="24"/>
    </row>
    <row r="4731" spans="2:16" x14ac:dyDescent="0.25">
      <c r="B4731" s="24"/>
      <c r="E4731" s="24"/>
      <c r="G4731" s="24"/>
      <c r="H4731" s="24"/>
      <c r="J4731" s="24"/>
      <c r="K4731" s="24"/>
      <c r="M4731" s="24"/>
      <c r="N4731" s="24"/>
      <c r="P4731" s="24"/>
    </row>
    <row r="4732" spans="2:16" x14ac:dyDescent="0.25">
      <c r="B4732" s="24"/>
      <c r="E4732" s="24"/>
      <c r="G4732" s="24"/>
      <c r="H4732" s="24"/>
      <c r="J4732" s="24"/>
      <c r="K4732" s="24"/>
      <c r="M4732" s="24"/>
      <c r="N4732" s="24"/>
      <c r="P4732" s="24"/>
    </row>
    <row r="4733" spans="2:16" x14ac:dyDescent="0.25">
      <c r="B4733" s="24"/>
      <c r="E4733" s="24"/>
      <c r="G4733" s="24"/>
      <c r="H4733" s="24"/>
      <c r="J4733" s="24"/>
      <c r="K4733" s="24"/>
      <c r="M4733" s="24"/>
      <c r="N4733" s="24"/>
      <c r="P4733" s="24"/>
    </row>
    <row r="4734" spans="2:16" x14ac:dyDescent="0.25">
      <c r="B4734" s="24"/>
      <c r="E4734" s="24"/>
      <c r="G4734" s="24"/>
      <c r="H4734" s="24"/>
      <c r="J4734" s="24"/>
      <c r="K4734" s="24"/>
      <c r="M4734" s="24"/>
      <c r="N4734" s="24"/>
      <c r="P4734" s="24"/>
    </row>
    <row r="4735" spans="2:16" x14ac:dyDescent="0.25">
      <c r="B4735" s="24"/>
      <c r="E4735" s="24"/>
      <c r="G4735" s="24"/>
      <c r="H4735" s="24"/>
      <c r="J4735" s="24"/>
      <c r="K4735" s="24"/>
      <c r="M4735" s="24"/>
      <c r="N4735" s="24"/>
      <c r="P4735" s="24"/>
    </row>
    <row r="4736" spans="2:16" x14ac:dyDescent="0.25">
      <c r="B4736" s="24"/>
      <c r="E4736" s="24"/>
      <c r="G4736" s="24"/>
      <c r="H4736" s="24"/>
      <c r="J4736" s="24"/>
      <c r="K4736" s="24"/>
      <c r="M4736" s="24"/>
      <c r="N4736" s="24"/>
      <c r="P4736" s="24"/>
    </row>
    <row r="4737" spans="2:16" x14ac:dyDescent="0.25">
      <c r="B4737" s="24"/>
      <c r="E4737" s="24"/>
      <c r="G4737" s="24"/>
      <c r="H4737" s="24"/>
      <c r="J4737" s="24"/>
      <c r="K4737" s="24"/>
      <c r="M4737" s="24"/>
      <c r="N4737" s="24"/>
      <c r="P4737" s="24"/>
    </row>
    <row r="4738" spans="2:16" x14ac:dyDescent="0.25">
      <c r="B4738" s="24"/>
      <c r="E4738" s="24"/>
      <c r="G4738" s="24"/>
      <c r="H4738" s="24"/>
      <c r="J4738" s="24"/>
      <c r="K4738" s="24"/>
      <c r="M4738" s="24"/>
      <c r="N4738" s="24"/>
      <c r="P4738" s="24"/>
    </row>
    <row r="4739" spans="2:16" x14ac:dyDescent="0.25">
      <c r="B4739" s="24"/>
      <c r="E4739" s="24"/>
      <c r="G4739" s="24"/>
      <c r="H4739" s="24"/>
      <c r="J4739" s="24"/>
      <c r="K4739" s="24"/>
      <c r="M4739" s="24"/>
      <c r="N4739" s="24"/>
      <c r="P4739" s="24"/>
    </row>
    <row r="4740" spans="2:16" x14ac:dyDescent="0.25">
      <c r="B4740" s="24"/>
      <c r="E4740" s="24"/>
      <c r="G4740" s="24"/>
      <c r="H4740" s="24"/>
      <c r="J4740" s="24"/>
      <c r="K4740" s="24"/>
      <c r="M4740" s="24"/>
      <c r="N4740" s="24"/>
      <c r="P4740" s="24"/>
    </row>
    <row r="4741" spans="2:16" x14ac:dyDescent="0.25">
      <c r="B4741" s="24"/>
      <c r="E4741" s="24"/>
      <c r="G4741" s="24"/>
      <c r="H4741" s="24"/>
      <c r="J4741" s="24"/>
      <c r="K4741" s="24"/>
      <c r="M4741" s="24"/>
      <c r="N4741" s="24"/>
      <c r="P4741" s="24"/>
    </row>
    <row r="4742" spans="2:16" x14ac:dyDescent="0.25">
      <c r="B4742" s="24"/>
      <c r="E4742" s="24"/>
      <c r="G4742" s="24"/>
      <c r="H4742" s="24"/>
      <c r="J4742" s="24"/>
      <c r="K4742" s="24"/>
      <c r="M4742" s="24"/>
      <c r="N4742" s="24"/>
      <c r="P4742" s="24"/>
    </row>
    <row r="4743" spans="2:16" x14ac:dyDescent="0.25">
      <c r="B4743" s="24"/>
      <c r="E4743" s="24"/>
      <c r="G4743" s="24"/>
      <c r="H4743" s="24"/>
      <c r="J4743" s="24"/>
      <c r="K4743" s="24"/>
      <c r="M4743" s="24"/>
      <c r="N4743" s="24"/>
      <c r="P4743" s="24"/>
    </row>
    <row r="4744" spans="2:16" x14ac:dyDescent="0.25">
      <c r="B4744" s="24"/>
      <c r="E4744" s="24"/>
      <c r="G4744" s="24"/>
      <c r="H4744" s="24"/>
      <c r="J4744" s="24"/>
      <c r="K4744" s="24"/>
      <c r="M4744" s="24"/>
      <c r="N4744" s="24"/>
      <c r="P4744" s="24"/>
    </row>
    <row r="4745" spans="2:16" x14ac:dyDescent="0.25">
      <c r="B4745" s="24"/>
      <c r="E4745" s="24"/>
      <c r="G4745" s="24"/>
      <c r="H4745" s="24"/>
      <c r="J4745" s="24"/>
      <c r="K4745" s="24"/>
      <c r="M4745" s="24"/>
      <c r="N4745" s="24"/>
      <c r="P4745" s="24"/>
    </row>
    <row r="4746" spans="2:16" x14ac:dyDescent="0.25">
      <c r="B4746" s="24"/>
      <c r="E4746" s="24"/>
      <c r="G4746" s="24"/>
      <c r="H4746" s="24"/>
      <c r="J4746" s="24"/>
      <c r="K4746" s="24"/>
      <c r="M4746" s="24"/>
      <c r="N4746" s="24"/>
      <c r="P4746" s="24"/>
    </row>
    <row r="4747" spans="2:16" x14ac:dyDescent="0.25">
      <c r="B4747" s="24"/>
      <c r="E4747" s="24"/>
      <c r="G4747" s="24"/>
      <c r="H4747" s="24"/>
      <c r="J4747" s="24"/>
      <c r="K4747" s="24"/>
      <c r="M4747" s="24"/>
      <c r="N4747" s="24"/>
      <c r="P4747" s="24"/>
    </row>
    <row r="4748" spans="2:16" x14ac:dyDescent="0.25">
      <c r="B4748" s="24"/>
      <c r="E4748" s="24"/>
      <c r="G4748" s="24"/>
      <c r="H4748" s="24"/>
      <c r="J4748" s="24"/>
      <c r="K4748" s="24"/>
      <c r="M4748" s="24"/>
      <c r="N4748" s="24"/>
      <c r="P4748" s="24"/>
    </row>
    <row r="4749" spans="2:16" x14ac:dyDescent="0.25">
      <c r="B4749" s="24"/>
      <c r="E4749" s="24"/>
      <c r="G4749" s="24"/>
      <c r="H4749" s="24"/>
      <c r="J4749" s="24"/>
      <c r="K4749" s="24"/>
      <c r="M4749" s="24"/>
      <c r="N4749" s="24"/>
      <c r="P4749" s="24"/>
    </row>
    <row r="4750" spans="2:16" x14ac:dyDescent="0.25">
      <c r="B4750" s="24"/>
      <c r="E4750" s="24"/>
      <c r="G4750" s="24"/>
      <c r="H4750" s="24"/>
      <c r="J4750" s="24"/>
      <c r="K4750" s="24"/>
      <c r="M4750" s="24"/>
      <c r="N4750" s="24"/>
      <c r="P4750" s="24"/>
    </row>
    <row r="4751" spans="2:16" x14ac:dyDescent="0.25">
      <c r="B4751" s="24"/>
      <c r="E4751" s="24"/>
      <c r="G4751" s="24"/>
      <c r="H4751" s="24"/>
      <c r="J4751" s="24"/>
      <c r="K4751" s="24"/>
      <c r="M4751" s="24"/>
      <c r="N4751" s="24"/>
      <c r="P4751" s="24"/>
    </row>
    <row r="4752" spans="2:16" x14ac:dyDescent="0.25">
      <c r="B4752" s="24"/>
      <c r="E4752" s="24"/>
      <c r="G4752" s="24"/>
      <c r="H4752" s="24"/>
      <c r="J4752" s="24"/>
      <c r="K4752" s="24"/>
      <c r="M4752" s="24"/>
      <c r="N4752" s="24"/>
      <c r="P4752" s="24"/>
    </row>
    <row r="4753" spans="2:16" x14ac:dyDescent="0.25">
      <c r="B4753" s="24"/>
      <c r="E4753" s="24"/>
      <c r="G4753" s="24"/>
      <c r="H4753" s="24"/>
      <c r="J4753" s="24"/>
      <c r="K4753" s="24"/>
      <c r="M4753" s="24"/>
      <c r="N4753" s="24"/>
      <c r="P4753" s="24"/>
    </row>
    <row r="4754" spans="2:16" x14ac:dyDescent="0.25">
      <c r="B4754" s="24"/>
      <c r="E4754" s="24"/>
      <c r="G4754" s="24"/>
      <c r="H4754" s="24"/>
      <c r="J4754" s="24"/>
      <c r="K4754" s="24"/>
      <c r="M4754" s="24"/>
      <c r="N4754" s="24"/>
      <c r="P4754" s="24"/>
    </row>
    <row r="4755" spans="2:16" x14ac:dyDescent="0.25">
      <c r="B4755" s="24"/>
      <c r="E4755" s="24"/>
      <c r="G4755" s="24"/>
      <c r="H4755" s="24"/>
      <c r="J4755" s="24"/>
      <c r="K4755" s="24"/>
      <c r="M4755" s="24"/>
      <c r="N4755" s="24"/>
      <c r="P4755" s="24"/>
    </row>
    <row r="4756" spans="2:16" x14ac:dyDescent="0.25">
      <c r="B4756" s="24"/>
      <c r="E4756" s="24"/>
      <c r="G4756" s="24"/>
      <c r="H4756" s="24"/>
      <c r="J4756" s="24"/>
      <c r="K4756" s="24"/>
      <c r="M4756" s="24"/>
      <c r="N4756" s="24"/>
      <c r="P4756" s="24"/>
    </row>
    <row r="4757" spans="2:16" x14ac:dyDescent="0.25">
      <c r="B4757" s="24"/>
      <c r="E4757" s="24"/>
      <c r="G4757" s="24"/>
      <c r="H4757" s="24"/>
      <c r="J4757" s="24"/>
      <c r="K4757" s="24"/>
      <c r="M4757" s="24"/>
      <c r="N4757" s="24"/>
      <c r="P4757" s="24"/>
    </row>
    <row r="4758" spans="2:16" x14ac:dyDescent="0.25">
      <c r="B4758" s="24"/>
      <c r="E4758" s="24"/>
      <c r="G4758" s="24"/>
      <c r="H4758" s="24"/>
      <c r="J4758" s="24"/>
      <c r="K4758" s="24"/>
      <c r="M4758" s="24"/>
      <c r="N4758" s="24"/>
      <c r="P4758" s="24"/>
    </row>
    <row r="4759" spans="2:16" x14ac:dyDescent="0.25">
      <c r="B4759" s="24"/>
      <c r="E4759" s="24"/>
      <c r="G4759" s="24"/>
      <c r="H4759" s="24"/>
      <c r="J4759" s="24"/>
      <c r="K4759" s="24"/>
      <c r="M4759" s="24"/>
      <c r="N4759" s="24"/>
      <c r="P4759" s="24"/>
    </row>
    <row r="4760" spans="2:16" x14ac:dyDescent="0.25">
      <c r="B4760" s="24"/>
      <c r="E4760" s="24"/>
      <c r="G4760" s="24"/>
      <c r="H4760" s="24"/>
      <c r="J4760" s="24"/>
      <c r="K4760" s="24"/>
      <c r="M4760" s="24"/>
      <c r="N4760" s="24"/>
      <c r="P4760" s="24"/>
    </row>
    <row r="4761" spans="2:16" x14ac:dyDescent="0.25">
      <c r="B4761" s="24"/>
      <c r="E4761" s="24"/>
      <c r="G4761" s="24"/>
      <c r="H4761" s="24"/>
      <c r="J4761" s="24"/>
      <c r="K4761" s="24"/>
      <c r="M4761" s="24"/>
      <c r="N4761" s="24"/>
      <c r="P4761" s="24"/>
    </row>
    <row r="4762" spans="2:16" x14ac:dyDescent="0.25">
      <c r="B4762" s="24"/>
      <c r="E4762" s="24"/>
      <c r="G4762" s="24"/>
      <c r="H4762" s="24"/>
      <c r="J4762" s="24"/>
      <c r="K4762" s="24"/>
      <c r="M4762" s="24"/>
      <c r="N4762" s="24"/>
      <c r="P4762" s="24"/>
    </row>
    <row r="4763" spans="2:16" x14ac:dyDescent="0.25">
      <c r="B4763" s="24"/>
      <c r="E4763" s="24"/>
      <c r="G4763" s="24"/>
      <c r="H4763" s="24"/>
      <c r="J4763" s="24"/>
      <c r="K4763" s="24"/>
      <c r="M4763" s="24"/>
      <c r="N4763" s="24"/>
      <c r="P4763" s="24"/>
    </row>
    <row r="4764" spans="2:16" x14ac:dyDescent="0.25">
      <c r="B4764" s="24"/>
      <c r="E4764" s="24"/>
      <c r="G4764" s="24"/>
      <c r="H4764" s="24"/>
      <c r="J4764" s="24"/>
      <c r="K4764" s="24"/>
      <c r="M4764" s="24"/>
      <c r="N4764" s="24"/>
      <c r="P4764" s="24"/>
    </row>
    <row r="4765" spans="2:16" x14ac:dyDescent="0.25">
      <c r="B4765" s="24"/>
      <c r="E4765" s="24"/>
      <c r="G4765" s="24"/>
      <c r="H4765" s="24"/>
      <c r="J4765" s="24"/>
      <c r="K4765" s="24"/>
      <c r="M4765" s="24"/>
      <c r="N4765" s="24"/>
      <c r="P4765" s="24"/>
    </row>
    <row r="4766" spans="2:16" x14ac:dyDescent="0.25">
      <c r="B4766" s="24"/>
      <c r="E4766" s="24"/>
      <c r="G4766" s="24"/>
      <c r="H4766" s="24"/>
      <c r="J4766" s="24"/>
      <c r="K4766" s="24"/>
      <c r="M4766" s="24"/>
      <c r="N4766" s="24"/>
      <c r="P4766" s="24"/>
    </row>
    <row r="4767" spans="2:16" x14ac:dyDescent="0.25">
      <c r="B4767" s="24"/>
      <c r="E4767" s="24"/>
      <c r="G4767" s="24"/>
      <c r="H4767" s="24"/>
      <c r="J4767" s="24"/>
      <c r="K4767" s="24"/>
      <c r="M4767" s="24"/>
      <c r="N4767" s="24"/>
      <c r="P4767" s="24"/>
    </row>
    <row r="4768" spans="2:16" x14ac:dyDescent="0.25">
      <c r="B4768" s="24"/>
      <c r="E4768" s="24"/>
      <c r="G4768" s="24"/>
      <c r="H4768" s="24"/>
      <c r="J4768" s="24"/>
      <c r="K4768" s="24"/>
      <c r="M4768" s="24"/>
      <c r="N4768" s="24"/>
      <c r="P4768" s="24"/>
    </row>
    <row r="4769" spans="2:16" x14ac:dyDescent="0.25">
      <c r="B4769" s="24"/>
      <c r="E4769" s="24"/>
      <c r="G4769" s="24"/>
      <c r="H4769" s="24"/>
      <c r="J4769" s="24"/>
      <c r="K4769" s="24"/>
      <c r="M4769" s="24"/>
      <c r="N4769" s="24"/>
      <c r="P4769" s="24"/>
    </row>
    <row r="4770" spans="2:16" x14ac:dyDescent="0.25">
      <c r="B4770" s="24"/>
      <c r="E4770" s="24"/>
      <c r="G4770" s="24"/>
      <c r="H4770" s="24"/>
      <c r="J4770" s="24"/>
      <c r="K4770" s="24"/>
      <c r="M4770" s="24"/>
      <c r="N4770" s="24"/>
      <c r="P4770" s="24"/>
    </row>
    <row r="4771" spans="2:16" x14ac:dyDescent="0.25">
      <c r="B4771" s="24"/>
      <c r="E4771" s="24"/>
      <c r="G4771" s="24"/>
      <c r="H4771" s="24"/>
      <c r="J4771" s="24"/>
      <c r="K4771" s="24"/>
      <c r="M4771" s="24"/>
      <c r="N4771" s="24"/>
      <c r="P4771" s="24"/>
    </row>
    <row r="4772" spans="2:16" x14ac:dyDescent="0.25">
      <c r="B4772" s="24"/>
      <c r="E4772" s="24"/>
      <c r="G4772" s="24"/>
      <c r="H4772" s="24"/>
      <c r="J4772" s="24"/>
      <c r="K4772" s="24"/>
      <c r="M4772" s="24"/>
      <c r="N4772" s="24"/>
      <c r="P4772" s="24"/>
    </row>
    <row r="4773" spans="2:16" x14ac:dyDescent="0.25">
      <c r="B4773" s="24"/>
      <c r="E4773" s="24"/>
      <c r="G4773" s="24"/>
      <c r="H4773" s="24"/>
      <c r="J4773" s="24"/>
      <c r="K4773" s="24"/>
      <c r="M4773" s="24"/>
      <c r="N4773" s="24"/>
      <c r="P4773" s="24"/>
    </row>
    <row r="4774" spans="2:16" x14ac:dyDescent="0.25">
      <c r="B4774" s="24"/>
      <c r="E4774" s="24"/>
      <c r="G4774" s="24"/>
      <c r="H4774" s="24"/>
      <c r="J4774" s="24"/>
      <c r="K4774" s="24"/>
      <c r="M4774" s="24"/>
      <c r="N4774" s="24"/>
      <c r="P4774" s="24"/>
    </row>
    <row r="4775" spans="2:16" x14ac:dyDescent="0.25">
      <c r="B4775" s="24"/>
      <c r="E4775" s="24"/>
      <c r="G4775" s="24"/>
      <c r="H4775" s="24"/>
      <c r="J4775" s="24"/>
      <c r="K4775" s="24"/>
      <c r="M4775" s="24"/>
      <c r="N4775" s="24"/>
      <c r="P4775" s="24"/>
    </row>
    <row r="4776" spans="2:16" x14ac:dyDescent="0.25">
      <c r="B4776" s="24"/>
      <c r="E4776" s="24"/>
      <c r="G4776" s="24"/>
      <c r="H4776" s="24"/>
      <c r="J4776" s="24"/>
      <c r="K4776" s="24"/>
      <c r="M4776" s="24"/>
      <c r="N4776" s="24"/>
      <c r="P4776" s="24"/>
    </row>
    <row r="4777" spans="2:16" x14ac:dyDescent="0.25">
      <c r="B4777" s="24"/>
      <c r="E4777" s="24"/>
      <c r="G4777" s="24"/>
      <c r="H4777" s="24"/>
      <c r="J4777" s="24"/>
      <c r="K4777" s="24"/>
      <c r="M4777" s="24"/>
      <c r="N4777" s="24"/>
      <c r="P4777" s="24"/>
    </row>
    <row r="4778" spans="2:16" x14ac:dyDescent="0.25">
      <c r="B4778" s="24"/>
      <c r="E4778" s="24"/>
      <c r="G4778" s="24"/>
      <c r="H4778" s="24"/>
      <c r="J4778" s="24"/>
      <c r="K4778" s="24"/>
      <c r="M4778" s="24"/>
      <c r="N4778" s="24"/>
      <c r="P4778" s="24"/>
    </row>
    <row r="4779" spans="2:16" x14ac:dyDescent="0.25">
      <c r="B4779" s="24"/>
      <c r="E4779" s="24"/>
      <c r="G4779" s="24"/>
      <c r="H4779" s="24"/>
      <c r="J4779" s="24"/>
      <c r="K4779" s="24"/>
      <c r="M4779" s="24"/>
      <c r="N4779" s="24"/>
      <c r="P4779" s="24"/>
    </row>
    <row r="4780" spans="2:16" x14ac:dyDescent="0.25">
      <c r="B4780" s="24"/>
      <c r="E4780" s="24"/>
      <c r="G4780" s="24"/>
      <c r="H4780" s="24"/>
      <c r="J4780" s="24"/>
      <c r="K4780" s="24"/>
      <c r="M4780" s="24"/>
      <c r="N4780" s="24"/>
      <c r="P4780" s="24"/>
    </row>
    <row r="4781" spans="2:16" x14ac:dyDescent="0.25">
      <c r="B4781" s="24"/>
      <c r="E4781" s="24"/>
      <c r="G4781" s="24"/>
      <c r="H4781" s="24"/>
      <c r="J4781" s="24"/>
      <c r="K4781" s="24"/>
      <c r="M4781" s="24"/>
      <c r="N4781" s="24"/>
      <c r="P4781" s="24"/>
    </row>
    <row r="4782" spans="2:16" x14ac:dyDescent="0.25">
      <c r="B4782" s="24"/>
      <c r="E4782" s="24"/>
      <c r="G4782" s="24"/>
      <c r="H4782" s="24"/>
      <c r="J4782" s="24"/>
      <c r="K4782" s="24"/>
      <c r="M4782" s="24"/>
      <c r="N4782" s="24"/>
      <c r="P4782" s="24"/>
    </row>
    <row r="4783" spans="2:16" x14ac:dyDescent="0.25">
      <c r="B4783" s="24"/>
      <c r="E4783" s="24"/>
      <c r="G4783" s="24"/>
      <c r="H4783" s="24"/>
      <c r="J4783" s="24"/>
      <c r="K4783" s="24"/>
      <c r="M4783" s="24"/>
      <c r="N4783" s="24"/>
      <c r="P4783" s="24"/>
    </row>
    <row r="4784" spans="2:16" x14ac:dyDescent="0.25">
      <c r="B4784" s="24"/>
      <c r="E4784" s="24"/>
      <c r="G4784" s="24"/>
      <c r="H4784" s="24"/>
      <c r="J4784" s="24"/>
      <c r="K4784" s="24"/>
      <c r="M4784" s="24"/>
      <c r="N4784" s="24"/>
      <c r="P4784" s="24"/>
    </row>
    <row r="4785" spans="2:16" x14ac:dyDescent="0.25">
      <c r="B4785" s="24"/>
      <c r="E4785" s="24"/>
      <c r="G4785" s="24"/>
      <c r="H4785" s="24"/>
      <c r="J4785" s="24"/>
      <c r="K4785" s="24"/>
      <c r="M4785" s="24"/>
      <c r="N4785" s="24"/>
      <c r="P4785" s="24"/>
    </row>
    <row r="4786" spans="2:16" x14ac:dyDescent="0.25">
      <c r="B4786" s="24"/>
      <c r="E4786" s="24"/>
      <c r="G4786" s="24"/>
      <c r="H4786" s="24"/>
      <c r="J4786" s="24"/>
      <c r="K4786" s="24"/>
      <c r="M4786" s="24"/>
      <c r="N4786" s="24"/>
      <c r="P4786" s="24"/>
    </row>
    <row r="4787" spans="2:16" x14ac:dyDescent="0.25">
      <c r="B4787" s="24"/>
      <c r="E4787" s="24"/>
      <c r="G4787" s="24"/>
      <c r="H4787" s="24"/>
      <c r="J4787" s="24"/>
      <c r="K4787" s="24"/>
      <c r="M4787" s="24"/>
      <c r="N4787" s="24"/>
      <c r="P4787" s="24"/>
    </row>
    <row r="4788" spans="2:16" x14ac:dyDescent="0.25">
      <c r="B4788" s="24"/>
      <c r="E4788" s="24"/>
      <c r="G4788" s="24"/>
      <c r="H4788" s="24"/>
      <c r="J4788" s="24"/>
      <c r="K4788" s="24"/>
      <c r="M4788" s="24"/>
      <c r="N4788" s="24"/>
      <c r="P4788" s="24"/>
    </row>
    <row r="4789" spans="2:16" x14ac:dyDescent="0.25">
      <c r="B4789" s="24"/>
      <c r="E4789" s="24"/>
      <c r="G4789" s="24"/>
      <c r="H4789" s="24"/>
      <c r="J4789" s="24"/>
      <c r="K4789" s="24"/>
      <c r="M4789" s="24"/>
      <c r="N4789" s="24"/>
      <c r="P4789" s="24"/>
    </row>
    <row r="4790" spans="2:16" x14ac:dyDescent="0.25">
      <c r="B4790" s="24"/>
      <c r="E4790" s="24"/>
      <c r="G4790" s="24"/>
      <c r="H4790" s="24"/>
      <c r="J4790" s="24"/>
      <c r="K4790" s="24"/>
      <c r="M4790" s="24"/>
      <c r="N4790" s="24"/>
      <c r="P4790" s="24"/>
    </row>
    <row r="4791" spans="2:16" x14ac:dyDescent="0.25">
      <c r="B4791" s="24"/>
      <c r="E4791" s="24"/>
      <c r="G4791" s="24"/>
      <c r="H4791" s="24"/>
      <c r="J4791" s="24"/>
      <c r="K4791" s="24"/>
      <c r="M4791" s="24"/>
      <c r="N4791" s="24"/>
      <c r="P4791" s="24"/>
    </row>
    <row r="4792" spans="2:16" x14ac:dyDescent="0.25">
      <c r="B4792" s="24"/>
      <c r="E4792" s="24"/>
      <c r="G4792" s="24"/>
      <c r="H4792" s="24"/>
      <c r="J4792" s="24"/>
      <c r="K4792" s="24"/>
      <c r="M4792" s="24"/>
      <c r="N4792" s="24"/>
      <c r="P4792" s="24"/>
    </row>
    <row r="4793" spans="2:16" x14ac:dyDescent="0.25">
      <c r="B4793" s="24"/>
      <c r="E4793" s="24"/>
      <c r="G4793" s="24"/>
      <c r="H4793" s="24"/>
      <c r="J4793" s="24"/>
      <c r="K4793" s="24"/>
      <c r="M4793" s="24"/>
      <c r="N4793" s="24"/>
      <c r="P4793" s="24"/>
    </row>
    <row r="4794" spans="2:16" x14ac:dyDescent="0.25">
      <c r="B4794" s="24"/>
      <c r="E4794" s="24"/>
      <c r="G4794" s="24"/>
      <c r="H4794" s="24"/>
      <c r="J4794" s="24"/>
      <c r="K4794" s="24"/>
      <c r="M4794" s="24"/>
      <c r="N4794" s="24"/>
      <c r="P4794" s="24"/>
    </row>
    <row r="4795" spans="2:16" x14ac:dyDescent="0.25">
      <c r="B4795" s="24"/>
      <c r="E4795" s="24"/>
      <c r="G4795" s="24"/>
      <c r="H4795" s="24"/>
      <c r="J4795" s="24"/>
      <c r="K4795" s="24"/>
      <c r="M4795" s="24"/>
      <c r="N4795" s="24"/>
      <c r="P4795" s="24"/>
    </row>
    <row r="4796" spans="2:16" x14ac:dyDescent="0.25">
      <c r="B4796" s="24"/>
      <c r="E4796" s="24"/>
      <c r="G4796" s="24"/>
      <c r="H4796" s="24"/>
      <c r="J4796" s="24"/>
      <c r="K4796" s="24"/>
      <c r="M4796" s="24"/>
      <c r="N4796" s="24"/>
      <c r="P4796" s="24"/>
    </row>
    <row r="4797" spans="2:16" x14ac:dyDescent="0.25">
      <c r="B4797" s="24"/>
      <c r="E4797" s="24"/>
      <c r="G4797" s="24"/>
      <c r="H4797" s="24"/>
      <c r="J4797" s="24"/>
      <c r="K4797" s="24"/>
      <c r="M4797" s="24"/>
      <c r="N4797" s="24"/>
      <c r="P4797" s="24"/>
    </row>
    <row r="4798" spans="2:16" x14ac:dyDescent="0.25">
      <c r="B4798" s="24"/>
      <c r="E4798" s="24"/>
      <c r="G4798" s="24"/>
      <c r="H4798" s="24"/>
      <c r="J4798" s="24"/>
      <c r="K4798" s="24"/>
      <c r="M4798" s="24"/>
      <c r="N4798" s="24"/>
      <c r="P4798" s="24"/>
    </row>
    <row r="4799" spans="2:16" x14ac:dyDescent="0.25">
      <c r="B4799" s="24"/>
      <c r="E4799" s="24"/>
      <c r="G4799" s="24"/>
      <c r="H4799" s="24"/>
      <c r="J4799" s="24"/>
      <c r="K4799" s="24"/>
      <c r="M4799" s="24"/>
      <c r="N4799" s="24"/>
      <c r="P4799" s="24"/>
    </row>
    <row r="4800" spans="2:16" x14ac:dyDescent="0.25">
      <c r="B4800" s="24"/>
      <c r="E4800" s="24"/>
      <c r="G4800" s="24"/>
      <c r="H4800" s="24"/>
      <c r="J4800" s="24"/>
      <c r="K4800" s="24"/>
      <c r="M4800" s="24"/>
      <c r="N4800" s="24"/>
      <c r="P4800" s="24"/>
    </row>
    <row r="4801" spans="2:16" x14ac:dyDescent="0.25">
      <c r="B4801" s="24"/>
      <c r="E4801" s="24"/>
      <c r="G4801" s="24"/>
      <c r="H4801" s="24"/>
      <c r="J4801" s="24"/>
      <c r="K4801" s="24"/>
      <c r="M4801" s="24"/>
      <c r="N4801" s="24"/>
      <c r="P4801" s="24"/>
    </row>
    <row r="4802" spans="2:16" x14ac:dyDescent="0.25">
      <c r="B4802" s="24"/>
      <c r="E4802" s="24"/>
      <c r="G4802" s="24"/>
      <c r="H4802" s="24"/>
      <c r="J4802" s="24"/>
      <c r="K4802" s="24"/>
      <c r="M4802" s="24"/>
      <c r="N4802" s="24"/>
      <c r="P4802" s="24"/>
    </row>
    <row r="4803" spans="2:16" x14ac:dyDescent="0.25">
      <c r="B4803" s="24"/>
      <c r="E4803" s="24"/>
      <c r="G4803" s="24"/>
      <c r="H4803" s="24"/>
      <c r="J4803" s="24"/>
      <c r="K4803" s="24"/>
      <c r="M4803" s="24"/>
      <c r="N4803" s="24"/>
      <c r="P4803" s="24"/>
    </row>
    <row r="4804" spans="2:16" x14ac:dyDescent="0.25">
      <c r="B4804" s="24"/>
      <c r="E4804" s="24"/>
      <c r="G4804" s="24"/>
      <c r="H4804" s="24"/>
      <c r="J4804" s="24"/>
      <c r="K4804" s="24"/>
      <c r="M4804" s="24"/>
      <c r="N4804" s="24"/>
      <c r="P4804" s="24"/>
    </row>
    <row r="4805" spans="2:16" x14ac:dyDescent="0.25">
      <c r="B4805" s="24"/>
      <c r="E4805" s="24"/>
      <c r="G4805" s="24"/>
      <c r="H4805" s="24"/>
      <c r="J4805" s="24"/>
      <c r="K4805" s="24"/>
      <c r="M4805" s="24"/>
      <c r="N4805" s="24"/>
      <c r="P4805" s="24"/>
    </row>
    <row r="4806" spans="2:16" x14ac:dyDescent="0.25">
      <c r="B4806" s="24"/>
      <c r="E4806" s="24"/>
      <c r="G4806" s="24"/>
      <c r="H4806" s="24"/>
      <c r="J4806" s="24"/>
      <c r="K4806" s="24"/>
      <c r="M4806" s="24"/>
      <c r="N4806" s="24"/>
      <c r="P4806" s="24"/>
    </row>
    <row r="4807" spans="2:16" x14ac:dyDescent="0.25">
      <c r="B4807" s="24"/>
      <c r="E4807" s="24"/>
      <c r="G4807" s="24"/>
      <c r="H4807" s="24"/>
      <c r="J4807" s="24"/>
      <c r="K4807" s="24"/>
      <c r="M4807" s="24"/>
      <c r="N4807" s="24"/>
      <c r="P4807" s="24"/>
    </row>
    <row r="4808" spans="2:16" x14ac:dyDescent="0.25">
      <c r="B4808" s="24"/>
      <c r="E4808" s="24"/>
      <c r="G4808" s="24"/>
      <c r="H4808" s="24"/>
      <c r="J4808" s="24"/>
      <c r="K4808" s="24"/>
      <c r="M4808" s="24"/>
      <c r="N4808" s="24"/>
      <c r="P4808" s="24"/>
    </row>
    <row r="4809" spans="2:16" x14ac:dyDescent="0.25">
      <c r="B4809" s="24"/>
      <c r="E4809" s="24"/>
      <c r="G4809" s="24"/>
      <c r="H4809" s="24"/>
      <c r="J4809" s="24"/>
      <c r="K4809" s="24"/>
      <c r="M4809" s="24"/>
      <c r="N4809" s="24"/>
      <c r="P4809" s="24"/>
    </row>
    <row r="4810" spans="2:16" x14ac:dyDescent="0.25">
      <c r="B4810" s="24"/>
      <c r="E4810" s="24"/>
      <c r="G4810" s="24"/>
      <c r="H4810" s="24"/>
      <c r="J4810" s="24"/>
      <c r="K4810" s="24"/>
      <c r="M4810" s="24"/>
      <c r="N4810" s="24"/>
      <c r="P4810" s="24"/>
    </row>
    <row r="4811" spans="2:16" x14ac:dyDescent="0.25">
      <c r="B4811" s="24"/>
      <c r="E4811" s="24"/>
      <c r="G4811" s="24"/>
      <c r="H4811" s="24"/>
      <c r="J4811" s="24"/>
      <c r="K4811" s="24"/>
      <c r="M4811" s="24"/>
      <c r="N4811" s="24"/>
      <c r="P4811" s="24"/>
    </row>
    <row r="4812" spans="2:16" x14ac:dyDescent="0.25">
      <c r="B4812" s="24"/>
      <c r="E4812" s="24"/>
      <c r="G4812" s="24"/>
      <c r="H4812" s="24"/>
      <c r="J4812" s="24"/>
      <c r="K4812" s="24"/>
      <c r="M4812" s="24"/>
      <c r="N4812" s="24"/>
      <c r="P4812" s="24"/>
    </row>
    <row r="4813" spans="2:16" x14ac:dyDescent="0.25">
      <c r="B4813" s="24"/>
      <c r="E4813" s="24"/>
      <c r="G4813" s="24"/>
      <c r="H4813" s="24"/>
      <c r="J4813" s="24"/>
      <c r="K4813" s="24"/>
      <c r="M4813" s="24"/>
      <c r="N4813" s="24"/>
      <c r="P4813" s="24"/>
    </row>
    <row r="4814" spans="2:16" x14ac:dyDescent="0.25">
      <c r="B4814" s="24"/>
      <c r="E4814" s="24"/>
      <c r="G4814" s="24"/>
      <c r="H4814" s="24"/>
      <c r="J4814" s="24"/>
      <c r="K4814" s="24"/>
      <c r="M4814" s="24"/>
      <c r="N4814" s="24"/>
      <c r="P4814" s="24"/>
    </row>
    <row r="4815" spans="2:16" x14ac:dyDescent="0.25">
      <c r="B4815" s="24"/>
      <c r="E4815" s="24"/>
      <c r="G4815" s="24"/>
      <c r="H4815" s="24"/>
      <c r="J4815" s="24"/>
      <c r="K4815" s="24"/>
      <c r="M4815" s="24"/>
      <c r="N4815" s="24"/>
      <c r="P4815" s="24"/>
    </row>
    <row r="4816" spans="2:16" x14ac:dyDescent="0.25">
      <c r="B4816" s="24"/>
      <c r="E4816" s="24"/>
      <c r="G4816" s="24"/>
      <c r="H4816" s="24"/>
      <c r="J4816" s="24"/>
      <c r="K4816" s="24"/>
      <c r="M4816" s="24"/>
      <c r="N4816" s="24"/>
      <c r="P4816" s="24"/>
    </row>
    <row r="4817" spans="2:16" x14ac:dyDescent="0.25">
      <c r="B4817" s="24"/>
      <c r="E4817" s="24"/>
      <c r="G4817" s="24"/>
      <c r="H4817" s="24"/>
      <c r="J4817" s="24"/>
      <c r="K4817" s="24"/>
      <c r="M4817" s="24"/>
      <c r="N4817" s="24"/>
      <c r="P4817" s="24"/>
    </row>
    <row r="4818" spans="2:16" x14ac:dyDescent="0.25">
      <c r="B4818" s="24"/>
      <c r="E4818" s="24"/>
      <c r="G4818" s="24"/>
      <c r="H4818" s="24"/>
      <c r="J4818" s="24"/>
      <c r="K4818" s="24"/>
      <c r="M4818" s="24"/>
      <c r="N4818" s="24"/>
      <c r="P4818" s="24"/>
    </row>
    <row r="4819" spans="2:16" x14ac:dyDescent="0.25">
      <c r="B4819" s="24"/>
      <c r="E4819" s="24"/>
      <c r="G4819" s="24"/>
      <c r="H4819" s="24"/>
      <c r="J4819" s="24"/>
      <c r="K4819" s="24"/>
      <c r="M4819" s="24"/>
      <c r="N4819" s="24"/>
      <c r="P4819" s="24"/>
    </row>
    <row r="4820" spans="2:16" x14ac:dyDescent="0.25">
      <c r="B4820" s="24"/>
      <c r="E4820" s="24"/>
      <c r="G4820" s="24"/>
      <c r="H4820" s="24"/>
      <c r="J4820" s="24"/>
      <c r="K4820" s="24"/>
      <c r="M4820" s="24"/>
      <c r="N4820" s="24"/>
      <c r="P4820" s="24"/>
    </row>
    <row r="4821" spans="2:16" x14ac:dyDescent="0.25">
      <c r="B4821" s="24"/>
      <c r="E4821" s="24"/>
      <c r="G4821" s="24"/>
      <c r="H4821" s="24"/>
      <c r="J4821" s="24"/>
      <c r="K4821" s="24"/>
      <c r="M4821" s="24"/>
      <c r="N4821" s="24"/>
      <c r="P4821" s="24"/>
    </row>
    <row r="4822" spans="2:16" x14ac:dyDescent="0.25">
      <c r="B4822" s="24"/>
      <c r="E4822" s="24"/>
      <c r="G4822" s="24"/>
      <c r="H4822" s="24"/>
      <c r="J4822" s="24"/>
      <c r="K4822" s="24"/>
      <c r="M4822" s="24"/>
      <c r="N4822" s="24"/>
      <c r="P4822" s="24"/>
    </row>
    <row r="4823" spans="2:16" x14ac:dyDescent="0.25">
      <c r="B4823" s="24"/>
      <c r="E4823" s="24"/>
      <c r="G4823" s="24"/>
      <c r="H4823" s="24"/>
      <c r="J4823" s="24"/>
      <c r="K4823" s="24"/>
      <c r="M4823" s="24"/>
      <c r="N4823" s="24"/>
      <c r="P4823" s="24"/>
    </row>
    <row r="4824" spans="2:16" x14ac:dyDescent="0.25">
      <c r="B4824" s="24"/>
      <c r="E4824" s="24"/>
      <c r="G4824" s="24"/>
      <c r="H4824" s="24"/>
      <c r="J4824" s="24"/>
      <c r="K4824" s="24"/>
      <c r="M4824" s="24"/>
      <c r="N4824" s="24"/>
      <c r="P4824" s="24"/>
    </row>
    <row r="4825" spans="2:16" x14ac:dyDescent="0.25">
      <c r="B4825" s="24"/>
      <c r="E4825" s="24"/>
      <c r="G4825" s="24"/>
      <c r="H4825" s="24"/>
      <c r="J4825" s="24"/>
      <c r="K4825" s="24"/>
      <c r="M4825" s="24"/>
      <c r="N4825" s="24"/>
      <c r="P4825" s="24"/>
    </row>
    <row r="4826" spans="2:16" x14ac:dyDescent="0.25">
      <c r="B4826" s="24"/>
      <c r="E4826" s="24"/>
      <c r="G4826" s="24"/>
      <c r="H4826" s="24"/>
      <c r="J4826" s="24"/>
      <c r="K4826" s="24"/>
      <c r="M4826" s="24"/>
      <c r="N4826" s="24"/>
      <c r="P4826" s="24"/>
    </row>
    <row r="4827" spans="2:16" x14ac:dyDescent="0.25">
      <c r="B4827" s="24"/>
      <c r="E4827" s="24"/>
      <c r="G4827" s="24"/>
      <c r="H4827" s="24"/>
      <c r="J4827" s="24"/>
      <c r="K4827" s="24"/>
      <c r="M4827" s="24"/>
      <c r="N4827" s="24"/>
      <c r="P4827" s="24"/>
    </row>
    <row r="4828" spans="2:16" x14ac:dyDescent="0.25">
      <c r="B4828" s="24"/>
      <c r="E4828" s="24"/>
      <c r="G4828" s="24"/>
      <c r="H4828" s="24"/>
      <c r="J4828" s="24"/>
      <c r="K4828" s="24"/>
      <c r="M4828" s="24"/>
      <c r="N4828" s="24"/>
      <c r="P4828" s="24"/>
    </row>
    <row r="4829" spans="2:16" x14ac:dyDescent="0.25">
      <c r="B4829" s="24"/>
      <c r="E4829" s="24"/>
      <c r="G4829" s="24"/>
      <c r="H4829" s="24"/>
      <c r="J4829" s="24"/>
      <c r="K4829" s="24"/>
      <c r="M4829" s="24"/>
      <c r="N4829" s="24"/>
      <c r="P4829" s="24"/>
    </row>
    <row r="4830" spans="2:16" x14ac:dyDescent="0.25">
      <c r="B4830" s="24"/>
      <c r="E4830" s="24"/>
      <c r="G4830" s="24"/>
      <c r="H4830" s="24"/>
      <c r="J4830" s="24"/>
      <c r="K4830" s="24"/>
      <c r="M4830" s="24"/>
      <c r="N4830" s="24"/>
      <c r="P4830" s="24"/>
    </row>
    <row r="4831" spans="2:16" x14ac:dyDescent="0.25">
      <c r="B4831" s="24"/>
      <c r="E4831" s="24"/>
      <c r="G4831" s="24"/>
      <c r="H4831" s="24"/>
      <c r="J4831" s="24"/>
      <c r="K4831" s="24"/>
      <c r="M4831" s="24"/>
      <c r="N4831" s="24"/>
      <c r="P4831" s="24"/>
    </row>
    <row r="4832" spans="2:16" x14ac:dyDescent="0.25">
      <c r="B4832" s="24"/>
      <c r="E4832" s="24"/>
      <c r="G4832" s="24"/>
      <c r="H4832" s="24"/>
      <c r="J4832" s="24"/>
      <c r="K4832" s="24"/>
      <c r="M4832" s="24"/>
      <c r="N4832" s="24"/>
      <c r="P4832" s="24"/>
    </row>
    <row r="4833" spans="2:16" x14ac:dyDescent="0.25">
      <c r="B4833" s="24"/>
      <c r="E4833" s="24"/>
      <c r="G4833" s="24"/>
      <c r="H4833" s="24"/>
      <c r="J4833" s="24"/>
      <c r="K4833" s="24"/>
      <c r="M4833" s="24"/>
      <c r="N4833" s="24"/>
      <c r="P4833" s="24"/>
    </row>
    <row r="4834" spans="2:16" x14ac:dyDescent="0.25">
      <c r="B4834" s="24"/>
      <c r="E4834" s="24"/>
      <c r="G4834" s="24"/>
      <c r="H4834" s="24"/>
      <c r="J4834" s="24"/>
      <c r="K4834" s="24"/>
      <c r="M4834" s="24"/>
      <c r="N4834" s="24"/>
      <c r="P4834" s="24"/>
    </row>
    <row r="4835" spans="2:16" x14ac:dyDescent="0.25">
      <c r="B4835" s="24"/>
      <c r="E4835" s="24"/>
      <c r="G4835" s="24"/>
      <c r="H4835" s="24"/>
      <c r="J4835" s="24"/>
      <c r="K4835" s="24"/>
      <c r="M4835" s="24"/>
      <c r="N4835" s="24"/>
      <c r="P4835" s="24"/>
    </row>
    <row r="4836" spans="2:16" x14ac:dyDescent="0.25">
      <c r="B4836" s="24"/>
      <c r="E4836" s="24"/>
      <c r="G4836" s="24"/>
      <c r="H4836" s="24"/>
      <c r="J4836" s="24"/>
      <c r="K4836" s="24"/>
      <c r="M4836" s="24"/>
      <c r="N4836" s="24"/>
      <c r="P4836" s="24"/>
    </row>
    <row r="4837" spans="2:16" x14ac:dyDescent="0.25">
      <c r="B4837" s="24"/>
      <c r="E4837" s="24"/>
      <c r="G4837" s="24"/>
      <c r="H4837" s="24"/>
      <c r="J4837" s="24"/>
      <c r="K4837" s="24"/>
      <c r="M4837" s="24"/>
      <c r="N4837" s="24"/>
      <c r="P4837" s="24"/>
    </row>
    <row r="4838" spans="2:16" x14ac:dyDescent="0.25">
      <c r="B4838" s="24"/>
      <c r="E4838" s="24"/>
      <c r="G4838" s="24"/>
      <c r="H4838" s="24"/>
      <c r="J4838" s="24"/>
      <c r="K4838" s="24"/>
      <c r="M4838" s="24"/>
      <c r="N4838" s="24"/>
      <c r="P4838" s="24"/>
    </row>
    <row r="4839" spans="2:16" x14ac:dyDescent="0.25">
      <c r="B4839" s="24"/>
      <c r="E4839" s="24"/>
      <c r="G4839" s="24"/>
      <c r="H4839" s="24"/>
      <c r="J4839" s="24"/>
      <c r="K4839" s="24"/>
      <c r="M4839" s="24"/>
      <c r="N4839" s="24"/>
      <c r="P4839" s="24"/>
    </row>
    <row r="4840" spans="2:16" x14ac:dyDescent="0.25">
      <c r="B4840" s="24"/>
      <c r="E4840" s="24"/>
      <c r="G4840" s="24"/>
      <c r="H4840" s="24"/>
      <c r="J4840" s="24"/>
      <c r="K4840" s="24"/>
      <c r="M4840" s="24"/>
      <c r="N4840" s="24"/>
      <c r="P4840" s="24"/>
    </row>
    <row r="4841" spans="2:16" x14ac:dyDescent="0.25">
      <c r="B4841" s="24"/>
      <c r="E4841" s="24"/>
      <c r="G4841" s="24"/>
      <c r="H4841" s="24"/>
      <c r="J4841" s="24"/>
      <c r="K4841" s="24"/>
      <c r="M4841" s="24"/>
      <c r="N4841" s="24"/>
      <c r="P4841" s="24"/>
    </row>
    <row r="4842" spans="2:16" x14ac:dyDescent="0.25">
      <c r="B4842" s="24"/>
      <c r="E4842" s="24"/>
      <c r="G4842" s="24"/>
      <c r="H4842" s="24"/>
      <c r="J4842" s="24"/>
      <c r="K4842" s="24"/>
      <c r="M4842" s="24"/>
      <c r="N4842" s="24"/>
      <c r="P4842" s="24"/>
    </row>
    <row r="4843" spans="2:16" x14ac:dyDescent="0.25">
      <c r="B4843" s="24"/>
      <c r="E4843" s="24"/>
      <c r="G4843" s="24"/>
      <c r="H4843" s="24"/>
      <c r="J4843" s="24"/>
      <c r="K4843" s="24"/>
      <c r="M4843" s="24"/>
      <c r="N4843" s="24"/>
      <c r="P4843" s="24"/>
    </row>
    <row r="4844" spans="2:16" x14ac:dyDescent="0.25">
      <c r="B4844" s="24"/>
      <c r="E4844" s="24"/>
      <c r="G4844" s="24"/>
      <c r="H4844" s="24"/>
      <c r="J4844" s="24"/>
      <c r="K4844" s="24"/>
      <c r="M4844" s="24"/>
      <c r="N4844" s="24"/>
      <c r="P4844" s="24"/>
    </row>
    <row r="4845" spans="2:16" x14ac:dyDescent="0.25">
      <c r="B4845" s="24"/>
      <c r="E4845" s="24"/>
      <c r="G4845" s="24"/>
      <c r="H4845" s="24"/>
      <c r="J4845" s="24"/>
      <c r="K4845" s="24"/>
      <c r="M4845" s="24"/>
      <c r="N4845" s="24"/>
      <c r="P4845" s="24"/>
    </row>
    <row r="4846" spans="2:16" x14ac:dyDescent="0.25">
      <c r="B4846" s="24"/>
      <c r="E4846" s="24"/>
      <c r="G4846" s="24"/>
      <c r="H4846" s="24"/>
      <c r="J4846" s="24"/>
      <c r="K4846" s="24"/>
      <c r="M4846" s="24"/>
      <c r="N4846" s="24"/>
      <c r="P4846" s="24"/>
    </row>
    <row r="4847" spans="2:16" x14ac:dyDescent="0.25">
      <c r="B4847" s="24"/>
      <c r="E4847" s="24"/>
      <c r="G4847" s="24"/>
      <c r="H4847" s="24"/>
      <c r="J4847" s="24"/>
      <c r="K4847" s="24"/>
      <c r="M4847" s="24"/>
      <c r="N4847" s="24"/>
      <c r="P4847" s="24"/>
    </row>
    <row r="4848" spans="2:16" x14ac:dyDescent="0.25">
      <c r="B4848" s="24"/>
      <c r="E4848" s="24"/>
      <c r="G4848" s="24"/>
      <c r="H4848" s="24"/>
      <c r="J4848" s="24"/>
      <c r="K4848" s="24"/>
      <c r="M4848" s="24"/>
      <c r="N4848" s="24"/>
      <c r="P4848" s="24"/>
    </row>
    <row r="4849" spans="2:16" x14ac:dyDescent="0.25">
      <c r="B4849" s="24"/>
      <c r="E4849" s="24"/>
      <c r="G4849" s="24"/>
      <c r="H4849" s="24"/>
      <c r="J4849" s="24"/>
      <c r="K4849" s="24"/>
      <c r="M4849" s="24"/>
      <c r="N4849" s="24"/>
      <c r="P4849" s="24"/>
    </row>
    <row r="4850" spans="2:16" x14ac:dyDescent="0.25">
      <c r="B4850" s="24"/>
      <c r="E4850" s="24"/>
      <c r="G4850" s="24"/>
      <c r="H4850" s="24"/>
      <c r="J4850" s="24"/>
      <c r="K4850" s="24"/>
      <c r="M4850" s="24"/>
      <c r="N4850" s="24"/>
      <c r="P4850" s="24"/>
    </row>
    <row r="4851" spans="2:16" x14ac:dyDescent="0.25">
      <c r="B4851" s="24"/>
      <c r="E4851" s="24"/>
      <c r="G4851" s="24"/>
      <c r="H4851" s="24"/>
      <c r="J4851" s="24"/>
      <c r="K4851" s="24"/>
      <c r="M4851" s="24"/>
      <c r="N4851" s="24"/>
      <c r="P4851" s="24"/>
    </row>
    <row r="4852" spans="2:16" x14ac:dyDescent="0.25">
      <c r="B4852" s="24"/>
      <c r="E4852" s="24"/>
      <c r="G4852" s="24"/>
      <c r="H4852" s="24"/>
      <c r="J4852" s="24"/>
      <c r="K4852" s="24"/>
      <c r="M4852" s="24"/>
      <c r="N4852" s="24"/>
      <c r="P4852" s="24"/>
    </row>
    <row r="4853" spans="2:16" x14ac:dyDescent="0.25">
      <c r="B4853" s="24"/>
      <c r="E4853" s="24"/>
      <c r="G4853" s="24"/>
      <c r="H4853" s="24"/>
      <c r="J4853" s="24"/>
      <c r="K4853" s="24"/>
      <c r="M4853" s="24"/>
      <c r="N4853" s="24"/>
      <c r="P4853" s="24"/>
    </row>
    <row r="4854" spans="2:16" x14ac:dyDescent="0.25">
      <c r="B4854" s="24"/>
      <c r="E4854" s="24"/>
      <c r="G4854" s="24"/>
      <c r="H4854" s="24"/>
      <c r="J4854" s="24"/>
      <c r="K4854" s="24"/>
      <c r="M4854" s="24"/>
      <c r="N4854" s="24"/>
      <c r="P4854" s="24"/>
    </row>
    <row r="4855" spans="2:16" x14ac:dyDescent="0.25">
      <c r="B4855" s="24"/>
      <c r="E4855" s="24"/>
      <c r="G4855" s="24"/>
      <c r="H4855" s="24"/>
      <c r="J4855" s="24"/>
      <c r="K4855" s="24"/>
      <c r="M4855" s="24"/>
      <c r="N4855" s="24"/>
      <c r="P4855" s="24"/>
    </row>
    <row r="4856" spans="2:16" x14ac:dyDescent="0.25">
      <c r="B4856" s="24"/>
      <c r="E4856" s="24"/>
      <c r="G4856" s="24"/>
      <c r="H4856" s="24"/>
      <c r="J4856" s="24"/>
      <c r="K4856" s="24"/>
      <c r="M4856" s="24"/>
      <c r="N4856" s="24"/>
      <c r="P4856" s="24"/>
    </row>
    <row r="4857" spans="2:16" x14ac:dyDescent="0.25">
      <c r="B4857" s="24"/>
      <c r="E4857" s="24"/>
      <c r="G4857" s="24"/>
      <c r="H4857" s="24"/>
      <c r="J4857" s="24"/>
      <c r="K4857" s="24"/>
      <c r="M4857" s="24"/>
      <c r="N4857" s="24"/>
      <c r="P4857" s="24"/>
    </row>
    <row r="4858" spans="2:16" x14ac:dyDescent="0.25">
      <c r="B4858" s="24"/>
      <c r="E4858" s="24"/>
      <c r="G4858" s="24"/>
      <c r="H4858" s="24"/>
      <c r="J4858" s="24"/>
      <c r="K4858" s="24"/>
      <c r="M4858" s="24"/>
      <c r="N4858" s="24"/>
      <c r="P4858" s="24"/>
    </row>
    <row r="4859" spans="2:16" x14ac:dyDescent="0.25">
      <c r="B4859" s="24"/>
      <c r="E4859" s="24"/>
      <c r="G4859" s="24"/>
      <c r="H4859" s="24"/>
      <c r="J4859" s="24"/>
      <c r="K4859" s="24"/>
      <c r="M4859" s="24"/>
      <c r="N4859" s="24"/>
      <c r="P4859" s="24"/>
    </row>
    <row r="4860" spans="2:16" x14ac:dyDescent="0.25">
      <c r="B4860" s="24"/>
      <c r="E4860" s="24"/>
      <c r="G4860" s="24"/>
      <c r="H4860" s="24"/>
      <c r="J4860" s="24"/>
      <c r="K4860" s="24"/>
      <c r="M4860" s="24"/>
      <c r="N4860" s="24"/>
      <c r="P4860" s="24"/>
    </row>
    <row r="4861" spans="2:16" x14ac:dyDescent="0.25">
      <c r="B4861" s="24"/>
      <c r="E4861" s="24"/>
      <c r="G4861" s="24"/>
      <c r="H4861" s="24"/>
      <c r="J4861" s="24"/>
      <c r="K4861" s="24"/>
      <c r="M4861" s="24"/>
      <c r="N4861" s="24"/>
      <c r="P4861" s="24"/>
    </row>
    <row r="4862" spans="2:16" x14ac:dyDescent="0.25">
      <c r="B4862" s="24"/>
      <c r="E4862" s="24"/>
      <c r="G4862" s="24"/>
      <c r="H4862" s="24"/>
      <c r="J4862" s="24"/>
      <c r="K4862" s="24"/>
      <c r="M4862" s="24"/>
      <c r="N4862" s="24"/>
      <c r="P4862" s="24"/>
    </row>
    <row r="4863" spans="2:16" x14ac:dyDescent="0.25">
      <c r="B4863" s="24"/>
      <c r="E4863" s="24"/>
      <c r="G4863" s="24"/>
      <c r="H4863" s="24"/>
      <c r="J4863" s="24"/>
      <c r="K4863" s="24"/>
      <c r="M4863" s="24"/>
      <c r="N4863" s="24"/>
      <c r="P4863" s="24"/>
    </row>
    <row r="4864" spans="2:16" x14ac:dyDescent="0.25">
      <c r="B4864" s="24"/>
      <c r="E4864" s="24"/>
      <c r="G4864" s="24"/>
      <c r="H4864" s="24"/>
      <c r="J4864" s="24"/>
      <c r="K4864" s="24"/>
      <c r="M4864" s="24"/>
      <c r="N4864" s="24"/>
      <c r="P4864" s="24"/>
    </row>
    <row r="4865" spans="2:16" x14ac:dyDescent="0.25">
      <c r="B4865" s="24"/>
      <c r="E4865" s="24"/>
      <c r="G4865" s="24"/>
      <c r="H4865" s="24"/>
      <c r="J4865" s="24"/>
      <c r="K4865" s="24"/>
      <c r="M4865" s="24"/>
      <c r="N4865" s="24"/>
      <c r="P4865" s="24"/>
    </row>
    <row r="4866" spans="2:16" x14ac:dyDescent="0.25">
      <c r="B4866" s="24"/>
      <c r="E4866" s="24"/>
      <c r="G4866" s="24"/>
      <c r="H4866" s="24"/>
      <c r="J4866" s="24"/>
      <c r="K4866" s="24"/>
      <c r="M4866" s="24"/>
      <c r="N4866" s="24"/>
      <c r="P4866" s="24"/>
    </row>
    <row r="4867" spans="2:16" x14ac:dyDescent="0.25">
      <c r="B4867" s="24"/>
      <c r="E4867" s="24"/>
      <c r="G4867" s="24"/>
      <c r="H4867" s="24"/>
      <c r="J4867" s="24"/>
      <c r="K4867" s="24"/>
      <c r="M4867" s="24"/>
      <c r="N4867" s="24"/>
      <c r="P4867" s="24"/>
    </row>
    <row r="4868" spans="2:16" x14ac:dyDescent="0.25">
      <c r="B4868" s="24"/>
      <c r="E4868" s="24"/>
      <c r="G4868" s="24"/>
      <c r="H4868" s="24"/>
      <c r="J4868" s="24"/>
      <c r="K4868" s="24"/>
      <c r="M4868" s="24"/>
      <c r="N4868" s="24"/>
      <c r="P4868" s="24"/>
    </row>
    <row r="4869" spans="2:16" x14ac:dyDescent="0.25">
      <c r="B4869" s="24"/>
      <c r="E4869" s="24"/>
      <c r="G4869" s="24"/>
      <c r="H4869" s="24"/>
      <c r="J4869" s="24"/>
      <c r="K4869" s="24"/>
      <c r="M4869" s="24"/>
      <c r="N4869" s="24"/>
      <c r="P4869" s="24"/>
    </row>
    <row r="4870" spans="2:16" x14ac:dyDescent="0.25">
      <c r="B4870" s="24"/>
      <c r="E4870" s="24"/>
      <c r="G4870" s="24"/>
      <c r="H4870" s="24"/>
      <c r="J4870" s="24"/>
      <c r="K4870" s="24"/>
      <c r="M4870" s="24"/>
      <c r="N4870" s="24"/>
      <c r="P4870" s="24"/>
    </row>
    <row r="4871" spans="2:16" x14ac:dyDescent="0.25">
      <c r="B4871" s="24"/>
      <c r="E4871" s="24"/>
      <c r="G4871" s="24"/>
      <c r="H4871" s="24"/>
      <c r="J4871" s="24"/>
      <c r="K4871" s="24"/>
      <c r="M4871" s="24"/>
      <c r="N4871" s="24"/>
      <c r="P4871" s="24"/>
    </row>
    <row r="4872" spans="2:16" x14ac:dyDescent="0.25">
      <c r="B4872" s="24"/>
      <c r="E4872" s="24"/>
      <c r="G4872" s="24"/>
      <c r="H4872" s="24"/>
      <c r="J4872" s="24"/>
      <c r="K4872" s="24"/>
      <c r="M4872" s="24"/>
      <c r="N4872" s="24"/>
      <c r="P4872" s="24"/>
    </row>
    <row r="4873" spans="2:16" x14ac:dyDescent="0.25">
      <c r="B4873" s="24"/>
      <c r="E4873" s="24"/>
      <c r="G4873" s="24"/>
      <c r="H4873" s="24"/>
      <c r="J4873" s="24"/>
      <c r="K4873" s="24"/>
      <c r="M4873" s="24"/>
      <c r="N4873" s="24"/>
      <c r="P4873" s="24"/>
    </row>
    <row r="4874" spans="2:16" x14ac:dyDescent="0.25">
      <c r="B4874" s="24"/>
      <c r="E4874" s="24"/>
      <c r="G4874" s="24"/>
      <c r="H4874" s="24"/>
      <c r="J4874" s="24"/>
      <c r="K4874" s="24"/>
      <c r="M4874" s="24"/>
      <c r="N4874" s="24"/>
      <c r="P4874" s="24"/>
    </row>
    <row r="4875" spans="2:16" x14ac:dyDescent="0.25">
      <c r="B4875" s="24"/>
      <c r="E4875" s="24"/>
      <c r="G4875" s="24"/>
      <c r="H4875" s="24"/>
      <c r="J4875" s="24"/>
      <c r="K4875" s="24"/>
      <c r="M4875" s="24"/>
      <c r="N4875" s="24"/>
      <c r="P4875" s="24"/>
    </row>
    <row r="4876" spans="2:16" x14ac:dyDescent="0.25">
      <c r="B4876" s="24"/>
      <c r="E4876" s="24"/>
      <c r="G4876" s="24"/>
      <c r="H4876" s="24"/>
      <c r="J4876" s="24"/>
      <c r="K4876" s="24"/>
      <c r="M4876" s="24"/>
      <c r="N4876" s="24"/>
      <c r="P4876" s="24"/>
    </row>
    <row r="4877" spans="2:16" x14ac:dyDescent="0.25">
      <c r="B4877" s="24"/>
      <c r="E4877" s="24"/>
      <c r="G4877" s="24"/>
      <c r="H4877" s="24"/>
      <c r="J4877" s="24"/>
      <c r="K4877" s="24"/>
      <c r="M4877" s="24"/>
      <c r="N4877" s="24"/>
      <c r="P4877" s="24"/>
    </row>
    <row r="4878" spans="2:16" x14ac:dyDescent="0.25">
      <c r="B4878" s="24"/>
      <c r="E4878" s="24"/>
      <c r="G4878" s="24"/>
      <c r="H4878" s="24"/>
      <c r="J4878" s="24"/>
      <c r="K4878" s="24"/>
      <c r="M4878" s="24"/>
      <c r="N4878" s="24"/>
      <c r="P4878" s="24"/>
    </row>
    <row r="4879" spans="2:16" x14ac:dyDescent="0.25">
      <c r="B4879" s="24"/>
      <c r="E4879" s="24"/>
      <c r="G4879" s="24"/>
      <c r="H4879" s="24"/>
      <c r="J4879" s="24"/>
      <c r="K4879" s="24"/>
      <c r="M4879" s="24"/>
      <c r="N4879" s="24"/>
      <c r="P4879" s="24"/>
    </row>
    <row r="4880" spans="2:16" x14ac:dyDescent="0.25">
      <c r="B4880" s="24"/>
      <c r="E4880" s="24"/>
      <c r="G4880" s="24"/>
      <c r="H4880" s="24"/>
      <c r="J4880" s="24"/>
      <c r="K4880" s="24"/>
      <c r="M4880" s="24"/>
      <c r="N4880" s="24"/>
      <c r="P4880" s="24"/>
    </row>
    <row r="4881" spans="2:16" x14ac:dyDescent="0.25">
      <c r="B4881" s="24"/>
      <c r="E4881" s="24"/>
      <c r="G4881" s="24"/>
      <c r="H4881" s="24"/>
      <c r="J4881" s="24"/>
      <c r="K4881" s="24"/>
      <c r="M4881" s="24"/>
      <c r="N4881" s="24"/>
      <c r="P4881" s="24"/>
    </row>
    <row r="4882" spans="2:16" x14ac:dyDescent="0.25">
      <c r="B4882" s="24"/>
      <c r="E4882" s="24"/>
      <c r="G4882" s="24"/>
      <c r="H4882" s="24"/>
      <c r="J4882" s="24"/>
      <c r="K4882" s="24"/>
      <c r="M4882" s="24"/>
      <c r="N4882" s="24"/>
      <c r="P4882" s="24"/>
    </row>
    <row r="4883" spans="2:16" x14ac:dyDescent="0.25">
      <c r="B4883" s="24"/>
      <c r="E4883" s="24"/>
      <c r="G4883" s="24"/>
      <c r="H4883" s="24"/>
      <c r="J4883" s="24"/>
      <c r="K4883" s="24"/>
      <c r="M4883" s="24"/>
      <c r="N4883" s="24"/>
      <c r="P4883" s="24"/>
    </row>
    <row r="4884" spans="2:16" x14ac:dyDescent="0.25">
      <c r="B4884" s="24"/>
      <c r="E4884" s="24"/>
      <c r="G4884" s="24"/>
      <c r="H4884" s="24"/>
      <c r="J4884" s="24"/>
      <c r="K4884" s="24"/>
      <c r="M4884" s="24"/>
      <c r="N4884" s="24"/>
      <c r="P4884" s="24"/>
    </row>
    <row r="4885" spans="2:16" x14ac:dyDescent="0.25">
      <c r="B4885" s="24"/>
      <c r="E4885" s="24"/>
      <c r="G4885" s="24"/>
      <c r="H4885" s="24"/>
      <c r="J4885" s="24"/>
      <c r="K4885" s="24"/>
      <c r="M4885" s="24"/>
      <c r="N4885" s="24"/>
      <c r="P4885" s="24"/>
    </row>
    <row r="4886" spans="2:16" x14ac:dyDescent="0.25">
      <c r="B4886" s="24"/>
      <c r="E4886" s="24"/>
      <c r="G4886" s="24"/>
      <c r="H4886" s="24"/>
      <c r="J4886" s="24"/>
      <c r="K4886" s="24"/>
      <c r="M4886" s="24"/>
      <c r="N4886" s="24"/>
      <c r="P4886" s="24"/>
    </row>
    <row r="4887" spans="2:16" x14ac:dyDescent="0.25">
      <c r="B4887" s="24"/>
      <c r="E4887" s="24"/>
      <c r="G4887" s="24"/>
      <c r="H4887" s="24"/>
      <c r="J4887" s="24"/>
      <c r="K4887" s="24"/>
      <c r="M4887" s="24"/>
      <c r="N4887" s="24"/>
      <c r="P4887" s="24"/>
    </row>
    <row r="4888" spans="2:16" x14ac:dyDescent="0.25">
      <c r="B4888" s="24"/>
      <c r="E4888" s="24"/>
      <c r="G4888" s="24"/>
      <c r="H4888" s="24"/>
      <c r="J4888" s="24"/>
      <c r="K4888" s="24"/>
      <c r="M4888" s="24"/>
      <c r="N4888" s="24"/>
      <c r="P4888" s="24"/>
    </row>
    <row r="4889" spans="2:16" x14ac:dyDescent="0.25">
      <c r="B4889" s="24"/>
      <c r="E4889" s="24"/>
      <c r="G4889" s="24"/>
      <c r="H4889" s="24"/>
      <c r="J4889" s="24"/>
      <c r="K4889" s="24"/>
      <c r="M4889" s="24"/>
      <c r="N4889" s="24"/>
      <c r="P4889" s="24"/>
    </row>
    <row r="4890" spans="2:16" x14ac:dyDescent="0.25">
      <c r="B4890" s="24"/>
      <c r="E4890" s="24"/>
      <c r="G4890" s="24"/>
      <c r="H4890" s="24"/>
      <c r="J4890" s="24"/>
      <c r="K4890" s="24"/>
      <c r="M4890" s="24"/>
      <c r="N4890" s="24"/>
      <c r="P4890" s="24"/>
    </row>
    <row r="4891" spans="2:16" x14ac:dyDescent="0.25">
      <c r="B4891" s="24"/>
      <c r="E4891" s="24"/>
      <c r="G4891" s="24"/>
      <c r="H4891" s="24"/>
      <c r="J4891" s="24"/>
      <c r="K4891" s="24"/>
      <c r="M4891" s="24"/>
      <c r="N4891" s="24"/>
      <c r="P4891" s="24"/>
    </row>
    <row r="4892" spans="2:16" x14ac:dyDescent="0.25">
      <c r="B4892" s="24"/>
      <c r="E4892" s="24"/>
      <c r="G4892" s="24"/>
      <c r="H4892" s="24"/>
      <c r="J4892" s="24"/>
      <c r="K4892" s="24"/>
      <c r="M4892" s="24"/>
      <c r="N4892" s="24"/>
      <c r="P4892" s="24"/>
    </row>
    <row r="4893" spans="2:16" x14ac:dyDescent="0.25">
      <c r="B4893" s="24"/>
      <c r="E4893" s="24"/>
      <c r="G4893" s="24"/>
      <c r="H4893" s="24"/>
      <c r="J4893" s="24"/>
      <c r="K4893" s="24"/>
      <c r="M4893" s="24"/>
      <c r="N4893" s="24"/>
      <c r="P4893" s="24"/>
    </row>
    <row r="4894" spans="2:16" x14ac:dyDescent="0.25">
      <c r="B4894" s="24"/>
      <c r="E4894" s="24"/>
      <c r="G4894" s="24"/>
      <c r="H4894" s="24"/>
      <c r="J4894" s="24"/>
      <c r="K4894" s="24"/>
      <c r="M4894" s="24"/>
      <c r="N4894" s="24"/>
      <c r="P4894" s="24"/>
    </row>
    <row r="4895" spans="2:16" x14ac:dyDescent="0.25">
      <c r="B4895" s="24"/>
      <c r="E4895" s="24"/>
      <c r="G4895" s="24"/>
      <c r="H4895" s="24"/>
      <c r="J4895" s="24"/>
      <c r="K4895" s="24"/>
      <c r="M4895" s="24"/>
      <c r="N4895" s="24"/>
      <c r="P4895" s="24"/>
    </row>
    <row r="4896" spans="2:16" x14ac:dyDescent="0.25">
      <c r="B4896" s="24"/>
      <c r="E4896" s="24"/>
      <c r="G4896" s="24"/>
      <c r="H4896" s="24"/>
      <c r="J4896" s="24"/>
      <c r="K4896" s="24"/>
      <c r="M4896" s="24"/>
      <c r="N4896" s="24"/>
      <c r="P4896" s="24"/>
    </row>
    <row r="4897" spans="2:16" x14ac:dyDescent="0.25">
      <c r="B4897" s="24"/>
      <c r="E4897" s="24"/>
      <c r="G4897" s="24"/>
      <c r="H4897" s="24"/>
      <c r="J4897" s="24"/>
      <c r="K4897" s="24"/>
      <c r="M4897" s="24"/>
      <c r="N4897" s="24"/>
      <c r="P4897" s="24"/>
    </row>
    <row r="4898" spans="2:16" x14ac:dyDescent="0.25">
      <c r="B4898" s="24"/>
      <c r="E4898" s="24"/>
      <c r="G4898" s="24"/>
      <c r="H4898" s="24"/>
      <c r="J4898" s="24"/>
      <c r="K4898" s="24"/>
      <c r="M4898" s="24"/>
      <c r="N4898" s="24"/>
      <c r="P4898" s="24"/>
    </row>
    <row r="4899" spans="2:16" x14ac:dyDescent="0.25">
      <c r="B4899" s="24"/>
      <c r="E4899" s="24"/>
      <c r="G4899" s="24"/>
      <c r="H4899" s="24"/>
      <c r="J4899" s="24"/>
      <c r="K4899" s="24"/>
      <c r="M4899" s="24"/>
      <c r="N4899" s="24"/>
      <c r="P4899" s="24"/>
    </row>
    <row r="4900" spans="2:16" x14ac:dyDescent="0.25">
      <c r="B4900" s="24"/>
      <c r="E4900" s="24"/>
      <c r="G4900" s="24"/>
      <c r="H4900" s="24"/>
      <c r="J4900" s="24"/>
      <c r="K4900" s="24"/>
      <c r="M4900" s="24"/>
      <c r="N4900" s="24"/>
      <c r="P4900" s="24"/>
    </row>
    <row r="4901" spans="2:16" x14ac:dyDescent="0.25">
      <c r="B4901" s="24"/>
      <c r="E4901" s="24"/>
      <c r="G4901" s="24"/>
      <c r="H4901" s="24"/>
      <c r="J4901" s="24"/>
      <c r="K4901" s="24"/>
      <c r="M4901" s="24"/>
      <c r="N4901" s="24"/>
      <c r="P4901" s="24"/>
    </row>
    <row r="4902" spans="2:16" x14ac:dyDescent="0.25">
      <c r="B4902" s="24"/>
      <c r="E4902" s="24"/>
      <c r="G4902" s="24"/>
      <c r="H4902" s="24"/>
      <c r="J4902" s="24"/>
      <c r="K4902" s="24"/>
      <c r="M4902" s="24"/>
      <c r="N4902" s="24"/>
      <c r="P4902" s="24"/>
    </row>
    <row r="4903" spans="2:16" x14ac:dyDescent="0.25">
      <c r="B4903" s="24"/>
      <c r="E4903" s="24"/>
      <c r="G4903" s="24"/>
      <c r="H4903" s="24"/>
      <c r="J4903" s="24"/>
      <c r="K4903" s="24"/>
      <c r="M4903" s="24"/>
      <c r="N4903" s="24"/>
      <c r="P4903" s="24"/>
    </row>
    <row r="4904" spans="2:16" x14ac:dyDescent="0.25">
      <c r="B4904" s="24"/>
      <c r="E4904" s="24"/>
      <c r="G4904" s="24"/>
      <c r="H4904" s="24"/>
      <c r="J4904" s="24"/>
      <c r="K4904" s="24"/>
      <c r="M4904" s="24"/>
      <c r="N4904" s="24"/>
      <c r="P4904" s="24"/>
    </row>
    <row r="4905" spans="2:16" x14ac:dyDescent="0.25">
      <c r="B4905" s="24"/>
      <c r="E4905" s="24"/>
      <c r="G4905" s="24"/>
      <c r="H4905" s="24"/>
      <c r="J4905" s="24"/>
      <c r="K4905" s="24"/>
      <c r="M4905" s="24"/>
      <c r="N4905" s="24"/>
      <c r="P4905" s="24"/>
    </row>
    <row r="4906" spans="2:16" x14ac:dyDescent="0.25">
      <c r="B4906" s="24"/>
      <c r="E4906" s="24"/>
      <c r="G4906" s="24"/>
      <c r="H4906" s="24"/>
      <c r="J4906" s="24"/>
      <c r="K4906" s="24"/>
      <c r="M4906" s="24"/>
      <c r="N4906" s="24"/>
      <c r="P4906" s="24"/>
    </row>
    <row r="4907" spans="2:16" x14ac:dyDescent="0.25">
      <c r="B4907" s="24"/>
      <c r="E4907" s="24"/>
      <c r="G4907" s="24"/>
      <c r="H4907" s="24"/>
      <c r="J4907" s="24"/>
      <c r="K4907" s="24"/>
      <c r="M4907" s="24"/>
      <c r="N4907" s="24"/>
      <c r="P4907" s="24"/>
    </row>
    <row r="4908" spans="2:16" x14ac:dyDescent="0.25">
      <c r="B4908" s="24"/>
      <c r="E4908" s="24"/>
      <c r="G4908" s="24"/>
      <c r="H4908" s="24"/>
      <c r="J4908" s="24"/>
      <c r="K4908" s="24"/>
      <c r="M4908" s="24"/>
      <c r="N4908" s="24"/>
      <c r="P4908" s="24"/>
    </row>
    <row r="4909" spans="2:16" x14ac:dyDescent="0.25">
      <c r="B4909" s="24"/>
      <c r="E4909" s="24"/>
      <c r="G4909" s="24"/>
      <c r="H4909" s="24"/>
      <c r="J4909" s="24"/>
      <c r="K4909" s="24"/>
      <c r="M4909" s="24"/>
      <c r="N4909" s="24"/>
      <c r="P4909" s="24"/>
    </row>
    <row r="4910" spans="2:16" x14ac:dyDescent="0.25">
      <c r="B4910" s="24"/>
      <c r="E4910" s="24"/>
      <c r="G4910" s="24"/>
      <c r="H4910" s="24"/>
      <c r="J4910" s="24"/>
      <c r="K4910" s="24"/>
      <c r="M4910" s="24"/>
      <c r="N4910" s="24"/>
      <c r="P4910" s="24"/>
    </row>
    <row r="4911" spans="2:16" x14ac:dyDescent="0.25">
      <c r="B4911" s="24"/>
      <c r="E4911" s="24"/>
      <c r="G4911" s="24"/>
      <c r="H4911" s="24"/>
      <c r="J4911" s="24"/>
      <c r="K4911" s="24"/>
      <c r="M4911" s="24"/>
      <c r="N4911" s="24"/>
      <c r="P4911" s="24"/>
    </row>
    <row r="4912" spans="2:16" x14ac:dyDescent="0.25">
      <c r="B4912" s="24"/>
      <c r="E4912" s="24"/>
      <c r="G4912" s="24"/>
      <c r="H4912" s="24"/>
      <c r="J4912" s="24"/>
      <c r="K4912" s="24"/>
      <c r="M4912" s="24"/>
      <c r="N4912" s="24"/>
      <c r="P4912" s="24"/>
    </row>
    <row r="4913" spans="2:16" x14ac:dyDescent="0.25">
      <c r="B4913" s="24"/>
      <c r="E4913" s="24"/>
      <c r="G4913" s="24"/>
      <c r="H4913" s="24"/>
      <c r="J4913" s="24"/>
      <c r="K4913" s="24"/>
      <c r="M4913" s="24"/>
      <c r="N4913" s="24"/>
      <c r="P4913" s="24"/>
    </row>
    <row r="4914" spans="2:16" x14ac:dyDescent="0.25">
      <c r="B4914" s="24"/>
      <c r="E4914" s="24"/>
      <c r="G4914" s="24"/>
      <c r="H4914" s="24"/>
      <c r="J4914" s="24"/>
      <c r="K4914" s="24"/>
      <c r="M4914" s="24"/>
      <c r="N4914" s="24"/>
      <c r="P4914" s="24"/>
    </row>
    <row r="4915" spans="2:16" x14ac:dyDescent="0.25">
      <c r="B4915" s="24"/>
      <c r="E4915" s="24"/>
      <c r="G4915" s="24"/>
      <c r="H4915" s="24"/>
      <c r="J4915" s="24"/>
      <c r="K4915" s="24"/>
      <c r="M4915" s="24"/>
      <c r="N4915" s="24"/>
      <c r="P4915" s="24"/>
    </row>
    <row r="4916" spans="2:16" x14ac:dyDescent="0.25">
      <c r="B4916" s="24"/>
      <c r="E4916" s="24"/>
      <c r="G4916" s="24"/>
      <c r="H4916" s="24"/>
      <c r="J4916" s="24"/>
      <c r="K4916" s="24"/>
      <c r="M4916" s="24"/>
      <c r="N4916" s="24"/>
      <c r="P4916" s="24"/>
    </row>
    <row r="4917" spans="2:16" x14ac:dyDescent="0.25">
      <c r="B4917" s="24"/>
      <c r="E4917" s="24"/>
      <c r="G4917" s="24"/>
      <c r="H4917" s="24"/>
      <c r="J4917" s="24"/>
      <c r="K4917" s="24"/>
      <c r="M4917" s="24"/>
      <c r="N4917" s="24"/>
      <c r="P4917" s="24"/>
    </row>
    <row r="4918" spans="2:16" x14ac:dyDescent="0.25">
      <c r="B4918" s="24"/>
      <c r="E4918" s="24"/>
      <c r="G4918" s="24"/>
      <c r="H4918" s="24"/>
      <c r="J4918" s="24"/>
      <c r="K4918" s="24"/>
      <c r="M4918" s="24"/>
      <c r="N4918" s="24"/>
      <c r="P4918" s="24"/>
    </row>
    <row r="4919" spans="2:16" x14ac:dyDescent="0.25">
      <c r="B4919" s="24"/>
      <c r="E4919" s="24"/>
      <c r="G4919" s="24"/>
      <c r="H4919" s="24"/>
      <c r="J4919" s="24"/>
      <c r="K4919" s="24"/>
      <c r="M4919" s="24"/>
      <c r="N4919" s="24"/>
      <c r="P4919" s="24"/>
    </row>
    <row r="4920" spans="2:16" x14ac:dyDescent="0.25">
      <c r="B4920" s="24"/>
      <c r="E4920" s="24"/>
      <c r="G4920" s="24"/>
      <c r="H4920" s="24"/>
      <c r="J4920" s="24"/>
      <c r="K4920" s="24"/>
      <c r="M4920" s="24"/>
      <c r="N4920" s="24"/>
      <c r="P4920" s="24"/>
    </row>
    <row r="4921" spans="2:16" x14ac:dyDescent="0.25">
      <c r="B4921" s="24"/>
      <c r="E4921" s="24"/>
      <c r="G4921" s="24"/>
      <c r="H4921" s="24"/>
      <c r="J4921" s="24"/>
      <c r="K4921" s="24"/>
      <c r="M4921" s="24"/>
      <c r="N4921" s="24"/>
      <c r="P4921" s="24"/>
    </row>
    <row r="4922" spans="2:16" x14ac:dyDescent="0.25">
      <c r="B4922" s="24"/>
      <c r="E4922" s="24"/>
      <c r="G4922" s="24"/>
      <c r="H4922" s="24"/>
      <c r="J4922" s="24"/>
      <c r="K4922" s="24"/>
      <c r="M4922" s="24"/>
      <c r="N4922" s="24"/>
      <c r="P4922" s="24"/>
    </row>
    <row r="4923" spans="2:16" x14ac:dyDescent="0.25">
      <c r="B4923" s="24"/>
      <c r="E4923" s="24"/>
      <c r="G4923" s="24"/>
      <c r="H4923" s="24"/>
      <c r="J4923" s="24"/>
      <c r="K4923" s="24"/>
      <c r="M4923" s="24"/>
      <c r="N4923" s="24"/>
      <c r="P4923" s="24"/>
    </row>
    <row r="4924" spans="2:16" x14ac:dyDescent="0.25">
      <c r="B4924" s="24"/>
      <c r="E4924" s="24"/>
      <c r="G4924" s="24"/>
      <c r="H4924" s="24"/>
      <c r="J4924" s="24"/>
      <c r="K4924" s="24"/>
      <c r="M4924" s="24"/>
      <c r="N4924" s="24"/>
      <c r="P4924" s="24"/>
    </row>
    <row r="4925" spans="2:16" x14ac:dyDescent="0.25">
      <c r="B4925" s="24"/>
      <c r="E4925" s="24"/>
      <c r="G4925" s="24"/>
      <c r="H4925" s="24"/>
      <c r="J4925" s="24"/>
      <c r="K4925" s="24"/>
      <c r="M4925" s="24"/>
      <c r="N4925" s="24"/>
      <c r="P4925" s="24"/>
    </row>
    <row r="4926" spans="2:16" x14ac:dyDescent="0.25">
      <c r="B4926" s="24"/>
      <c r="E4926" s="24"/>
      <c r="G4926" s="24"/>
      <c r="H4926" s="24"/>
      <c r="J4926" s="24"/>
      <c r="K4926" s="24"/>
      <c r="M4926" s="24"/>
      <c r="N4926" s="24"/>
      <c r="P4926" s="24"/>
    </row>
    <row r="4927" spans="2:16" x14ac:dyDescent="0.25">
      <c r="B4927" s="24"/>
      <c r="E4927" s="24"/>
      <c r="G4927" s="24"/>
      <c r="H4927" s="24"/>
      <c r="J4927" s="24"/>
      <c r="K4927" s="24"/>
      <c r="M4927" s="24"/>
      <c r="N4927" s="24"/>
      <c r="P4927" s="24"/>
    </row>
    <row r="4928" spans="2:16" x14ac:dyDescent="0.25">
      <c r="B4928" s="24"/>
      <c r="E4928" s="24"/>
      <c r="G4928" s="24"/>
      <c r="H4928" s="24"/>
      <c r="J4928" s="24"/>
      <c r="K4928" s="24"/>
      <c r="M4928" s="24"/>
      <c r="N4928" s="24"/>
      <c r="P4928" s="24"/>
    </row>
    <row r="4929" spans="2:16" x14ac:dyDescent="0.25">
      <c r="B4929" s="24"/>
      <c r="E4929" s="24"/>
      <c r="G4929" s="24"/>
      <c r="H4929" s="24"/>
      <c r="J4929" s="24"/>
      <c r="K4929" s="24"/>
      <c r="M4929" s="24"/>
      <c r="N4929" s="24"/>
      <c r="P4929" s="24"/>
    </row>
    <row r="4930" spans="2:16" x14ac:dyDescent="0.25">
      <c r="B4930" s="24"/>
      <c r="E4930" s="24"/>
      <c r="G4930" s="24"/>
      <c r="H4930" s="24"/>
      <c r="J4930" s="24"/>
      <c r="K4930" s="24"/>
      <c r="M4930" s="24"/>
      <c r="N4930" s="24"/>
      <c r="P4930" s="24"/>
    </row>
    <row r="4931" spans="2:16" x14ac:dyDescent="0.25">
      <c r="B4931" s="24"/>
      <c r="E4931" s="24"/>
      <c r="G4931" s="24"/>
      <c r="H4931" s="24"/>
      <c r="J4931" s="24"/>
      <c r="K4931" s="24"/>
      <c r="M4931" s="24"/>
      <c r="N4931" s="24"/>
      <c r="P4931" s="24"/>
    </row>
    <row r="4932" spans="2:16" x14ac:dyDescent="0.25">
      <c r="B4932" s="24"/>
      <c r="E4932" s="24"/>
      <c r="G4932" s="24"/>
      <c r="H4932" s="24"/>
      <c r="J4932" s="24"/>
      <c r="K4932" s="24"/>
      <c r="M4932" s="24"/>
      <c r="N4932" s="24"/>
      <c r="P4932" s="24"/>
    </row>
    <row r="4933" spans="2:16" x14ac:dyDescent="0.25">
      <c r="B4933" s="24"/>
      <c r="E4933" s="24"/>
      <c r="G4933" s="24"/>
      <c r="H4933" s="24"/>
      <c r="J4933" s="24"/>
      <c r="K4933" s="24"/>
      <c r="M4933" s="24"/>
      <c r="N4933" s="24"/>
      <c r="P4933" s="24"/>
    </row>
    <row r="4934" spans="2:16" x14ac:dyDescent="0.25">
      <c r="B4934" s="24"/>
      <c r="E4934" s="24"/>
      <c r="G4934" s="24"/>
      <c r="H4934" s="24"/>
      <c r="J4934" s="24"/>
      <c r="K4934" s="24"/>
      <c r="M4934" s="24"/>
      <c r="N4934" s="24"/>
      <c r="P4934" s="24"/>
    </row>
    <row r="4935" spans="2:16" x14ac:dyDescent="0.25">
      <c r="B4935" s="24"/>
      <c r="E4935" s="24"/>
      <c r="G4935" s="24"/>
      <c r="H4935" s="24"/>
      <c r="J4935" s="24"/>
      <c r="K4935" s="24"/>
      <c r="M4935" s="24"/>
      <c r="N4935" s="24"/>
      <c r="P4935" s="24"/>
    </row>
    <row r="4936" spans="2:16" x14ac:dyDescent="0.25">
      <c r="B4936" s="24"/>
      <c r="E4936" s="24"/>
      <c r="G4936" s="24"/>
      <c r="H4936" s="24"/>
      <c r="J4936" s="24"/>
      <c r="K4936" s="24"/>
      <c r="M4936" s="24"/>
      <c r="N4936" s="24"/>
      <c r="P4936" s="24"/>
    </row>
    <row r="4937" spans="2:16" x14ac:dyDescent="0.25">
      <c r="B4937" s="24"/>
      <c r="E4937" s="24"/>
      <c r="G4937" s="24"/>
      <c r="H4937" s="24"/>
      <c r="J4937" s="24"/>
      <c r="K4937" s="24"/>
      <c r="M4937" s="24"/>
      <c r="N4937" s="24"/>
      <c r="P4937" s="24"/>
    </row>
    <row r="4938" spans="2:16" x14ac:dyDescent="0.25">
      <c r="B4938" s="24"/>
      <c r="E4938" s="24"/>
      <c r="G4938" s="24"/>
      <c r="H4938" s="24"/>
      <c r="J4938" s="24"/>
      <c r="K4938" s="24"/>
      <c r="M4938" s="24"/>
      <c r="N4938" s="24"/>
      <c r="P4938" s="24"/>
    </row>
    <row r="4939" spans="2:16" x14ac:dyDescent="0.25">
      <c r="B4939" s="24"/>
      <c r="E4939" s="24"/>
      <c r="G4939" s="24"/>
      <c r="H4939" s="24"/>
      <c r="J4939" s="24"/>
      <c r="K4939" s="24"/>
      <c r="M4939" s="24"/>
      <c r="N4939" s="24"/>
      <c r="P4939" s="24"/>
    </row>
    <row r="4940" spans="2:16" x14ac:dyDescent="0.25">
      <c r="B4940" s="24"/>
      <c r="E4940" s="24"/>
      <c r="G4940" s="24"/>
      <c r="H4940" s="24"/>
      <c r="J4940" s="24"/>
      <c r="K4940" s="24"/>
      <c r="M4940" s="24"/>
      <c r="N4940" s="24"/>
      <c r="P4940" s="24"/>
    </row>
    <row r="4941" spans="2:16" x14ac:dyDescent="0.25">
      <c r="B4941" s="24"/>
      <c r="E4941" s="24"/>
      <c r="G4941" s="24"/>
      <c r="H4941" s="24"/>
      <c r="J4941" s="24"/>
      <c r="K4941" s="24"/>
      <c r="M4941" s="24"/>
      <c r="N4941" s="24"/>
      <c r="P4941" s="24"/>
    </row>
    <row r="4942" spans="2:16" x14ac:dyDescent="0.25">
      <c r="B4942" s="24"/>
      <c r="E4942" s="24"/>
      <c r="G4942" s="24"/>
      <c r="H4942" s="24"/>
      <c r="J4942" s="24"/>
      <c r="K4942" s="24"/>
      <c r="M4942" s="24"/>
      <c r="N4942" s="24"/>
      <c r="P4942" s="24"/>
    </row>
    <row r="4943" spans="2:16" x14ac:dyDescent="0.25">
      <c r="B4943" s="24"/>
      <c r="E4943" s="24"/>
      <c r="G4943" s="24"/>
      <c r="H4943" s="24"/>
      <c r="J4943" s="24"/>
      <c r="K4943" s="24"/>
      <c r="M4943" s="24"/>
      <c r="N4943" s="24"/>
      <c r="P4943" s="24"/>
    </row>
    <row r="4944" spans="2:16" x14ac:dyDescent="0.25">
      <c r="B4944" s="24"/>
      <c r="E4944" s="24"/>
      <c r="G4944" s="24"/>
      <c r="H4944" s="24"/>
      <c r="J4944" s="24"/>
      <c r="K4944" s="24"/>
      <c r="M4944" s="24"/>
      <c r="N4944" s="24"/>
      <c r="P4944" s="24"/>
    </row>
    <row r="4945" spans="2:16" x14ac:dyDescent="0.25">
      <c r="B4945" s="24"/>
      <c r="E4945" s="24"/>
      <c r="G4945" s="24"/>
      <c r="H4945" s="24"/>
      <c r="J4945" s="24"/>
      <c r="K4945" s="24"/>
      <c r="M4945" s="24"/>
      <c r="N4945" s="24"/>
      <c r="P4945" s="24"/>
    </row>
    <row r="4946" spans="2:16" x14ac:dyDescent="0.25">
      <c r="B4946" s="24"/>
      <c r="E4946" s="24"/>
      <c r="G4946" s="24"/>
      <c r="H4946" s="24"/>
      <c r="J4946" s="24"/>
      <c r="K4946" s="24"/>
      <c r="M4946" s="24"/>
      <c r="N4946" s="24"/>
      <c r="P4946" s="24"/>
    </row>
    <row r="4947" spans="2:16" x14ac:dyDescent="0.25">
      <c r="B4947" s="24"/>
      <c r="E4947" s="24"/>
      <c r="G4947" s="24"/>
      <c r="H4947" s="24"/>
      <c r="J4947" s="24"/>
      <c r="K4947" s="24"/>
      <c r="M4947" s="24"/>
      <c r="N4947" s="24"/>
      <c r="P4947" s="24"/>
    </row>
    <row r="4948" spans="2:16" x14ac:dyDescent="0.25">
      <c r="B4948" s="24"/>
      <c r="E4948" s="24"/>
      <c r="G4948" s="24"/>
      <c r="H4948" s="24"/>
      <c r="J4948" s="24"/>
      <c r="K4948" s="24"/>
      <c r="M4948" s="24"/>
      <c r="N4948" s="24"/>
      <c r="P4948" s="24"/>
    </row>
    <row r="4949" spans="2:16" x14ac:dyDescent="0.25">
      <c r="B4949" s="24"/>
      <c r="E4949" s="24"/>
      <c r="G4949" s="24"/>
      <c r="H4949" s="24"/>
      <c r="J4949" s="24"/>
      <c r="K4949" s="24"/>
      <c r="M4949" s="24"/>
      <c r="N4949" s="24"/>
      <c r="P4949" s="24"/>
    </row>
    <row r="4950" spans="2:16" x14ac:dyDescent="0.25">
      <c r="B4950" s="24"/>
      <c r="E4950" s="24"/>
      <c r="G4950" s="24"/>
      <c r="H4950" s="24"/>
      <c r="J4950" s="24"/>
      <c r="K4950" s="24"/>
      <c r="M4950" s="24"/>
      <c r="N4950" s="24"/>
      <c r="P4950" s="24"/>
    </row>
    <row r="4951" spans="2:16" x14ac:dyDescent="0.25">
      <c r="B4951" s="24"/>
      <c r="E4951" s="24"/>
      <c r="G4951" s="24"/>
      <c r="H4951" s="24"/>
      <c r="J4951" s="24"/>
      <c r="K4951" s="24"/>
      <c r="M4951" s="24"/>
      <c r="N4951" s="24"/>
      <c r="P4951" s="24"/>
    </row>
    <row r="4952" spans="2:16" x14ac:dyDescent="0.25">
      <c r="B4952" s="24"/>
      <c r="E4952" s="24"/>
      <c r="G4952" s="24"/>
      <c r="H4952" s="24"/>
      <c r="J4952" s="24"/>
      <c r="K4952" s="24"/>
      <c r="M4952" s="24"/>
      <c r="N4952" s="24"/>
      <c r="P4952" s="24"/>
    </row>
    <row r="4953" spans="2:16" x14ac:dyDescent="0.25">
      <c r="B4953" s="24"/>
      <c r="E4953" s="24"/>
      <c r="G4953" s="24"/>
      <c r="H4953" s="24"/>
      <c r="J4953" s="24"/>
      <c r="K4953" s="24"/>
      <c r="M4953" s="24"/>
      <c r="N4953" s="24"/>
      <c r="P4953" s="24"/>
    </row>
    <row r="4954" spans="2:16" x14ac:dyDescent="0.25">
      <c r="B4954" s="24"/>
      <c r="E4954" s="24"/>
      <c r="G4954" s="24"/>
      <c r="H4954" s="24"/>
      <c r="J4954" s="24"/>
      <c r="K4954" s="24"/>
      <c r="M4954" s="24"/>
      <c r="N4954" s="24"/>
      <c r="P4954" s="24"/>
    </row>
    <row r="4955" spans="2:16" x14ac:dyDescent="0.25">
      <c r="B4955" s="24"/>
      <c r="E4955" s="24"/>
      <c r="G4955" s="24"/>
      <c r="H4955" s="24"/>
      <c r="J4955" s="24"/>
      <c r="K4955" s="24"/>
      <c r="M4955" s="24"/>
      <c r="N4955" s="24"/>
      <c r="P4955" s="24"/>
    </row>
    <row r="4956" spans="2:16" x14ac:dyDescent="0.25">
      <c r="B4956" s="24"/>
      <c r="E4956" s="24"/>
      <c r="G4956" s="24"/>
      <c r="H4956" s="24"/>
      <c r="J4956" s="24"/>
      <c r="K4956" s="24"/>
      <c r="M4956" s="24"/>
      <c r="N4956" s="24"/>
      <c r="P4956" s="24"/>
    </row>
    <row r="4957" spans="2:16" x14ac:dyDescent="0.25">
      <c r="B4957" s="24"/>
      <c r="E4957" s="24"/>
      <c r="G4957" s="24"/>
      <c r="H4957" s="24"/>
      <c r="J4957" s="24"/>
      <c r="K4957" s="24"/>
      <c r="M4957" s="24"/>
      <c r="N4957" s="24"/>
      <c r="P4957" s="24"/>
    </row>
    <row r="4958" spans="2:16" x14ac:dyDescent="0.25">
      <c r="B4958" s="24"/>
      <c r="E4958" s="24"/>
      <c r="G4958" s="24"/>
      <c r="H4958" s="24"/>
      <c r="J4958" s="24"/>
      <c r="K4958" s="24"/>
      <c r="M4958" s="24"/>
      <c r="N4958" s="24"/>
      <c r="P4958" s="24"/>
    </row>
    <row r="4959" spans="2:16" x14ac:dyDescent="0.25">
      <c r="B4959" s="24"/>
      <c r="E4959" s="24"/>
      <c r="G4959" s="24"/>
      <c r="H4959" s="24"/>
      <c r="J4959" s="24"/>
      <c r="K4959" s="24"/>
      <c r="M4959" s="24"/>
      <c r="N4959" s="24"/>
      <c r="P4959" s="24"/>
    </row>
    <row r="4960" spans="2:16" x14ac:dyDescent="0.25">
      <c r="B4960" s="24"/>
      <c r="E4960" s="24"/>
      <c r="G4960" s="24"/>
      <c r="H4960" s="24"/>
      <c r="J4960" s="24"/>
      <c r="K4960" s="24"/>
      <c r="M4960" s="24"/>
      <c r="N4960" s="24"/>
      <c r="P4960" s="24"/>
    </row>
    <row r="4961" spans="2:16" x14ac:dyDescent="0.25">
      <c r="B4961" s="24"/>
      <c r="E4961" s="24"/>
      <c r="G4961" s="24"/>
      <c r="H4961" s="24"/>
      <c r="J4961" s="24"/>
      <c r="K4961" s="24"/>
      <c r="M4961" s="24"/>
      <c r="N4961" s="24"/>
      <c r="P4961" s="24"/>
    </row>
    <row r="4962" spans="2:16" x14ac:dyDescent="0.25">
      <c r="B4962" s="24"/>
      <c r="E4962" s="24"/>
      <c r="G4962" s="24"/>
      <c r="H4962" s="24"/>
      <c r="J4962" s="24"/>
      <c r="K4962" s="24"/>
      <c r="M4962" s="24"/>
      <c r="N4962" s="24"/>
      <c r="P4962" s="24"/>
    </row>
    <row r="4963" spans="2:16" x14ac:dyDescent="0.25">
      <c r="B4963" s="24"/>
      <c r="E4963" s="24"/>
      <c r="G4963" s="24"/>
      <c r="H4963" s="24"/>
      <c r="J4963" s="24"/>
      <c r="K4963" s="24"/>
      <c r="M4963" s="24"/>
      <c r="N4963" s="24"/>
      <c r="P4963" s="24"/>
    </row>
    <row r="4964" spans="2:16" x14ac:dyDescent="0.25">
      <c r="B4964" s="24"/>
      <c r="E4964" s="24"/>
      <c r="G4964" s="24"/>
      <c r="H4964" s="24"/>
      <c r="J4964" s="24"/>
      <c r="K4964" s="24"/>
      <c r="M4964" s="24"/>
      <c r="N4964" s="24"/>
      <c r="P4964" s="24"/>
    </row>
    <row r="4965" spans="2:16" x14ac:dyDescent="0.25">
      <c r="B4965" s="24"/>
      <c r="E4965" s="24"/>
      <c r="G4965" s="24"/>
      <c r="H4965" s="24"/>
      <c r="J4965" s="24"/>
      <c r="K4965" s="24"/>
      <c r="M4965" s="24"/>
      <c r="N4965" s="24"/>
      <c r="P4965" s="24"/>
    </row>
    <row r="4966" spans="2:16" x14ac:dyDescent="0.25">
      <c r="B4966" s="24"/>
      <c r="E4966" s="24"/>
      <c r="G4966" s="24"/>
      <c r="H4966" s="24"/>
      <c r="J4966" s="24"/>
      <c r="K4966" s="24"/>
      <c r="M4966" s="24"/>
      <c r="N4966" s="24"/>
      <c r="P4966" s="24"/>
    </row>
    <row r="4967" spans="2:16" x14ac:dyDescent="0.25">
      <c r="B4967" s="24"/>
      <c r="E4967" s="24"/>
      <c r="G4967" s="24"/>
      <c r="H4967" s="24"/>
      <c r="J4967" s="24"/>
      <c r="K4967" s="24"/>
      <c r="M4967" s="24"/>
      <c r="N4967" s="24"/>
      <c r="P4967" s="24"/>
    </row>
    <row r="4968" spans="2:16" x14ac:dyDescent="0.25">
      <c r="B4968" s="24"/>
      <c r="E4968" s="24"/>
      <c r="G4968" s="24"/>
      <c r="H4968" s="24"/>
      <c r="J4968" s="24"/>
      <c r="K4968" s="24"/>
      <c r="M4968" s="24"/>
      <c r="N4968" s="24"/>
      <c r="P4968" s="24"/>
    </row>
    <row r="4969" spans="2:16" x14ac:dyDescent="0.25">
      <c r="B4969" s="24"/>
      <c r="E4969" s="24"/>
      <c r="G4969" s="24"/>
      <c r="H4969" s="24"/>
      <c r="J4969" s="24"/>
      <c r="K4969" s="24"/>
      <c r="M4969" s="24"/>
      <c r="N4969" s="24"/>
      <c r="P4969" s="24"/>
    </row>
    <row r="4970" spans="2:16" x14ac:dyDescent="0.25">
      <c r="B4970" s="24"/>
      <c r="E4970" s="24"/>
      <c r="G4970" s="24"/>
      <c r="H4970" s="24"/>
      <c r="J4970" s="24"/>
      <c r="K4970" s="24"/>
      <c r="M4970" s="24"/>
      <c r="N4970" s="24"/>
      <c r="P4970" s="24"/>
    </row>
    <row r="4971" spans="2:16" x14ac:dyDescent="0.25">
      <c r="B4971" s="24"/>
      <c r="E4971" s="24"/>
      <c r="G4971" s="24"/>
      <c r="H4971" s="24"/>
      <c r="J4971" s="24"/>
      <c r="K4971" s="24"/>
      <c r="M4971" s="24"/>
      <c r="N4971" s="24"/>
      <c r="P4971" s="24"/>
    </row>
    <row r="4972" spans="2:16" x14ac:dyDescent="0.25">
      <c r="B4972" s="24"/>
      <c r="E4972" s="24"/>
      <c r="G4972" s="24"/>
      <c r="H4972" s="24"/>
      <c r="J4972" s="24"/>
      <c r="K4972" s="24"/>
      <c r="M4972" s="24"/>
      <c r="N4972" s="24"/>
      <c r="P4972" s="24"/>
    </row>
    <row r="4973" spans="2:16" x14ac:dyDescent="0.25">
      <c r="B4973" s="24"/>
      <c r="E4973" s="24"/>
      <c r="G4973" s="24"/>
      <c r="H4973" s="24"/>
      <c r="J4973" s="24"/>
      <c r="K4973" s="24"/>
      <c r="M4973" s="24"/>
      <c r="N4973" s="24"/>
      <c r="P4973" s="24"/>
    </row>
    <row r="4974" spans="2:16" x14ac:dyDescent="0.25">
      <c r="B4974" s="24"/>
      <c r="E4974" s="24"/>
      <c r="G4974" s="24"/>
      <c r="H4974" s="24"/>
      <c r="J4974" s="24"/>
      <c r="K4974" s="24"/>
      <c r="M4974" s="24"/>
      <c r="N4974" s="24"/>
      <c r="P4974" s="24"/>
    </row>
    <row r="4975" spans="2:16" x14ac:dyDescent="0.25">
      <c r="B4975" s="24"/>
      <c r="E4975" s="24"/>
      <c r="G4975" s="24"/>
      <c r="H4975" s="24"/>
      <c r="J4975" s="24"/>
      <c r="K4975" s="24"/>
      <c r="M4975" s="24"/>
      <c r="N4975" s="24"/>
      <c r="P4975" s="24"/>
    </row>
    <row r="4976" spans="2:16" x14ac:dyDescent="0.25">
      <c r="B4976" s="24"/>
      <c r="E4976" s="24"/>
      <c r="G4976" s="24"/>
      <c r="H4976" s="24"/>
      <c r="J4976" s="24"/>
      <c r="K4976" s="24"/>
      <c r="M4976" s="24"/>
      <c r="N4976" s="24"/>
      <c r="P4976" s="24"/>
    </row>
    <row r="4977" spans="2:16" x14ac:dyDescent="0.25">
      <c r="B4977" s="24"/>
      <c r="E4977" s="24"/>
      <c r="G4977" s="24"/>
      <c r="H4977" s="24"/>
      <c r="J4977" s="24"/>
      <c r="K4977" s="24"/>
      <c r="M4977" s="24"/>
      <c r="N4977" s="24"/>
      <c r="P4977" s="24"/>
    </row>
    <row r="4978" spans="2:16" x14ac:dyDescent="0.25">
      <c r="B4978" s="24"/>
      <c r="E4978" s="24"/>
      <c r="G4978" s="24"/>
      <c r="H4978" s="24"/>
      <c r="J4978" s="24"/>
      <c r="K4978" s="24"/>
      <c r="M4978" s="24"/>
      <c r="N4978" s="24"/>
      <c r="P4978" s="24"/>
    </row>
    <row r="4979" spans="2:16" x14ac:dyDescent="0.25">
      <c r="B4979" s="24"/>
      <c r="E4979" s="24"/>
      <c r="G4979" s="24"/>
      <c r="H4979" s="24"/>
      <c r="J4979" s="24"/>
      <c r="K4979" s="24"/>
      <c r="M4979" s="24"/>
      <c r="N4979" s="24"/>
      <c r="P4979" s="24"/>
    </row>
    <row r="4980" spans="2:16" x14ac:dyDescent="0.25">
      <c r="B4980" s="24"/>
      <c r="E4980" s="24"/>
      <c r="G4980" s="24"/>
      <c r="H4980" s="24"/>
      <c r="J4980" s="24"/>
      <c r="K4980" s="24"/>
      <c r="M4980" s="24"/>
      <c r="N4980" s="24"/>
      <c r="P4980" s="24"/>
    </row>
    <row r="4981" spans="2:16" x14ac:dyDescent="0.25">
      <c r="B4981" s="24"/>
      <c r="E4981" s="24"/>
      <c r="G4981" s="24"/>
      <c r="H4981" s="24"/>
      <c r="J4981" s="24"/>
      <c r="K4981" s="24"/>
      <c r="M4981" s="24"/>
      <c r="N4981" s="24"/>
      <c r="P4981" s="24"/>
    </row>
    <row r="4982" spans="2:16" x14ac:dyDescent="0.25">
      <c r="B4982" s="24"/>
      <c r="E4982" s="24"/>
      <c r="G4982" s="24"/>
      <c r="H4982" s="24"/>
      <c r="J4982" s="24"/>
      <c r="K4982" s="24"/>
      <c r="M4982" s="24"/>
      <c r="N4982" s="24"/>
      <c r="P4982" s="24"/>
    </row>
    <row r="4983" spans="2:16" x14ac:dyDescent="0.25">
      <c r="B4983" s="24"/>
      <c r="E4983" s="24"/>
      <c r="G4983" s="24"/>
      <c r="H4983" s="24"/>
      <c r="J4983" s="24"/>
      <c r="K4983" s="24"/>
      <c r="M4983" s="24"/>
      <c r="N4983" s="24"/>
      <c r="P4983" s="24"/>
    </row>
    <row r="4984" spans="2:16" x14ac:dyDescent="0.25">
      <c r="B4984" s="24"/>
      <c r="E4984" s="24"/>
      <c r="G4984" s="24"/>
      <c r="H4984" s="24"/>
      <c r="J4984" s="24"/>
      <c r="K4984" s="24"/>
      <c r="M4984" s="24"/>
      <c r="N4984" s="24"/>
      <c r="P4984" s="24"/>
    </row>
    <row r="4985" spans="2:16" x14ac:dyDescent="0.25">
      <c r="B4985" s="24"/>
      <c r="E4985" s="24"/>
      <c r="G4985" s="24"/>
      <c r="H4985" s="24"/>
      <c r="J4985" s="24"/>
      <c r="K4985" s="24"/>
      <c r="M4985" s="24"/>
      <c r="N4985" s="24"/>
      <c r="P4985" s="24"/>
    </row>
    <row r="4986" spans="2:16" x14ac:dyDescent="0.25">
      <c r="B4986" s="24"/>
      <c r="E4986" s="24"/>
      <c r="G4986" s="24"/>
      <c r="H4986" s="24"/>
      <c r="J4986" s="24"/>
      <c r="K4986" s="24"/>
      <c r="M4986" s="24"/>
      <c r="N4986" s="24"/>
      <c r="P4986" s="24"/>
    </row>
    <row r="4987" spans="2:16" x14ac:dyDescent="0.25">
      <c r="B4987" s="24"/>
      <c r="E4987" s="24"/>
      <c r="G4987" s="24"/>
      <c r="H4987" s="24"/>
      <c r="J4987" s="24"/>
      <c r="K4987" s="24"/>
      <c r="M4987" s="24"/>
      <c r="N4987" s="24"/>
      <c r="P4987" s="24"/>
    </row>
    <row r="4988" spans="2:16" x14ac:dyDescent="0.25">
      <c r="B4988" s="24"/>
      <c r="E4988" s="24"/>
      <c r="G4988" s="24"/>
      <c r="H4988" s="24"/>
      <c r="J4988" s="24"/>
      <c r="K4988" s="24"/>
      <c r="M4988" s="24"/>
      <c r="N4988" s="24"/>
      <c r="P4988" s="24"/>
    </row>
    <row r="4989" spans="2:16" x14ac:dyDescent="0.25">
      <c r="B4989" s="24"/>
      <c r="E4989" s="24"/>
      <c r="G4989" s="24"/>
      <c r="H4989" s="24"/>
      <c r="J4989" s="24"/>
      <c r="K4989" s="24"/>
      <c r="M4989" s="24"/>
      <c r="N4989" s="24"/>
      <c r="P4989" s="24"/>
    </row>
    <row r="4990" spans="2:16" x14ac:dyDescent="0.25">
      <c r="B4990" s="24"/>
      <c r="E4990" s="24"/>
      <c r="G4990" s="24"/>
      <c r="H4990" s="24"/>
      <c r="J4990" s="24"/>
      <c r="K4990" s="24"/>
      <c r="M4990" s="24"/>
      <c r="N4990" s="24"/>
      <c r="P4990" s="24"/>
    </row>
    <row r="4991" spans="2:16" x14ac:dyDescent="0.25">
      <c r="B4991" s="24"/>
      <c r="E4991" s="24"/>
      <c r="G4991" s="24"/>
      <c r="H4991" s="24"/>
      <c r="J4991" s="24"/>
      <c r="K4991" s="24"/>
      <c r="M4991" s="24"/>
      <c r="N4991" s="24"/>
      <c r="P4991" s="24"/>
    </row>
    <row r="4992" spans="2:16" x14ac:dyDescent="0.25">
      <c r="B4992" s="24"/>
      <c r="E4992" s="24"/>
      <c r="G4992" s="24"/>
      <c r="H4992" s="24"/>
      <c r="J4992" s="24"/>
      <c r="K4992" s="24"/>
      <c r="M4992" s="24"/>
      <c r="N4992" s="24"/>
      <c r="P4992" s="24"/>
    </row>
    <row r="4993" spans="2:16" x14ac:dyDescent="0.25">
      <c r="B4993" s="24"/>
      <c r="E4993" s="24"/>
      <c r="G4993" s="24"/>
      <c r="H4993" s="24"/>
      <c r="J4993" s="24"/>
      <c r="K4993" s="24"/>
      <c r="M4993" s="24"/>
      <c r="N4993" s="24"/>
      <c r="P4993" s="24"/>
    </row>
    <row r="4994" spans="2:16" x14ac:dyDescent="0.25">
      <c r="B4994" s="24"/>
      <c r="E4994" s="24"/>
      <c r="G4994" s="24"/>
      <c r="H4994" s="24"/>
      <c r="J4994" s="24"/>
      <c r="K4994" s="24"/>
      <c r="M4994" s="24"/>
      <c r="N4994" s="24"/>
      <c r="P4994" s="24"/>
    </row>
    <row r="4995" spans="2:16" x14ac:dyDescent="0.25">
      <c r="B4995" s="24"/>
      <c r="E4995" s="24"/>
      <c r="G4995" s="24"/>
      <c r="H4995" s="24"/>
      <c r="J4995" s="24"/>
      <c r="K4995" s="24"/>
      <c r="M4995" s="24"/>
      <c r="N4995" s="24"/>
      <c r="P4995" s="24"/>
    </row>
    <row r="4996" spans="2:16" x14ac:dyDescent="0.25">
      <c r="B4996" s="24"/>
      <c r="E4996" s="24"/>
      <c r="G4996" s="24"/>
      <c r="H4996" s="24"/>
      <c r="J4996" s="24"/>
      <c r="K4996" s="24"/>
      <c r="M4996" s="24"/>
      <c r="N4996" s="24"/>
      <c r="P4996" s="24"/>
    </row>
    <row r="4997" spans="2:16" x14ac:dyDescent="0.25">
      <c r="B4997" s="24"/>
      <c r="E4997" s="24"/>
      <c r="G4997" s="24"/>
      <c r="H4997" s="24"/>
      <c r="J4997" s="24"/>
      <c r="K4997" s="24"/>
      <c r="M4997" s="24"/>
      <c r="N4997" s="24"/>
      <c r="P4997" s="24"/>
    </row>
    <row r="4998" spans="2:16" x14ac:dyDescent="0.25">
      <c r="B4998" s="24"/>
      <c r="E4998" s="24"/>
      <c r="G4998" s="24"/>
      <c r="H4998" s="24"/>
      <c r="J4998" s="24"/>
      <c r="K4998" s="24"/>
      <c r="M4998" s="24"/>
      <c r="N4998" s="24"/>
      <c r="P4998" s="24"/>
    </row>
    <row r="4999" spans="2:16" x14ac:dyDescent="0.25">
      <c r="B4999" s="24"/>
      <c r="E4999" s="24"/>
      <c r="G4999" s="24"/>
      <c r="H4999" s="24"/>
      <c r="J4999" s="24"/>
      <c r="K4999" s="24"/>
      <c r="M4999" s="24"/>
      <c r="N4999" s="24"/>
      <c r="P4999" s="24"/>
    </row>
    <row r="5000" spans="2:16" x14ac:dyDescent="0.25">
      <c r="B5000" s="24"/>
      <c r="E5000" s="24"/>
      <c r="G5000" s="24"/>
      <c r="H5000" s="24"/>
      <c r="J5000" s="24"/>
      <c r="K5000" s="24"/>
      <c r="M5000" s="24"/>
      <c r="N5000" s="24"/>
      <c r="P5000" s="24"/>
    </row>
    <row r="5001" spans="2:16" x14ac:dyDescent="0.25">
      <c r="B5001" s="24"/>
      <c r="E5001" s="24"/>
      <c r="G5001" s="24"/>
      <c r="H5001" s="24"/>
      <c r="J5001" s="24"/>
      <c r="K5001" s="24"/>
      <c r="M5001" s="24"/>
      <c r="N5001" s="24"/>
      <c r="P5001" s="24"/>
    </row>
    <row r="5002" spans="2:16" x14ac:dyDescent="0.25">
      <c r="B5002" s="24"/>
      <c r="E5002" s="24"/>
      <c r="G5002" s="24"/>
      <c r="H5002" s="24"/>
      <c r="J5002" s="24"/>
      <c r="K5002" s="24"/>
      <c r="M5002" s="24"/>
      <c r="N5002" s="24"/>
      <c r="P5002" s="24"/>
    </row>
    <row r="5003" spans="2:16" x14ac:dyDescent="0.25">
      <c r="B5003" s="24"/>
      <c r="E5003" s="24"/>
      <c r="G5003" s="24"/>
      <c r="H5003" s="24"/>
      <c r="J5003" s="24"/>
      <c r="K5003" s="24"/>
      <c r="M5003" s="24"/>
      <c r="N5003" s="24"/>
      <c r="P5003" s="24"/>
    </row>
    <row r="5004" spans="2:16" x14ac:dyDescent="0.25">
      <c r="B5004" s="24"/>
      <c r="E5004" s="24"/>
      <c r="G5004" s="24"/>
      <c r="H5004" s="24"/>
      <c r="J5004" s="24"/>
      <c r="K5004" s="24"/>
      <c r="M5004" s="24"/>
      <c r="N5004" s="24"/>
      <c r="P5004" s="24"/>
    </row>
    <row r="5005" spans="2:16" x14ac:dyDescent="0.25">
      <c r="B5005" s="24"/>
      <c r="E5005" s="24"/>
      <c r="G5005" s="24"/>
      <c r="H5005" s="24"/>
      <c r="J5005" s="24"/>
      <c r="K5005" s="24"/>
      <c r="M5005" s="24"/>
      <c r="N5005" s="24"/>
      <c r="P5005" s="24"/>
    </row>
    <row r="5006" spans="2:16" x14ac:dyDescent="0.25">
      <c r="B5006" s="24"/>
      <c r="E5006" s="24"/>
      <c r="G5006" s="24"/>
      <c r="H5006" s="24"/>
      <c r="J5006" s="24"/>
      <c r="K5006" s="24"/>
      <c r="M5006" s="24"/>
      <c r="N5006" s="24"/>
      <c r="P5006" s="24"/>
    </row>
    <row r="5007" spans="2:16" x14ac:dyDescent="0.25">
      <c r="B5007" s="24"/>
      <c r="E5007" s="24"/>
      <c r="G5007" s="24"/>
      <c r="H5007" s="24"/>
      <c r="J5007" s="24"/>
      <c r="K5007" s="24"/>
      <c r="M5007" s="24"/>
      <c r="N5007" s="24"/>
      <c r="P5007" s="24"/>
    </row>
    <row r="5008" spans="2:16" x14ac:dyDescent="0.25">
      <c r="B5008" s="24"/>
      <c r="E5008" s="24"/>
      <c r="G5008" s="24"/>
      <c r="H5008" s="24"/>
      <c r="J5008" s="24"/>
      <c r="K5008" s="24"/>
      <c r="M5008" s="24"/>
      <c r="N5008" s="24"/>
      <c r="P5008" s="24"/>
    </row>
    <row r="5009" spans="2:16" x14ac:dyDescent="0.25">
      <c r="B5009" s="24"/>
      <c r="E5009" s="24"/>
      <c r="G5009" s="24"/>
      <c r="H5009" s="24"/>
      <c r="J5009" s="24"/>
      <c r="K5009" s="24"/>
      <c r="M5009" s="24"/>
      <c r="N5009" s="24"/>
      <c r="P5009" s="24"/>
    </row>
    <row r="5010" spans="2:16" x14ac:dyDescent="0.25">
      <c r="B5010" s="24"/>
      <c r="E5010" s="24"/>
      <c r="G5010" s="24"/>
      <c r="H5010" s="24"/>
      <c r="J5010" s="24"/>
      <c r="K5010" s="24"/>
      <c r="M5010" s="24"/>
      <c r="N5010" s="24"/>
      <c r="P5010" s="24"/>
    </row>
    <row r="5011" spans="2:16" x14ac:dyDescent="0.25">
      <c r="B5011" s="24"/>
      <c r="E5011" s="24"/>
      <c r="G5011" s="24"/>
      <c r="H5011" s="24"/>
      <c r="J5011" s="24"/>
      <c r="K5011" s="24"/>
      <c r="M5011" s="24"/>
      <c r="N5011" s="24"/>
      <c r="P5011" s="24"/>
    </row>
    <row r="5012" spans="2:16" x14ac:dyDescent="0.25">
      <c r="B5012" s="24"/>
      <c r="E5012" s="24"/>
      <c r="G5012" s="24"/>
      <c r="H5012" s="24"/>
      <c r="J5012" s="24"/>
      <c r="K5012" s="24"/>
      <c r="M5012" s="24"/>
      <c r="N5012" s="24"/>
      <c r="P5012" s="24"/>
    </row>
    <row r="5013" spans="2:16" x14ac:dyDescent="0.25">
      <c r="B5013" s="24"/>
      <c r="E5013" s="24"/>
      <c r="G5013" s="24"/>
      <c r="H5013" s="24"/>
      <c r="J5013" s="24"/>
      <c r="K5013" s="24"/>
      <c r="M5013" s="24"/>
      <c r="N5013" s="24"/>
      <c r="P5013" s="24"/>
    </row>
    <row r="5014" spans="2:16" x14ac:dyDescent="0.25">
      <c r="B5014" s="24"/>
      <c r="E5014" s="24"/>
      <c r="G5014" s="24"/>
      <c r="H5014" s="24"/>
      <c r="J5014" s="24"/>
      <c r="K5014" s="24"/>
      <c r="M5014" s="24"/>
      <c r="N5014" s="24"/>
      <c r="P5014" s="24"/>
    </row>
    <row r="5015" spans="2:16" x14ac:dyDescent="0.25">
      <c r="B5015" s="24"/>
      <c r="E5015" s="24"/>
      <c r="G5015" s="24"/>
      <c r="H5015" s="24"/>
      <c r="J5015" s="24"/>
      <c r="K5015" s="24"/>
      <c r="M5015" s="24"/>
      <c r="N5015" s="24"/>
      <c r="P5015" s="24"/>
    </row>
    <row r="5016" spans="2:16" x14ac:dyDescent="0.25">
      <c r="B5016" s="24"/>
      <c r="E5016" s="24"/>
      <c r="G5016" s="24"/>
      <c r="H5016" s="24"/>
      <c r="J5016" s="24"/>
      <c r="K5016" s="24"/>
      <c r="M5016" s="24"/>
      <c r="N5016" s="24"/>
      <c r="P5016" s="24"/>
    </row>
    <row r="5017" spans="2:16" x14ac:dyDescent="0.25">
      <c r="B5017" s="24"/>
      <c r="E5017" s="24"/>
      <c r="G5017" s="24"/>
      <c r="H5017" s="24"/>
      <c r="J5017" s="24"/>
      <c r="K5017" s="24"/>
      <c r="M5017" s="24"/>
      <c r="N5017" s="24"/>
      <c r="P5017" s="24"/>
    </row>
    <row r="5018" spans="2:16" x14ac:dyDescent="0.25">
      <c r="B5018" s="24"/>
      <c r="E5018" s="24"/>
      <c r="G5018" s="24"/>
      <c r="H5018" s="24"/>
      <c r="J5018" s="24"/>
      <c r="K5018" s="24"/>
      <c r="M5018" s="24"/>
      <c r="N5018" s="24"/>
      <c r="P5018" s="24"/>
    </row>
    <row r="5019" spans="2:16" x14ac:dyDescent="0.25">
      <c r="B5019" s="24"/>
      <c r="E5019" s="24"/>
      <c r="G5019" s="24"/>
      <c r="H5019" s="24"/>
      <c r="J5019" s="24"/>
      <c r="K5019" s="24"/>
      <c r="M5019" s="24"/>
      <c r="N5019" s="24"/>
      <c r="P5019" s="24"/>
    </row>
    <row r="5020" spans="2:16" x14ac:dyDescent="0.25">
      <c r="B5020" s="24"/>
      <c r="E5020" s="24"/>
      <c r="G5020" s="24"/>
      <c r="H5020" s="24"/>
      <c r="J5020" s="24"/>
      <c r="K5020" s="24"/>
      <c r="M5020" s="24"/>
      <c r="N5020" s="24"/>
      <c r="P5020" s="24"/>
    </row>
    <row r="5021" spans="2:16" x14ac:dyDescent="0.25">
      <c r="B5021" s="24"/>
      <c r="E5021" s="24"/>
      <c r="G5021" s="24"/>
      <c r="H5021" s="24"/>
      <c r="J5021" s="24"/>
      <c r="K5021" s="24"/>
      <c r="M5021" s="24"/>
      <c r="N5021" s="24"/>
      <c r="P5021" s="24"/>
    </row>
    <row r="5022" spans="2:16" x14ac:dyDescent="0.25">
      <c r="B5022" s="24"/>
      <c r="E5022" s="24"/>
      <c r="G5022" s="24"/>
      <c r="H5022" s="24"/>
      <c r="J5022" s="24"/>
      <c r="K5022" s="24"/>
      <c r="M5022" s="24"/>
      <c r="N5022" s="24"/>
      <c r="P5022" s="24"/>
    </row>
    <row r="5023" spans="2:16" x14ac:dyDescent="0.25">
      <c r="B5023" s="24"/>
      <c r="E5023" s="24"/>
      <c r="G5023" s="24"/>
      <c r="H5023" s="24"/>
      <c r="J5023" s="24"/>
      <c r="K5023" s="24"/>
      <c r="M5023" s="24"/>
      <c r="N5023" s="24"/>
      <c r="P5023" s="24"/>
    </row>
    <row r="5024" spans="2:16" x14ac:dyDescent="0.25">
      <c r="B5024" s="24"/>
      <c r="E5024" s="24"/>
      <c r="G5024" s="24"/>
      <c r="H5024" s="24"/>
      <c r="J5024" s="24"/>
      <c r="K5024" s="24"/>
      <c r="M5024" s="24"/>
      <c r="N5024" s="24"/>
      <c r="P5024" s="24"/>
    </row>
    <row r="5025" spans="2:16" x14ac:dyDescent="0.25">
      <c r="B5025" s="24"/>
      <c r="E5025" s="24"/>
      <c r="G5025" s="24"/>
      <c r="H5025" s="24"/>
      <c r="J5025" s="24"/>
      <c r="K5025" s="24"/>
      <c r="M5025" s="24"/>
      <c r="N5025" s="24"/>
      <c r="P5025" s="24"/>
    </row>
    <row r="5026" spans="2:16" x14ac:dyDescent="0.25">
      <c r="B5026" s="24"/>
      <c r="E5026" s="24"/>
      <c r="G5026" s="24"/>
      <c r="H5026" s="24"/>
      <c r="J5026" s="24"/>
      <c r="K5026" s="24"/>
      <c r="M5026" s="24"/>
      <c r="N5026" s="24"/>
      <c r="P5026" s="24"/>
    </row>
    <row r="5027" spans="2:16" x14ac:dyDescent="0.25">
      <c r="B5027" s="24"/>
      <c r="E5027" s="24"/>
      <c r="G5027" s="24"/>
      <c r="H5027" s="24"/>
      <c r="J5027" s="24"/>
      <c r="K5027" s="24"/>
      <c r="M5027" s="24"/>
      <c r="N5027" s="24"/>
      <c r="P5027" s="24"/>
    </row>
    <row r="5028" spans="2:16" x14ac:dyDescent="0.25">
      <c r="B5028" s="24"/>
      <c r="E5028" s="24"/>
      <c r="G5028" s="24"/>
      <c r="H5028" s="24"/>
      <c r="J5028" s="24"/>
      <c r="K5028" s="24"/>
      <c r="M5028" s="24"/>
      <c r="N5028" s="24"/>
      <c r="P5028" s="24"/>
    </row>
    <row r="5029" spans="2:16" x14ac:dyDescent="0.25">
      <c r="B5029" s="24"/>
      <c r="E5029" s="24"/>
      <c r="G5029" s="24"/>
      <c r="H5029" s="24"/>
      <c r="J5029" s="24"/>
      <c r="K5029" s="24"/>
      <c r="M5029" s="24"/>
      <c r="N5029" s="24"/>
      <c r="P5029" s="24"/>
    </row>
    <row r="5030" spans="2:16" x14ac:dyDescent="0.25">
      <c r="B5030" s="24"/>
      <c r="E5030" s="24"/>
      <c r="G5030" s="24"/>
      <c r="H5030" s="24"/>
      <c r="J5030" s="24"/>
      <c r="K5030" s="24"/>
      <c r="M5030" s="24"/>
      <c r="N5030" s="24"/>
      <c r="P5030" s="24"/>
    </row>
    <row r="5031" spans="2:16" x14ac:dyDescent="0.25">
      <c r="B5031" s="24"/>
      <c r="E5031" s="24"/>
      <c r="G5031" s="24"/>
      <c r="H5031" s="24"/>
      <c r="J5031" s="24"/>
      <c r="K5031" s="24"/>
      <c r="M5031" s="24"/>
      <c r="N5031" s="24"/>
      <c r="P5031" s="24"/>
    </row>
    <row r="5032" spans="2:16" x14ac:dyDescent="0.25">
      <c r="B5032" s="24"/>
      <c r="E5032" s="24"/>
      <c r="G5032" s="24"/>
      <c r="H5032" s="24"/>
      <c r="J5032" s="24"/>
      <c r="K5032" s="24"/>
      <c r="M5032" s="24"/>
      <c r="N5032" s="24"/>
      <c r="P5032" s="24"/>
    </row>
    <row r="5033" spans="2:16" x14ac:dyDescent="0.25">
      <c r="B5033" s="24"/>
      <c r="E5033" s="24"/>
      <c r="G5033" s="24"/>
      <c r="H5033" s="24"/>
      <c r="J5033" s="24"/>
      <c r="K5033" s="24"/>
      <c r="M5033" s="24"/>
      <c r="N5033" s="24"/>
      <c r="P5033" s="24"/>
    </row>
    <row r="5034" spans="2:16" x14ac:dyDescent="0.25">
      <c r="B5034" s="24"/>
      <c r="E5034" s="24"/>
      <c r="G5034" s="24"/>
      <c r="H5034" s="24"/>
      <c r="J5034" s="24"/>
      <c r="K5034" s="24"/>
      <c r="M5034" s="24"/>
      <c r="N5034" s="24"/>
      <c r="P5034" s="24"/>
    </row>
    <row r="5035" spans="2:16" x14ac:dyDescent="0.25">
      <c r="B5035" s="24"/>
      <c r="E5035" s="24"/>
      <c r="G5035" s="24"/>
      <c r="H5035" s="24"/>
      <c r="J5035" s="24"/>
      <c r="K5035" s="24"/>
      <c r="M5035" s="24"/>
      <c r="N5035" s="24"/>
      <c r="P5035" s="24"/>
    </row>
    <row r="5036" spans="2:16" x14ac:dyDescent="0.25">
      <c r="B5036" s="24"/>
      <c r="E5036" s="24"/>
      <c r="G5036" s="24"/>
      <c r="H5036" s="24"/>
      <c r="J5036" s="24"/>
      <c r="K5036" s="24"/>
      <c r="M5036" s="24"/>
      <c r="N5036" s="24"/>
      <c r="P5036" s="24"/>
    </row>
    <row r="5037" spans="2:16" x14ac:dyDescent="0.25">
      <c r="B5037" s="24"/>
      <c r="E5037" s="24"/>
      <c r="G5037" s="24"/>
      <c r="H5037" s="24"/>
      <c r="J5037" s="24"/>
      <c r="K5037" s="24"/>
      <c r="M5037" s="24"/>
      <c r="N5037" s="24"/>
      <c r="P5037" s="24"/>
    </row>
    <row r="5038" spans="2:16" x14ac:dyDescent="0.25">
      <c r="B5038" s="24"/>
      <c r="E5038" s="24"/>
      <c r="G5038" s="24"/>
      <c r="H5038" s="24"/>
      <c r="J5038" s="24"/>
      <c r="K5038" s="24"/>
      <c r="M5038" s="24"/>
      <c r="N5038" s="24"/>
      <c r="P5038" s="24"/>
    </row>
    <row r="5039" spans="2:16" x14ac:dyDescent="0.25">
      <c r="B5039" s="24"/>
      <c r="E5039" s="24"/>
      <c r="G5039" s="24"/>
      <c r="H5039" s="24"/>
      <c r="J5039" s="24"/>
      <c r="K5039" s="24"/>
      <c r="M5039" s="24"/>
      <c r="N5039" s="24"/>
      <c r="P5039" s="24"/>
    </row>
    <row r="5040" spans="2:16" x14ac:dyDescent="0.25">
      <c r="B5040" s="24"/>
      <c r="E5040" s="24"/>
      <c r="G5040" s="24"/>
      <c r="H5040" s="24"/>
      <c r="J5040" s="24"/>
      <c r="K5040" s="24"/>
      <c r="M5040" s="24"/>
      <c r="N5040" s="24"/>
      <c r="P5040" s="24"/>
    </row>
    <row r="5041" spans="2:16" x14ac:dyDescent="0.25">
      <c r="B5041" s="24"/>
      <c r="E5041" s="24"/>
      <c r="G5041" s="24"/>
      <c r="H5041" s="24"/>
      <c r="J5041" s="24"/>
      <c r="K5041" s="24"/>
      <c r="M5041" s="24"/>
      <c r="N5041" s="24"/>
      <c r="P5041" s="24"/>
    </row>
    <row r="5042" spans="2:16" x14ac:dyDescent="0.25">
      <c r="B5042" s="24"/>
      <c r="E5042" s="24"/>
      <c r="G5042" s="24"/>
      <c r="H5042" s="24"/>
      <c r="J5042" s="24"/>
      <c r="K5042" s="24"/>
      <c r="M5042" s="24"/>
      <c r="N5042" s="24"/>
      <c r="P5042" s="24"/>
    </row>
    <row r="5043" spans="2:16" x14ac:dyDescent="0.25">
      <c r="B5043" s="24"/>
      <c r="E5043" s="24"/>
      <c r="G5043" s="24"/>
      <c r="H5043" s="24"/>
      <c r="J5043" s="24"/>
      <c r="K5043" s="24"/>
      <c r="M5043" s="24"/>
      <c r="N5043" s="24"/>
      <c r="P5043" s="24"/>
    </row>
    <row r="5044" spans="2:16" x14ac:dyDescent="0.25">
      <c r="B5044" s="24"/>
      <c r="E5044" s="24"/>
      <c r="G5044" s="24"/>
      <c r="H5044" s="24"/>
      <c r="J5044" s="24"/>
      <c r="K5044" s="24"/>
      <c r="M5044" s="24"/>
      <c r="N5044" s="24"/>
      <c r="P5044" s="24"/>
    </row>
    <row r="5045" spans="2:16" x14ac:dyDescent="0.25">
      <c r="B5045" s="24"/>
      <c r="E5045" s="24"/>
      <c r="G5045" s="24"/>
      <c r="H5045" s="24"/>
      <c r="J5045" s="24"/>
      <c r="K5045" s="24"/>
      <c r="M5045" s="24"/>
      <c r="N5045" s="24"/>
      <c r="P5045" s="24"/>
    </row>
    <row r="5046" spans="2:16" x14ac:dyDescent="0.25">
      <c r="B5046" s="24"/>
      <c r="E5046" s="24"/>
      <c r="G5046" s="24"/>
      <c r="H5046" s="24"/>
      <c r="J5046" s="24"/>
      <c r="K5046" s="24"/>
      <c r="M5046" s="24"/>
      <c r="N5046" s="24"/>
      <c r="P5046" s="24"/>
    </row>
    <row r="5047" spans="2:16" x14ac:dyDescent="0.25">
      <c r="B5047" s="24"/>
      <c r="E5047" s="24"/>
      <c r="G5047" s="24"/>
      <c r="H5047" s="24"/>
      <c r="J5047" s="24"/>
      <c r="K5047" s="24"/>
      <c r="M5047" s="24"/>
      <c r="N5047" s="24"/>
      <c r="P5047" s="24"/>
    </row>
    <row r="5048" spans="2:16" x14ac:dyDescent="0.25">
      <c r="B5048" s="24"/>
      <c r="E5048" s="24"/>
      <c r="G5048" s="24"/>
      <c r="H5048" s="24"/>
      <c r="J5048" s="24"/>
      <c r="K5048" s="24"/>
      <c r="M5048" s="24"/>
      <c r="N5048" s="24"/>
      <c r="P5048" s="24"/>
    </row>
    <row r="5049" spans="2:16" x14ac:dyDescent="0.25">
      <c r="B5049" s="24"/>
      <c r="E5049" s="24"/>
      <c r="G5049" s="24"/>
      <c r="H5049" s="24"/>
      <c r="J5049" s="24"/>
      <c r="K5049" s="24"/>
      <c r="M5049" s="24"/>
      <c r="N5049" s="24"/>
      <c r="P5049" s="24"/>
    </row>
    <row r="5050" spans="2:16" x14ac:dyDescent="0.25">
      <c r="B5050" s="24"/>
      <c r="E5050" s="24"/>
      <c r="G5050" s="24"/>
      <c r="H5050" s="24"/>
      <c r="J5050" s="24"/>
      <c r="K5050" s="24"/>
      <c r="M5050" s="24"/>
      <c r="N5050" s="24"/>
      <c r="P5050" s="24"/>
    </row>
    <row r="5051" spans="2:16" x14ac:dyDescent="0.25">
      <c r="B5051" s="24"/>
      <c r="E5051" s="24"/>
      <c r="G5051" s="24"/>
      <c r="H5051" s="24"/>
      <c r="J5051" s="24"/>
      <c r="K5051" s="24"/>
      <c r="M5051" s="24"/>
      <c r="N5051" s="24"/>
      <c r="P5051" s="24"/>
    </row>
    <row r="5052" spans="2:16" x14ac:dyDescent="0.25">
      <c r="B5052" s="24"/>
      <c r="E5052" s="24"/>
      <c r="G5052" s="24"/>
      <c r="H5052" s="24"/>
      <c r="J5052" s="24"/>
      <c r="K5052" s="24"/>
      <c r="M5052" s="24"/>
      <c r="N5052" s="24"/>
      <c r="P5052" s="24"/>
    </row>
    <row r="5053" spans="2:16" x14ac:dyDescent="0.25">
      <c r="B5053" s="24"/>
      <c r="E5053" s="24"/>
      <c r="G5053" s="24"/>
      <c r="H5053" s="24"/>
      <c r="J5053" s="24"/>
      <c r="K5053" s="24"/>
      <c r="M5053" s="24"/>
      <c r="N5053" s="24"/>
      <c r="P5053" s="24"/>
    </row>
    <row r="5054" spans="2:16" x14ac:dyDescent="0.25">
      <c r="B5054" s="24"/>
      <c r="E5054" s="24"/>
      <c r="G5054" s="24"/>
      <c r="H5054" s="24"/>
      <c r="J5054" s="24"/>
      <c r="K5054" s="24"/>
      <c r="M5054" s="24"/>
      <c r="N5054" s="24"/>
      <c r="P5054" s="24"/>
    </row>
    <row r="5055" spans="2:16" x14ac:dyDescent="0.25">
      <c r="B5055" s="24"/>
      <c r="E5055" s="24"/>
      <c r="G5055" s="24"/>
      <c r="H5055" s="24"/>
      <c r="J5055" s="24"/>
      <c r="K5055" s="24"/>
      <c r="M5055" s="24"/>
      <c r="N5055" s="24"/>
      <c r="P5055" s="24"/>
    </row>
    <row r="5056" spans="2:16" x14ac:dyDescent="0.25">
      <c r="B5056" s="24"/>
      <c r="E5056" s="24"/>
      <c r="G5056" s="24"/>
      <c r="H5056" s="24"/>
      <c r="J5056" s="24"/>
      <c r="K5056" s="24"/>
      <c r="M5056" s="24"/>
      <c r="N5056" s="24"/>
      <c r="P5056" s="24"/>
    </row>
    <row r="5057" spans="2:16" x14ac:dyDescent="0.25">
      <c r="B5057" s="24"/>
      <c r="E5057" s="24"/>
      <c r="G5057" s="24"/>
      <c r="H5057" s="24"/>
      <c r="J5057" s="24"/>
      <c r="K5057" s="24"/>
      <c r="M5057" s="24"/>
      <c r="N5057" s="24"/>
      <c r="P5057" s="24"/>
    </row>
    <row r="5058" spans="2:16" x14ac:dyDescent="0.25">
      <c r="B5058" s="24"/>
      <c r="E5058" s="24"/>
      <c r="G5058" s="24"/>
      <c r="H5058" s="24"/>
      <c r="J5058" s="24"/>
      <c r="K5058" s="24"/>
      <c r="M5058" s="24"/>
      <c r="N5058" s="24"/>
      <c r="P5058" s="24"/>
    </row>
    <row r="5059" spans="2:16" x14ac:dyDescent="0.25">
      <c r="B5059" s="24"/>
      <c r="E5059" s="24"/>
      <c r="G5059" s="24"/>
      <c r="H5059" s="24"/>
      <c r="J5059" s="24"/>
      <c r="K5059" s="24"/>
      <c r="M5059" s="24"/>
      <c r="N5059" s="24"/>
      <c r="P5059" s="24"/>
    </row>
    <row r="5060" spans="2:16" x14ac:dyDescent="0.25">
      <c r="B5060" s="24"/>
      <c r="E5060" s="24"/>
      <c r="G5060" s="24"/>
      <c r="H5060" s="24"/>
      <c r="J5060" s="24"/>
      <c r="K5060" s="24"/>
      <c r="M5060" s="24"/>
      <c r="N5060" s="24"/>
      <c r="P5060" s="24"/>
    </row>
    <row r="5061" spans="2:16" x14ac:dyDescent="0.25">
      <c r="B5061" s="24"/>
      <c r="E5061" s="24"/>
      <c r="G5061" s="24"/>
      <c r="H5061" s="24"/>
      <c r="J5061" s="24"/>
      <c r="K5061" s="24"/>
      <c r="M5061" s="24"/>
      <c r="N5061" s="24"/>
      <c r="P5061" s="24"/>
    </row>
    <row r="5062" spans="2:16" x14ac:dyDescent="0.25">
      <c r="B5062" s="24"/>
      <c r="E5062" s="24"/>
      <c r="G5062" s="24"/>
      <c r="H5062" s="24"/>
      <c r="J5062" s="24"/>
      <c r="K5062" s="24"/>
      <c r="M5062" s="24"/>
      <c r="N5062" s="24"/>
      <c r="P5062" s="24"/>
    </row>
    <row r="5063" spans="2:16" x14ac:dyDescent="0.25">
      <c r="B5063" s="24"/>
      <c r="E5063" s="24"/>
      <c r="G5063" s="24"/>
      <c r="H5063" s="24"/>
      <c r="J5063" s="24"/>
      <c r="K5063" s="24"/>
      <c r="M5063" s="24"/>
      <c r="N5063" s="24"/>
      <c r="P5063" s="24"/>
    </row>
    <row r="5064" spans="2:16" x14ac:dyDescent="0.25">
      <c r="B5064" s="24"/>
      <c r="E5064" s="24"/>
      <c r="G5064" s="24"/>
      <c r="H5064" s="24"/>
      <c r="J5064" s="24"/>
      <c r="K5064" s="24"/>
      <c r="M5064" s="24"/>
      <c r="N5064" s="24"/>
      <c r="P5064" s="24"/>
    </row>
    <row r="5065" spans="2:16" x14ac:dyDescent="0.25">
      <c r="B5065" s="24"/>
      <c r="E5065" s="24"/>
      <c r="G5065" s="24"/>
      <c r="H5065" s="24"/>
      <c r="J5065" s="24"/>
      <c r="K5065" s="24"/>
      <c r="M5065" s="24"/>
      <c r="N5065" s="24"/>
      <c r="P5065" s="24"/>
    </row>
    <row r="5066" spans="2:16" x14ac:dyDescent="0.25">
      <c r="B5066" s="24"/>
      <c r="E5066" s="24"/>
      <c r="G5066" s="24"/>
      <c r="H5066" s="24"/>
      <c r="J5066" s="24"/>
      <c r="K5066" s="24"/>
      <c r="M5066" s="24"/>
      <c r="N5066" s="24"/>
      <c r="P5066" s="24"/>
    </row>
    <row r="5067" spans="2:16" x14ac:dyDescent="0.25">
      <c r="B5067" s="24"/>
      <c r="E5067" s="24"/>
      <c r="G5067" s="24"/>
      <c r="H5067" s="24"/>
      <c r="J5067" s="24"/>
      <c r="K5067" s="24"/>
      <c r="M5067" s="24"/>
      <c r="N5067" s="24"/>
      <c r="P5067" s="24"/>
    </row>
    <row r="5068" spans="2:16" x14ac:dyDescent="0.25">
      <c r="B5068" s="24"/>
      <c r="E5068" s="24"/>
      <c r="G5068" s="24"/>
      <c r="H5068" s="24"/>
      <c r="J5068" s="24"/>
      <c r="K5068" s="24"/>
      <c r="M5068" s="24"/>
      <c r="N5068" s="24"/>
      <c r="P5068" s="24"/>
    </row>
    <row r="5069" spans="2:16" x14ac:dyDescent="0.25">
      <c r="B5069" s="24"/>
      <c r="E5069" s="24"/>
      <c r="G5069" s="24"/>
      <c r="H5069" s="24"/>
      <c r="J5069" s="24"/>
      <c r="K5069" s="24"/>
      <c r="M5069" s="24"/>
      <c r="N5069" s="24"/>
      <c r="P5069" s="24"/>
    </row>
    <row r="5070" spans="2:16" x14ac:dyDescent="0.25">
      <c r="B5070" s="24"/>
      <c r="E5070" s="24"/>
      <c r="G5070" s="24"/>
      <c r="H5070" s="24"/>
      <c r="J5070" s="24"/>
      <c r="K5070" s="24"/>
      <c r="M5070" s="24"/>
      <c r="N5070" s="24"/>
      <c r="P5070" s="24"/>
    </row>
    <row r="5071" spans="2:16" x14ac:dyDescent="0.25">
      <c r="B5071" s="24"/>
      <c r="E5071" s="24"/>
      <c r="G5071" s="24"/>
      <c r="H5071" s="24"/>
      <c r="J5071" s="24"/>
      <c r="K5071" s="24"/>
      <c r="M5071" s="24"/>
      <c r="N5071" s="24"/>
      <c r="P5071" s="24"/>
    </row>
    <row r="5072" spans="2:16" x14ac:dyDescent="0.25">
      <c r="B5072" s="24"/>
      <c r="E5072" s="24"/>
      <c r="G5072" s="24"/>
      <c r="H5072" s="24"/>
      <c r="J5072" s="24"/>
      <c r="K5072" s="24"/>
      <c r="M5072" s="24"/>
      <c r="N5072" s="24"/>
      <c r="P5072" s="24"/>
    </row>
    <row r="5073" spans="2:16" x14ac:dyDescent="0.25">
      <c r="B5073" s="24"/>
      <c r="E5073" s="24"/>
      <c r="G5073" s="24"/>
      <c r="H5073" s="24"/>
      <c r="J5073" s="24"/>
      <c r="K5073" s="24"/>
      <c r="M5073" s="24"/>
      <c r="N5073" s="24"/>
      <c r="P5073" s="24"/>
    </row>
    <row r="5074" spans="2:16" x14ac:dyDescent="0.25">
      <c r="B5074" s="24"/>
      <c r="E5074" s="24"/>
      <c r="G5074" s="24"/>
      <c r="H5074" s="24"/>
      <c r="J5074" s="24"/>
      <c r="K5074" s="24"/>
      <c r="M5074" s="24"/>
      <c r="N5074" s="24"/>
      <c r="P5074" s="24"/>
    </row>
    <row r="5075" spans="2:16" x14ac:dyDescent="0.25">
      <c r="B5075" s="24"/>
      <c r="E5075" s="24"/>
      <c r="G5075" s="24"/>
      <c r="H5075" s="24"/>
      <c r="J5075" s="24"/>
      <c r="K5075" s="24"/>
      <c r="M5075" s="24"/>
      <c r="N5075" s="24"/>
      <c r="P5075" s="24"/>
    </row>
    <row r="5076" spans="2:16" x14ac:dyDescent="0.25">
      <c r="B5076" s="24"/>
      <c r="E5076" s="24"/>
      <c r="G5076" s="24"/>
      <c r="H5076" s="24"/>
      <c r="J5076" s="24"/>
      <c r="K5076" s="24"/>
      <c r="M5076" s="24"/>
      <c r="N5076" s="24"/>
      <c r="P5076" s="24"/>
    </row>
    <row r="5077" spans="2:16" x14ac:dyDescent="0.25">
      <c r="B5077" s="24"/>
      <c r="E5077" s="24"/>
      <c r="G5077" s="24"/>
      <c r="H5077" s="24"/>
      <c r="J5077" s="24"/>
      <c r="K5077" s="24"/>
      <c r="M5077" s="24"/>
      <c r="N5077" s="24"/>
      <c r="P5077" s="24"/>
    </row>
    <row r="5078" spans="2:16" x14ac:dyDescent="0.25">
      <c r="B5078" s="24"/>
      <c r="E5078" s="24"/>
      <c r="G5078" s="24"/>
      <c r="H5078" s="24"/>
      <c r="J5078" s="24"/>
      <c r="K5078" s="24"/>
      <c r="M5078" s="24"/>
      <c r="N5078" s="24"/>
      <c r="P5078" s="24"/>
    </row>
    <row r="5079" spans="2:16" x14ac:dyDescent="0.25">
      <c r="B5079" s="24"/>
      <c r="E5079" s="24"/>
      <c r="G5079" s="24"/>
      <c r="H5079" s="24"/>
      <c r="J5079" s="24"/>
      <c r="K5079" s="24"/>
      <c r="M5079" s="24"/>
      <c r="N5079" s="24"/>
      <c r="P5079" s="24"/>
    </row>
    <row r="5080" spans="2:16" x14ac:dyDescent="0.25">
      <c r="B5080" s="24"/>
      <c r="E5080" s="24"/>
      <c r="G5080" s="24"/>
      <c r="H5080" s="24"/>
      <c r="J5080" s="24"/>
      <c r="K5080" s="24"/>
      <c r="M5080" s="24"/>
      <c r="N5080" s="24"/>
      <c r="P5080" s="24"/>
    </row>
    <row r="5081" spans="2:16" x14ac:dyDescent="0.25">
      <c r="B5081" s="24"/>
      <c r="E5081" s="24"/>
      <c r="G5081" s="24"/>
      <c r="H5081" s="24"/>
      <c r="J5081" s="24"/>
      <c r="K5081" s="24"/>
      <c r="M5081" s="24"/>
      <c r="N5081" s="24"/>
      <c r="P5081" s="24"/>
    </row>
    <row r="5082" spans="2:16" x14ac:dyDescent="0.25">
      <c r="B5082" s="24"/>
      <c r="E5082" s="24"/>
      <c r="G5082" s="24"/>
      <c r="H5082" s="24"/>
      <c r="J5082" s="24"/>
      <c r="K5082" s="24"/>
      <c r="M5082" s="24"/>
      <c r="N5082" s="24"/>
      <c r="P5082" s="24"/>
    </row>
    <row r="5083" spans="2:16" x14ac:dyDescent="0.25">
      <c r="B5083" s="24"/>
      <c r="E5083" s="24"/>
      <c r="G5083" s="24"/>
      <c r="H5083" s="24"/>
      <c r="J5083" s="24"/>
      <c r="K5083" s="24"/>
      <c r="M5083" s="24"/>
      <c r="N5083" s="24"/>
      <c r="P5083" s="24"/>
    </row>
    <row r="5084" spans="2:16" x14ac:dyDescent="0.25">
      <c r="B5084" s="24"/>
      <c r="E5084" s="24"/>
      <c r="G5084" s="24"/>
      <c r="H5084" s="24"/>
      <c r="J5084" s="24"/>
      <c r="K5084" s="24"/>
      <c r="M5084" s="24"/>
      <c r="N5084" s="24"/>
      <c r="P5084" s="24"/>
    </row>
    <row r="5085" spans="2:16" x14ac:dyDescent="0.25">
      <c r="B5085" s="24"/>
      <c r="E5085" s="24"/>
      <c r="G5085" s="24"/>
      <c r="H5085" s="24"/>
      <c r="J5085" s="24"/>
      <c r="K5085" s="24"/>
      <c r="M5085" s="24"/>
      <c r="N5085" s="24"/>
      <c r="P5085" s="24"/>
    </row>
    <row r="5086" spans="2:16" x14ac:dyDescent="0.25">
      <c r="B5086" s="24"/>
      <c r="E5086" s="24"/>
      <c r="G5086" s="24"/>
      <c r="H5086" s="24"/>
      <c r="J5086" s="24"/>
      <c r="K5086" s="24"/>
      <c r="M5086" s="24"/>
      <c r="N5086" s="24"/>
      <c r="P5086" s="24"/>
    </row>
    <row r="5087" spans="2:16" x14ac:dyDescent="0.25">
      <c r="B5087" s="24"/>
      <c r="E5087" s="24"/>
      <c r="G5087" s="24"/>
      <c r="H5087" s="24"/>
      <c r="J5087" s="24"/>
      <c r="K5087" s="24"/>
      <c r="M5087" s="24"/>
      <c r="N5087" s="24"/>
      <c r="P5087" s="24"/>
    </row>
    <row r="5088" spans="2:16" x14ac:dyDescent="0.25">
      <c r="B5088" s="24"/>
      <c r="E5088" s="24"/>
      <c r="G5088" s="24"/>
      <c r="H5088" s="24"/>
      <c r="J5088" s="24"/>
      <c r="K5088" s="24"/>
      <c r="M5088" s="24"/>
      <c r="N5088" s="24"/>
      <c r="P5088" s="24"/>
    </row>
    <row r="5089" spans="2:16" x14ac:dyDescent="0.25">
      <c r="B5089" s="24"/>
      <c r="E5089" s="24"/>
      <c r="G5089" s="24"/>
      <c r="H5089" s="24"/>
      <c r="J5089" s="24"/>
      <c r="K5089" s="24"/>
      <c r="M5089" s="24"/>
      <c r="N5089" s="24"/>
      <c r="P5089" s="24"/>
    </row>
    <row r="5090" spans="2:16" x14ac:dyDescent="0.25">
      <c r="B5090" s="24"/>
      <c r="E5090" s="24"/>
      <c r="G5090" s="24"/>
      <c r="H5090" s="24"/>
      <c r="J5090" s="24"/>
      <c r="K5090" s="24"/>
      <c r="M5090" s="24"/>
      <c r="N5090" s="24"/>
      <c r="P5090" s="24"/>
    </row>
    <row r="5091" spans="2:16" x14ac:dyDescent="0.25">
      <c r="B5091" s="24"/>
      <c r="E5091" s="24"/>
      <c r="G5091" s="24"/>
      <c r="H5091" s="24"/>
      <c r="J5091" s="24"/>
      <c r="K5091" s="24"/>
      <c r="M5091" s="24"/>
      <c r="N5091" s="24"/>
      <c r="P5091" s="24"/>
    </row>
    <row r="5092" spans="2:16" x14ac:dyDescent="0.25">
      <c r="B5092" s="24"/>
      <c r="E5092" s="24"/>
      <c r="G5092" s="24"/>
      <c r="H5092" s="24"/>
      <c r="J5092" s="24"/>
      <c r="K5092" s="24"/>
      <c r="M5092" s="24"/>
      <c r="N5092" s="24"/>
      <c r="P5092" s="24"/>
    </row>
    <row r="5093" spans="2:16" x14ac:dyDescent="0.25">
      <c r="B5093" s="24"/>
      <c r="E5093" s="24"/>
      <c r="G5093" s="24"/>
      <c r="H5093" s="24"/>
      <c r="J5093" s="24"/>
      <c r="K5093" s="24"/>
      <c r="M5093" s="24"/>
      <c r="N5093" s="24"/>
      <c r="P5093" s="24"/>
    </row>
    <row r="5094" spans="2:16" x14ac:dyDescent="0.25">
      <c r="B5094" s="24"/>
      <c r="E5094" s="24"/>
      <c r="G5094" s="24"/>
      <c r="H5094" s="24"/>
      <c r="J5094" s="24"/>
      <c r="K5094" s="24"/>
      <c r="M5094" s="24"/>
      <c r="N5094" s="24"/>
      <c r="P5094" s="24"/>
    </row>
    <row r="5095" spans="2:16" x14ac:dyDescent="0.25">
      <c r="B5095" s="24"/>
      <c r="E5095" s="24"/>
      <c r="G5095" s="24"/>
      <c r="H5095" s="24"/>
      <c r="J5095" s="24"/>
      <c r="K5095" s="24"/>
      <c r="M5095" s="24"/>
      <c r="N5095" s="24"/>
      <c r="P5095" s="24"/>
    </row>
    <row r="5096" spans="2:16" x14ac:dyDescent="0.25">
      <c r="B5096" s="24"/>
      <c r="E5096" s="24"/>
      <c r="G5096" s="24"/>
      <c r="H5096" s="24"/>
      <c r="J5096" s="24"/>
      <c r="K5096" s="24"/>
      <c r="M5096" s="24"/>
      <c r="N5096" s="24"/>
      <c r="P5096" s="24"/>
    </row>
    <row r="5097" spans="2:16" x14ac:dyDescent="0.25">
      <c r="B5097" s="24"/>
      <c r="E5097" s="24"/>
      <c r="G5097" s="24"/>
      <c r="H5097" s="24"/>
      <c r="J5097" s="24"/>
      <c r="K5097" s="24"/>
      <c r="M5097" s="24"/>
      <c r="N5097" s="24"/>
      <c r="P5097" s="24"/>
    </row>
    <row r="5098" spans="2:16" x14ac:dyDescent="0.25">
      <c r="B5098" s="24"/>
      <c r="E5098" s="24"/>
      <c r="G5098" s="24"/>
      <c r="H5098" s="24"/>
      <c r="J5098" s="24"/>
      <c r="K5098" s="24"/>
      <c r="M5098" s="24"/>
      <c r="N5098" s="24"/>
      <c r="P5098" s="24"/>
    </row>
    <row r="5099" spans="2:16" x14ac:dyDescent="0.25">
      <c r="B5099" s="24"/>
      <c r="E5099" s="24"/>
      <c r="G5099" s="24"/>
      <c r="H5099" s="24"/>
      <c r="J5099" s="24"/>
      <c r="K5099" s="24"/>
      <c r="M5099" s="24"/>
      <c r="N5099" s="24"/>
      <c r="P5099" s="24"/>
    </row>
    <row r="5100" spans="2:16" x14ac:dyDescent="0.25">
      <c r="B5100" s="24"/>
      <c r="E5100" s="24"/>
      <c r="G5100" s="24"/>
      <c r="H5100" s="24"/>
      <c r="J5100" s="24"/>
      <c r="K5100" s="24"/>
      <c r="M5100" s="24"/>
      <c r="N5100" s="24"/>
      <c r="P5100" s="24"/>
    </row>
    <row r="5101" spans="2:16" x14ac:dyDescent="0.25">
      <c r="B5101" s="24"/>
      <c r="E5101" s="24"/>
      <c r="G5101" s="24"/>
      <c r="H5101" s="24"/>
      <c r="J5101" s="24"/>
      <c r="K5101" s="24"/>
      <c r="M5101" s="24"/>
      <c r="N5101" s="24"/>
      <c r="P5101" s="24"/>
    </row>
    <row r="5102" spans="2:16" x14ac:dyDescent="0.25">
      <c r="B5102" s="24"/>
      <c r="E5102" s="24"/>
      <c r="G5102" s="24"/>
      <c r="H5102" s="24"/>
      <c r="J5102" s="24"/>
      <c r="K5102" s="24"/>
      <c r="M5102" s="24"/>
      <c r="N5102" s="24"/>
      <c r="P5102" s="24"/>
    </row>
    <row r="5103" spans="2:16" x14ac:dyDescent="0.25">
      <c r="B5103" s="24"/>
      <c r="E5103" s="24"/>
      <c r="G5103" s="24"/>
      <c r="H5103" s="24"/>
      <c r="J5103" s="24"/>
      <c r="K5103" s="24"/>
      <c r="M5103" s="24"/>
      <c r="N5103" s="24"/>
      <c r="P5103" s="24"/>
    </row>
    <row r="5104" spans="2:16" x14ac:dyDescent="0.25">
      <c r="B5104" s="24"/>
      <c r="E5104" s="24"/>
      <c r="G5104" s="24"/>
      <c r="H5104" s="24"/>
      <c r="J5104" s="24"/>
      <c r="K5104" s="24"/>
      <c r="M5104" s="24"/>
      <c r="N5104" s="24"/>
      <c r="P5104" s="24"/>
    </row>
    <row r="5105" spans="2:16" x14ac:dyDescent="0.25">
      <c r="B5105" s="24"/>
      <c r="E5105" s="24"/>
      <c r="G5105" s="24"/>
      <c r="H5105" s="24"/>
      <c r="J5105" s="24"/>
      <c r="K5105" s="24"/>
      <c r="M5105" s="24"/>
      <c r="N5105" s="24"/>
      <c r="P5105" s="24"/>
    </row>
    <row r="5106" spans="2:16" x14ac:dyDescent="0.25">
      <c r="B5106" s="24"/>
      <c r="E5106" s="24"/>
      <c r="G5106" s="24"/>
      <c r="H5106" s="24"/>
      <c r="J5106" s="24"/>
      <c r="K5106" s="24"/>
      <c r="M5106" s="24"/>
      <c r="N5106" s="24"/>
      <c r="P5106" s="24"/>
    </row>
    <row r="5107" spans="2:16" x14ac:dyDescent="0.25">
      <c r="B5107" s="24"/>
      <c r="E5107" s="24"/>
      <c r="G5107" s="24"/>
      <c r="H5107" s="24"/>
      <c r="J5107" s="24"/>
      <c r="K5107" s="24"/>
      <c r="M5107" s="24"/>
      <c r="N5107" s="24"/>
      <c r="P5107" s="24"/>
    </row>
    <row r="5108" spans="2:16" x14ac:dyDescent="0.25">
      <c r="B5108" s="24"/>
      <c r="E5108" s="24"/>
      <c r="G5108" s="24"/>
      <c r="H5108" s="24"/>
      <c r="J5108" s="24"/>
      <c r="K5108" s="24"/>
      <c r="M5108" s="24"/>
      <c r="N5108" s="24"/>
      <c r="P5108" s="24"/>
    </row>
    <row r="5109" spans="2:16" x14ac:dyDescent="0.25">
      <c r="B5109" s="24"/>
      <c r="E5109" s="24"/>
      <c r="G5109" s="24"/>
      <c r="H5109" s="24"/>
      <c r="J5109" s="24"/>
      <c r="K5109" s="24"/>
      <c r="M5109" s="24"/>
      <c r="N5109" s="24"/>
      <c r="P5109" s="24"/>
    </row>
    <row r="5110" spans="2:16" x14ac:dyDescent="0.25">
      <c r="B5110" s="24"/>
      <c r="E5110" s="24"/>
      <c r="G5110" s="24"/>
      <c r="H5110" s="24"/>
      <c r="J5110" s="24"/>
      <c r="K5110" s="24"/>
      <c r="M5110" s="24"/>
      <c r="N5110" s="24"/>
      <c r="P5110" s="24"/>
    </row>
    <row r="5111" spans="2:16" x14ac:dyDescent="0.25">
      <c r="B5111" s="24"/>
      <c r="E5111" s="24"/>
      <c r="G5111" s="24"/>
      <c r="H5111" s="24"/>
      <c r="J5111" s="24"/>
      <c r="K5111" s="24"/>
      <c r="M5111" s="24"/>
      <c r="N5111" s="24"/>
      <c r="P5111" s="24"/>
    </row>
    <row r="5112" spans="2:16" x14ac:dyDescent="0.25">
      <c r="B5112" s="24"/>
      <c r="E5112" s="24"/>
      <c r="G5112" s="24"/>
      <c r="H5112" s="24"/>
      <c r="J5112" s="24"/>
      <c r="K5112" s="24"/>
      <c r="M5112" s="24"/>
      <c r="N5112" s="24"/>
      <c r="P5112" s="24"/>
    </row>
    <row r="5113" spans="2:16" x14ac:dyDescent="0.25">
      <c r="B5113" s="24"/>
      <c r="E5113" s="24"/>
      <c r="G5113" s="24"/>
      <c r="H5113" s="24"/>
      <c r="J5113" s="24"/>
      <c r="K5113" s="24"/>
      <c r="M5113" s="24"/>
      <c r="N5113" s="24"/>
      <c r="P5113" s="24"/>
    </row>
    <row r="5114" spans="2:16" x14ac:dyDescent="0.25">
      <c r="B5114" s="24"/>
      <c r="E5114" s="24"/>
      <c r="G5114" s="24"/>
      <c r="H5114" s="24"/>
      <c r="J5114" s="24"/>
      <c r="K5114" s="24"/>
      <c r="M5114" s="24"/>
      <c r="N5114" s="24"/>
      <c r="P5114" s="24"/>
    </row>
    <row r="5115" spans="2:16" x14ac:dyDescent="0.25">
      <c r="B5115" s="24"/>
      <c r="E5115" s="24"/>
      <c r="G5115" s="24"/>
      <c r="H5115" s="24"/>
      <c r="J5115" s="24"/>
      <c r="K5115" s="24"/>
      <c r="M5115" s="24"/>
      <c r="N5115" s="24"/>
      <c r="P5115" s="24"/>
    </row>
    <row r="5116" spans="2:16" x14ac:dyDescent="0.25">
      <c r="B5116" s="24"/>
      <c r="E5116" s="24"/>
      <c r="G5116" s="24"/>
      <c r="H5116" s="24"/>
      <c r="J5116" s="24"/>
      <c r="K5116" s="24"/>
      <c r="M5116" s="24"/>
      <c r="N5116" s="24"/>
      <c r="P5116" s="24"/>
    </row>
    <row r="5117" spans="2:16" x14ac:dyDescent="0.25">
      <c r="B5117" s="24"/>
      <c r="E5117" s="24"/>
      <c r="G5117" s="24"/>
      <c r="H5117" s="24"/>
      <c r="J5117" s="24"/>
      <c r="K5117" s="24"/>
      <c r="M5117" s="24"/>
      <c r="N5117" s="24"/>
      <c r="P5117" s="24"/>
    </row>
    <row r="5118" spans="2:16" x14ac:dyDescent="0.25">
      <c r="B5118" s="24"/>
      <c r="E5118" s="24"/>
      <c r="G5118" s="24"/>
      <c r="H5118" s="24"/>
      <c r="J5118" s="24"/>
      <c r="K5118" s="24"/>
      <c r="M5118" s="24"/>
      <c r="N5118" s="24"/>
      <c r="P5118" s="24"/>
    </row>
    <row r="5119" spans="2:16" x14ac:dyDescent="0.25">
      <c r="B5119" s="24"/>
      <c r="E5119" s="24"/>
      <c r="G5119" s="24"/>
      <c r="H5119" s="24"/>
      <c r="J5119" s="24"/>
      <c r="K5119" s="24"/>
      <c r="M5119" s="24"/>
      <c r="N5119" s="24"/>
      <c r="P5119" s="24"/>
    </row>
    <row r="5120" spans="2:16" x14ac:dyDescent="0.25">
      <c r="B5120" s="24"/>
      <c r="E5120" s="24"/>
      <c r="G5120" s="24"/>
      <c r="H5120" s="24"/>
      <c r="J5120" s="24"/>
      <c r="K5120" s="24"/>
      <c r="M5120" s="24"/>
      <c r="N5120" s="24"/>
      <c r="P5120" s="24"/>
    </row>
    <row r="5121" spans="2:16" x14ac:dyDescent="0.25">
      <c r="B5121" s="24"/>
      <c r="E5121" s="24"/>
      <c r="G5121" s="24"/>
      <c r="H5121" s="24"/>
      <c r="J5121" s="24"/>
      <c r="K5121" s="24"/>
      <c r="M5121" s="24"/>
      <c r="N5121" s="24"/>
      <c r="P5121" s="24"/>
    </row>
    <row r="5122" spans="2:16" x14ac:dyDescent="0.25">
      <c r="B5122" s="24"/>
      <c r="E5122" s="24"/>
      <c r="G5122" s="24"/>
      <c r="H5122" s="24"/>
      <c r="J5122" s="24"/>
      <c r="K5122" s="24"/>
      <c r="M5122" s="24"/>
      <c r="N5122" s="24"/>
      <c r="P5122" s="24"/>
    </row>
    <row r="5123" spans="2:16" x14ac:dyDescent="0.25">
      <c r="B5123" s="24"/>
      <c r="E5123" s="24"/>
      <c r="G5123" s="24"/>
      <c r="H5123" s="24"/>
      <c r="J5123" s="24"/>
      <c r="K5123" s="24"/>
      <c r="M5123" s="24"/>
      <c r="N5123" s="24"/>
      <c r="P5123" s="24"/>
    </row>
    <row r="5124" spans="2:16" x14ac:dyDescent="0.25">
      <c r="B5124" s="24"/>
      <c r="E5124" s="24"/>
      <c r="G5124" s="24"/>
      <c r="H5124" s="24"/>
      <c r="J5124" s="24"/>
      <c r="K5124" s="24"/>
      <c r="M5124" s="24"/>
      <c r="N5124" s="24"/>
      <c r="P5124" s="24"/>
    </row>
    <row r="5125" spans="2:16" x14ac:dyDescent="0.25">
      <c r="B5125" s="24"/>
      <c r="E5125" s="24"/>
      <c r="G5125" s="24"/>
      <c r="H5125" s="24"/>
      <c r="J5125" s="24"/>
      <c r="K5125" s="24"/>
      <c r="M5125" s="24"/>
      <c r="N5125" s="24"/>
      <c r="P5125" s="24"/>
    </row>
    <row r="5126" spans="2:16" x14ac:dyDescent="0.25">
      <c r="B5126" s="24"/>
      <c r="E5126" s="24"/>
      <c r="G5126" s="24"/>
      <c r="H5126" s="24"/>
      <c r="J5126" s="24"/>
      <c r="K5126" s="24"/>
      <c r="M5126" s="24"/>
      <c r="N5126" s="24"/>
      <c r="P5126" s="24"/>
    </row>
    <row r="5127" spans="2:16" x14ac:dyDescent="0.25">
      <c r="B5127" s="24"/>
      <c r="E5127" s="24"/>
      <c r="G5127" s="24"/>
      <c r="H5127" s="24"/>
      <c r="J5127" s="24"/>
      <c r="K5127" s="24"/>
      <c r="M5127" s="24"/>
      <c r="N5127" s="24"/>
      <c r="P5127" s="24"/>
    </row>
    <row r="5128" spans="2:16" x14ac:dyDescent="0.25">
      <c r="B5128" s="24"/>
      <c r="E5128" s="24"/>
      <c r="G5128" s="24"/>
      <c r="H5128" s="24"/>
      <c r="J5128" s="24"/>
      <c r="K5128" s="24"/>
      <c r="M5128" s="24"/>
      <c r="N5128" s="24"/>
      <c r="P5128" s="24"/>
    </row>
    <row r="5129" spans="2:16" x14ac:dyDescent="0.25">
      <c r="B5129" s="24"/>
      <c r="E5129" s="24"/>
      <c r="G5129" s="24"/>
      <c r="H5129" s="24"/>
      <c r="J5129" s="24"/>
      <c r="K5129" s="24"/>
      <c r="M5129" s="24"/>
      <c r="N5129" s="24"/>
      <c r="P5129" s="24"/>
    </row>
    <row r="5130" spans="2:16" x14ac:dyDescent="0.25">
      <c r="B5130" s="24"/>
      <c r="E5130" s="24"/>
      <c r="G5130" s="24"/>
      <c r="H5130" s="24"/>
      <c r="J5130" s="24"/>
      <c r="K5130" s="24"/>
      <c r="M5130" s="24"/>
      <c r="N5130" s="24"/>
      <c r="P5130" s="24"/>
    </row>
    <row r="5131" spans="2:16" x14ac:dyDescent="0.25">
      <c r="B5131" s="24"/>
      <c r="E5131" s="24"/>
      <c r="G5131" s="24"/>
      <c r="H5131" s="24"/>
      <c r="J5131" s="24"/>
      <c r="K5131" s="24"/>
      <c r="M5131" s="24"/>
      <c r="N5131" s="24"/>
      <c r="P5131" s="24"/>
    </row>
    <row r="5132" spans="2:16" x14ac:dyDescent="0.25">
      <c r="B5132" s="24"/>
      <c r="E5132" s="24"/>
      <c r="G5132" s="24"/>
      <c r="H5132" s="24"/>
      <c r="J5132" s="24"/>
      <c r="K5132" s="24"/>
      <c r="M5132" s="24"/>
      <c r="N5132" s="24"/>
      <c r="P5132" s="24"/>
    </row>
    <row r="5133" spans="2:16" x14ac:dyDescent="0.25">
      <c r="B5133" s="24"/>
      <c r="E5133" s="24"/>
      <c r="G5133" s="24"/>
      <c r="H5133" s="24"/>
      <c r="J5133" s="24"/>
      <c r="K5133" s="24"/>
      <c r="M5133" s="24"/>
      <c r="N5133" s="24"/>
      <c r="P5133" s="24"/>
    </row>
    <row r="5134" spans="2:16" x14ac:dyDescent="0.25">
      <c r="B5134" s="24"/>
      <c r="E5134" s="24"/>
      <c r="G5134" s="24"/>
      <c r="H5134" s="24"/>
      <c r="J5134" s="24"/>
      <c r="K5134" s="24"/>
      <c r="M5134" s="24"/>
      <c r="N5134" s="24"/>
      <c r="P5134" s="24"/>
    </row>
    <row r="5135" spans="2:16" x14ac:dyDescent="0.25">
      <c r="B5135" s="24"/>
      <c r="E5135" s="24"/>
      <c r="G5135" s="24"/>
      <c r="H5135" s="24"/>
      <c r="J5135" s="24"/>
      <c r="K5135" s="24"/>
      <c r="M5135" s="24"/>
      <c r="N5135" s="24"/>
      <c r="P5135" s="24"/>
    </row>
    <row r="5136" spans="2:16" x14ac:dyDescent="0.25">
      <c r="B5136" s="24"/>
      <c r="E5136" s="24"/>
      <c r="G5136" s="24"/>
      <c r="H5136" s="24"/>
      <c r="J5136" s="24"/>
      <c r="K5136" s="24"/>
      <c r="M5136" s="24"/>
      <c r="N5136" s="24"/>
      <c r="P5136" s="24"/>
    </row>
    <row r="5137" spans="2:16" x14ac:dyDescent="0.25">
      <c r="B5137" s="24"/>
      <c r="E5137" s="24"/>
      <c r="G5137" s="24"/>
      <c r="H5137" s="24"/>
      <c r="J5137" s="24"/>
      <c r="K5137" s="24"/>
      <c r="M5137" s="24"/>
      <c r="N5137" s="24"/>
      <c r="P5137" s="24"/>
    </row>
    <row r="5138" spans="2:16" x14ac:dyDescent="0.25">
      <c r="B5138" s="24"/>
      <c r="E5138" s="24"/>
      <c r="G5138" s="24"/>
      <c r="H5138" s="24"/>
      <c r="J5138" s="24"/>
      <c r="K5138" s="24"/>
      <c r="M5138" s="24"/>
      <c r="N5138" s="24"/>
      <c r="P5138" s="24"/>
    </row>
    <row r="5139" spans="2:16" x14ac:dyDescent="0.25">
      <c r="B5139" s="24"/>
      <c r="E5139" s="24"/>
      <c r="G5139" s="24"/>
      <c r="H5139" s="24"/>
      <c r="J5139" s="24"/>
      <c r="K5139" s="24"/>
      <c r="M5139" s="24"/>
      <c r="N5139" s="24"/>
      <c r="P5139" s="24"/>
    </row>
    <row r="5140" spans="2:16" x14ac:dyDescent="0.25">
      <c r="B5140" s="24"/>
      <c r="E5140" s="24"/>
      <c r="G5140" s="24"/>
      <c r="H5140" s="24"/>
      <c r="J5140" s="24"/>
      <c r="K5140" s="24"/>
      <c r="M5140" s="24"/>
      <c r="N5140" s="24"/>
      <c r="P5140" s="24"/>
    </row>
    <row r="5141" spans="2:16" x14ac:dyDescent="0.25">
      <c r="B5141" s="24"/>
      <c r="E5141" s="24"/>
      <c r="G5141" s="24"/>
      <c r="H5141" s="24"/>
      <c r="J5141" s="24"/>
      <c r="K5141" s="24"/>
      <c r="M5141" s="24"/>
      <c r="N5141" s="24"/>
      <c r="P5141" s="24"/>
    </row>
    <row r="5142" spans="2:16" x14ac:dyDescent="0.25">
      <c r="B5142" s="24"/>
      <c r="E5142" s="24"/>
      <c r="G5142" s="24"/>
      <c r="H5142" s="24"/>
      <c r="J5142" s="24"/>
      <c r="K5142" s="24"/>
      <c r="M5142" s="24"/>
      <c r="N5142" s="24"/>
      <c r="P5142" s="24"/>
    </row>
    <row r="5143" spans="2:16" x14ac:dyDescent="0.25">
      <c r="B5143" s="24"/>
      <c r="E5143" s="24"/>
      <c r="G5143" s="24"/>
      <c r="H5143" s="24"/>
      <c r="J5143" s="24"/>
      <c r="K5143" s="24"/>
      <c r="M5143" s="24"/>
      <c r="N5143" s="24"/>
      <c r="P5143" s="24"/>
    </row>
    <row r="5144" spans="2:16" x14ac:dyDescent="0.25">
      <c r="B5144" s="24"/>
      <c r="E5144" s="24"/>
      <c r="G5144" s="24"/>
      <c r="H5144" s="24"/>
      <c r="J5144" s="24"/>
      <c r="K5144" s="24"/>
      <c r="M5144" s="24"/>
      <c r="N5144" s="24"/>
      <c r="P5144" s="24"/>
    </row>
    <row r="5145" spans="2:16" x14ac:dyDescent="0.25">
      <c r="B5145" s="24"/>
      <c r="E5145" s="24"/>
      <c r="G5145" s="24"/>
      <c r="H5145" s="24"/>
      <c r="J5145" s="24"/>
      <c r="K5145" s="24"/>
      <c r="M5145" s="24"/>
      <c r="N5145" s="24"/>
      <c r="P5145" s="24"/>
    </row>
    <row r="5146" spans="2:16" x14ac:dyDescent="0.25">
      <c r="B5146" s="24"/>
      <c r="E5146" s="24"/>
      <c r="G5146" s="24"/>
      <c r="H5146" s="24"/>
      <c r="J5146" s="24"/>
      <c r="K5146" s="24"/>
      <c r="M5146" s="24"/>
      <c r="N5146" s="24"/>
      <c r="P5146" s="24"/>
    </row>
    <row r="5147" spans="2:16" x14ac:dyDescent="0.25">
      <c r="B5147" s="24"/>
      <c r="E5147" s="24"/>
      <c r="G5147" s="24"/>
      <c r="H5147" s="24"/>
      <c r="J5147" s="24"/>
      <c r="K5147" s="24"/>
      <c r="M5147" s="24"/>
      <c r="N5147" s="24"/>
      <c r="P5147" s="24"/>
    </row>
    <row r="5148" spans="2:16" x14ac:dyDescent="0.25">
      <c r="B5148" s="24"/>
      <c r="E5148" s="24"/>
      <c r="G5148" s="24"/>
      <c r="H5148" s="24"/>
      <c r="J5148" s="24"/>
      <c r="K5148" s="24"/>
      <c r="M5148" s="24"/>
      <c r="N5148" s="24"/>
      <c r="P5148" s="24"/>
    </row>
    <row r="5149" spans="2:16" x14ac:dyDescent="0.25">
      <c r="B5149" s="24"/>
      <c r="E5149" s="24"/>
      <c r="G5149" s="24"/>
      <c r="H5149" s="24"/>
      <c r="J5149" s="24"/>
      <c r="K5149" s="24"/>
      <c r="M5149" s="24"/>
      <c r="N5149" s="24"/>
      <c r="P5149" s="24"/>
    </row>
    <row r="5150" spans="2:16" x14ac:dyDescent="0.25">
      <c r="B5150" s="24"/>
      <c r="E5150" s="24"/>
      <c r="G5150" s="24"/>
      <c r="H5150" s="24"/>
      <c r="J5150" s="24"/>
      <c r="K5150" s="24"/>
      <c r="M5150" s="24"/>
      <c r="N5150" s="24"/>
      <c r="P5150" s="24"/>
    </row>
    <row r="5151" spans="2:16" x14ac:dyDescent="0.25">
      <c r="B5151" s="24"/>
      <c r="E5151" s="24"/>
      <c r="G5151" s="24"/>
      <c r="H5151" s="24"/>
      <c r="J5151" s="24"/>
      <c r="K5151" s="24"/>
      <c r="M5151" s="24"/>
      <c r="N5151" s="24"/>
      <c r="P5151" s="24"/>
    </row>
    <row r="5152" spans="2:16" x14ac:dyDescent="0.25">
      <c r="B5152" s="24"/>
      <c r="E5152" s="24"/>
      <c r="G5152" s="24"/>
      <c r="H5152" s="24"/>
      <c r="J5152" s="24"/>
      <c r="K5152" s="24"/>
      <c r="M5152" s="24"/>
      <c r="N5152" s="24"/>
      <c r="P5152" s="24"/>
    </row>
    <row r="5153" spans="2:16" x14ac:dyDescent="0.25">
      <c r="B5153" s="24"/>
      <c r="E5153" s="24"/>
      <c r="G5153" s="24"/>
      <c r="H5153" s="24"/>
      <c r="J5153" s="24"/>
      <c r="K5153" s="24"/>
      <c r="M5153" s="24"/>
      <c r="N5153" s="24"/>
      <c r="P5153" s="24"/>
    </row>
    <row r="5154" spans="2:16" x14ac:dyDescent="0.25">
      <c r="B5154" s="24"/>
      <c r="E5154" s="24"/>
      <c r="G5154" s="24"/>
      <c r="H5154" s="24"/>
      <c r="J5154" s="24"/>
      <c r="K5154" s="24"/>
      <c r="M5154" s="24"/>
      <c r="N5154" s="24"/>
      <c r="P5154" s="24"/>
    </row>
    <row r="5155" spans="2:16" x14ac:dyDescent="0.25">
      <c r="B5155" s="24"/>
      <c r="E5155" s="24"/>
      <c r="G5155" s="24"/>
      <c r="H5155" s="24"/>
      <c r="J5155" s="24"/>
      <c r="K5155" s="24"/>
      <c r="M5155" s="24"/>
      <c r="N5155" s="24"/>
      <c r="P5155" s="24"/>
    </row>
    <row r="5156" spans="2:16" x14ac:dyDescent="0.25">
      <c r="B5156" s="24"/>
      <c r="E5156" s="24"/>
      <c r="G5156" s="24"/>
      <c r="H5156" s="24"/>
      <c r="J5156" s="24"/>
      <c r="K5156" s="24"/>
      <c r="M5156" s="24"/>
      <c r="N5156" s="24"/>
      <c r="P5156" s="24"/>
    </row>
    <row r="5157" spans="2:16" x14ac:dyDescent="0.25">
      <c r="B5157" s="24"/>
      <c r="E5157" s="24"/>
      <c r="G5157" s="24"/>
      <c r="H5157" s="24"/>
      <c r="J5157" s="24"/>
      <c r="K5157" s="24"/>
      <c r="M5157" s="24"/>
      <c r="N5157" s="24"/>
      <c r="P5157" s="24"/>
    </row>
    <row r="5158" spans="2:16" x14ac:dyDescent="0.25">
      <c r="B5158" s="24"/>
      <c r="E5158" s="24"/>
      <c r="G5158" s="24"/>
      <c r="H5158" s="24"/>
      <c r="J5158" s="24"/>
      <c r="K5158" s="24"/>
      <c r="M5158" s="24"/>
      <c r="N5158" s="24"/>
      <c r="P5158" s="24"/>
    </row>
    <row r="5159" spans="2:16" x14ac:dyDescent="0.25">
      <c r="B5159" s="24"/>
      <c r="E5159" s="24"/>
      <c r="G5159" s="24"/>
      <c r="H5159" s="24"/>
      <c r="J5159" s="24"/>
      <c r="K5159" s="24"/>
      <c r="M5159" s="24"/>
      <c r="N5159" s="24"/>
      <c r="P5159" s="24"/>
    </row>
    <row r="5160" spans="2:16" x14ac:dyDescent="0.25">
      <c r="B5160" s="24"/>
      <c r="E5160" s="24"/>
      <c r="G5160" s="24"/>
      <c r="H5160" s="24"/>
      <c r="J5160" s="24"/>
      <c r="K5160" s="24"/>
      <c r="M5160" s="24"/>
      <c r="N5160" s="24"/>
      <c r="P5160" s="24"/>
    </row>
    <row r="5161" spans="2:16" x14ac:dyDescent="0.25">
      <c r="B5161" s="24"/>
      <c r="E5161" s="24"/>
      <c r="G5161" s="24"/>
      <c r="H5161" s="24"/>
      <c r="J5161" s="24"/>
      <c r="K5161" s="24"/>
      <c r="M5161" s="24"/>
      <c r="N5161" s="24"/>
      <c r="P5161" s="24"/>
    </row>
    <row r="5162" spans="2:16" x14ac:dyDescent="0.25">
      <c r="B5162" s="24"/>
      <c r="E5162" s="24"/>
      <c r="G5162" s="24"/>
      <c r="H5162" s="24"/>
      <c r="J5162" s="24"/>
      <c r="K5162" s="24"/>
      <c r="M5162" s="24"/>
      <c r="N5162" s="24"/>
      <c r="P5162" s="24"/>
    </row>
    <row r="5163" spans="2:16" x14ac:dyDescent="0.25">
      <c r="B5163" s="24"/>
      <c r="E5163" s="24"/>
      <c r="G5163" s="24"/>
      <c r="H5163" s="24"/>
      <c r="J5163" s="24"/>
      <c r="K5163" s="24"/>
      <c r="M5163" s="24"/>
      <c r="N5163" s="24"/>
      <c r="P5163" s="24"/>
    </row>
    <row r="5164" spans="2:16" x14ac:dyDescent="0.25">
      <c r="B5164" s="24"/>
      <c r="E5164" s="24"/>
      <c r="G5164" s="24"/>
      <c r="H5164" s="24"/>
      <c r="J5164" s="24"/>
      <c r="K5164" s="24"/>
      <c r="M5164" s="24"/>
      <c r="N5164" s="24"/>
      <c r="P5164" s="24"/>
    </row>
    <row r="5165" spans="2:16" x14ac:dyDescent="0.25">
      <c r="B5165" s="24"/>
      <c r="E5165" s="24"/>
      <c r="G5165" s="24"/>
      <c r="H5165" s="24"/>
      <c r="J5165" s="24"/>
      <c r="K5165" s="24"/>
      <c r="M5165" s="24"/>
      <c r="N5165" s="24"/>
      <c r="P5165" s="24"/>
    </row>
    <row r="5166" spans="2:16" x14ac:dyDescent="0.25">
      <c r="B5166" s="24"/>
      <c r="E5166" s="24"/>
      <c r="G5166" s="24"/>
      <c r="H5166" s="24"/>
      <c r="J5166" s="24"/>
      <c r="K5166" s="24"/>
      <c r="M5166" s="24"/>
      <c r="N5166" s="24"/>
      <c r="P5166" s="24"/>
    </row>
    <row r="5167" spans="2:16" x14ac:dyDescent="0.25">
      <c r="B5167" s="24"/>
      <c r="E5167" s="24"/>
      <c r="G5167" s="24"/>
      <c r="H5167" s="24"/>
      <c r="J5167" s="24"/>
      <c r="K5167" s="24"/>
      <c r="M5167" s="24"/>
      <c r="N5167" s="24"/>
      <c r="P5167" s="24"/>
    </row>
    <row r="5168" spans="2:16" x14ac:dyDescent="0.25">
      <c r="B5168" s="24"/>
      <c r="E5168" s="24"/>
      <c r="G5168" s="24"/>
      <c r="H5168" s="24"/>
      <c r="J5168" s="24"/>
      <c r="K5168" s="24"/>
      <c r="M5168" s="24"/>
      <c r="N5168" s="24"/>
      <c r="P5168" s="24"/>
    </row>
    <row r="5169" spans="2:16" x14ac:dyDescent="0.25">
      <c r="B5169" s="24"/>
      <c r="E5169" s="24"/>
      <c r="G5169" s="24"/>
      <c r="H5169" s="24"/>
      <c r="J5169" s="24"/>
      <c r="K5169" s="24"/>
      <c r="M5169" s="24"/>
      <c r="N5169" s="24"/>
      <c r="P5169" s="24"/>
    </row>
    <row r="5170" spans="2:16" x14ac:dyDescent="0.25">
      <c r="B5170" s="24"/>
      <c r="E5170" s="24"/>
      <c r="G5170" s="24"/>
      <c r="H5170" s="24"/>
      <c r="J5170" s="24"/>
      <c r="K5170" s="24"/>
      <c r="M5170" s="24"/>
      <c r="N5170" s="24"/>
      <c r="P5170" s="24"/>
    </row>
    <row r="5171" spans="2:16" x14ac:dyDescent="0.25">
      <c r="B5171" s="24"/>
      <c r="E5171" s="24"/>
      <c r="G5171" s="24"/>
      <c r="H5171" s="24"/>
      <c r="J5171" s="24"/>
      <c r="K5171" s="24"/>
      <c r="M5171" s="24"/>
      <c r="N5171" s="24"/>
      <c r="P5171" s="24"/>
    </row>
    <row r="5172" spans="2:16" x14ac:dyDescent="0.25">
      <c r="B5172" s="24"/>
      <c r="E5172" s="24"/>
      <c r="G5172" s="24"/>
      <c r="H5172" s="24"/>
      <c r="J5172" s="24"/>
      <c r="K5172" s="24"/>
      <c r="M5172" s="24"/>
      <c r="N5172" s="24"/>
      <c r="P5172" s="24"/>
    </row>
    <row r="5173" spans="2:16" x14ac:dyDescent="0.25">
      <c r="B5173" s="24"/>
      <c r="E5173" s="24"/>
      <c r="G5173" s="24"/>
      <c r="H5173" s="24"/>
      <c r="J5173" s="24"/>
      <c r="K5173" s="24"/>
      <c r="M5173" s="24"/>
      <c r="N5173" s="24"/>
      <c r="P5173" s="24"/>
    </row>
    <row r="5174" spans="2:16" x14ac:dyDescent="0.25">
      <c r="B5174" s="24"/>
      <c r="E5174" s="24"/>
      <c r="G5174" s="24"/>
      <c r="H5174" s="24"/>
      <c r="J5174" s="24"/>
      <c r="K5174" s="24"/>
      <c r="M5174" s="24"/>
      <c r="N5174" s="24"/>
      <c r="P5174" s="24"/>
    </row>
    <row r="5175" spans="2:16" x14ac:dyDescent="0.25">
      <c r="B5175" s="24"/>
      <c r="E5175" s="24"/>
      <c r="G5175" s="24"/>
      <c r="H5175" s="24"/>
      <c r="J5175" s="24"/>
      <c r="K5175" s="24"/>
      <c r="M5175" s="24"/>
      <c r="N5175" s="24"/>
      <c r="P5175" s="24"/>
    </row>
    <row r="5176" spans="2:16" x14ac:dyDescent="0.25">
      <c r="B5176" s="24"/>
      <c r="E5176" s="24"/>
      <c r="G5176" s="24"/>
      <c r="H5176" s="24"/>
      <c r="J5176" s="24"/>
      <c r="K5176" s="24"/>
      <c r="M5176" s="24"/>
      <c r="N5176" s="24"/>
      <c r="P5176" s="24"/>
    </row>
    <row r="5177" spans="2:16" x14ac:dyDescent="0.25">
      <c r="B5177" s="24"/>
      <c r="E5177" s="24"/>
      <c r="G5177" s="24"/>
      <c r="H5177" s="24"/>
      <c r="J5177" s="24"/>
      <c r="K5177" s="24"/>
      <c r="M5177" s="24"/>
      <c r="N5177" s="24"/>
      <c r="P5177" s="24"/>
    </row>
    <row r="5178" spans="2:16" x14ac:dyDescent="0.25">
      <c r="B5178" s="24"/>
      <c r="E5178" s="24"/>
      <c r="G5178" s="24"/>
      <c r="H5178" s="24"/>
      <c r="J5178" s="24"/>
      <c r="K5178" s="24"/>
      <c r="M5178" s="24"/>
      <c r="N5178" s="24"/>
      <c r="P5178" s="24"/>
    </row>
    <row r="5179" spans="2:16" x14ac:dyDescent="0.25">
      <c r="B5179" s="24"/>
      <c r="E5179" s="24"/>
      <c r="G5179" s="24"/>
      <c r="H5179" s="24"/>
      <c r="J5179" s="24"/>
      <c r="K5179" s="24"/>
      <c r="M5179" s="24"/>
      <c r="N5179" s="24"/>
      <c r="P5179" s="24"/>
    </row>
    <row r="5180" spans="2:16" x14ac:dyDescent="0.25">
      <c r="B5180" s="24"/>
      <c r="E5180" s="24"/>
      <c r="G5180" s="24"/>
      <c r="H5180" s="24"/>
      <c r="J5180" s="24"/>
      <c r="K5180" s="24"/>
      <c r="M5180" s="24"/>
      <c r="N5180" s="24"/>
      <c r="P5180" s="24"/>
    </row>
    <row r="5181" spans="2:16" x14ac:dyDescent="0.25">
      <c r="B5181" s="24"/>
      <c r="E5181" s="24"/>
      <c r="G5181" s="24"/>
      <c r="H5181" s="24"/>
      <c r="J5181" s="24"/>
      <c r="K5181" s="24"/>
      <c r="M5181" s="24"/>
      <c r="N5181" s="24"/>
      <c r="P5181" s="24"/>
    </row>
    <row r="5182" spans="2:16" x14ac:dyDescent="0.25">
      <c r="B5182" s="24"/>
      <c r="E5182" s="24"/>
      <c r="G5182" s="24"/>
      <c r="H5182" s="24"/>
      <c r="J5182" s="24"/>
      <c r="K5182" s="24"/>
      <c r="M5182" s="24"/>
      <c r="N5182" s="24"/>
      <c r="P5182" s="24"/>
    </row>
    <row r="5183" spans="2:16" x14ac:dyDescent="0.25">
      <c r="B5183" s="24"/>
      <c r="E5183" s="24"/>
      <c r="G5183" s="24"/>
      <c r="H5183" s="24"/>
      <c r="J5183" s="24"/>
      <c r="K5183" s="24"/>
      <c r="M5183" s="24"/>
      <c r="N5183" s="24"/>
      <c r="P5183" s="24"/>
    </row>
    <row r="5184" spans="2:16" x14ac:dyDescent="0.25">
      <c r="B5184" s="24"/>
      <c r="E5184" s="24"/>
      <c r="G5184" s="24"/>
      <c r="H5184" s="24"/>
      <c r="J5184" s="24"/>
      <c r="K5184" s="24"/>
      <c r="M5184" s="24"/>
      <c r="N5184" s="24"/>
      <c r="P5184" s="24"/>
    </row>
    <row r="5185" spans="2:16" x14ac:dyDescent="0.25">
      <c r="B5185" s="24"/>
      <c r="E5185" s="24"/>
      <c r="G5185" s="24"/>
      <c r="H5185" s="24"/>
      <c r="J5185" s="24"/>
      <c r="K5185" s="24"/>
      <c r="M5185" s="24"/>
      <c r="N5185" s="24"/>
      <c r="P5185" s="24"/>
    </row>
    <row r="5186" spans="2:16" x14ac:dyDescent="0.25">
      <c r="B5186" s="24"/>
      <c r="E5186" s="24"/>
      <c r="G5186" s="24"/>
      <c r="H5186" s="24"/>
      <c r="J5186" s="24"/>
      <c r="K5186" s="24"/>
      <c r="M5186" s="24"/>
      <c r="N5186" s="24"/>
      <c r="P5186" s="24"/>
    </row>
    <row r="5187" spans="2:16" x14ac:dyDescent="0.25">
      <c r="B5187" s="24"/>
      <c r="E5187" s="24"/>
      <c r="G5187" s="24"/>
      <c r="H5187" s="24"/>
      <c r="J5187" s="24"/>
      <c r="K5187" s="24"/>
      <c r="M5187" s="24"/>
      <c r="N5187" s="24"/>
      <c r="P5187" s="24"/>
    </row>
    <row r="5188" spans="2:16" x14ac:dyDescent="0.25">
      <c r="B5188" s="24"/>
      <c r="E5188" s="24"/>
      <c r="G5188" s="24"/>
      <c r="H5188" s="24"/>
      <c r="J5188" s="24"/>
      <c r="K5188" s="24"/>
      <c r="M5188" s="24"/>
      <c r="N5188" s="24"/>
      <c r="P5188" s="24"/>
    </row>
    <row r="5189" spans="2:16" x14ac:dyDescent="0.25">
      <c r="B5189" s="24"/>
      <c r="E5189" s="24"/>
      <c r="G5189" s="24"/>
      <c r="H5189" s="24"/>
      <c r="J5189" s="24"/>
      <c r="K5189" s="24"/>
      <c r="M5189" s="24"/>
      <c r="N5189" s="24"/>
      <c r="P5189" s="24"/>
    </row>
    <row r="5190" spans="2:16" x14ac:dyDescent="0.25">
      <c r="B5190" s="24"/>
      <c r="E5190" s="24"/>
      <c r="G5190" s="24"/>
      <c r="H5190" s="24"/>
      <c r="J5190" s="24"/>
      <c r="K5190" s="24"/>
      <c r="M5190" s="24"/>
      <c r="N5190" s="24"/>
      <c r="P5190" s="24"/>
    </row>
    <row r="5191" spans="2:16" x14ac:dyDescent="0.25">
      <c r="B5191" s="24"/>
      <c r="E5191" s="24"/>
      <c r="G5191" s="24"/>
      <c r="H5191" s="24"/>
      <c r="J5191" s="24"/>
      <c r="K5191" s="24"/>
      <c r="M5191" s="24"/>
      <c r="N5191" s="24"/>
      <c r="P5191" s="24"/>
    </row>
    <row r="5192" spans="2:16" x14ac:dyDescent="0.25">
      <c r="B5192" s="24"/>
      <c r="E5192" s="24"/>
      <c r="G5192" s="24"/>
      <c r="H5192" s="24"/>
      <c r="J5192" s="24"/>
      <c r="K5192" s="24"/>
      <c r="M5192" s="24"/>
      <c r="N5192" s="24"/>
      <c r="P5192" s="24"/>
    </row>
    <row r="5193" spans="2:16" x14ac:dyDescent="0.25">
      <c r="B5193" s="24"/>
      <c r="E5193" s="24"/>
      <c r="G5193" s="24"/>
      <c r="H5193" s="24"/>
      <c r="J5193" s="24"/>
      <c r="K5193" s="24"/>
      <c r="M5193" s="24"/>
      <c r="N5193" s="24"/>
      <c r="P5193" s="24"/>
    </row>
    <row r="5194" spans="2:16" x14ac:dyDescent="0.25">
      <c r="B5194" s="24"/>
      <c r="E5194" s="24"/>
      <c r="G5194" s="24"/>
      <c r="H5194" s="24"/>
      <c r="J5194" s="24"/>
      <c r="K5194" s="24"/>
      <c r="M5194" s="24"/>
      <c r="N5194" s="24"/>
      <c r="P5194" s="24"/>
    </row>
    <row r="5195" spans="2:16" x14ac:dyDescent="0.25">
      <c r="B5195" s="24"/>
      <c r="E5195" s="24"/>
      <c r="G5195" s="24"/>
      <c r="H5195" s="24"/>
      <c r="J5195" s="24"/>
      <c r="K5195" s="24"/>
      <c r="M5195" s="24"/>
      <c r="N5195" s="24"/>
      <c r="P5195" s="24"/>
    </row>
    <row r="5196" spans="2:16" x14ac:dyDescent="0.25">
      <c r="B5196" s="24"/>
      <c r="E5196" s="24"/>
      <c r="G5196" s="24"/>
      <c r="H5196" s="24"/>
      <c r="J5196" s="24"/>
      <c r="K5196" s="24"/>
      <c r="M5196" s="24"/>
      <c r="N5196" s="24"/>
      <c r="P5196" s="24"/>
    </row>
    <row r="5197" spans="2:16" x14ac:dyDescent="0.25">
      <c r="B5197" s="24"/>
      <c r="E5197" s="24"/>
      <c r="G5197" s="24"/>
      <c r="H5197" s="24"/>
      <c r="J5197" s="24"/>
      <c r="K5197" s="24"/>
      <c r="M5197" s="24"/>
      <c r="N5197" s="24"/>
      <c r="P5197" s="24"/>
    </row>
    <row r="5198" spans="2:16" x14ac:dyDescent="0.25">
      <c r="B5198" s="24"/>
      <c r="E5198" s="24"/>
      <c r="G5198" s="24"/>
      <c r="H5198" s="24"/>
      <c r="J5198" s="24"/>
      <c r="K5198" s="24"/>
      <c r="M5198" s="24"/>
      <c r="N5198" s="24"/>
      <c r="P5198" s="24"/>
    </row>
    <row r="5199" spans="2:16" x14ac:dyDescent="0.25">
      <c r="B5199" s="24"/>
      <c r="E5199" s="24"/>
      <c r="G5199" s="24"/>
      <c r="H5199" s="24"/>
      <c r="J5199" s="24"/>
      <c r="K5199" s="24"/>
      <c r="M5199" s="24"/>
      <c r="N5199" s="24"/>
      <c r="P5199" s="24"/>
    </row>
    <row r="5200" spans="2:16" x14ac:dyDescent="0.25">
      <c r="B5200" s="24"/>
      <c r="E5200" s="24"/>
      <c r="G5200" s="24"/>
      <c r="H5200" s="24"/>
      <c r="J5200" s="24"/>
      <c r="K5200" s="24"/>
      <c r="M5200" s="24"/>
      <c r="N5200" s="24"/>
      <c r="P5200" s="24"/>
    </row>
    <row r="5201" spans="2:16" x14ac:dyDescent="0.25">
      <c r="B5201" s="24"/>
      <c r="E5201" s="24"/>
      <c r="G5201" s="24"/>
      <c r="H5201" s="24"/>
      <c r="J5201" s="24"/>
      <c r="K5201" s="24"/>
      <c r="M5201" s="24"/>
      <c r="N5201" s="24"/>
      <c r="P5201" s="24"/>
    </row>
    <row r="5202" spans="2:16" x14ac:dyDescent="0.25">
      <c r="B5202" s="24"/>
      <c r="E5202" s="24"/>
      <c r="G5202" s="24"/>
      <c r="H5202" s="24"/>
      <c r="J5202" s="24"/>
      <c r="K5202" s="24"/>
      <c r="M5202" s="24"/>
      <c r="N5202" s="24"/>
      <c r="P5202" s="24"/>
    </row>
    <row r="5203" spans="2:16" x14ac:dyDescent="0.25">
      <c r="B5203" s="24"/>
      <c r="E5203" s="24"/>
      <c r="G5203" s="24"/>
      <c r="H5203" s="24"/>
      <c r="J5203" s="24"/>
      <c r="K5203" s="24"/>
      <c r="M5203" s="24"/>
      <c r="N5203" s="24"/>
      <c r="P5203" s="24"/>
    </row>
    <row r="5204" spans="2:16" x14ac:dyDescent="0.25">
      <c r="B5204" s="24"/>
      <c r="E5204" s="24"/>
      <c r="G5204" s="24"/>
      <c r="H5204" s="24"/>
      <c r="J5204" s="24"/>
      <c r="K5204" s="24"/>
      <c r="M5204" s="24"/>
      <c r="N5204" s="24"/>
      <c r="P5204" s="24"/>
    </row>
    <row r="5205" spans="2:16" x14ac:dyDescent="0.25">
      <c r="B5205" s="24"/>
      <c r="E5205" s="24"/>
      <c r="G5205" s="24"/>
      <c r="H5205" s="24"/>
      <c r="J5205" s="24"/>
      <c r="K5205" s="24"/>
      <c r="M5205" s="24"/>
      <c r="N5205" s="24"/>
      <c r="P5205" s="24"/>
    </row>
    <row r="5206" spans="2:16" x14ac:dyDescent="0.25">
      <c r="B5206" s="24"/>
      <c r="E5206" s="24"/>
      <c r="G5206" s="24"/>
      <c r="H5206" s="24"/>
      <c r="J5206" s="24"/>
      <c r="K5206" s="24"/>
      <c r="M5206" s="24"/>
      <c r="N5206" s="24"/>
      <c r="P5206" s="24"/>
    </row>
    <row r="5207" spans="2:16" x14ac:dyDescent="0.25">
      <c r="B5207" s="24"/>
      <c r="E5207" s="24"/>
      <c r="G5207" s="24"/>
      <c r="H5207" s="24"/>
      <c r="J5207" s="24"/>
      <c r="K5207" s="24"/>
      <c r="M5207" s="24"/>
      <c r="N5207" s="24"/>
      <c r="P5207" s="24"/>
    </row>
    <row r="5208" spans="2:16" x14ac:dyDescent="0.25">
      <c r="B5208" s="24"/>
      <c r="E5208" s="24"/>
      <c r="G5208" s="24"/>
      <c r="H5208" s="24"/>
      <c r="J5208" s="24"/>
      <c r="K5208" s="24"/>
      <c r="M5208" s="24"/>
      <c r="N5208" s="24"/>
      <c r="P5208" s="24"/>
    </row>
    <row r="5209" spans="2:16" x14ac:dyDescent="0.25">
      <c r="B5209" s="24"/>
      <c r="E5209" s="24"/>
      <c r="G5209" s="24"/>
      <c r="H5209" s="24"/>
      <c r="J5209" s="24"/>
      <c r="K5209" s="24"/>
      <c r="M5209" s="24"/>
      <c r="N5209" s="24"/>
      <c r="P5209" s="24"/>
    </row>
    <row r="5210" spans="2:16" x14ac:dyDescent="0.25">
      <c r="B5210" s="24"/>
      <c r="E5210" s="24"/>
      <c r="G5210" s="24"/>
      <c r="H5210" s="24"/>
      <c r="J5210" s="24"/>
      <c r="K5210" s="24"/>
      <c r="M5210" s="24"/>
      <c r="N5210" s="24"/>
      <c r="P5210" s="24"/>
    </row>
    <row r="5211" spans="2:16" x14ac:dyDescent="0.25">
      <c r="B5211" s="24"/>
      <c r="E5211" s="24"/>
      <c r="G5211" s="24"/>
      <c r="H5211" s="24"/>
      <c r="J5211" s="24"/>
      <c r="K5211" s="24"/>
      <c r="M5211" s="24"/>
      <c r="N5211" s="24"/>
      <c r="P5211" s="24"/>
    </row>
    <row r="5212" spans="2:16" x14ac:dyDescent="0.25">
      <c r="B5212" s="24"/>
      <c r="E5212" s="24"/>
      <c r="G5212" s="24"/>
      <c r="H5212" s="24"/>
      <c r="J5212" s="24"/>
      <c r="K5212" s="24"/>
      <c r="M5212" s="24"/>
      <c r="N5212" s="24"/>
      <c r="P5212" s="24"/>
    </row>
    <row r="5213" spans="2:16" x14ac:dyDescent="0.25">
      <c r="B5213" s="24"/>
      <c r="E5213" s="24"/>
      <c r="G5213" s="24"/>
      <c r="H5213" s="24"/>
      <c r="J5213" s="24"/>
      <c r="K5213" s="24"/>
      <c r="M5213" s="24"/>
      <c r="N5213" s="24"/>
      <c r="P5213" s="24"/>
    </row>
    <row r="5214" spans="2:16" x14ac:dyDescent="0.25">
      <c r="B5214" s="24"/>
      <c r="E5214" s="24"/>
      <c r="G5214" s="24"/>
      <c r="H5214" s="24"/>
      <c r="J5214" s="24"/>
      <c r="K5214" s="24"/>
      <c r="M5214" s="24"/>
      <c r="N5214" s="24"/>
      <c r="P5214" s="24"/>
    </row>
    <row r="5215" spans="2:16" x14ac:dyDescent="0.25">
      <c r="B5215" s="24"/>
      <c r="E5215" s="24"/>
      <c r="G5215" s="24"/>
      <c r="H5215" s="24"/>
      <c r="J5215" s="24"/>
      <c r="K5215" s="24"/>
      <c r="M5215" s="24"/>
      <c r="N5215" s="24"/>
      <c r="P5215" s="24"/>
    </row>
    <row r="5216" spans="2:16" x14ac:dyDescent="0.25">
      <c r="B5216" s="24"/>
      <c r="E5216" s="24"/>
      <c r="G5216" s="24"/>
      <c r="H5216" s="24"/>
      <c r="J5216" s="24"/>
      <c r="K5216" s="24"/>
      <c r="M5216" s="24"/>
      <c r="N5216" s="24"/>
      <c r="P5216" s="24"/>
    </row>
    <row r="5217" spans="2:16" x14ac:dyDescent="0.25">
      <c r="B5217" s="24"/>
      <c r="E5217" s="24"/>
      <c r="G5217" s="24"/>
      <c r="H5217" s="24"/>
      <c r="J5217" s="24"/>
      <c r="K5217" s="24"/>
      <c r="M5217" s="24"/>
      <c r="N5217" s="24"/>
      <c r="P5217" s="24"/>
    </row>
    <row r="5218" spans="2:16" x14ac:dyDescent="0.25">
      <c r="B5218" s="24"/>
      <c r="E5218" s="24"/>
      <c r="G5218" s="24"/>
      <c r="H5218" s="24"/>
      <c r="J5218" s="24"/>
      <c r="K5218" s="24"/>
      <c r="M5218" s="24"/>
      <c r="N5218" s="24"/>
      <c r="P5218" s="24"/>
    </row>
    <row r="5219" spans="2:16" x14ac:dyDescent="0.25">
      <c r="B5219" s="24"/>
      <c r="E5219" s="24"/>
      <c r="G5219" s="24"/>
      <c r="H5219" s="24"/>
      <c r="J5219" s="24"/>
      <c r="K5219" s="24"/>
      <c r="M5219" s="24"/>
      <c r="N5219" s="24"/>
      <c r="P5219" s="24"/>
    </row>
    <row r="5220" spans="2:16" x14ac:dyDescent="0.25">
      <c r="B5220" s="24"/>
      <c r="E5220" s="24"/>
      <c r="G5220" s="24"/>
      <c r="H5220" s="24"/>
      <c r="J5220" s="24"/>
      <c r="K5220" s="24"/>
      <c r="M5220" s="24"/>
      <c r="N5220" s="24"/>
      <c r="P5220" s="24"/>
    </row>
    <row r="5221" spans="2:16" x14ac:dyDescent="0.25">
      <c r="B5221" s="24"/>
      <c r="E5221" s="24"/>
      <c r="G5221" s="24"/>
      <c r="H5221" s="24"/>
      <c r="J5221" s="24"/>
      <c r="K5221" s="24"/>
      <c r="M5221" s="24"/>
      <c r="N5221" s="24"/>
      <c r="P5221" s="24"/>
    </row>
    <row r="5222" spans="2:16" x14ac:dyDescent="0.25">
      <c r="B5222" s="24"/>
      <c r="E5222" s="24"/>
      <c r="G5222" s="24"/>
      <c r="H5222" s="24"/>
      <c r="J5222" s="24"/>
      <c r="K5222" s="24"/>
      <c r="M5222" s="24"/>
      <c r="N5222" s="24"/>
      <c r="P5222" s="24"/>
    </row>
    <row r="5223" spans="2:16" x14ac:dyDescent="0.25">
      <c r="B5223" s="24"/>
      <c r="E5223" s="24"/>
      <c r="G5223" s="24"/>
      <c r="H5223" s="24"/>
      <c r="J5223" s="24"/>
      <c r="K5223" s="24"/>
      <c r="M5223" s="24"/>
      <c r="N5223" s="24"/>
      <c r="P5223" s="24"/>
    </row>
    <row r="5224" spans="2:16" x14ac:dyDescent="0.25">
      <c r="B5224" s="24"/>
      <c r="E5224" s="24"/>
      <c r="G5224" s="24"/>
      <c r="H5224" s="24"/>
      <c r="J5224" s="24"/>
      <c r="K5224" s="24"/>
      <c r="M5224" s="24"/>
      <c r="N5224" s="24"/>
      <c r="P5224" s="24"/>
    </row>
    <row r="5225" spans="2:16" x14ac:dyDescent="0.25">
      <c r="B5225" s="24"/>
      <c r="E5225" s="24"/>
      <c r="G5225" s="24"/>
      <c r="H5225" s="24"/>
      <c r="J5225" s="24"/>
      <c r="K5225" s="24"/>
      <c r="M5225" s="24"/>
      <c r="N5225" s="24"/>
      <c r="P5225" s="24"/>
    </row>
    <row r="5226" spans="2:16" x14ac:dyDescent="0.25">
      <c r="B5226" s="24"/>
      <c r="E5226" s="24"/>
      <c r="G5226" s="24"/>
      <c r="H5226" s="24"/>
      <c r="J5226" s="24"/>
      <c r="K5226" s="24"/>
      <c r="M5226" s="24"/>
      <c r="N5226" s="24"/>
      <c r="P5226" s="24"/>
    </row>
    <row r="5227" spans="2:16" x14ac:dyDescent="0.25">
      <c r="B5227" s="24"/>
      <c r="E5227" s="24"/>
      <c r="G5227" s="24"/>
      <c r="H5227" s="24"/>
      <c r="J5227" s="24"/>
      <c r="K5227" s="24"/>
      <c r="M5227" s="24"/>
      <c r="N5227" s="24"/>
      <c r="P5227" s="24"/>
    </row>
    <row r="5228" spans="2:16" x14ac:dyDescent="0.25">
      <c r="B5228" s="24"/>
      <c r="E5228" s="24"/>
      <c r="G5228" s="24"/>
      <c r="H5228" s="24"/>
      <c r="J5228" s="24"/>
      <c r="K5228" s="24"/>
      <c r="M5228" s="24"/>
      <c r="N5228" s="24"/>
      <c r="P5228" s="24"/>
    </row>
    <row r="5229" spans="2:16" x14ac:dyDescent="0.25">
      <c r="B5229" s="24"/>
      <c r="E5229" s="24"/>
      <c r="G5229" s="24"/>
      <c r="H5229" s="24"/>
      <c r="J5229" s="24"/>
      <c r="K5229" s="24"/>
      <c r="M5229" s="24"/>
      <c r="N5229" s="24"/>
      <c r="P5229" s="24"/>
    </row>
    <row r="5230" spans="2:16" x14ac:dyDescent="0.25">
      <c r="B5230" s="24"/>
      <c r="E5230" s="24"/>
      <c r="G5230" s="24"/>
      <c r="H5230" s="24"/>
      <c r="J5230" s="24"/>
      <c r="K5230" s="24"/>
      <c r="M5230" s="24"/>
      <c r="N5230" s="24"/>
      <c r="P5230" s="24"/>
    </row>
    <row r="5231" spans="2:16" x14ac:dyDescent="0.25">
      <c r="B5231" s="24"/>
      <c r="E5231" s="24"/>
      <c r="G5231" s="24"/>
      <c r="H5231" s="24"/>
      <c r="J5231" s="24"/>
      <c r="K5231" s="24"/>
      <c r="M5231" s="24"/>
      <c r="N5231" s="24"/>
      <c r="P5231" s="24"/>
    </row>
    <row r="5232" spans="2:16" x14ac:dyDescent="0.25">
      <c r="B5232" s="24"/>
      <c r="E5232" s="24"/>
      <c r="G5232" s="24"/>
      <c r="H5232" s="24"/>
      <c r="J5232" s="24"/>
      <c r="K5232" s="24"/>
      <c r="M5232" s="24"/>
      <c r="N5232" s="24"/>
      <c r="P5232" s="24"/>
    </row>
    <row r="5233" spans="2:16" x14ac:dyDescent="0.25">
      <c r="B5233" s="24"/>
      <c r="E5233" s="24"/>
      <c r="G5233" s="24"/>
      <c r="H5233" s="24"/>
      <c r="J5233" s="24"/>
      <c r="K5233" s="24"/>
      <c r="M5233" s="24"/>
      <c r="N5233" s="24"/>
      <c r="P5233" s="24"/>
    </row>
    <row r="5234" spans="2:16" x14ac:dyDescent="0.25">
      <c r="B5234" s="24"/>
      <c r="E5234" s="24"/>
      <c r="G5234" s="24"/>
      <c r="H5234" s="24"/>
      <c r="J5234" s="24"/>
      <c r="K5234" s="24"/>
      <c r="M5234" s="24"/>
      <c r="N5234" s="24"/>
      <c r="P5234" s="24"/>
    </row>
    <row r="5235" spans="2:16" x14ac:dyDescent="0.25">
      <c r="B5235" s="24"/>
      <c r="E5235" s="24"/>
      <c r="G5235" s="24"/>
      <c r="H5235" s="24"/>
      <c r="J5235" s="24"/>
      <c r="K5235" s="24"/>
      <c r="M5235" s="24"/>
      <c r="N5235" s="24"/>
      <c r="P5235" s="24"/>
    </row>
    <row r="5236" spans="2:16" x14ac:dyDescent="0.25">
      <c r="B5236" s="24"/>
      <c r="E5236" s="24"/>
      <c r="G5236" s="24"/>
      <c r="H5236" s="24"/>
      <c r="J5236" s="24"/>
      <c r="K5236" s="24"/>
      <c r="M5236" s="24"/>
      <c r="N5236" s="24"/>
      <c r="P5236" s="24"/>
    </row>
    <row r="5237" spans="2:16" x14ac:dyDescent="0.25">
      <c r="B5237" s="24"/>
      <c r="E5237" s="24"/>
      <c r="G5237" s="24"/>
      <c r="H5237" s="24"/>
      <c r="J5237" s="24"/>
      <c r="K5237" s="24"/>
      <c r="M5237" s="24"/>
      <c r="N5237" s="24"/>
      <c r="P5237" s="24"/>
    </row>
    <row r="5238" spans="2:16" x14ac:dyDescent="0.25">
      <c r="B5238" s="24"/>
      <c r="E5238" s="24"/>
      <c r="G5238" s="24"/>
      <c r="H5238" s="24"/>
      <c r="J5238" s="24"/>
      <c r="K5238" s="24"/>
      <c r="M5238" s="24"/>
      <c r="N5238" s="24"/>
      <c r="P5238" s="24"/>
    </row>
    <row r="5239" spans="2:16" x14ac:dyDescent="0.25">
      <c r="B5239" s="24"/>
      <c r="E5239" s="24"/>
      <c r="G5239" s="24"/>
      <c r="H5239" s="24"/>
      <c r="J5239" s="24"/>
      <c r="K5239" s="24"/>
      <c r="M5239" s="24"/>
      <c r="N5239" s="24"/>
      <c r="P5239" s="24"/>
    </row>
    <row r="5240" spans="2:16" x14ac:dyDescent="0.25">
      <c r="B5240" s="24"/>
      <c r="E5240" s="24"/>
      <c r="G5240" s="24"/>
      <c r="H5240" s="24"/>
      <c r="J5240" s="24"/>
      <c r="K5240" s="24"/>
      <c r="M5240" s="24"/>
      <c r="N5240" s="24"/>
      <c r="P5240" s="24"/>
    </row>
    <row r="5241" spans="2:16" x14ac:dyDescent="0.25">
      <c r="B5241" s="24"/>
      <c r="E5241" s="24"/>
      <c r="G5241" s="24"/>
      <c r="H5241" s="24"/>
      <c r="J5241" s="24"/>
      <c r="K5241" s="24"/>
      <c r="M5241" s="24"/>
      <c r="N5241" s="24"/>
      <c r="P5241" s="24"/>
    </row>
    <row r="5242" spans="2:16" x14ac:dyDescent="0.25">
      <c r="B5242" s="24"/>
      <c r="E5242" s="24"/>
      <c r="G5242" s="24"/>
      <c r="H5242" s="24"/>
      <c r="J5242" s="24"/>
      <c r="K5242" s="24"/>
      <c r="M5242" s="24"/>
      <c r="N5242" s="24"/>
      <c r="P5242" s="24"/>
    </row>
    <row r="5243" spans="2:16" x14ac:dyDescent="0.25">
      <c r="B5243" s="24"/>
      <c r="E5243" s="24"/>
      <c r="G5243" s="24"/>
      <c r="H5243" s="24"/>
      <c r="J5243" s="24"/>
      <c r="K5243" s="24"/>
      <c r="M5243" s="24"/>
      <c r="N5243" s="24"/>
      <c r="P5243" s="24"/>
    </row>
    <row r="5244" spans="2:16" x14ac:dyDescent="0.25">
      <c r="B5244" s="24"/>
      <c r="E5244" s="24"/>
      <c r="G5244" s="24"/>
      <c r="H5244" s="24"/>
      <c r="J5244" s="24"/>
      <c r="K5244" s="24"/>
      <c r="M5244" s="24"/>
      <c r="N5244" s="24"/>
      <c r="P5244" s="24"/>
    </row>
    <row r="5245" spans="2:16" x14ac:dyDescent="0.25">
      <c r="B5245" s="24"/>
      <c r="E5245" s="24"/>
      <c r="G5245" s="24"/>
      <c r="H5245" s="24"/>
      <c r="J5245" s="24"/>
      <c r="K5245" s="24"/>
      <c r="M5245" s="24"/>
      <c r="N5245" s="24"/>
      <c r="P5245" s="24"/>
    </row>
    <row r="5246" spans="2:16" x14ac:dyDescent="0.25">
      <c r="B5246" s="24"/>
      <c r="E5246" s="24"/>
      <c r="G5246" s="24"/>
      <c r="H5246" s="24"/>
      <c r="J5246" s="24"/>
      <c r="K5246" s="24"/>
      <c r="M5246" s="24"/>
      <c r="N5246" s="24"/>
      <c r="P5246" s="24"/>
    </row>
    <row r="5247" spans="2:16" x14ac:dyDescent="0.25">
      <c r="B5247" s="24"/>
      <c r="E5247" s="24"/>
      <c r="G5247" s="24"/>
      <c r="H5247" s="24"/>
      <c r="J5247" s="24"/>
      <c r="K5247" s="24"/>
      <c r="M5247" s="24"/>
      <c r="N5247" s="24"/>
      <c r="P5247" s="24"/>
    </row>
    <row r="5248" spans="2:16" x14ac:dyDescent="0.25">
      <c r="B5248" s="24"/>
      <c r="E5248" s="24"/>
      <c r="G5248" s="24"/>
      <c r="H5248" s="24"/>
      <c r="J5248" s="24"/>
      <c r="K5248" s="24"/>
      <c r="M5248" s="24"/>
      <c r="N5248" s="24"/>
      <c r="P5248" s="24"/>
    </row>
    <row r="5249" spans="2:16" x14ac:dyDescent="0.25">
      <c r="B5249" s="24"/>
      <c r="E5249" s="24"/>
      <c r="G5249" s="24"/>
      <c r="H5249" s="24"/>
      <c r="J5249" s="24"/>
      <c r="K5249" s="24"/>
      <c r="M5249" s="24"/>
      <c r="N5249" s="24"/>
      <c r="P5249" s="24"/>
    </row>
    <row r="5250" spans="2:16" x14ac:dyDescent="0.25">
      <c r="B5250" s="24"/>
      <c r="E5250" s="24"/>
      <c r="G5250" s="24"/>
      <c r="H5250" s="24"/>
      <c r="J5250" s="24"/>
      <c r="K5250" s="24"/>
      <c r="M5250" s="24"/>
      <c r="N5250" s="24"/>
      <c r="P5250" s="24"/>
    </row>
    <row r="5251" spans="2:16" x14ac:dyDescent="0.25">
      <c r="B5251" s="24"/>
      <c r="E5251" s="24"/>
      <c r="G5251" s="24"/>
      <c r="H5251" s="24"/>
      <c r="J5251" s="24"/>
      <c r="K5251" s="24"/>
      <c r="M5251" s="24"/>
      <c r="N5251" s="24"/>
      <c r="P5251" s="24"/>
    </row>
    <row r="5252" spans="2:16" x14ac:dyDescent="0.25">
      <c r="B5252" s="24"/>
      <c r="E5252" s="24"/>
      <c r="G5252" s="24"/>
      <c r="H5252" s="24"/>
      <c r="J5252" s="24"/>
      <c r="K5252" s="24"/>
      <c r="M5252" s="24"/>
      <c r="N5252" s="24"/>
      <c r="P5252" s="24"/>
    </row>
    <row r="5253" spans="2:16" x14ac:dyDescent="0.25">
      <c r="B5253" s="24"/>
      <c r="E5253" s="24"/>
      <c r="G5253" s="24"/>
      <c r="H5253" s="24"/>
      <c r="J5253" s="24"/>
      <c r="K5253" s="24"/>
      <c r="M5253" s="24"/>
      <c r="N5253" s="24"/>
      <c r="P5253" s="24"/>
    </row>
    <row r="5254" spans="2:16" x14ac:dyDescent="0.25">
      <c r="B5254" s="24"/>
      <c r="E5254" s="24"/>
      <c r="G5254" s="24"/>
      <c r="H5254" s="24"/>
      <c r="J5254" s="24"/>
      <c r="K5254" s="24"/>
      <c r="M5254" s="24"/>
      <c r="N5254" s="24"/>
      <c r="P5254" s="24"/>
    </row>
    <row r="5255" spans="2:16" x14ac:dyDescent="0.25">
      <c r="B5255" s="24"/>
      <c r="E5255" s="24"/>
      <c r="G5255" s="24"/>
      <c r="H5255" s="24"/>
      <c r="J5255" s="24"/>
      <c r="K5255" s="24"/>
      <c r="M5255" s="24"/>
      <c r="N5255" s="24"/>
      <c r="P5255" s="24"/>
    </row>
    <row r="5256" spans="2:16" x14ac:dyDescent="0.25">
      <c r="B5256" s="24"/>
      <c r="E5256" s="24"/>
      <c r="G5256" s="24"/>
      <c r="H5256" s="24"/>
      <c r="J5256" s="24"/>
      <c r="K5256" s="24"/>
      <c r="M5256" s="24"/>
      <c r="N5256" s="24"/>
      <c r="P5256" s="24"/>
    </row>
    <row r="5257" spans="2:16" x14ac:dyDescent="0.25">
      <c r="B5257" s="24"/>
      <c r="E5257" s="24"/>
      <c r="G5257" s="24"/>
      <c r="H5257" s="24"/>
      <c r="J5257" s="24"/>
      <c r="K5257" s="24"/>
      <c r="M5257" s="24"/>
      <c r="N5257" s="24"/>
      <c r="P5257" s="24"/>
    </row>
    <row r="5258" spans="2:16" x14ac:dyDescent="0.25">
      <c r="B5258" s="24"/>
      <c r="E5258" s="24"/>
      <c r="G5258" s="24"/>
      <c r="H5258" s="24"/>
      <c r="J5258" s="24"/>
      <c r="K5258" s="24"/>
      <c r="M5258" s="24"/>
      <c r="N5258" s="24"/>
      <c r="P5258" s="24"/>
    </row>
    <row r="5259" spans="2:16" x14ac:dyDescent="0.25">
      <c r="B5259" s="24"/>
      <c r="E5259" s="24"/>
      <c r="G5259" s="24"/>
      <c r="H5259" s="24"/>
      <c r="J5259" s="24"/>
      <c r="K5259" s="24"/>
      <c r="M5259" s="24"/>
      <c r="N5259" s="24"/>
      <c r="P5259" s="24"/>
    </row>
    <row r="5260" spans="2:16" x14ac:dyDescent="0.25">
      <c r="B5260" s="24"/>
      <c r="E5260" s="24"/>
      <c r="G5260" s="24"/>
      <c r="H5260" s="24"/>
      <c r="J5260" s="24"/>
      <c r="K5260" s="24"/>
      <c r="M5260" s="24"/>
      <c r="N5260" s="24"/>
      <c r="P5260" s="24"/>
    </row>
    <row r="5261" spans="2:16" x14ac:dyDescent="0.25">
      <c r="B5261" s="24"/>
      <c r="E5261" s="24"/>
      <c r="G5261" s="24"/>
      <c r="H5261" s="24"/>
      <c r="J5261" s="24"/>
      <c r="K5261" s="24"/>
      <c r="M5261" s="24"/>
      <c r="N5261" s="24"/>
      <c r="P5261" s="24"/>
    </row>
    <row r="5262" spans="2:16" x14ac:dyDescent="0.25">
      <c r="B5262" s="24"/>
      <c r="E5262" s="24"/>
      <c r="G5262" s="24"/>
      <c r="H5262" s="24"/>
      <c r="J5262" s="24"/>
      <c r="K5262" s="24"/>
      <c r="M5262" s="24"/>
      <c r="N5262" s="24"/>
      <c r="P5262" s="24"/>
    </row>
    <row r="5263" spans="2:16" x14ac:dyDescent="0.25">
      <c r="B5263" s="24"/>
      <c r="E5263" s="24"/>
      <c r="G5263" s="24"/>
      <c r="H5263" s="24"/>
      <c r="J5263" s="24"/>
      <c r="K5263" s="24"/>
      <c r="M5263" s="24"/>
      <c r="N5263" s="24"/>
      <c r="P5263" s="24"/>
    </row>
    <row r="5264" spans="2:16" x14ac:dyDescent="0.25">
      <c r="B5264" s="24"/>
      <c r="E5264" s="24"/>
      <c r="G5264" s="24"/>
      <c r="H5264" s="24"/>
      <c r="J5264" s="24"/>
      <c r="K5264" s="24"/>
      <c r="M5264" s="24"/>
      <c r="N5264" s="24"/>
      <c r="P5264" s="24"/>
    </row>
    <row r="5265" spans="2:16" x14ac:dyDescent="0.25">
      <c r="B5265" s="24"/>
      <c r="E5265" s="24"/>
      <c r="G5265" s="24"/>
      <c r="H5265" s="24"/>
      <c r="J5265" s="24"/>
      <c r="K5265" s="24"/>
      <c r="M5265" s="24"/>
      <c r="N5265" s="24"/>
      <c r="P5265" s="24"/>
    </row>
    <row r="5266" spans="2:16" x14ac:dyDescent="0.25">
      <c r="B5266" s="24"/>
      <c r="E5266" s="24"/>
      <c r="G5266" s="24"/>
      <c r="H5266" s="24"/>
      <c r="J5266" s="24"/>
      <c r="K5266" s="24"/>
      <c r="M5266" s="24"/>
      <c r="N5266" s="24"/>
      <c r="P5266" s="24"/>
    </row>
    <row r="5267" spans="2:16" x14ac:dyDescent="0.25">
      <c r="B5267" s="24"/>
      <c r="E5267" s="24"/>
      <c r="G5267" s="24"/>
      <c r="H5267" s="24"/>
      <c r="J5267" s="24"/>
      <c r="K5267" s="24"/>
      <c r="M5267" s="24"/>
      <c r="N5267" s="24"/>
      <c r="P5267" s="24"/>
    </row>
    <row r="5268" spans="2:16" x14ac:dyDescent="0.25">
      <c r="B5268" s="24"/>
      <c r="E5268" s="24"/>
      <c r="G5268" s="24"/>
      <c r="H5268" s="24"/>
      <c r="J5268" s="24"/>
      <c r="K5268" s="24"/>
      <c r="M5268" s="24"/>
      <c r="N5268" s="24"/>
      <c r="P5268" s="24"/>
    </row>
    <row r="5269" spans="2:16" x14ac:dyDescent="0.25">
      <c r="B5269" s="24"/>
      <c r="E5269" s="24"/>
      <c r="G5269" s="24"/>
      <c r="H5269" s="24"/>
      <c r="J5269" s="24"/>
      <c r="K5269" s="24"/>
      <c r="M5269" s="24"/>
      <c r="N5269" s="24"/>
      <c r="P5269" s="24"/>
    </row>
    <row r="5270" spans="2:16" x14ac:dyDescent="0.25">
      <c r="B5270" s="24"/>
      <c r="E5270" s="24"/>
      <c r="G5270" s="24"/>
      <c r="H5270" s="24"/>
      <c r="J5270" s="24"/>
      <c r="K5270" s="24"/>
      <c r="M5270" s="24"/>
      <c r="N5270" s="24"/>
      <c r="P5270" s="24"/>
    </row>
    <row r="5271" spans="2:16" x14ac:dyDescent="0.25">
      <c r="B5271" s="24"/>
      <c r="E5271" s="24"/>
      <c r="G5271" s="24"/>
      <c r="H5271" s="24"/>
      <c r="J5271" s="24"/>
      <c r="K5271" s="24"/>
      <c r="M5271" s="24"/>
      <c r="N5271" s="24"/>
      <c r="P5271" s="24"/>
    </row>
    <row r="5272" spans="2:16" x14ac:dyDescent="0.25">
      <c r="B5272" s="24"/>
      <c r="E5272" s="24"/>
      <c r="G5272" s="24"/>
      <c r="H5272" s="24"/>
      <c r="J5272" s="24"/>
      <c r="K5272" s="24"/>
      <c r="M5272" s="24"/>
      <c r="N5272" s="24"/>
      <c r="P5272" s="24"/>
    </row>
    <row r="5273" spans="2:16" x14ac:dyDescent="0.25">
      <c r="B5273" s="24"/>
      <c r="E5273" s="24"/>
      <c r="G5273" s="24"/>
      <c r="H5273" s="24"/>
      <c r="J5273" s="24"/>
      <c r="K5273" s="24"/>
      <c r="M5273" s="24"/>
      <c r="N5273" s="24"/>
      <c r="P5273" s="24"/>
    </row>
    <row r="5274" spans="2:16" x14ac:dyDescent="0.25">
      <c r="B5274" s="24"/>
      <c r="E5274" s="24"/>
      <c r="G5274" s="24"/>
      <c r="H5274" s="24"/>
      <c r="J5274" s="24"/>
      <c r="K5274" s="24"/>
      <c r="M5274" s="24"/>
      <c r="N5274" s="24"/>
      <c r="P5274" s="24"/>
    </row>
    <row r="5275" spans="2:16" x14ac:dyDescent="0.25">
      <c r="B5275" s="24"/>
      <c r="E5275" s="24"/>
      <c r="G5275" s="24"/>
      <c r="H5275" s="24"/>
      <c r="J5275" s="24"/>
      <c r="K5275" s="24"/>
      <c r="M5275" s="24"/>
      <c r="N5275" s="24"/>
      <c r="P5275" s="24"/>
    </row>
    <row r="5276" spans="2:16" x14ac:dyDescent="0.25">
      <c r="B5276" s="24"/>
      <c r="E5276" s="24"/>
      <c r="G5276" s="24"/>
      <c r="H5276" s="24"/>
      <c r="J5276" s="24"/>
      <c r="K5276" s="24"/>
      <c r="M5276" s="24"/>
      <c r="N5276" s="24"/>
      <c r="P5276" s="24"/>
    </row>
    <row r="5277" spans="2:16" x14ac:dyDescent="0.25">
      <c r="B5277" s="24"/>
      <c r="E5277" s="24"/>
      <c r="G5277" s="24"/>
      <c r="H5277" s="24"/>
      <c r="J5277" s="24"/>
      <c r="K5277" s="24"/>
      <c r="M5277" s="24"/>
      <c r="N5277" s="24"/>
      <c r="P5277" s="24"/>
    </row>
    <row r="5278" spans="2:16" x14ac:dyDescent="0.25">
      <c r="B5278" s="24"/>
      <c r="E5278" s="24"/>
      <c r="G5278" s="24"/>
      <c r="H5278" s="24"/>
      <c r="J5278" s="24"/>
      <c r="K5278" s="24"/>
      <c r="M5278" s="24"/>
      <c r="N5278" s="24"/>
      <c r="P5278" s="24"/>
    </row>
    <row r="5279" spans="2:16" x14ac:dyDescent="0.25">
      <c r="B5279" s="24"/>
      <c r="E5279" s="24"/>
      <c r="G5279" s="24"/>
      <c r="H5279" s="24"/>
      <c r="J5279" s="24"/>
      <c r="K5279" s="24"/>
      <c r="M5279" s="24"/>
      <c r="N5279" s="24"/>
      <c r="P5279" s="24"/>
    </row>
    <row r="5280" spans="2:16" x14ac:dyDescent="0.25">
      <c r="B5280" s="24"/>
      <c r="E5280" s="24"/>
      <c r="G5280" s="24"/>
      <c r="H5280" s="24"/>
      <c r="J5280" s="24"/>
      <c r="K5280" s="24"/>
      <c r="M5280" s="24"/>
      <c r="N5280" s="24"/>
      <c r="P5280" s="24"/>
    </row>
    <row r="5281" spans="2:16" x14ac:dyDescent="0.25">
      <c r="B5281" s="24"/>
      <c r="E5281" s="24"/>
      <c r="G5281" s="24"/>
      <c r="H5281" s="24"/>
      <c r="J5281" s="24"/>
      <c r="K5281" s="24"/>
      <c r="M5281" s="24"/>
      <c r="N5281" s="24"/>
      <c r="P5281" s="24"/>
    </row>
    <row r="5282" spans="2:16" x14ac:dyDescent="0.25">
      <c r="B5282" s="24"/>
      <c r="E5282" s="24"/>
      <c r="G5282" s="24"/>
      <c r="H5282" s="24"/>
      <c r="J5282" s="24"/>
      <c r="K5282" s="24"/>
      <c r="M5282" s="24"/>
      <c r="N5282" s="24"/>
      <c r="P5282" s="24"/>
    </row>
    <row r="5283" spans="2:16" x14ac:dyDescent="0.25">
      <c r="B5283" s="24"/>
      <c r="E5283" s="24"/>
      <c r="G5283" s="24"/>
      <c r="H5283" s="24"/>
      <c r="J5283" s="24"/>
      <c r="K5283" s="24"/>
      <c r="M5283" s="24"/>
      <c r="N5283" s="24"/>
      <c r="P5283" s="24"/>
    </row>
    <row r="5284" spans="2:16" x14ac:dyDescent="0.25">
      <c r="B5284" s="24"/>
      <c r="E5284" s="24"/>
      <c r="G5284" s="24"/>
      <c r="H5284" s="24"/>
      <c r="J5284" s="24"/>
      <c r="K5284" s="24"/>
      <c r="M5284" s="24"/>
      <c r="N5284" s="24"/>
      <c r="P5284" s="24"/>
    </row>
    <row r="5285" spans="2:16" x14ac:dyDescent="0.25">
      <c r="B5285" s="24"/>
      <c r="E5285" s="24"/>
      <c r="G5285" s="24"/>
      <c r="H5285" s="24"/>
      <c r="J5285" s="24"/>
      <c r="K5285" s="24"/>
      <c r="M5285" s="24"/>
      <c r="N5285" s="24"/>
      <c r="P5285" s="24"/>
    </row>
    <row r="5286" spans="2:16" x14ac:dyDescent="0.25">
      <c r="B5286" s="24"/>
      <c r="E5286" s="24"/>
      <c r="G5286" s="24"/>
      <c r="H5286" s="24"/>
      <c r="J5286" s="24"/>
      <c r="K5286" s="24"/>
      <c r="M5286" s="24"/>
      <c r="N5286" s="24"/>
      <c r="P5286" s="24"/>
    </row>
    <row r="5287" spans="2:16" x14ac:dyDescent="0.25">
      <c r="B5287" s="24"/>
      <c r="E5287" s="24"/>
      <c r="G5287" s="24"/>
      <c r="H5287" s="24"/>
      <c r="J5287" s="24"/>
      <c r="K5287" s="24"/>
      <c r="M5287" s="24"/>
      <c r="N5287" s="24"/>
      <c r="P5287" s="24"/>
    </row>
    <row r="5288" spans="2:16" x14ac:dyDescent="0.25">
      <c r="B5288" s="24"/>
      <c r="E5288" s="24"/>
      <c r="G5288" s="24"/>
      <c r="H5288" s="24"/>
      <c r="J5288" s="24"/>
      <c r="K5288" s="24"/>
      <c r="M5288" s="24"/>
      <c r="N5288" s="24"/>
      <c r="P5288" s="24"/>
    </row>
    <row r="5289" spans="2:16" x14ac:dyDescent="0.25">
      <c r="B5289" s="24"/>
      <c r="E5289" s="24"/>
      <c r="G5289" s="24"/>
      <c r="H5289" s="24"/>
      <c r="J5289" s="24"/>
      <c r="K5289" s="24"/>
      <c r="M5289" s="24"/>
      <c r="N5289" s="24"/>
      <c r="P5289" s="24"/>
    </row>
    <row r="5290" spans="2:16" x14ac:dyDescent="0.25">
      <c r="B5290" s="24"/>
      <c r="E5290" s="24"/>
      <c r="G5290" s="24"/>
      <c r="H5290" s="24"/>
      <c r="J5290" s="24"/>
      <c r="K5290" s="24"/>
      <c r="M5290" s="24"/>
      <c r="N5290" s="24"/>
      <c r="P5290" s="24"/>
    </row>
    <row r="5291" spans="2:16" x14ac:dyDescent="0.25">
      <c r="B5291" s="24"/>
      <c r="E5291" s="24"/>
      <c r="G5291" s="24"/>
      <c r="H5291" s="24"/>
      <c r="J5291" s="24"/>
      <c r="K5291" s="24"/>
      <c r="M5291" s="24"/>
      <c r="N5291" s="24"/>
      <c r="P5291" s="24"/>
    </row>
    <row r="5292" spans="2:16" x14ac:dyDescent="0.25">
      <c r="B5292" s="24"/>
      <c r="E5292" s="24"/>
      <c r="G5292" s="24"/>
      <c r="H5292" s="24"/>
      <c r="J5292" s="24"/>
      <c r="K5292" s="24"/>
      <c r="M5292" s="24"/>
      <c r="N5292" s="24"/>
      <c r="P5292" s="24"/>
    </row>
    <row r="5293" spans="2:16" x14ac:dyDescent="0.25">
      <c r="B5293" s="24"/>
      <c r="E5293" s="24"/>
      <c r="G5293" s="24"/>
      <c r="H5293" s="24"/>
      <c r="J5293" s="24"/>
      <c r="K5293" s="24"/>
      <c r="M5293" s="24"/>
      <c r="N5293" s="24"/>
      <c r="P5293" s="24"/>
    </row>
    <row r="5294" spans="2:16" x14ac:dyDescent="0.25">
      <c r="B5294" s="24"/>
      <c r="E5294" s="24"/>
      <c r="G5294" s="24"/>
      <c r="H5294" s="24"/>
      <c r="J5294" s="24"/>
      <c r="K5294" s="24"/>
      <c r="M5294" s="24"/>
      <c r="N5294" s="24"/>
      <c r="P5294" s="24"/>
    </row>
    <row r="5295" spans="2:16" x14ac:dyDescent="0.25">
      <c r="B5295" s="24"/>
      <c r="E5295" s="24"/>
      <c r="G5295" s="24"/>
      <c r="H5295" s="24"/>
      <c r="J5295" s="24"/>
      <c r="K5295" s="24"/>
      <c r="M5295" s="24"/>
      <c r="N5295" s="24"/>
      <c r="P5295" s="24"/>
    </row>
    <row r="5296" spans="2:16" x14ac:dyDescent="0.25">
      <c r="B5296" s="24"/>
      <c r="E5296" s="24"/>
      <c r="G5296" s="24"/>
      <c r="H5296" s="24"/>
      <c r="J5296" s="24"/>
      <c r="K5296" s="24"/>
      <c r="M5296" s="24"/>
      <c r="N5296" s="24"/>
      <c r="P5296" s="24"/>
    </row>
    <row r="5297" spans="2:16" x14ac:dyDescent="0.25">
      <c r="B5297" s="24"/>
      <c r="E5297" s="24"/>
      <c r="G5297" s="24"/>
      <c r="H5297" s="24"/>
      <c r="J5297" s="24"/>
      <c r="K5297" s="24"/>
      <c r="M5297" s="24"/>
      <c r="N5297" s="24"/>
      <c r="P5297" s="24"/>
    </row>
    <row r="5298" spans="2:16" x14ac:dyDescent="0.25">
      <c r="B5298" s="24"/>
      <c r="E5298" s="24"/>
      <c r="G5298" s="24"/>
      <c r="H5298" s="24"/>
      <c r="J5298" s="24"/>
      <c r="K5298" s="24"/>
      <c r="M5298" s="24"/>
      <c r="N5298" s="24"/>
      <c r="P5298" s="24"/>
    </row>
    <row r="5299" spans="2:16" x14ac:dyDescent="0.25">
      <c r="B5299" s="24"/>
      <c r="E5299" s="24"/>
      <c r="G5299" s="24"/>
      <c r="H5299" s="24"/>
      <c r="J5299" s="24"/>
      <c r="K5299" s="24"/>
      <c r="M5299" s="24"/>
      <c r="N5299" s="24"/>
      <c r="P5299" s="24"/>
    </row>
    <row r="5300" spans="2:16" x14ac:dyDescent="0.25">
      <c r="B5300" s="24"/>
      <c r="E5300" s="24"/>
      <c r="G5300" s="24"/>
      <c r="H5300" s="24"/>
      <c r="J5300" s="24"/>
      <c r="K5300" s="24"/>
      <c r="M5300" s="24"/>
      <c r="N5300" s="24"/>
      <c r="P5300" s="24"/>
    </row>
    <row r="5301" spans="2:16" x14ac:dyDescent="0.25">
      <c r="B5301" s="24"/>
      <c r="E5301" s="24"/>
      <c r="G5301" s="24"/>
      <c r="H5301" s="24"/>
      <c r="J5301" s="24"/>
      <c r="K5301" s="24"/>
      <c r="M5301" s="24"/>
      <c r="N5301" s="24"/>
      <c r="P5301" s="24"/>
    </row>
    <row r="5302" spans="2:16" x14ac:dyDescent="0.25">
      <c r="B5302" s="24"/>
      <c r="E5302" s="24"/>
      <c r="G5302" s="24"/>
      <c r="H5302" s="24"/>
      <c r="J5302" s="24"/>
      <c r="K5302" s="24"/>
      <c r="M5302" s="24"/>
      <c r="N5302" s="24"/>
      <c r="P5302" s="24"/>
    </row>
    <row r="5303" spans="2:16" x14ac:dyDescent="0.25">
      <c r="B5303" s="24"/>
      <c r="E5303" s="24"/>
      <c r="G5303" s="24"/>
      <c r="H5303" s="24"/>
      <c r="J5303" s="24"/>
      <c r="K5303" s="24"/>
      <c r="M5303" s="24"/>
      <c r="N5303" s="24"/>
      <c r="P5303" s="24"/>
    </row>
    <row r="5304" spans="2:16" x14ac:dyDescent="0.25">
      <c r="B5304" s="24"/>
      <c r="E5304" s="24"/>
      <c r="G5304" s="24"/>
      <c r="H5304" s="24"/>
      <c r="J5304" s="24"/>
      <c r="K5304" s="24"/>
      <c r="M5304" s="24"/>
      <c r="N5304" s="24"/>
      <c r="P5304" s="24"/>
    </row>
    <row r="5305" spans="2:16" x14ac:dyDescent="0.25">
      <c r="B5305" s="24"/>
      <c r="E5305" s="24"/>
      <c r="G5305" s="24"/>
      <c r="H5305" s="24"/>
      <c r="J5305" s="24"/>
      <c r="K5305" s="24"/>
      <c r="M5305" s="24"/>
      <c r="N5305" s="24"/>
      <c r="P5305" s="24"/>
    </row>
    <row r="5306" spans="2:16" x14ac:dyDescent="0.25">
      <c r="B5306" s="24"/>
      <c r="E5306" s="24"/>
      <c r="G5306" s="24"/>
      <c r="H5306" s="24"/>
      <c r="J5306" s="24"/>
      <c r="K5306" s="24"/>
      <c r="M5306" s="24"/>
      <c r="N5306" s="24"/>
      <c r="P5306" s="24"/>
    </row>
    <row r="5307" spans="2:16" x14ac:dyDescent="0.25">
      <c r="B5307" s="24"/>
      <c r="E5307" s="24"/>
      <c r="G5307" s="24"/>
      <c r="H5307" s="24"/>
      <c r="J5307" s="24"/>
      <c r="K5307" s="24"/>
      <c r="M5307" s="24"/>
      <c r="N5307" s="24"/>
      <c r="P5307" s="24"/>
    </row>
    <row r="5308" spans="2:16" x14ac:dyDescent="0.25">
      <c r="B5308" s="24"/>
      <c r="E5308" s="24"/>
      <c r="G5308" s="24"/>
      <c r="H5308" s="24"/>
      <c r="J5308" s="24"/>
      <c r="K5308" s="24"/>
      <c r="M5308" s="24"/>
      <c r="N5308" s="24"/>
      <c r="P5308" s="24"/>
    </row>
    <row r="5309" spans="2:16" x14ac:dyDescent="0.25">
      <c r="B5309" s="24"/>
      <c r="E5309" s="24"/>
      <c r="G5309" s="24"/>
      <c r="H5309" s="24"/>
      <c r="J5309" s="24"/>
      <c r="K5309" s="24"/>
      <c r="M5309" s="24"/>
      <c r="N5309" s="24"/>
      <c r="P5309" s="24"/>
    </row>
    <row r="5310" spans="2:16" x14ac:dyDescent="0.25">
      <c r="B5310" s="24"/>
      <c r="E5310" s="24"/>
      <c r="G5310" s="24"/>
      <c r="H5310" s="24"/>
      <c r="J5310" s="24"/>
      <c r="K5310" s="24"/>
      <c r="M5310" s="24"/>
      <c r="N5310" s="24"/>
      <c r="P5310" s="24"/>
    </row>
    <row r="5311" spans="2:16" x14ac:dyDescent="0.25">
      <c r="B5311" s="24"/>
      <c r="E5311" s="24"/>
      <c r="G5311" s="24"/>
      <c r="H5311" s="24"/>
      <c r="J5311" s="24"/>
      <c r="K5311" s="24"/>
      <c r="M5311" s="24"/>
      <c r="N5311" s="24"/>
      <c r="P5311" s="24"/>
    </row>
    <row r="5312" spans="2:16" x14ac:dyDescent="0.25">
      <c r="B5312" s="24"/>
      <c r="E5312" s="24"/>
      <c r="G5312" s="24"/>
      <c r="H5312" s="24"/>
      <c r="J5312" s="24"/>
      <c r="K5312" s="24"/>
      <c r="M5312" s="24"/>
      <c r="N5312" s="24"/>
      <c r="P5312" s="24"/>
    </row>
    <row r="5313" spans="2:16" x14ac:dyDescent="0.25">
      <c r="B5313" s="24"/>
      <c r="E5313" s="24"/>
      <c r="G5313" s="24"/>
      <c r="H5313" s="24"/>
      <c r="J5313" s="24"/>
      <c r="K5313" s="24"/>
      <c r="M5313" s="24"/>
      <c r="N5313" s="24"/>
      <c r="P5313" s="24"/>
    </row>
    <row r="5314" spans="2:16" x14ac:dyDescent="0.25">
      <c r="B5314" s="24"/>
      <c r="E5314" s="24"/>
      <c r="G5314" s="24"/>
      <c r="H5314" s="24"/>
      <c r="J5314" s="24"/>
      <c r="K5314" s="24"/>
      <c r="M5314" s="24"/>
      <c r="N5314" s="24"/>
      <c r="P5314" s="24"/>
    </row>
    <row r="5315" spans="2:16" x14ac:dyDescent="0.25">
      <c r="B5315" s="24"/>
      <c r="E5315" s="24"/>
      <c r="G5315" s="24"/>
      <c r="H5315" s="24"/>
      <c r="J5315" s="24"/>
      <c r="K5315" s="24"/>
      <c r="M5315" s="24"/>
      <c r="N5315" s="24"/>
      <c r="P5315" s="24"/>
    </row>
    <row r="5316" spans="2:16" x14ac:dyDescent="0.25">
      <c r="B5316" s="24"/>
      <c r="E5316" s="24"/>
      <c r="G5316" s="24"/>
      <c r="H5316" s="24"/>
      <c r="J5316" s="24"/>
      <c r="K5316" s="24"/>
      <c r="M5316" s="24"/>
      <c r="N5316" s="24"/>
      <c r="P5316" s="24"/>
    </row>
    <row r="5317" spans="2:16" x14ac:dyDescent="0.25">
      <c r="B5317" s="24"/>
      <c r="E5317" s="24"/>
      <c r="G5317" s="24"/>
      <c r="H5317" s="24"/>
      <c r="J5317" s="24"/>
      <c r="K5317" s="24"/>
      <c r="M5317" s="24"/>
      <c r="N5317" s="24"/>
      <c r="P5317" s="24"/>
    </row>
    <row r="5318" spans="2:16" x14ac:dyDescent="0.25">
      <c r="B5318" s="24"/>
      <c r="E5318" s="24"/>
      <c r="G5318" s="24"/>
      <c r="H5318" s="24"/>
      <c r="J5318" s="24"/>
      <c r="K5318" s="24"/>
      <c r="M5318" s="24"/>
      <c r="N5318" s="24"/>
      <c r="P5318" s="24"/>
    </row>
    <row r="5319" spans="2:16" x14ac:dyDescent="0.25">
      <c r="B5319" s="24"/>
      <c r="E5319" s="24"/>
      <c r="G5319" s="24"/>
      <c r="H5319" s="24"/>
      <c r="J5319" s="24"/>
      <c r="K5319" s="24"/>
      <c r="M5319" s="24"/>
      <c r="N5319" s="24"/>
      <c r="P5319" s="24"/>
    </row>
    <row r="5320" spans="2:16" x14ac:dyDescent="0.25">
      <c r="B5320" s="24"/>
      <c r="E5320" s="24"/>
      <c r="G5320" s="24"/>
      <c r="H5320" s="24"/>
      <c r="J5320" s="24"/>
      <c r="K5320" s="24"/>
      <c r="M5320" s="24"/>
      <c r="N5320" s="24"/>
      <c r="P5320" s="24"/>
    </row>
    <row r="5321" spans="2:16" x14ac:dyDescent="0.25">
      <c r="B5321" s="24"/>
      <c r="E5321" s="24"/>
      <c r="G5321" s="24"/>
      <c r="H5321" s="24"/>
      <c r="J5321" s="24"/>
      <c r="K5321" s="24"/>
      <c r="M5321" s="24"/>
      <c r="N5321" s="24"/>
      <c r="P5321" s="24"/>
    </row>
    <row r="5322" spans="2:16" x14ac:dyDescent="0.25">
      <c r="B5322" s="24"/>
      <c r="E5322" s="24"/>
      <c r="G5322" s="24"/>
      <c r="H5322" s="24"/>
      <c r="J5322" s="24"/>
      <c r="K5322" s="24"/>
      <c r="M5322" s="24"/>
      <c r="N5322" s="24"/>
      <c r="P5322" s="24"/>
    </row>
    <row r="5323" spans="2:16" x14ac:dyDescent="0.25">
      <c r="B5323" s="24"/>
      <c r="E5323" s="24"/>
      <c r="G5323" s="24"/>
      <c r="H5323" s="24"/>
      <c r="J5323" s="24"/>
      <c r="K5323" s="24"/>
      <c r="M5323" s="24"/>
      <c r="N5323" s="24"/>
      <c r="P5323" s="24"/>
    </row>
    <row r="5324" spans="2:16" x14ac:dyDescent="0.25">
      <c r="B5324" s="24"/>
      <c r="E5324" s="24"/>
      <c r="G5324" s="24"/>
      <c r="H5324" s="24"/>
      <c r="J5324" s="24"/>
      <c r="K5324" s="24"/>
      <c r="M5324" s="24"/>
      <c r="N5324" s="24"/>
      <c r="P5324" s="24"/>
    </row>
    <row r="5325" spans="2:16" x14ac:dyDescent="0.25">
      <c r="B5325" s="24"/>
      <c r="E5325" s="24"/>
      <c r="G5325" s="24"/>
      <c r="H5325" s="24"/>
      <c r="J5325" s="24"/>
      <c r="K5325" s="24"/>
      <c r="M5325" s="24"/>
      <c r="N5325" s="24"/>
      <c r="P5325" s="24"/>
    </row>
    <row r="5326" spans="2:16" x14ac:dyDescent="0.25">
      <c r="B5326" s="24"/>
      <c r="E5326" s="24"/>
      <c r="G5326" s="24"/>
      <c r="H5326" s="24"/>
      <c r="J5326" s="24"/>
      <c r="K5326" s="24"/>
      <c r="M5326" s="24"/>
      <c r="N5326" s="24"/>
      <c r="P5326" s="24"/>
    </row>
    <row r="5327" spans="2:16" x14ac:dyDescent="0.25">
      <c r="B5327" s="24"/>
      <c r="E5327" s="24"/>
      <c r="G5327" s="24"/>
      <c r="H5327" s="24"/>
      <c r="J5327" s="24"/>
      <c r="K5327" s="24"/>
      <c r="M5327" s="24"/>
      <c r="N5327" s="24"/>
      <c r="P5327" s="24"/>
    </row>
    <row r="5328" spans="2:16" x14ac:dyDescent="0.25">
      <c r="B5328" s="24"/>
      <c r="E5328" s="24"/>
      <c r="G5328" s="24"/>
      <c r="H5328" s="24"/>
      <c r="J5328" s="24"/>
      <c r="K5328" s="24"/>
      <c r="M5328" s="24"/>
      <c r="N5328" s="24"/>
      <c r="P5328" s="24"/>
    </row>
    <row r="5329" spans="2:16" x14ac:dyDescent="0.25">
      <c r="B5329" s="24"/>
      <c r="E5329" s="24"/>
      <c r="G5329" s="24"/>
      <c r="H5329" s="24"/>
      <c r="J5329" s="24"/>
      <c r="K5329" s="24"/>
      <c r="M5329" s="24"/>
      <c r="N5329" s="24"/>
      <c r="P5329" s="24"/>
    </row>
    <row r="5330" spans="2:16" x14ac:dyDescent="0.25">
      <c r="B5330" s="24"/>
      <c r="E5330" s="24"/>
      <c r="G5330" s="24"/>
      <c r="H5330" s="24"/>
      <c r="J5330" s="24"/>
      <c r="K5330" s="24"/>
      <c r="M5330" s="24"/>
      <c r="N5330" s="24"/>
      <c r="P5330" s="24"/>
    </row>
    <row r="5331" spans="2:16" x14ac:dyDescent="0.25">
      <c r="B5331" s="24"/>
      <c r="E5331" s="24"/>
      <c r="G5331" s="24"/>
      <c r="H5331" s="24"/>
      <c r="J5331" s="24"/>
      <c r="K5331" s="24"/>
      <c r="M5331" s="24"/>
      <c r="N5331" s="24"/>
      <c r="P5331" s="24"/>
    </row>
    <row r="5332" spans="2:16" x14ac:dyDescent="0.25">
      <c r="B5332" s="24"/>
      <c r="E5332" s="24"/>
      <c r="G5332" s="24"/>
      <c r="H5332" s="24"/>
      <c r="J5332" s="24"/>
      <c r="K5332" s="24"/>
      <c r="M5332" s="24"/>
      <c r="N5332" s="24"/>
      <c r="P5332" s="24"/>
    </row>
    <row r="5333" spans="2:16" x14ac:dyDescent="0.25">
      <c r="B5333" s="24"/>
      <c r="E5333" s="24"/>
      <c r="G5333" s="24"/>
      <c r="H5333" s="24"/>
      <c r="J5333" s="24"/>
      <c r="K5333" s="24"/>
      <c r="M5333" s="24"/>
      <c r="N5333" s="24"/>
      <c r="P5333" s="24"/>
    </row>
    <row r="5334" spans="2:16" x14ac:dyDescent="0.25">
      <c r="B5334" s="24"/>
      <c r="E5334" s="24"/>
      <c r="G5334" s="24"/>
      <c r="H5334" s="24"/>
      <c r="J5334" s="24"/>
      <c r="K5334" s="24"/>
      <c r="M5334" s="24"/>
      <c r="N5334" s="24"/>
      <c r="P5334" s="24"/>
    </row>
    <row r="5335" spans="2:16" x14ac:dyDescent="0.25">
      <c r="B5335" s="24"/>
      <c r="E5335" s="24"/>
      <c r="G5335" s="24"/>
      <c r="H5335" s="24"/>
      <c r="J5335" s="24"/>
      <c r="K5335" s="24"/>
      <c r="M5335" s="24"/>
      <c r="N5335" s="24"/>
      <c r="P5335" s="24"/>
    </row>
    <row r="5336" spans="2:16" x14ac:dyDescent="0.25">
      <c r="B5336" s="24"/>
      <c r="E5336" s="24"/>
      <c r="G5336" s="24"/>
      <c r="H5336" s="24"/>
      <c r="J5336" s="24"/>
      <c r="K5336" s="24"/>
      <c r="M5336" s="24"/>
      <c r="N5336" s="24"/>
      <c r="P5336" s="24"/>
    </row>
    <row r="5337" spans="2:16" x14ac:dyDescent="0.25">
      <c r="B5337" s="24"/>
      <c r="E5337" s="24"/>
      <c r="G5337" s="24"/>
      <c r="H5337" s="24"/>
      <c r="J5337" s="24"/>
      <c r="K5337" s="24"/>
      <c r="M5337" s="24"/>
      <c r="N5337" s="24"/>
      <c r="P5337" s="24"/>
    </row>
    <row r="5338" spans="2:16" x14ac:dyDescent="0.25">
      <c r="B5338" s="24"/>
      <c r="E5338" s="24"/>
      <c r="G5338" s="24"/>
      <c r="H5338" s="24"/>
      <c r="J5338" s="24"/>
      <c r="K5338" s="24"/>
      <c r="M5338" s="24"/>
      <c r="N5338" s="24"/>
      <c r="P5338" s="24"/>
    </row>
    <row r="5339" spans="2:16" x14ac:dyDescent="0.25">
      <c r="B5339" s="24"/>
      <c r="E5339" s="24"/>
      <c r="G5339" s="24"/>
      <c r="H5339" s="24"/>
      <c r="J5339" s="24"/>
      <c r="K5339" s="24"/>
      <c r="M5339" s="24"/>
      <c r="N5339" s="24"/>
      <c r="P5339" s="24"/>
    </row>
    <row r="5340" spans="2:16" x14ac:dyDescent="0.25">
      <c r="B5340" s="24"/>
      <c r="E5340" s="24"/>
      <c r="G5340" s="24"/>
      <c r="H5340" s="24"/>
      <c r="J5340" s="24"/>
      <c r="K5340" s="24"/>
      <c r="M5340" s="24"/>
      <c r="N5340" s="24"/>
      <c r="P5340" s="24"/>
    </row>
    <row r="5341" spans="2:16" x14ac:dyDescent="0.25">
      <c r="B5341" s="24"/>
      <c r="E5341" s="24"/>
      <c r="G5341" s="24"/>
      <c r="H5341" s="24"/>
      <c r="J5341" s="24"/>
      <c r="K5341" s="24"/>
      <c r="M5341" s="24"/>
      <c r="N5341" s="24"/>
      <c r="P5341" s="24"/>
    </row>
    <row r="5342" spans="2:16" x14ac:dyDescent="0.25">
      <c r="B5342" s="24"/>
      <c r="E5342" s="24"/>
      <c r="G5342" s="24"/>
      <c r="H5342" s="24"/>
      <c r="J5342" s="24"/>
      <c r="K5342" s="24"/>
      <c r="M5342" s="24"/>
      <c r="N5342" s="24"/>
      <c r="P5342" s="24"/>
    </row>
    <row r="5343" spans="2:16" x14ac:dyDescent="0.25">
      <c r="B5343" s="24"/>
      <c r="E5343" s="24"/>
      <c r="G5343" s="24"/>
      <c r="H5343" s="24"/>
      <c r="J5343" s="24"/>
      <c r="K5343" s="24"/>
      <c r="M5343" s="24"/>
      <c r="N5343" s="24"/>
      <c r="P5343" s="24"/>
    </row>
    <row r="5344" spans="2:16" x14ac:dyDescent="0.25">
      <c r="B5344" s="24"/>
      <c r="E5344" s="24"/>
      <c r="G5344" s="24"/>
      <c r="H5344" s="24"/>
      <c r="J5344" s="24"/>
      <c r="K5344" s="24"/>
      <c r="M5344" s="24"/>
      <c r="N5344" s="24"/>
      <c r="P5344" s="24"/>
    </row>
    <row r="5345" spans="2:16" x14ac:dyDescent="0.25">
      <c r="B5345" s="24"/>
      <c r="E5345" s="24"/>
      <c r="G5345" s="24"/>
      <c r="H5345" s="24"/>
      <c r="J5345" s="24"/>
      <c r="K5345" s="24"/>
      <c r="M5345" s="24"/>
      <c r="N5345" s="24"/>
      <c r="P5345" s="24"/>
    </row>
    <row r="5346" spans="2:16" x14ac:dyDescent="0.25">
      <c r="B5346" s="24"/>
      <c r="E5346" s="24"/>
      <c r="G5346" s="24"/>
      <c r="H5346" s="24"/>
      <c r="J5346" s="24"/>
      <c r="K5346" s="24"/>
      <c r="M5346" s="24"/>
      <c r="N5346" s="24"/>
      <c r="P5346" s="24"/>
    </row>
    <row r="5347" spans="2:16" x14ac:dyDescent="0.25">
      <c r="B5347" s="24"/>
      <c r="E5347" s="24"/>
      <c r="G5347" s="24"/>
      <c r="H5347" s="24"/>
      <c r="J5347" s="24"/>
      <c r="K5347" s="24"/>
      <c r="M5347" s="24"/>
      <c r="N5347" s="24"/>
      <c r="P5347" s="24"/>
    </row>
    <row r="5348" spans="2:16" x14ac:dyDescent="0.25">
      <c r="B5348" s="24"/>
      <c r="E5348" s="24"/>
      <c r="G5348" s="24"/>
      <c r="H5348" s="24"/>
      <c r="J5348" s="24"/>
      <c r="K5348" s="24"/>
      <c r="M5348" s="24"/>
      <c r="N5348" s="24"/>
      <c r="P5348" s="24"/>
    </row>
    <row r="5349" spans="2:16" x14ac:dyDescent="0.25">
      <c r="B5349" s="24"/>
      <c r="E5349" s="24"/>
      <c r="G5349" s="24"/>
      <c r="H5349" s="24"/>
      <c r="J5349" s="24"/>
      <c r="K5349" s="24"/>
      <c r="M5349" s="24"/>
      <c r="N5349" s="24"/>
      <c r="P5349" s="24"/>
    </row>
    <row r="5350" spans="2:16" x14ac:dyDescent="0.25">
      <c r="B5350" s="24"/>
      <c r="E5350" s="24"/>
      <c r="G5350" s="24"/>
      <c r="H5350" s="24"/>
      <c r="J5350" s="24"/>
      <c r="K5350" s="24"/>
      <c r="M5350" s="24"/>
      <c r="N5350" s="24"/>
      <c r="P5350" s="24"/>
    </row>
    <row r="5351" spans="2:16" x14ac:dyDescent="0.25">
      <c r="B5351" s="24"/>
      <c r="E5351" s="24"/>
      <c r="G5351" s="24"/>
      <c r="H5351" s="24"/>
      <c r="J5351" s="24"/>
      <c r="K5351" s="24"/>
      <c r="M5351" s="24"/>
      <c r="N5351" s="24"/>
      <c r="P5351" s="24"/>
    </row>
    <row r="5352" spans="2:16" x14ac:dyDescent="0.25">
      <c r="B5352" s="24"/>
      <c r="E5352" s="24"/>
      <c r="G5352" s="24"/>
      <c r="H5352" s="24"/>
      <c r="J5352" s="24"/>
      <c r="K5352" s="24"/>
      <c r="M5352" s="24"/>
      <c r="N5352" s="24"/>
      <c r="P5352" s="24"/>
    </row>
    <row r="5353" spans="2:16" x14ac:dyDescent="0.25">
      <c r="B5353" s="24"/>
      <c r="E5353" s="24"/>
      <c r="G5353" s="24"/>
      <c r="H5353" s="24"/>
      <c r="J5353" s="24"/>
      <c r="K5353" s="24"/>
      <c r="M5353" s="24"/>
      <c r="N5353" s="24"/>
      <c r="P5353" s="24"/>
    </row>
    <row r="5354" spans="2:16" x14ac:dyDescent="0.25">
      <c r="B5354" s="24"/>
      <c r="E5354" s="24"/>
      <c r="G5354" s="24"/>
      <c r="H5354" s="24"/>
      <c r="J5354" s="24"/>
      <c r="K5354" s="24"/>
      <c r="M5354" s="24"/>
      <c r="N5354" s="24"/>
      <c r="P5354" s="24"/>
    </row>
    <row r="5355" spans="2:16" x14ac:dyDescent="0.25">
      <c r="B5355" s="24"/>
      <c r="E5355" s="24"/>
      <c r="G5355" s="24"/>
      <c r="H5355" s="24"/>
      <c r="J5355" s="24"/>
      <c r="K5355" s="24"/>
      <c r="M5355" s="24"/>
      <c r="N5355" s="24"/>
      <c r="P5355" s="24"/>
    </row>
    <row r="5356" spans="2:16" x14ac:dyDescent="0.25">
      <c r="B5356" s="24"/>
      <c r="E5356" s="24"/>
      <c r="G5356" s="24"/>
      <c r="H5356" s="24"/>
      <c r="J5356" s="24"/>
      <c r="K5356" s="24"/>
      <c r="M5356" s="24"/>
      <c r="N5356" s="24"/>
      <c r="P5356" s="24"/>
    </row>
    <row r="5357" spans="2:16" x14ac:dyDescent="0.25">
      <c r="B5357" s="24"/>
      <c r="E5357" s="24"/>
      <c r="G5357" s="24"/>
      <c r="H5357" s="24"/>
      <c r="J5357" s="24"/>
      <c r="K5357" s="24"/>
      <c r="M5357" s="24"/>
      <c r="N5357" s="24"/>
      <c r="P5357" s="24"/>
    </row>
    <row r="5358" spans="2:16" x14ac:dyDescent="0.25">
      <c r="B5358" s="24"/>
      <c r="E5358" s="24"/>
      <c r="G5358" s="24"/>
      <c r="H5358" s="24"/>
      <c r="J5358" s="24"/>
      <c r="K5358" s="24"/>
      <c r="M5358" s="24"/>
      <c r="N5358" s="24"/>
      <c r="P5358" s="24"/>
    </row>
    <row r="5359" spans="2:16" x14ac:dyDescent="0.25">
      <c r="B5359" s="24"/>
      <c r="E5359" s="24"/>
      <c r="G5359" s="24"/>
      <c r="H5359" s="24"/>
      <c r="J5359" s="24"/>
      <c r="K5359" s="24"/>
      <c r="M5359" s="24"/>
      <c r="N5359" s="24"/>
      <c r="P5359" s="24"/>
    </row>
    <row r="5360" spans="2:16" x14ac:dyDescent="0.25">
      <c r="B5360" s="24"/>
      <c r="E5360" s="24"/>
      <c r="G5360" s="24"/>
      <c r="H5360" s="24"/>
      <c r="J5360" s="24"/>
      <c r="K5360" s="24"/>
      <c r="M5360" s="24"/>
      <c r="N5360" s="24"/>
      <c r="P5360" s="24"/>
    </row>
    <row r="5361" spans="2:16" x14ac:dyDescent="0.25">
      <c r="B5361" s="24"/>
      <c r="E5361" s="24"/>
      <c r="G5361" s="24"/>
      <c r="H5361" s="24"/>
      <c r="J5361" s="24"/>
      <c r="K5361" s="24"/>
      <c r="M5361" s="24"/>
      <c r="N5361" s="24"/>
      <c r="P5361" s="24"/>
    </row>
    <row r="5362" spans="2:16" x14ac:dyDescent="0.25">
      <c r="B5362" s="24"/>
      <c r="E5362" s="24"/>
      <c r="G5362" s="24"/>
      <c r="H5362" s="24"/>
      <c r="J5362" s="24"/>
      <c r="K5362" s="24"/>
      <c r="M5362" s="24"/>
      <c r="N5362" s="24"/>
      <c r="P5362" s="24"/>
    </row>
    <row r="5363" spans="2:16" x14ac:dyDescent="0.25">
      <c r="B5363" s="24"/>
      <c r="E5363" s="24"/>
      <c r="G5363" s="24"/>
      <c r="H5363" s="24"/>
      <c r="J5363" s="24"/>
      <c r="K5363" s="24"/>
      <c r="M5363" s="24"/>
      <c r="N5363" s="24"/>
      <c r="P5363" s="24"/>
    </row>
    <row r="5364" spans="2:16" x14ac:dyDescent="0.25">
      <c r="B5364" s="24"/>
      <c r="E5364" s="24"/>
      <c r="G5364" s="24"/>
      <c r="H5364" s="24"/>
      <c r="J5364" s="24"/>
      <c r="K5364" s="24"/>
      <c r="M5364" s="24"/>
      <c r="N5364" s="24"/>
      <c r="P5364" s="24"/>
    </row>
    <row r="5365" spans="2:16" x14ac:dyDescent="0.25">
      <c r="B5365" s="24"/>
      <c r="E5365" s="24"/>
      <c r="G5365" s="24"/>
      <c r="H5365" s="24"/>
      <c r="J5365" s="24"/>
      <c r="K5365" s="24"/>
      <c r="M5365" s="24"/>
      <c r="N5365" s="24"/>
      <c r="P5365" s="24"/>
    </row>
    <row r="5366" spans="2:16" x14ac:dyDescent="0.25">
      <c r="B5366" s="24"/>
      <c r="E5366" s="24"/>
      <c r="G5366" s="24"/>
      <c r="H5366" s="24"/>
      <c r="J5366" s="24"/>
      <c r="K5366" s="24"/>
      <c r="M5366" s="24"/>
      <c r="N5366" s="24"/>
      <c r="P5366" s="24"/>
    </row>
    <row r="5367" spans="2:16" x14ac:dyDescent="0.25">
      <c r="B5367" s="24"/>
      <c r="E5367" s="24"/>
      <c r="G5367" s="24"/>
      <c r="H5367" s="24"/>
      <c r="J5367" s="24"/>
      <c r="K5367" s="24"/>
      <c r="M5367" s="24"/>
      <c r="N5367" s="24"/>
      <c r="P5367" s="24"/>
    </row>
    <row r="5368" spans="2:16" x14ac:dyDescent="0.25">
      <c r="B5368" s="24"/>
      <c r="E5368" s="24"/>
      <c r="G5368" s="24"/>
      <c r="H5368" s="24"/>
      <c r="J5368" s="24"/>
      <c r="K5368" s="24"/>
      <c r="M5368" s="24"/>
      <c r="N5368" s="24"/>
      <c r="P5368" s="24"/>
    </row>
    <row r="5369" spans="2:16" x14ac:dyDescent="0.25">
      <c r="B5369" s="24"/>
      <c r="E5369" s="24"/>
      <c r="G5369" s="24"/>
      <c r="H5369" s="24"/>
      <c r="J5369" s="24"/>
      <c r="K5369" s="24"/>
      <c r="M5369" s="24"/>
      <c r="N5369" s="24"/>
      <c r="P5369" s="24"/>
    </row>
    <row r="5370" spans="2:16" x14ac:dyDescent="0.25">
      <c r="B5370" s="24"/>
      <c r="E5370" s="24"/>
      <c r="G5370" s="24"/>
      <c r="H5370" s="24"/>
      <c r="J5370" s="24"/>
      <c r="K5370" s="24"/>
      <c r="M5370" s="24"/>
      <c r="N5370" s="24"/>
      <c r="P5370" s="24"/>
    </row>
    <row r="5371" spans="2:16" x14ac:dyDescent="0.25">
      <c r="B5371" s="24"/>
      <c r="E5371" s="24"/>
      <c r="G5371" s="24"/>
      <c r="H5371" s="24"/>
      <c r="J5371" s="24"/>
      <c r="K5371" s="24"/>
      <c r="M5371" s="24"/>
      <c r="N5371" s="24"/>
      <c r="P5371" s="24"/>
    </row>
    <row r="5372" spans="2:16" x14ac:dyDescent="0.25">
      <c r="B5372" s="24"/>
      <c r="E5372" s="24"/>
      <c r="G5372" s="24"/>
      <c r="H5372" s="24"/>
      <c r="J5372" s="24"/>
      <c r="K5372" s="24"/>
      <c r="M5372" s="24"/>
      <c r="N5372" s="24"/>
      <c r="P5372" s="24"/>
    </row>
    <row r="5373" spans="2:16" x14ac:dyDescent="0.25">
      <c r="B5373" s="24"/>
      <c r="E5373" s="24"/>
      <c r="G5373" s="24"/>
      <c r="H5373" s="24"/>
      <c r="J5373" s="24"/>
      <c r="K5373" s="24"/>
      <c r="M5373" s="24"/>
      <c r="N5373" s="24"/>
      <c r="P5373" s="24"/>
    </row>
    <row r="5374" spans="2:16" x14ac:dyDescent="0.25">
      <c r="B5374" s="24"/>
      <c r="E5374" s="24"/>
      <c r="G5374" s="24"/>
      <c r="H5374" s="24"/>
      <c r="J5374" s="24"/>
      <c r="K5374" s="24"/>
      <c r="M5374" s="24"/>
      <c r="N5374" s="24"/>
      <c r="P5374" s="24"/>
    </row>
    <row r="5375" spans="2:16" x14ac:dyDescent="0.25">
      <c r="B5375" s="24"/>
      <c r="E5375" s="24"/>
      <c r="G5375" s="24"/>
      <c r="H5375" s="24"/>
      <c r="J5375" s="24"/>
      <c r="K5375" s="24"/>
      <c r="M5375" s="24"/>
      <c r="N5375" s="24"/>
      <c r="P5375" s="24"/>
    </row>
    <row r="5376" spans="2:16" x14ac:dyDescent="0.25">
      <c r="B5376" s="24"/>
      <c r="E5376" s="24"/>
      <c r="G5376" s="24"/>
      <c r="H5376" s="24"/>
      <c r="J5376" s="24"/>
      <c r="K5376" s="24"/>
      <c r="M5376" s="24"/>
      <c r="N5376" s="24"/>
      <c r="P5376" s="24"/>
    </row>
    <row r="5377" spans="2:16" x14ac:dyDescent="0.25">
      <c r="B5377" s="24"/>
      <c r="E5377" s="24"/>
      <c r="G5377" s="24"/>
      <c r="H5377" s="24"/>
      <c r="J5377" s="24"/>
      <c r="K5377" s="24"/>
      <c r="M5377" s="24"/>
      <c r="N5377" s="24"/>
      <c r="P5377" s="24"/>
    </row>
    <row r="5378" spans="2:16" x14ac:dyDescent="0.25">
      <c r="B5378" s="24"/>
      <c r="E5378" s="24"/>
      <c r="G5378" s="24"/>
      <c r="H5378" s="24"/>
      <c r="J5378" s="24"/>
      <c r="K5378" s="24"/>
      <c r="M5378" s="24"/>
      <c r="N5378" s="24"/>
      <c r="P5378" s="24"/>
    </row>
    <row r="5379" spans="2:16" x14ac:dyDescent="0.25">
      <c r="B5379" s="24"/>
      <c r="E5379" s="24"/>
      <c r="G5379" s="24"/>
      <c r="H5379" s="24"/>
      <c r="J5379" s="24"/>
      <c r="K5379" s="24"/>
      <c r="M5379" s="24"/>
      <c r="N5379" s="24"/>
      <c r="P5379" s="24"/>
    </row>
    <row r="5380" spans="2:16" x14ac:dyDescent="0.25">
      <c r="B5380" s="24"/>
      <c r="E5380" s="24"/>
      <c r="G5380" s="24"/>
      <c r="H5380" s="24"/>
      <c r="J5380" s="24"/>
      <c r="K5380" s="24"/>
      <c r="M5380" s="24"/>
      <c r="N5380" s="24"/>
      <c r="P5380" s="24"/>
    </row>
    <row r="5381" spans="2:16" x14ac:dyDescent="0.25">
      <c r="B5381" s="24"/>
      <c r="E5381" s="24"/>
      <c r="G5381" s="24"/>
      <c r="H5381" s="24"/>
      <c r="J5381" s="24"/>
      <c r="K5381" s="24"/>
      <c r="M5381" s="24"/>
      <c r="N5381" s="24"/>
      <c r="P5381" s="24"/>
    </row>
    <row r="5382" spans="2:16" x14ac:dyDescent="0.25">
      <c r="B5382" s="24"/>
      <c r="E5382" s="24"/>
      <c r="G5382" s="24"/>
      <c r="H5382" s="24"/>
      <c r="J5382" s="24"/>
      <c r="K5382" s="24"/>
      <c r="M5382" s="24"/>
      <c r="N5382" s="24"/>
      <c r="P5382" s="24"/>
    </row>
    <row r="5383" spans="2:16" x14ac:dyDescent="0.25">
      <c r="B5383" s="24"/>
      <c r="E5383" s="24"/>
      <c r="G5383" s="24"/>
      <c r="H5383" s="24"/>
      <c r="J5383" s="24"/>
      <c r="K5383" s="24"/>
      <c r="M5383" s="24"/>
      <c r="N5383" s="24"/>
      <c r="P5383" s="24"/>
    </row>
    <row r="5384" spans="2:16" x14ac:dyDescent="0.25">
      <c r="B5384" s="24"/>
      <c r="E5384" s="24"/>
      <c r="G5384" s="24"/>
      <c r="H5384" s="24"/>
      <c r="J5384" s="24"/>
      <c r="K5384" s="24"/>
      <c r="M5384" s="24"/>
      <c r="N5384" s="24"/>
      <c r="P5384" s="24"/>
    </row>
    <row r="5385" spans="2:16" x14ac:dyDescent="0.25">
      <c r="B5385" s="24"/>
      <c r="E5385" s="24"/>
      <c r="G5385" s="24"/>
      <c r="H5385" s="24"/>
      <c r="J5385" s="24"/>
      <c r="K5385" s="24"/>
      <c r="M5385" s="24"/>
      <c r="N5385" s="24"/>
      <c r="P5385" s="24"/>
    </row>
    <row r="5386" spans="2:16" x14ac:dyDescent="0.25">
      <c r="B5386" s="24"/>
      <c r="E5386" s="24"/>
      <c r="G5386" s="24"/>
      <c r="H5386" s="24"/>
      <c r="J5386" s="24"/>
      <c r="K5386" s="24"/>
      <c r="M5386" s="24"/>
      <c r="N5386" s="24"/>
      <c r="P5386" s="24"/>
    </row>
    <row r="5387" spans="2:16" x14ac:dyDescent="0.25">
      <c r="B5387" s="24"/>
      <c r="E5387" s="24"/>
      <c r="G5387" s="24"/>
      <c r="H5387" s="24"/>
      <c r="J5387" s="24"/>
      <c r="K5387" s="24"/>
      <c r="M5387" s="24"/>
      <c r="N5387" s="24"/>
      <c r="P5387" s="24"/>
    </row>
    <row r="5388" spans="2:16" x14ac:dyDescent="0.25">
      <c r="B5388" s="24"/>
      <c r="E5388" s="24"/>
      <c r="G5388" s="24"/>
      <c r="H5388" s="24"/>
      <c r="J5388" s="24"/>
      <c r="K5388" s="24"/>
      <c r="M5388" s="24"/>
      <c r="N5388" s="24"/>
      <c r="P5388" s="24"/>
    </row>
    <row r="5389" spans="2:16" x14ac:dyDescent="0.25">
      <c r="B5389" s="24"/>
      <c r="E5389" s="24"/>
      <c r="G5389" s="24"/>
      <c r="H5389" s="24"/>
      <c r="J5389" s="24"/>
      <c r="K5389" s="24"/>
      <c r="M5389" s="24"/>
      <c r="N5389" s="24"/>
      <c r="P5389" s="24"/>
    </row>
    <row r="5390" spans="2:16" x14ac:dyDescent="0.25">
      <c r="B5390" s="24"/>
      <c r="E5390" s="24"/>
      <c r="G5390" s="24"/>
      <c r="H5390" s="24"/>
      <c r="J5390" s="24"/>
      <c r="K5390" s="24"/>
      <c r="M5390" s="24"/>
      <c r="N5390" s="24"/>
      <c r="P5390" s="24"/>
    </row>
    <row r="5391" spans="2:16" x14ac:dyDescent="0.25">
      <c r="B5391" s="24"/>
      <c r="E5391" s="24"/>
      <c r="G5391" s="24"/>
      <c r="H5391" s="24"/>
      <c r="J5391" s="24"/>
      <c r="K5391" s="24"/>
      <c r="M5391" s="24"/>
      <c r="N5391" s="24"/>
      <c r="P5391" s="24"/>
    </row>
    <row r="5392" spans="2:16" x14ac:dyDescent="0.25">
      <c r="B5392" s="24"/>
      <c r="E5392" s="24"/>
      <c r="G5392" s="24"/>
      <c r="H5392" s="24"/>
      <c r="J5392" s="24"/>
      <c r="K5392" s="24"/>
      <c r="M5392" s="24"/>
      <c r="N5392" s="24"/>
      <c r="P5392" s="24"/>
    </row>
    <row r="5393" spans="2:16" x14ac:dyDescent="0.25">
      <c r="B5393" s="24"/>
      <c r="E5393" s="24"/>
      <c r="G5393" s="24"/>
      <c r="H5393" s="24"/>
      <c r="J5393" s="24"/>
      <c r="K5393" s="24"/>
      <c r="M5393" s="24"/>
      <c r="N5393" s="24"/>
      <c r="P5393" s="24"/>
    </row>
    <row r="5394" spans="2:16" x14ac:dyDescent="0.25">
      <c r="B5394" s="24"/>
      <c r="E5394" s="24"/>
      <c r="G5394" s="24"/>
      <c r="H5394" s="24"/>
      <c r="J5394" s="24"/>
      <c r="K5394" s="24"/>
      <c r="M5394" s="24"/>
      <c r="N5394" s="24"/>
      <c r="P5394" s="24"/>
    </row>
    <row r="5395" spans="2:16" x14ac:dyDescent="0.25">
      <c r="B5395" s="24"/>
      <c r="E5395" s="24"/>
      <c r="G5395" s="24"/>
      <c r="H5395" s="24"/>
      <c r="J5395" s="24"/>
      <c r="K5395" s="24"/>
      <c r="M5395" s="24"/>
      <c r="N5395" s="24"/>
      <c r="P5395" s="24"/>
    </row>
    <row r="5396" spans="2:16" x14ac:dyDescent="0.25">
      <c r="B5396" s="24"/>
      <c r="E5396" s="24"/>
      <c r="G5396" s="24"/>
      <c r="H5396" s="24"/>
      <c r="J5396" s="24"/>
      <c r="K5396" s="24"/>
      <c r="M5396" s="24"/>
      <c r="N5396" s="24"/>
      <c r="P5396" s="24"/>
    </row>
    <row r="5397" spans="2:16" x14ac:dyDescent="0.25">
      <c r="B5397" s="24"/>
      <c r="E5397" s="24"/>
      <c r="G5397" s="24"/>
      <c r="H5397" s="24"/>
      <c r="J5397" s="24"/>
      <c r="K5397" s="24"/>
      <c r="M5397" s="24"/>
      <c r="N5397" s="24"/>
      <c r="P5397" s="24"/>
    </row>
    <row r="5398" spans="2:16" x14ac:dyDescent="0.25">
      <c r="B5398" s="24"/>
      <c r="E5398" s="24"/>
      <c r="G5398" s="24"/>
      <c r="H5398" s="24"/>
      <c r="J5398" s="24"/>
      <c r="K5398" s="24"/>
      <c r="M5398" s="24"/>
      <c r="N5398" s="24"/>
      <c r="P5398" s="24"/>
    </row>
    <row r="5399" spans="2:16" x14ac:dyDescent="0.25">
      <c r="B5399" s="24"/>
      <c r="E5399" s="24"/>
      <c r="G5399" s="24"/>
      <c r="H5399" s="24"/>
      <c r="J5399" s="24"/>
      <c r="K5399" s="24"/>
      <c r="M5399" s="24"/>
      <c r="N5399" s="24"/>
      <c r="P5399" s="24"/>
    </row>
    <row r="5400" spans="2:16" x14ac:dyDescent="0.25">
      <c r="B5400" s="24"/>
      <c r="E5400" s="24"/>
      <c r="G5400" s="24"/>
      <c r="H5400" s="24"/>
      <c r="J5400" s="24"/>
      <c r="K5400" s="24"/>
      <c r="M5400" s="24"/>
      <c r="N5400" s="24"/>
      <c r="P5400" s="24"/>
    </row>
    <row r="5401" spans="2:16" x14ac:dyDescent="0.25">
      <c r="B5401" s="24"/>
      <c r="E5401" s="24"/>
      <c r="G5401" s="24"/>
      <c r="H5401" s="24"/>
      <c r="J5401" s="24"/>
      <c r="K5401" s="24"/>
      <c r="M5401" s="24"/>
      <c r="N5401" s="24"/>
      <c r="P5401" s="24"/>
    </row>
    <row r="5402" spans="2:16" x14ac:dyDescent="0.25">
      <c r="B5402" s="24"/>
      <c r="E5402" s="24"/>
      <c r="G5402" s="24"/>
      <c r="H5402" s="24"/>
      <c r="J5402" s="24"/>
      <c r="K5402" s="24"/>
      <c r="M5402" s="24"/>
      <c r="N5402" s="24"/>
      <c r="P5402" s="24"/>
    </row>
    <row r="5403" spans="2:16" x14ac:dyDescent="0.25">
      <c r="B5403" s="24"/>
      <c r="E5403" s="24"/>
      <c r="G5403" s="24"/>
      <c r="H5403" s="24"/>
      <c r="J5403" s="24"/>
      <c r="K5403" s="24"/>
      <c r="M5403" s="24"/>
      <c r="N5403" s="24"/>
      <c r="P5403" s="24"/>
    </row>
    <row r="5404" spans="2:16" x14ac:dyDescent="0.25">
      <c r="B5404" s="24"/>
      <c r="E5404" s="24"/>
      <c r="G5404" s="24"/>
      <c r="H5404" s="24"/>
      <c r="J5404" s="24"/>
      <c r="K5404" s="24"/>
      <c r="M5404" s="24"/>
      <c r="N5404" s="24"/>
      <c r="P5404" s="24"/>
    </row>
    <row r="5405" spans="2:16" x14ac:dyDescent="0.25">
      <c r="B5405" s="24"/>
      <c r="E5405" s="24"/>
      <c r="G5405" s="24"/>
      <c r="H5405" s="24"/>
      <c r="J5405" s="24"/>
      <c r="K5405" s="24"/>
      <c r="M5405" s="24"/>
      <c r="N5405" s="24"/>
      <c r="P5405" s="24"/>
    </row>
    <row r="5406" spans="2:16" x14ac:dyDescent="0.25">
      <c r="B5406" s="24"/>
      <c r="E5406" s="24"/>
      <c r="G5406" s="24"/>
      <c r="H5406" s="24"/>
      <c r="J5406" s="24"/>
      <c r="K5406" s="24"/>
      <c r="M5406" s="24"/>
      <c r="N5406" s="24"/>
      <c r="P5406" s="24"/>
    </row>
    <row r="5407" spans="2:16" x14ac:dyDescent="0.25">
      <c r="B5407" s="24"/>
      <c r="E5407" s="24"/>
      <c r="G5407" s="24"/>
      <c r="H5407" s="24"/>
      <c r="J5407" s="24"/>
      <c r="K5407" s="24"/>
      <c r="M5407" s="24"/>
      <c r="N5407" s="24"/>
      <c r="P5407" s="24"/>
    </row>
    <row r="5408" spans="2:16" x14ac:dyDescent="0.25">
      <c r="B5408" s="24"/>
      <c r="E5408" s="24"/>
      <c r="G5408" s="24"/>
      <c r="H5408" s="24"/>
      <c r="J5408" s="24"/>
      <c r="K5408" s="24"/>
      <c r="M5408" s="24"/>
      <c r="N5408" s="24"/>
      <c r="P5408" s="24"/>
    </row>
    <row r="5409" spans="2:16" x14ac:dyDescent="0.25">
      <c r="B5409" s="24"/>
      <c r="E5409" s="24"/>
      <c r="G5409" s="24"/>
      <c r="H5409" s="24"/>
      <c r="J5409" s="24"/>
      <c r="K5409" s="24"/>
      <c r="M5409" s="24"/>
      <c r="N5409" s="24"/>
      <c r="P5409" s="24"/>
    </row>
    <row r="5410" spans="2:16" x14ac:dyDescent="0.25">
      <c r="B5410" s="24"/>
      <c r="E5410" s="24"/>
      <c r="G5410" s="24"/>
      <c r="H5410" s="24"/>
      <c r="J5410" s="24"/>
      <c r="K5410" s="24"/>
      <c r="M5410" s="24"/>
      <c r="N5410" s="24"/>
      <c r="P5410" s="24"/>
    </row>
    <row r="5411" spans="2:16" x14ac:dyDescent="0.25">
      <c r="B5411" s="24"/>
      <c r="E5411" s="24"/>
      <c r="G5411" s="24"/>
      <c r="H5411" s="24"/>
      <c r="J5411" s="24"/>
      <c r="K5411" s="24"/>
      <c r="M5411" s="24"/>
      <c r="N5411" s="24"/>
      <c r="P5411" s="24"/>
    </row>
    <row r="5412" spans="2:16" x14ac:dyDescent="0.25">
      <c r="B5412" s="24"/>
      <c r="E5412" s="24"/>
      <c r="G5412" s="24"/>
      <c r="H5412" s="24"/>
      <c r="J5412" s="24"/>
      <c r="K5412" s="24"/>
      <c r="M5412" s="24"/>
      <c r="N5412" s="24"/>
      <c r="P5412" s="24"/>
    </row>
    <row r="5413" spans="2:16" x14ac:dyDescent="0.25">
      <c r="B5413" s="24"/>
      <c r="E5413" s="24"/>
      <c r="G5413" s="24"/>
      <c r="H5413" s="24"/>
      <c r="J5413" s="24"/>
      <c r="K5413" s="24"/>
      <c r="M5413" s="24"/>
      <c r="N5413" s="24"/>
      <c r="P5413" s="24"/>
    </row>
    <row r="5414" spans="2:16" x14ac:dyDescent="0.25">
      <c r="B5414" s="24"/>
      <c r="E5414" s="24"/>
      <c r="G5414" s="24"/>
      <c r="H5414" s="24"/>
      <c r="J5414" s="24"/>
      <c r="K5414" s="24"/>
      <c r="M5414" s="24"/>
      <c r="N5414" s="24"/>
      <c r="P5414" s="24"/>
    </row>
    <row r="5415" spans="2:16" x14ac:dyDescent="0.25">
      <c r="B5415" s="24"/>
      <c r="E5415" s="24"/>
      <c r="G5415" s="24"/>
      <c r="H5415" s="24"/>
      <c r="J5415" s="24"/>
      <c r="K5415" s="24"/>
      <c r="M5415" s="24"/>
      <c r="N5415" s="24"/>
      <c r="P5415" s="24"/>
    </row>
    <row r="5416" spans="2:16" x14ac:dyDescent="0.25">
      <c r="B5416" s="24"/>
      <c r="E5416" s="24"/>
      <c r="G5416" s="24"/>
      <c r="H5416" s="24"/>
      <c r="J5416" s="24"/>
      <c r="K5416" s="24"/>
      <c r="M5416" s="24"/>
      <c r="N5416" s="24"/>
      <c r="P5416" s="24"/>
    </row>
    <row r="5417" spans="2:16" x14ac:dyDescent="0.25">
      <c r="B5417" s="24"/>
      <c r="E5417" s="24"/>
      <c r="G5417" s="24"/>
      <c r="H5417" s="24"/>
      <c r="J5417" s="24"/>
      <c r="K5417" s="24"/>
      <c r="M5417" s="24"/>
      <c r="N5417" s="24"/>
      <c r="P5417" s="24"/>
    </row>
    <row r="5418" spans="2:16" x14ac:dyDescent="0.25">
      <c r="B5418" s="24"/>
      <c r="E5418" s="24"/>
      <c r="G5418" s="24"/>
      <c r="H5418" s="24"/>
      <c r="J5418" s="24"/>
      <c r="K5418" s="24"/>
      <c r="M5418" s="24"/>
      <c r="N5418" s="24"/>
      <c r="P5418" s="24"/>
    </row>
    <row r="5419" spans="2:16" x14ac:dyDescent="0.25">
      <c r="B5419" s="24"/>
      <c r="E5419" s="24"/>
      <c r="G5419" s="24"/>
      <c r="H5419" s="24"/>
      <c r="J5419" s="24"/>
      <c r="K5419" s="24"/>
      <c r="M5419" s="24"/>
      <c r="N5419" s="24"/>
      <c r="P5419" s="24"/>
    </row>
    <row r="5420" spans="2:16" x14ac:dyDescent="0.25">
      <c r="B5420" s="24"/>
      <c r="E5420" s="24"/>
      <c r="G5420" s="24"/>
      <c r="H5420" s="24"/>
      <c r="J5420" s="24"/>
      <c r="K5420" s="24"/>
      <c r="M5420" s="24"/>
      <c r="N5420" s="24"/>
      <c r="P5420" s="24"/>
    </row>
    <row r="5421" spans="2:16" x14ac:dyDescent="0.25">
      <c r="B5421" s="24"/>
      <c r="E5421" s="24"/>
      <c r="G5421" s="24"/>
      <c r="H5421" s="24"/>
      <c r="J5421" s="24"/>
      <c r="K5421" s="24"/>
      <c r="M5421" s="24"/>
      <c r="N5421" s="24"/>
      <c r="P5421" s="24"/>
    </row>
    <row r="5422" spans="2:16" x14ac:dyDescent="0.25">
      <c r="B5422" s="24"/>
      <c r="E5422" s="24"/>
      <c r="G5422" s="24"/>
      <c r="H5422" s="24"/>
      <c r="J5422" s="24"/>
      <c r="K5422" s="24"/>
      <c r="M5422" s="24"/>
      <c r="N5422" s="24"/>
      <c r="P5422" s="24"/>
    </row>
    <row r="5423" spans="2:16" x14ac:dyDescent="0.25">
      <c r="B5423" s="24"/>
      <c r="E5423" s="24"/>
      <c r="G5423" s="24"/>
      <c r="H5423" s="24"/>
      <c r="J5423" s="24"/>
      <c r="K5423" s="24"/>
      <c r="M5423" s="24"/>
      <c r="N5423" s="24"/>
      <c r="P5423" s="24"/>
    </row>
    <row r="5424" spans="2:16" x14ac:dyDescent="0.25">
      <c r="B5424" s="24"/>
      <c r="E5424" s="24"/>
      <c r="G5424" s="24"/>
      <c r="H5424" s="24"/>
      <c r="J5424" s="24"/>
      <c r="K5424" s="24"/>
      <c r="M5424" s="24"/>
      <c r="N5424" s="24"/>
      <c r="P5424" s="24"/>
    </row>
    <row r="5425" spans="2:16" x14ac:dyDescent="0.25">
      <c r="B5425" s="24"/>
      <c r="E5425" s="24"/>
      <c r="G5425" s="24"/>
      <c r="H5425" s="24"/>
      <c r="J5425" s="24"/>
      <c r="K5425" s="24"/>
      <c r="M5425" s="24"/>
      <c r="N5425" s="24"/>
      <c r="P5425" s="24"/>
    </row>
    <row r="5426" spans="2:16" x14ac:dyDescent="0.25">
      <c r="B5426" s="24"/>
      <c r="E5426" s="24"/>
      <c r="G5426" s="24"/>
      <c r="H5426" s="24"/>
      <c r="J5426" s="24"/>
      <c r="K5426" s="24"/>
      <c r="M5426" s="24"/>
      <c r="N5426" s="24"/>
      <c r="P5426" s="24"/>
    </row>
    <row r="5427" spans="2:16" x14ac:dyDescent="0.25">
      <c r="B5427" s="24"/>
      <c r="E5427" s="24"/>
      <c r="G5427" s="24"/>
      <c r="H5427" s="24"/>
      <c r="J5427" s="24"/>
      <c r="K5427" s="24"/>
      <c r="M5427" s="24"/>
      <c r="N5427" s="24"/>
      <c r="P5427" s="24"/>
    </row>
    <row r="5428" spans="2:16" x14ac:dyDescent="0.25">
      <c r="B5428" s="24"/>
      <c r="E5428" s="24"/>
      <c r="G5428" s="24"/>
      <c r="H5428" s="24"/>
      <c r="J5428" s="24"/>
      <c r="K5428" s="24"/>
      <c r="M5428" s="24"/>
      <c r="N5428" s="24"/>
      <c r="P5428" s="24"/>
    </row>
    <row r="5429" spans="2:16" x14ac:dyDescent="0.25">
      <c r="B5429" s="24"/>
      <c r="E5429" s="24"/>
      <c r="G5429" s="24"/>
      <c r="H5429" s="24"/>
      <c r="J5429" s="24"/>
      <c r="K5429" s="24"/>
      <c r="M5429" s="24"/>
      <c r="N5429" s="24"/>
      <c r="P5429" s="24"/>
    </row>
    <row r="5430" spans="2:16" x14ac:dyDescent="0.25">
      <c r="B5430" s="24"/>
      <c r="E5430" s="24"/>
      <c r="G5430" s="24"/>
      <c r="H5430" s="24"/>
      <c r="J5430" s="24"/>
      <c r="K5430" s="24"/>
      <c r="M5430" s="24"/>
      <c r="N5430" s="24"/>
      <c r="P5430" s="24"/>
    </row>
    <row r="5431" spans="2:16" x14ac:dyDescent="0.25">
      <c r="B5431" s="24"/>
      <c r="E5431" s="24"/>
      <c r="G5431" s="24"/>
      <c r="H5431" s="24"/>
      <c r="J5431" s="24"/>
      <c r="K5431" s="24"/>
      <c r="M5431" s="24"/>
      <c r="N5431" s="24"/>
      <c r="P5431" s="24"/>
    </row>
    <row r="5432" spans="2:16" x14ac:dyDescent="0.25">
      <c r="B5432" s="24"/>
      <c r="E5432" s="24"/>
      <c r="G5432" s="24"/>
      <c r="H5432" s="24"/>
      <c r="J5432" s="24"/>
      <c r="K5432" s="24"/>
      <c r="M5432" s="24"/>
      <c r="N5432" s="24"/>
      <c r="P5432" s="24"/>
    </row>
    <row r="5433" spans="2:16" x14ac:dyDescent="0.25">
      <c r="B5433" s="24"/>
      <c r="E5433" s="24"/>
      <c r="G5433" s="24"/>
      <c r="H5433" s="24"/>
      <c r="J5433" s="24"/>
      <c r="K5433" s="24"/>
      <c r="M5433" s="24"/>
      <c r="N5433" s="24"/>
      <c r="P5433" s="24"/>
    </row>
    <row r="5434" spans="2:16" x14ac:dyDescent="0.25">
      <c r="B5434" s="24"/>
      <c r="E5434" s="24"/>
      <c r="G5434" s="24"/>
      <c r="H5434" s="24"/>
      <c r="J5434" s="24"/>
      <c r="K5434" s="24"/>
      <c r="M5434" s="24"/>
      <c r="N5434" s="24"/>
      <c r="P5434" s="24"/>
    </row>
    <row r="5435" spans="2:16" x14ac:dyDescent="0.25">
      <c r="B5435" s="24"/>
      <c r="E5435" s="24"/>
      <c r="G5435" s="24"/>
      <c r="H5435" s="24"/>
      <c r="J5435" s="24"/>
      <c r="K5435" s="24"/>
      <c r="M5435" s="24"/>
      <c r="N5435" s="24"/>
      <c r="P5435" s="24"/>
    </row>
  </sheetData>
  <pageMargins left="0.75" right="0.75" top="1" bottom="1"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38"/>
  <sheetViews>
    <sheetView workbookViewId="0"/>
  </sheetViews>
  <sheetFormatPr defaultRowHeight="13.2" x14ac:dyDescent="0.25"/>
  <cols>
    <col min="1" max="1" width="122.6640625" customWidth="1"/>
    <col min="2" max="2" width="23.6640625" style="30" customWidth="1"/>
    <col min="3" max="3" width="18.6640625" style="24" customWidth="1"/>
    <col min="4" max="4" width="19.5546875" style="24" customWidth="1"/>
    <col min="5" max="5" width="25.88671875" style="30" customWidth="1"/>
    <col min="6" max="6" width="25.109375" style="24" customWidth="1"/>
    <col min="7" max="7" width="25.5546875" style="16" customWidth="1"/>
    <col min="8" max="8" width="81.44140625" customWidth="1"/>
    <col min="9" max="9" width="25" style="24" customWidth="1"/>
    <col min="10" max="10" width="28.6640625" style="16" customWidth="1"/>
    <col min="11" max="11" width="28" customWidth="1"/>
    <col min="12" max="12" width="29.88671875" style="24" customWidth="1"/>
    <col min="13" max="13" width="30.44140625" style="16" customWidth="1"/>
    <col min="14" max="14" width="24.88671875" customWidth="1"/>
    <col min="15" max="15" width="9.109375" style="24"/>
    <col min="16" max="16" width="29.44140625" style="16" customWidth="1"/>
  </cols>
  <sheetData>
    <row r="1" spans="1:16" x14ac:dyDescent="0.25">
      <c r="A1" s="92" t="s">
        <v>1450</v>
      </c>
      <c r="B1" s="82"/>
      <c r="C1" s="369"/>
      <c r="D1" s="82"/>
      <c r="E1" s="82"/>
      <c r="F1" s="82"/>
      <c r="G1" s="82"/>
      <c r="H1" s="34"/>
      <c r="I1" s="82"/>
      <c r="J1" s="82"/>
      <c r="K1" s="82"/>
      <c r="L1" s="82"/>
      <c r="M1" s="82"/>
      <c r="N1" s="34"/>
      <c r="O1" s="82"/>
      <c r="P1" s="370"/>
    </row>
    <row r="2" spans="1:16" x14ac:dyDescent="0.25">
      <c r="A2" s="82"/>
      <c r="B2" s="82"/>
      <c r="C2" s="369"/>
      <c r="D2" s="82"/>
      <c r="E2" s="82"/>
      <c r="F2" s="82"/>
      <c r="G2" s="82"/>
      <c r="H2" s="34"/>
      <c r="I2" s="82"/>
      <c r="J2" s="82"/>
      <c r="K2" s="82"/>
      <c r="L2" s="82"/>
      <c r="M2" s="82"/>
      <c r="N2" s="34"/>
      <c r="O2" s="82"/>
      <c r="P2" s="370"/>
    </row>
    <row r="3" spans="1:16" x14ac:dyDescent="0.25">
      <c r="A3" s="1330" t="str">
        <f>SummaryEtEnergy!A3</f>
        <v>Produced by Onesmus Mwabonje, Charlotte Hatto and Nigel Mortimer, North Energy Associates Ltd., on 9 November 2014 for the SUNLIBB Project</v>
      </c>
      <c r="B3" s="82"/>
      <c r="C3" s="369"/>
      <c r="D3" s="82"/>
      <c r="E3" s="82"/>
      <c r="F3" s="82"/>
      <c r="G3" s="82"/>
      <c r="H3" s="34"/>
      <c r="I3" s="82"/>
      <c r="J3" s="82"/>
      <c r="K3" s="82"/>
      <c r="L3" s="82"/>
      <c r="M3" s="82"/>
      <c r="N3" s="34"/>
      <c r="O3" s="82"/>
      <c r="P3" s="370"/>
    </row>
    <row r="4" spans="1:16" x14ac:dyDescent="0.25">
      <c r="A4" s="82"/>
      <c r="B4" s="82"/>
      <c r="C4" s="369"/>
      <c r="D4" s="82"/>
      <c r="E4" s="82"/>
      <c r="F4" s="82"/>
      <c r="G4" s="82"/>
      <c r="H4" s="34"/>
      <c r="I4" s="82"/>
      <c r="J4" s="82"/>
      <c r="K4" s="82"/>
      <c r="L4" s="82"/>
      <c r="M4" s="82"/>
      <c r="N4" s="34"/>
      <c r="O4" s="82"/>
      <c r="P4" s="370"/>
    </row>
    <row r="5" spans="1:16" x14ac:dyDescent="0.25">
      <c r="A5" s="82" t="s">
        <v>238</v>
      </c>
      <c r="B5" s="1090" t="s">
        <v>1447</v>
      </c>
      <c r="C5" s="369"/>
      <c r="D5" s="82"/>
      <c r="E5" s="82"/>
      <c r="F5" s="82"/>
      <c r="G5" s="82"/>
      <c r="H5" s="34"/>
      <c r="I5" s="82"/>
      <c r="J5" s="82"/>
      <c r="K5" s="82"/>
      <c r="L5" s="82"/>
      <c r="M5" s="82"/>
      <c r="N5" s="34"/>
      <c r="O5" s="82"/>
      <c r="P5" s="370"/>
    </row>
    <row r="6" spans="1:16" x14ac:dyDescent="0.25">
      <c r="A6" s="82" t="s">
        <v>241</v>
      </c>
      <c r="B6" s="232" t="s">
        <v>450</v>
      </c>
      <c r="C6" s="369"/>
      <c r="D6" s="82"/>
      <c r="E6" s="82"/>
      <c r="F6" s="82"/>
      <c r="G6" s="82"/>
      <c r="H6" s="34"/>
      <c r="I6" s="82"/>
      <c r="J6" s="82"/>
      <c r="K6" s="82"/>
      <c r="L6" s="82"/>
      <c r="M6" s="82"/>
      <c r="N6" s="34"/>
      <c r="O6" s="82"/>
      <c r="P6" s="370"/>
    </row>
    <row r="7" spans="1:16" x14ac:dyDescent="0.25">
      <c r="A7" s="82" t="s">
        <v>239</v>
      </c>
      <c r="B7" s="1090" t="s">
        <v>1422</v>
      </c>
      <c r="C7" s="369"/>
      <c r="D7" s="82"/>
      <c r="E7" s="82"/>
      <c r="F7" s="82"/>
      <c r="G7" s="82"/>
      <c r="H7" s="34"/>
      <c r="I7" s="82"/>
      <c r="J7" s="82"/>
      <c r="K7" s="82"/>
      <c r="L7" s="82"/>
      <c r="M7" s="82"/>
      <c r="N7" s="34"/>
      <c r="O7" s="82"/>
      <c r="P7" s="370"/>
    </row>
    <row r="8" spans="1:16" x14ac:dyDescent="0.25">
      <c r="A8" s="82" t="s">
        <v>240</v>
      </c>
      <c r="B8" s="352">
        <v>2010</v>
      </c>
      <c r="C8" s="369"/>
      <c r="D8" s="82"/>
      <c r="E8" s="82"/>
      <c r="F8" s="82"/>
      <c r="G8" s="82"/>
      <c r="H8" s="34"/>
      <c r="I8" s="82"/>
      <c r="J8" s="82"/>
      <c r="K8" s="82"/>
      <c r="L8" s="82"/>
      <c r="M8" s="82"/>
      <c r="N8" s="34"/>
      <c r="O8" s="82"/>
      <c r="P8" s="370"/>
    </row>
    <row r="9" spans="1:16" x14ac:dyDescent="0.25">
      <c r="A9" s="82"/>
      <c r="B9" s="82"/>
      <c r="C9" s="369"/>
      <c r="D9" s="82"/>
      <c r="E9" s="82"/>
      <c r="F9" s="82"/>
      <c r="G9" s="82"/>
      <c r="H9" s="34"/>
      <c r="I9" s="82"/>
      <c r="J9" s="82"/>
      <c r="K9" s="82"/>
      <c r="L9" s="82"/>
      <c r="M9" s="82"/>
      <c r="N9" s="34"/>
      <c r="O9" s="82"/>
      <c r="P9" s="370"/>
    </row>
    <row r="10" spans="1:16" ht="13.8" thickBot="1" x14ac:dyDescent="0.3">
      <c r="A10" s="33" t="s">
        <v>425</v>
      </c>
      <c r="B10" s="82"/>
      <c r="C10" s="369"/>
      <c r="D10" s="82"/>
      <c r="E10" s="82"/>
      <c r="F10" s="82"/>
      <c r="G10" s="82"/>
      <c r="H10" s="33" t="s">
        <v>159</v>
      </c>
      <c r="I10" s="82"/>
      <c r="J10" s="369"/>
      <c r="K10" s="70"/>
      <c r="L10" s="70"/>
      <c r="M10" s="70"/>
      <c r="N10" s="34"/>
      <c r="O10" s="82"/>
      <c r="P10" s="370"/>
    </row>
    <row r="11" spans="1:16" ht="30.75" customHeight="1" x14ac:dyDescent="0.25">
      <c r="A11" s="36" t="s">
        <v>39</v>
      </c>
      <c r="B11" s="37" t="s">
        <v>933</v>
      </c>
      <c r="C11" s="372" t="s">
        <v>23</v>
      </c>
      <c r="D11" s="37" t="s">
        <v>24</v>
      </c>
      <c r="E11" s="37" t="s">
        <v>25</v>
      </c>
      <c r="F11" s="371" t="s">
        <v>26</v>
      </c>
      <c r="G11" s="370"/>
      <c r="H11" s="36" t="s">
        <v>39</v>
      </c>
      <c r="I11" s="373" t="s">
        <v>933</v>
      </c>
      <c r="J11" s="37" t="s">
        <v>23</v>
      </c>
      <c r="K11" s="373" t="s">
        <v>24</v>
      </c>
      <c r="L11" s="373" t="s">
        <v>25</v>
      </c>
      <c r="M11" s="812" t="s">
        <v>26</v>
      </c>
      <c r="N11" s="82"/>
      <c r="O11" s="82"/>
      <c r="P11" s="370"/>
    </row>
    <row r="12" spans="1:16" ht="17.25" customHeight="1" x14ac:dyDescent="0.35">
      <c r="A12" s="38"/>
      <c r="B12" s="39" t="s">
        <v>451</v>
      </c>
      <c r="C12" s="39" t="s">
        <v>452</v>
      </c>
      <c r="D12" s="39" t="s">
        <v>452</v>
      </c>
      <c r="E12" s="39" t="s">
        <v>452</v>
      </c>
      <c r="F12" s="513" t="s">
        <v>452</v>
      </c>
      <c r="G12" s="370"/>
      <c r="H12" s="38"/>
      <c r="I12" s="374" t="s">
        <v>453</v>
      </c>
      <c r="J12" s="39" t="s">
        <v>454</v>
      </c>
      <c r="K12" s="39" t="s">
        <v>454</v>
      </c>
      <c r="L12" s="39" t="s">
        <v>454</v>
      </c>
      <c r="M12" s="513" t="s">
        <v>454</v>
      </c>
      <c r="N12" s="82"/>
      <c r="O12" s="82"/>
      <c r="P12" s="370"/>
    </row>
    <row r="13" spans="1:16" x14ac:dyDescent="0.25">
      <c r="A13" s="416" t="s">
        <v>41</v>
      </c>
      <c r="B13" s="375">
        <f>B116</f>
        <v>2267.6113893076836</v>
      </c>
      <c r="C13" s="375">
        <f>E116</f>
        <v>128.59027267043217</v>
      </c>
      <c r="D13" s="376">
        <f>GlobalWarmingPotentials!$B$11*H116</f>
        <v>1.2350896991376179</v>
      </c>
      <c r="E13" s="375">
        <f>GlobalWarmingPotentials!$C$11*K116</f>
        <v>19.191954324334397</v>
      </c>
      <c r="F13" s="377">
        <f t="shared" ref="F13:F28" si="0">SUM(C13:E13)</f>
        <v>149.01731669390421</v>
      </c>
      <c r="G13" s="378"/>
      <c r="H13" s="416" t="s">
        <v>41</v>
      </c>
      <c r="I13" s="375">
        <f>D116</f>
        <v>168.23950701664418</v>
      </c>
      <c r="J13" s="375">
        <f>G116</f>
        <v>9.6502802677548889</v>
      </c>
      <c r="K13" s="376">
        <f>GlobalWarmingPotentials!$B$11*J116</f>
        <v>0.10599746538778106</v>
      </c>
      <c r="L13" s="380">
        <f>GlobalWarmingPotentials!$C$11*M116</f>
        <v>2.01169648758797E-5</v>
      </c>
      <c r="M13" s="417">
        <f t="shared" ref="M13:M28" si="1">SUM(J13:L13)</f>
        <v>9.7562978501075452</v>
      </c>
      <c r="N13" s="34"/>
      <c r="O13" s="82"/>
      <c r="P13" s="370"/>
    </row>
    <row r="14" spans="1:16" x14ac:dyDescent="0.25">
      <c r="A14" s="1020" t="s">
        <v>1253</v>
      </c>
      <c r="B14" s="375">
        <f>B143</f>
        <v>369.22612973150552</v>
      </c>
      <c r="C14" s="375">
        <f>E143</f>
        <v>26.49619011120776</v>
      </c>
      <c r="D14" s="376">
        <f>GlobalWarmingPotentials!$B$11*H143</f>
        <v>0.12663114234966824</v>
      </c>
      <c r="E14" s="375">
        <f>GlobalWarmingPotentials!$C$11*K143</f>
        <v>2.1185940685283629</v>
      </c>
      <c r="F14" s="377">
        <f t="shared" ref="F14" si="2">SUM(C14:E14)</f>
        <v>28.741415322085793</v>
      </c>
      <c r="G14" s="378"/>
      <c r="H14" s="1020" t="s">
        <v>1253</v>
      </c>
      <c r="I14" s="375">
        <f>D143</f>
        <v>0</v>
      </c>
      <c r="J14" s="375">
        <f>G143</f>
        <v>0</v>
      </c>
      <c r="K14" s="376">
        <f>GlobalWarmingPotentials!$B$11*J143</f>
        <v>0</v>
      </c>
      <c r="L14" s="380">
        <f>GlobalWarmingPotentials!$C$11*M143</f>
        <v>0</v>
      </c>
      <c r="M14" s="417">
        <f t="shared" ref="M14" si="3">SUM(J14:L14)</f>
        <v>0</v>
      </c>
      <c r="N14" s="34"/>
      <c r="O14" s="82"/>
      <c r="P14" s="370"/>
    </row>
    <row r="15" spans="1:16" x14ac:dyDescent="0.25">
      <c r="A15" s="416" t="s">
        <v>876</v>
      </c>
      <c r="B15" s="375">
        <f>B177</f>
        <v>275.59665533211654</v>
      </c>
      <c r="C15" s="375">
        <f>E177</f>
        <v>19.777206393823835</v>
      </c>
      <c r="D15" s="376">
        <f>GlobalWarmingPotentials!$B$11*H177</f>
        <v>8.4625852687930284E-2</v>
      </c>
      <c r="E15" s="375">
        <f>GlobalWarmingPotentials!$C$11*K177</f>
        <v>1.4158273093180682</v>
      </c>
      <c r="F15" s="377">
        <f t="shared" si="0"/>
        <v>21.277659555829835</v>
      </c>
      <c r="G15" s="378"/>
      <c r="H15" s="416" t="s">
        <v>876</v>
      </c>
      <c r="I15" s="375">
        <f>D177</f>
        <v>12.953042800609477</v>
      </c>
      <c r="J15" s="375">
        <f>G177</f>
        <v>0.92952870050972014</v>
      </c>
      <c r="K15" s="376">
        <f>GlobalWarmingPotentials!$B$11*J177</f>
        <v>3.9774150763327229E-3</v>
      </c>
      <c r="L15" s="375">
        <f>GlobalWarmingPotentials!$C$11*M177</f>
        <v>6.6543883537949225E-2</v>
      </c>
      <c r="M15" s="377">
        <f t="shared" si="1"/>
        <v>1.0000499991240022</v>
      </c>
      <c r="N15" s="34"/>
      <c r="O15" s="82"/>
      <c r="P15" s="370"/>
    </row>
    <row r="16" spans="1:16" x14ac:dyDescent="0.25">
      <c r="A16" s="416" t="s">
        <v>877</v>
      </c>
      <c r="B16" s="375">
        <f>B211</f>
        <v>0</v>
      </c>
      <c r="C16" s="375">
        <f>E211</f>
        <v>0</v>
      </c>
      <c r="D16" s="376">
        <f>GlobalWarmingPotentials!$B$11*H211</f>
        <v>0</v>
      </c>
      <c r="E16" s="375">
        <f>GlobalWarmingPotentials!$C$11*K211</f>
        <v>0</v>
      </c>
      <c r="F16" s="377">
        <f>SUM(C16:E16)</f>
        <v>0</v>
      </c>
      <c r="G16" s="378"/>
      <c r="H16" s="416" t="s">
        <v>877</v>
      </c>
      <c r="I16" s="375">
        <f>D211</f>
        <v>0</v>
      </c>
      <c r="J16" s="375">
        <f>G211</f>
        <v>0</v>
      </c>
      <c r="K16" s="376">
        <f>GlobalWarmingPotentials!$B$11*J211</f>
        <v>0</v>
      </c>
      <c r="L16" s="375">
        <f>GlobalWarmingPotentials!$C$11*M211</f>
        <v>0</v>
      </c>
      <c r="M16" s="377">
        <f t="shared" si="1"/>
        <v>0</v>
      </c>
      <c r="N16" s="34"/>
      <c r="O16" s="82"/>
      <c r="P16" s="370"/>
    </row>
    <row r="17" spans="1:16" x14ac:dyDescent="0.25">
      <c r="A17" s="1020" t="s">
        <v>1739</v>
      </c>
      <c r="B17" s="375">
        <f>B217</f>
        <v>0</v>
      </c>
      <c r="C17" s="375">
        <f>E217</f>
        <v>0</v>
      </c>
      <c r="D17" s="376">
        <f>GlobalWarmingPotentials!$B$11*H217</f>
        <v>5.2575471225858469E-2</v>
      </c>
      <c r="E17" s="375">
        <f>GlobalWarmingPotentials!$C$11*K217</f>
        <v>0.20298703673287963</v>
      </c>
      <c r="F17" s="377">
        <f>SUM(C17:E17)</f>
        <v>0.25556250795873808</v>
      </c>
      <c r="G17" s="378"/>
      <c r="H17" s="1020" t="s">
        <v>1739</v>
      </c>
      <c r="I17" s="375">
        <f>D217</f>
        <v>0</v>
      </c>
      <c r="J17" s="375">
        <f>G217</f>
        <v>0</v>
      </c>
      <c r="K17" s="376">
        <f>GlobalWarmingPotentials!$B$11*J217</f>
        <v>0</v>
      </c>
      <c r="L17" s="375">
        <f>GlobalWarmingPotentials!$C$11*M217</f>
        <v>0</v>
      </c>
      <c r="M17" s="377">
        <f t="shared" ref="M17" si="4">SUM(J17:L17)</f>
        <v>0</v>
      </c>
      <c r="N17" s="34"/>
      <c r="O17" s="82"/>
      <c r="P17" s="370"/>
    </row>
    <row r="18" spans="1:16" x14ac:dyDescent="0.25">
      <c r="A18" s="1061" t="s">
        <v>1805</v>
      </c>
      <c r="B18" s="379">
        <f>B234</f>
        <v>8239.0610076539524</v>
      </c>
      <c r="C18" s="379">
        <f>E234</f>
        <v>520.95369617105189</v>
      </c>
      <c r="D18" s="376">
        <f>GlobalWarmingPotentials!$B$11*H234</f>
        <v>17.303893648306993</v>
      </c>
      <c r="E18" s="375">
        <f>GlobalWarmingPotentials!$C$11*K234</f>
        <v>40.815433731402173</v>
      </c>
      <c r="F18" s="377">
        <f>SUM(C18:E18)</f>
        <v>579.07302355076104</v>
      </c>
      <c r="G18" s="378"/>
      <c r="H18" s="1061" t="s">
        <v>1805</v>
      </c>
      <c r="I18" s="379">
        <f>D234</f>
        <v>786.7316995671614</v>
      </c>
      <c r="J18" s="379">
        <f>G234</f>
        <v>49.43723316863327</v>
      </c>
      <c r="K18" s="376">
        <f>GlobalWarmingPotentials!$B$11*J234</f>
        <v>1.7521889488268372</v>
      </c>
      <c r="L18" s="375">
        <f>GlobalWarmingPotentials!$C$11*M234</f>
        <v>0.20278976584307196</v>
      </c>
      <c r="M18" s="377">
        <f>SUM(J18:L18)</f>
        <v>51.392211883303176</v>
      </c>
      <c r="N18" s="34"/>
      <c r="O18" s="82"/>
      <c r="P18" s="370"/>
    </row>
    <row r="19" spans="1:16" x14ac:dyDescent="0.25">
      <c r="A19" s="381" t="s">
        <v>411</v>
      </c>
      <c r="B19" s="379">
        <f>B241</f>
        <v>0</v>
      </c>
      <c r="C19" s="379">
        <f>E241</f>
        <v>0</v>
      </c>
      <c r="D19" s="376">
        <f>GlobalWarmingPotentials!$B$11*H241</f>
        <v>7.792941176470591E-3</v>
      </c>
      <c r="E19" s="375">
        <f>GlobalWarmingPotentials!$C$11*K241</f>
        <v>3.0087529411764707E-2</v>
      </c>
      <c r="F19" s="377">
        <f t="shared" si="0"/>
        <v>3.78804705882353E-2</v>
      </c>
      <c r="G19" s="378"/>
      <c r="H19" s="381" t="s">
        <v>411</v>
      </c>
      <c r="I19" s="379">
        <f>D241</f>
        <v>0</v>
      </c>
      <c r="J19" s="379">
        <f>G241</f>
        <v>0</v>
      </c>
      <c r="K19" s="376">
        <f>GlobalWarmingPotentials!$B$11*J241</f>
        <v>0</v>
      </c>
      <c r="L19" s="375">
        <f>GlobalWarmingPotentials!$C$11*M241</f>
        <v>0</v>
      </c>
      <c r="M19" s="377">
        <f t="shared" si="1"/>
        <v>0</v>
      </c>
      <c r="N19" s="34"/>
      <c r="O19" s="82"/>
      <c r="P19" s="370"/>
    </row>
    <row r="20" spans="1:16" x14ac:dyDescent="0.25">
      <c r="A20" s="381" t="s">
        <v>1806</v>
      </c>
      <c r="B20" s="379">
        <f>B248</f>
        <v>0</v>
      </c>
      <c r="C20" s="379">
        <f>E248</f>
        <v>0</v>
      </c>
      <c r="D20" s="376">
        <f>GlobalWarmingPotentials!$B$11*H248</f>
        <v>0.73140000000000005</v>
      </c>
      <c r="E20" s="375">
        <f>GlobalWarmingPotentials!$C$11*K248</f>
        <v>2.8238400000000001</v>
      </c>
      <c r="F20" s="377">
        <f t="shared" si="0"/>
        <v>3.5552400000000004</v>
      </c>
      <c r="G20" s="378"/>
      <c r="H20" s="381" t="s">
        <v>1806</v>
      </c>
      <c r="I20" s="379">
        <f>D248</f>
        <v>0</v>
      </c>
      <c r="J20" s="379">
        <f>G248</f>
        <v>0</v>
      </c>
      <c r="K20" s="376">
        <f>GlobalWarmingPotentials!$B$11*J248</f>
        <v>0</v>
      </c>
      <c r="L20" s="375">
        <f>GlobalWarmingPotentials!$C$11*M248</f>
        <v>0</v>
      </c>
      <c r="M20" s="377">
        <f t="shared" si="1"/>
        <v>0</v>
      </c>
      <c r="N20" s="34"/>
      <c r="O20" s="82"/>
      <c r="P20" s="370"/>
    </row>
    <row r="21" spans="1:16" x14ac:dyDescent="0.25">
      <c r="A21" s="381" t="s">
        <v>1808</v>
      </c>
      <c r="B21" s="379">
        <f>B255</f>
        <v>0</v>
      </c>
      <c r="C21" s="379">
        <f>E255</f>
        <v>0</v>
      </c>
      <c r="D21" s="376">
        <f>GlobalWarmingPotentials!$B$11*H255</f>
        <v>5.7919532222513913E-2</v>
      </c>
      <c r="E21" s="375">
        <f>GlobalWarmingPotentials!$C$11*K255</f>
        <v>0.22361975918953195</v>
      </c>
      <c r="F21" s="377">
        <f t="shared" si="0"/>
        <v>0.28153929141204587</v>
      </c>
      <c r="G21" s="378"/>
      <c r="H21" s="381" t="s">
        <v>1808</v>
      </c>
      <c r="I21" s="379">
        <f>D255</f>
        <v>0</v>
      </c>
      <c r="J21" s="379">
        <f>G255</f>
        <v>0</v>
      </c>
      <c r="K21" s="376">
        <f>GlobalWarmingPotentials!$B$11*J255</f>
        <v>0</v>
      </c>
      <c r="L21" s="375">
        <f>GlobalWarmingPotentials!$C$11*M255</f>
        <v>0</v>
      </c>
      <c r="M21" s="377">
        <f t="shared" si="1"/>
        <v>0</v>
      </c>
      <c r="N21" s="34"/>
      <c r="O21" s="82"/>
      <c r="P21" s="370"/>
    </row>
    <row r="22" spans="1:16" x14ac:dyDescent="0.25">
      <c r="A22" s="381" t="s">
        <v>907</v>
      </c>
      <c r="B22" s="379">
        <f>B262</f>
        <v>1274.9999999999998</v>
      </c>
      <c r="C22" s="379">
        <f>E262</f>
        <v>71.400000000000006</v>
      </c>
      <c r="D22" s="376">
        <f>GlobalWarmingPotentials!$B$11*H262</f>
        <v>4.9106183823529408</v>
      </c>
      <c r="E22" s="375">
        <f>GlobalWarmingPotentials!$C$11*K262</f>
        <v>0.5610070588235293</v>
      </c>
      <c r="F22" s="377">
        <f t="shared" si="0"/>
        <v>76.871625441176477</v>
      </c>
      <c r="G22" s="378"/>
      <c r="H22" s="381" t="s">
        <v>907</v>
      </c>
      <c r="I22" s="379">
        <f>D262</f>
        <v>191.24999999999997</v>
      </c>
      <c r="J22" s="379">
        <f>G262</f>
        <v>10.8375</v>
      </c>
      <c r="K22" s="376">
        <f>GlobalWarmingPotentials!$B$11*J262</f>
        <v>0.71846249999999989</v>
      </c>
      <c r="L22" s="375">
        <f>GlobalWarmingPotentials!$C$11*M262</f>
        <v>0</v>
      </c>
      <c r="M22" s="377">
        <f t="shared" si="1"/>
        <v>11.5559625</v>
      </c>
      <c r="N22" s="34"/>
      <c r="O22" s="82"/>
      <c r="P22" s="370"/>
    </row>
    <row r="23" spans="1:16" x14ac:dyDescent="0.25">
      <c r="A23" s="1061" t="s">
        <v>1830</v>
      </c>
      <c r="B23" s="379">
        <f>B268</f>
        <v>0</v>
      </c>
      <c r="C23" s="379">
        <f>E268</f>
        <v>0</v>
      </c>
      <c r="D23" s="376">
        <f>GlobalWarmingPotentials!$B$11*H268</f>
        <v>9.767152941176474E-2</v>
      </c>
      <c r="E23" s="375">
        <f>GlobalWarmingPotentials!$C$11*K268</f>
        <v>0.3770970352941177</v>
      </c>
      <c r="F23" s="377">
        <f t="shared" ref="F23" si="5">SUM(C23:E23)</f>
        <v>0.47476856470588247</v>
      </c>
      <c r="G23" s="378"/>
      <c r="H23" s="1061" t="s">
        <v>1830</v>
      </c>
      <c r="I23" s="379">
        <f>D268</f>
        <v>0</v>
      </c>
      <c r="J23" s="379">
        <f>G268</f>
        <v>0</v>
      </c>
      <c r="K23" s="376">
        <f>GlobalWarmingPotentials!$B$11*J268</f>
        <v>0</v>
      </c>
      <c r="L23" s="375">
        <f>GlobalWarmingPotentials!$C$11*M268</f>
        <v>0</v>
      </c>
      <c r="M23" s="377">
        <f>SUM(J23:L23)</f>
        <v>0</v>
      </c>
      <c r="N23" s="34"/>
      <c r="O23" s="82"/>
      <c r="P23" s="370"/>
    </row>
    <row r="24" spans="1:16" x14ac:dyDescent="0.25">
      <c r="A24" s="381" t="s">
        <v>903</v>
      </c>
      <c r="B24" s="379">
        <f>B274</f>
        <v>0</v>
      </c>
      <c r="C24" s="379">
        <f>E274</f>
        <v>0</v>
      </c>
      <c r="D24" s="376">
        <f>GlobalWarmingPotentials!$B$11*H274</f>
        <v>-1.7053609858389147</v>
      </c>
      <c r="E24" s="375">
        <f>GlobalWarmingPotentials!$C$11*K274</f>
        <v>-6.5841763279345917</v>
      </c>
      <c r="F24" s="377">
        <f t="shared" si="0"/>
        <v>-8.289537313773506</v>
      </c>
      <c r="G24" s="378"/>
      <c r="H24" s="381" t="s">
        <v>903</v>
      </c>
      <c r="I24" s="379">
        <f>D274</f>
        <v>0</v>
      </c>
      <c r="J24" s="379">
        <f>G274</f>
        <v>0</v>
      </c>
      <c r="K24" s="376">
        <f>GlobalWarmingPotentials!$B$11*J274</f>
        <v>0</v>
      </c>
      <c r="L24" s="375">
        <f>GlobalWarmingPotentials!$C$11*M274</f>
        <v>0</v>
      </c>
      <c r="M24" s="377">
        <f t="shared" si="1"/>
        <v>0</v>
      </c>
      <c r="N24" s="34"/>
      <c r="O24" s="82"/>
      <c r="P24" s="370"/>
    </row>
    <row r="25" spans="1:16" x14ac:dyDescent="0.25">
      <c r="A25" s="416" t="s">
        <v>879</v>
      </c>
      <c r="B25" s="379">
        <f>B384</f>
        <v>0</v>
      </c>
      <c r="C25" s="379">
        <f>E384</f>
        <v>0</v>
      </c>
      <c r="D25" s="376">
        <f>GlobalWarmingPotentials!$B$11*H384</f>
        <v>0</v>
      </c>
      <c r="E25" s="375">
        <f>GlobalWarmingPotentials!$C$11*K384</f>
        <v>0</v>
      </c>
      <c r="F25" s="377">
        <f t="shared" si="0"/>
        <v>0</v>
      </c>
      <c r="G25" s="378"/>
      <c r="H25" s="416" t="s">
        <v>879</v>
      </c>
      <c r="I25" s="379">
        <f>D384</f>
        <v>0</v>
      </c>
      <c r="J25" s="379">
        <f>G384</f>
        <v>0</v>
      </c>
      <c r="K25" s="376">
        <f>GlobalWarmingPotentials!$B$11*J384</f>
        <v>0</v>
      </c>
      <c r="L25" s="375">
        <f>GlobalWarmingPotentials!$C$11*M384</f>
        <v>0</v>
      </c>
      <c r="M25" s="377">
        <f t="shared" si="1"/>
        <v>0</v>
      </c>
      <c r="N25" s="34"/>
      <c r="O25" s="82"/>
      <c r="P25" s="370"/>
    </row>
    <row r="26" spans="1:16" x14ac:dyDescent="0.25">
      <c r="A26" s="416" t="s">
        <v>908</v>
      </c>
      <c r="B26" s="379">
        <f>B308</f>
        <v>517.88672232212184</v>
      </c>
      <c r="C26" s="379">
        <f>E308</f>
        <v>37.164284826471004</v>
      </c>
      <c r="D26" s="376">
        <f>GlobalWarmingPotentials!$B$11*H308</f>
        <v>0.1776163222875497</v>
      </c>
      <c r="E26" s="375">
        <f>GlobalWarmingPotentials!$C$11*K308</f>
        <v>2.9715982963586582</v>
      </c>
      <c r="F26" s="377">
        <f t="shared" si="0"/>
        <v>40.313499445117209</v>
      </c>
      <c r="G26" s="378"/>
      <c r="H26" s="416" t="s">
        <v>908</v>
      </c>
      <c r="I26" s="379">
        <f>D308</f>
        <v>24.34067594913973</v>
      </c>
      <c r="J26" s="379">
        <f>G308</f>
        <v>1.7467213868441371</v>
      </c>
      <c r="K26" s="376">
        <f>GlobalWarmingPotentials!$B$11*J308</f>
        <v>8.3479671475148367E-3</v>
      </c>
      <c r="L26" s="375">
        <f>GlobalWarmingPotentials!$C$11*M308</f>
        <v>0.13966511992885694</v>
      </c>
      <c r="M26" s="377">
        <f t="shared" si="1"/>
        <v>1.894734473920509</v>
      </c>
      <c r="N26" s="34"/>
      <c r="O26" s="82"/>
      <c r="P26" s="370"/>
    </row>
    <row r="27" spans="1:16" x14ac:dyDescent="0.25">
      <c r="A27" s="416" t="s">
        <v>911</v>
      </c>
      <c r="B27" s="808">
        <f>B342</f>
        <v>0</v>
      </c>
      <c r="C27" s="808">
        <f>E342</f>
        <v>0</v>
      </c>
      <c r="D27" s="379">
        <f>GlobalWarmingPotentials!$B$11*H342</f>
        <v>0</v>
      </c>
      <c r="E27" s="379">
        <f>GlobalWarmingPotentials!$C$11*K342</f>
        <v>0</v>
      </c>
      <c r="F27" s="813">
        <f t="shared" si="0"/>
        <v>0</v>
      </c>
      <c r="G27" s="809"/>
      <c r="H27" s="416" t="s">
        <v>911</v>
      </c>
      <c r="I27" s="808">
        <f>D342</f>
        <v>0</v>
      </c>
      <c r="J27" s="808">
        <f>G342</f>
        <v>0</v>
      </c>
      <c r="K27" s="379">
        <f>GlobalWarmingPotentials!$B$11*J342</f>
        <v>0</v>
      </c>
      <c r="L27" s="379">
        <f>GlobalWarmingPotentials!$C$11*M342</f>
        <v>0</v>
      </c>
      <c r="M27" s="813">
        <f t="shared" si="1"/>
        <v>0</v>
      </c>
      <c r="N27" s="34"/>
      <c r="O27" s="82"/>
      <c r="P27" s="370"/>
    </row>
    <row r="28" spans="1:16" x14ac:dyDescent="0.25">
      <c r="A28" s="416" t="s">
        <v>912</v>
      </c>
      <c r="B28" s="808">
        <f>B376</f>
        <v>0</v>
      </c>
      <c r="C28" s="808">
        <f>E376</f>
        <v>0</v>
      </c>
      <c r="D28" s="379">
        <f>GlobalWarmingPotentials!$B$11*H376</f>
        <v>0</v>
      </c>
      <c r="E28" s="379">
        <f>GlobalWarmingPotentials!$C$11*K376</f>
        <v>0</v>
      </c>
      <c r="F28" s="813">
        <f t="shared" si="0"/>
        <v>0</v>
      </c>
      <c r="G28" s="809"/>
      <c r="H28" s="416" t="s">
        <v>912</v>
      </c>
      <c r="I28" s="808">
        <f>D376</f>
        <v>0</v>
      </c>
      <c r="J28" s="808">
        <f>G376</f>
        <v>0</v>
      </c>
      <c r="K28" s="379">
        <f>GlobalWarmingPotentials!$B$11*J376</f>
        <v>0</v>
      </c>
      <c r="L28" s="379">
        <f>GlobalWarmingPotentials!$C$11*M376</f>
        <v>0</v>
      </c>
      <c r="M28" s="813">
        <f t="shared" si="1"/>
        <v>0</v>
      </c>
      <c r="N28" s="34"/>
      <c r="O28" s="82"/>
      <c r="P28" s="370"/>
    </row>
    <row r="29" spans="1:16" ht="13.8" thickBot="1" x14ac:dyDescent="0.3">
      <c r="A29" s="382" t="s">
        <v>375</v>
      </c>
      <c r="B29" s="383">
        <f>SUM(B13:B28)</f>
        <v>12944.38190434738</v>
      </c>
      <c r="C29" s="383">
        <f>SUM(C13:C28)</f>
        <v>804.38165017298661</v>
      </c>
      <c r="D29" s="383">
        <f>SUM(D13:D28)</f>
        <v>23.080473535320394</v>
      </c>
      <c r="E29" s="383">
        <f>SUM(E13:E28)</f>
        <v>64.147869821458883</v>
      </c>
      <c r="F29" s="811">
        <f>SUM(F13:F28)</f>
        <v>891.60999352976603</v>
      </c>
      <c r="G29" s="810"/>
      <c r="H29" s="382" t="s">
        <v>375</v>
      </c>
      <c r="I29" s="383">
        <f>SQRT(SUMSQ(I13:I28))</f>
        <v>827.39839929050697</v>
      </c>
      <c r="J29" s="383">
        <f>SQRT(SUMSQ(J13:J28))</f>
        <v>51.560977474000268</v>
      </c>
      <c r="K29" s="383">
        <f>SQRT(SUMSQ(K13:K28))</f>
        <v>1.8967539237739739</v>
      </c>
      <c r="L29" s="383">
        <f>SQRT(SUMSQ(L13:L28))</f>
        <v>0.25506494015531489</v>
      </c>
      <c r="M29" s="811">
        <f>SQRT(SUMSQ(M13:M28))</f>
        <v>53.614132260320673</v>
      </c>
      <c r="N29" s="82"/>
      <c r="O29" s="82"/>
      <c r="P29" s="370"/>
    </row>
    <row r="30" spans="1:16" x14ac:dyDescent="0.25">
      <c r="A30" s="34"/>
      <c r="B30" s="82"/>
      <c r="C30" s="369"/>
      <c r="D30" s="82"/>
      <c r="E30" s="82"/>
      <c r="F30" s="82"/>
      <c r="G30" s="82"/>
      <c r="H30" s="60"/>
      <c r="I30" s="82"/>
      <c r="J30" s="82"/>
      <c r="K30" s="60"/>
      <c r="L30" s="60"/>
      <c r="M30" s="60"/>
      <c r="N30" s="34"/>
      <c r="O30" s="82"/>
      <c r="P30" s="370"/>
    </row>
    <row r="31" spans="1:16" x14ac:dyDescent="0.25">
      <c r="A31" s="34"/>
      <c r="B31" s="82"/>
      <c r="C31" s="369"/>
      <c r="D31" s="82"/>
      <c r="E31" s="82"/>
      <c r="F31" s="82"/>
      <c r="G31" s="82"/>
      <c r="H31" s="82"/>
      <c r="I31" s="82"/>
      <c r="J31" s="82"/>
      <c r="K31" s="82"/>
      <c r="L31" s="82"/>
      <c r="M31" s="82"/>
      <c r="N31" s="34"/>
      <c r="O31" s="82"/>
      <c r="P31" s="370"/>
    </row>
    <row r="32" spans="1:16" x14ac:dyDescent="0.25">
      <c r="A32" s="34"/>
      <c r="B32" s="82"/>
      <c r="C32" s="369"/>
      <c r="D32" s="82"/>
      <c r="E32" s="82"/>
      <c r="F32" s="82"/>
      <c r="G32" s="82"/>
      <c r="H32" s="82"/>
      <c r="I32" s="82"/>
      <c r="J32" s="82"/>
      <c r="K32" s="82"/>
      <c r="L32" s="82"/>
      <c r="M32" s="82"/>
      <c r="N32" s="34"/>
      <c r="O32" s="82"/>
      <c r="P32" s="370"/>
    </row>
    <row r="33" spans="1:16" x14ac:dyDescent="0.25">
      <c r="A33" s="34"/>
      <c r="B33" s="82"/>
      <c r="C33" s="369"/>
      <c r="D33" s="82"/>
      <c r="E33" s="82"/>
      <c r="F33" s="82"/>
      <c r="G33" s="82"/>
      <c r="H33" s="82"/>
      <c r="I33" s="82"/>
      <c r="J33" s="82"/>
      <c r="K33" s="82"/>
      <c r="L33" s="82"/>
      <c r="M33" s="82"/>
      <c r="N33" s="34"/>
      <c r="O33" s="82"/>
      <c r="P33" s="370"/>
    </row>
    <row r="34" spans="1:16" x14ac:dyDescent="0.25">
      <c r="A34" s="34"/>
      <c r="B34" s="82"/>
      <c r="C34" s="369"/>
      <c r="D34" s="82"/>
      <c r="E34" s="82"/>
      <c r="F34" s="82"/>
      <c r="G34" s="82"/>
      <c r="H34" s="82"/>
      <c r="I34" s="82"/>
      <c r="J34" s="82"/>
      <c r="K34" s="82"/>
      <c r="L34" s="82"/>
      <c r="M34" s="82"/>
      <c r="N34" s="34"/>
      <c r="O34" s="82"/>
      <c r="P34" s="370"/>
    </row>
    <row r="35" spans="1:16" x14ac:dyDescent="0.25">
      <c r="A35" s="34"/>
      <c r="B35" s="82"/>
      <c r="C35" s="369"/>
      <c r="D35" s="82"/>
      <c r="E35" s="82"/>
      <c r="F35" s="82"/>
      <c r="G35" s="82"/>
      <c r="H35" s="82"/>
      <c r="I35" s="82"/>
      <c r="J35" s="82"/>
      <c r="K35" s="82"/>
      <c r="L35" s="82"/>
      <c r="M35" s="82"/>
      <c r="N35" s="34"/>
      <c r="O35" s="82"/>
      <c r="P35" s="370"/>
    </row>
    <row r="36" spans="1:16" x14ac:dyDescent="0.25">
      <c r="A36" s="34"/>
      <c r="B36" s="82"/>
      <c r="C36" s="369"/>
      <c r="D36" s="82"/>
      <c r="E36" s="82"/>
      <c r="F36" s="82"/>
      <c r="G36" s="82"/>
      <c r="H36" s="82"/>
      <c r="I36" s="82"/>
      <c r="J36" s="82"/>
      <c r="K36" s="82"/>
      <c r="L36" s="82"/>
      <c r="M36" s="82"/>
      <c r="N36" s="34"/>
      <c r="O36" s="82"/>
      <c r="P36" s="370"/>
    </row>
    <row r="37" spans="1:16" x14ac:dyDescent="0.25">
      <c r="A37" s="34"/>
      <c r="B37" s="82"/>
      <c r="C37" s="369"/>
      <c r="D37" s="82"/>
      <c r="E37" s="82"/>
      <c r="F37" s="82"/>
      <c r="G37" s="82"/>
      <c r="H37" s="82"/>
      <c r="I37" s="82"/>
      <c r="J37" s="82"/>
      <c r="K37" s="82"/>
      <c r="L37" s="82"/>
      <c r="M37" s="82"/>
      <c r="N37" s="34"/>
      <c r="O37" s="82"/>
      <c r="P37" s="370"/>
    </row>
    <row r="38" spans="1:16" x14ac:dyDescent="0.25">
      <c r="A38" s="34"/>
      <c r="B38" s="82"/>
      <c r="C38" s="369"/>
      <c r="D38" s="82"/>
      <c r="E38" s="82"/>
      <c r="F38" s="82"/>
      <c r="G38" s="82"/>
      <c r="H38" s="82"/>
      <c r="I38" s="82"/>
      <c r="J38" s="82"/>
      <c r="K38" s="82"/>
      <c r="L38" s="82"/>
      <c r="M38" s="82"/>
      <c r="N38" s="34"/>
      <c r="O38" s="82"/>
      <c r="P38" s="370"/>
    </row>
    <row r="39" spans="1:16" x14ac:dyDescent="0.25">
      <c r="A39" s="34"/>
      <c r="B39" s="82"/>
      <c r="C39" s="369"/>
      <c r="D39" s="82"/>
      <c r="E39" s="82"/>
      <c r="F39" s="82"/>
      <c r="G39" s="82"/>
      <c r="H39" s="82"/>
      <c r="I39" s="82"/>
      <c r="J39" s="82"/>
      <c r="K39" s="82"/>
      <c r="L39" s="82"/>
      <c r="M39" s="82"/>
      <c r="N39" s="34"/>
      <c r="O39" s="82"/>
      <c r="P39" s="370"/>
    </row>
    <row r="40" spans="1:16" x14ac:dyDescent="0.25">
      <c r="A40" s="34"/>
      <c r="B40" s="82"/>
      <c r="C40" s="369"/>
      <c r="D40" s="82"/>
      <c r="E40" s="82"/>
      <c r="F40" s="82"/>
      <c r="G40" s="82"/>
      <c r="H40" s="82"/>
      <c r="I40" s="82"/>
      <c r="J40" s="82"/>
      <c r="K40" s="82"/>
      <c r="L40" s="82"/>
      <c r="M40" s="82"/>
      <c r="N40" s="34"/>
      <c r="O40" s="82"/>
      <c r="P40" s="370"/>
    </row>
    <row r="41" spans="1:16" x14ac:dyDescent="0.25">
      <c r="A41" s="34"/>
      <c r="B41" s="82"/>
      <c r="C41" s="369"/>
      <c r="D41" s="82"/>
      <c r="E41" s="82"/>
      <c r="F41" s="82"/>
      <c r="G41" s="82"/>
      <c r="H41" s="82"/>
      <c r="I41" s="82"/>
      <c r="J41" s="82"/>
      <c r="K41" s="82"/>
      <c r="L41" s="82"/>
      <c r="M41" s="82"/>
      <c r="N41" s="34"/>
      <c r="O41" s="82"/>
      <c r="P41" s="370"/>
    </row>
    <row r="42" spans="1:16" x14ac:dyDescent="0.25">
      <c r="A42" s="34"/>
      <c r="B42" s="82"/>
      <c r="C42" s="369"/>
      <c r="D42" s="82"/>
      <c r="E42" s="82"/>
      <c r="F42" s="82"/>
      <c r="G42" s="82"/>
      <c r="H42" s="82"/>
      <c r="I42" s="82"/>
      <c r="J42" s="82"/>
      <c r="K42" s="82"/>
      <c r="L42" s="82"/>
      <c r="M42" s="82"/>
      <c r="N42" s="34"/>
      <c r="O42" s="82"/>
      <c r="P42" s="370"/>
    </row>
    <row r="43" spans="1:16" x14ac:dyDescent="0.25">
      <c r="A43" s="34"/>
      <c r="B43" s="82"/>
      <c r="C43" s="369"/>
      <c r="D43" s="82"/>
      <c r="E43" s="82"/>
      <c r="F43" s="82"/>
      <c r="G43" s="82"/>
      <c r="H43" s="82"/>
      <c r="I43" s="82"/>
      <c r="J43" s="82"/>
      <c r="K43" s="82"/>
      <c r="L43" s="82"/>
      <c r="M43" s="82"/>
      <c r="N43" s="34"/>
      <c r="O43" s="82"/>
      <c r="P43" s="370"/>
    </row>
    <row r="44" spans="1:16" x14ac:dyDescent="0.25">
      <c r="A44" s="34"/>
      <c r="B44" s="82"/>
      <c r="C44" s="369"/>
      <c r="D44" s="82"/>
      <c r="E44" s="82"/>
      <c r="F44" s="82"/>
      <c r="G44" s="82"/>
      <c r="H44" s="82"/>
      <c r="I44" s="82"/>
      <c r="J44" s="82"/>
      <c r="K44" s="82"/>
      <c r="L44" s="82"/>
      <c r="M44" s="82"/>
      <c r="N44" s="34"/>
      <c r="O44" s="82"/>
      <c r="P44" s="370"/>
    </row>
    <row r="45" spans="1:16" x14ac:dyDescent="0.25">
      <c r="A45" s="34"/>
      <c r="B45" s="82"/>
      <c r="C45" s="369"/>
      <c r="D45" s="82"/>
      <c r="E45" s="82"/>
      <c r="F45" s="82"/>
      <c r="G45" s="82"/>
      <c r="H45" s="82"/>
      <c r="I45" s="82"/>
      <c r="J45" s="82"/>
      <c r="K45" s="82"/>
      <c r="L45" s="82"/>
      <c r="M45" s="82"/>
      <c r="N45" s="34"/>
      <c r="O45" s="82"/>
      <c r="P45" s="370"/>
    </row>
    <row r="46" spans="1:16" x14ac:dyDescent="0.25">
      <c r="A46" s="34"/>
      <c r="B46" s="82"/>
      <c r="C46" s="369"/>
      <c r="D46" s="82"/>
      <c r="E46" s="82"/>
      <c r="F46" s="82"/>
      <c r="G46" s="82"/>
      <c r="H46" s="82"/>
      <c r="I46" s="82"/>
      <c r="J46" s="82"/>
      <c r="K46" s="82"/>
      <c r="L46" s="82"/>
      <c r="M46" s="82"/>
      <c r="N46" s="34"/>
      <c r="O46" s="82"/>
      <c r="P46" s="82"/>
    </row>
    <row r="47" spans="1:16" x14ac:dyDescent="0.25">
      <c r="A47" s="34"/>
      <c r="B47" s="82"/>
      <c r="C47" s="369"/>
      <c r="D47" s="82"/>
      <c r="E47" s="82"/>
      <c r="F47" s="82"/>
      <c r="G47" s="82"/>
      <c r="H47" s="82"/>
      <c r="I47" s="82"/>
      <c r="J47" s="82"/>
      <c r="K47" s="82"/>
      <c r="L47" s="82"/>
      <c r="M47" s="82"/>
      <c r="N47" s="34"/>
      <c r="O47" s="82"/>
      <c r="P47" s="370"/>
    </row>
    <row r="48" spans="1:16" x14ac:dyDescent="0.25">
      <c r="A48" s="34"/>
      <c r="B48" s="82"/>
      <c r="C48" s="369"/>
      <c r="D48" s="82"/>
      <c r="E48" s="82"/>
      <c r="F48" s="82"/>
      <c r="G48" s="82"/>
      <c r="H48" s="82"/>
      <c r="I48" s="82"/>
      <c r="J48" s="82"/>
      <c r="K48" s="82"/>
      <c r="L48" s="82"/>
      <c r="M48" s="82"/>
      <c r="N48" s="34"/>
      <c r="O48" s="82"/>
      <c r="P48" s="370"/>
    </row>
    <row r="49" spans="1:16" x14ac:dyDescent="0.25">
      <c r="A49" s="34"/>
      <c r="B49" s="82"/>
      <c r="C49" s="369"/>
      <c r="D49" s="82"/>
      <c r="E49" s="82"/>
      <c r="F49" s="82"/>
      <c r="G49" s="82"/>
      <c r="H49" s="82"/>
      <c r="I49" s="82"/>
      <c r="J49" s="82"/>
      <c r="K49" s="82"/>
      <c r="L49" s="82"/>
      <c r="M49" s="82"/>
      <c r="N49" s="34"/>
      <c r="O49" s="82"/>
      <c r="P49" s="370"/>
    </row>
    <row r="50" spans="1:16" x14ac:dyDescent="0.25">
      <c r="A50" s="34"/>
      <c r="B50" s="82"/>
      <c r="C50" s="369"/>
      <c r="D50" s="82"/>
      <c r="E50" s="82"/>
      <c r="F50" s="82"/>
      <c r="G50" s="82"/>
      <c r="H50" s="82"/>
      <c r="I50" s="82"/>
      <c r="J50" s="82"/>
      <c r="K50" s="82"/>
      <c r="L50" s="82"/>
      <c r="M50" s="82"/>
      <c r="N50" s="34"/>
      <c r="O50" s="82"/>
      <c r="P50" s="370"/>
    </row>
    <row r="51" spans="1:16" x14ac:dyDescent="0.25">
      <c r="A51" s="34"/>
      <c r="B51" s="82"/>
      <c r="C51" s="369"/>
      <c r="D51" s="82"/>
      <c r="E51" s="82"/>
      <c r="F51" s="82"/>
      <c r="G51" s="82"/>
      <c r="H51" s="82"/>
      <c r="I51" s="82"/>
      <c r="J51" s="82"/>
      <c r="K51" s="82"/>
      <c r="L51" s="82"/>
      <c r="M51" s="82"/>
      <c r="N51" s="34"/>
      <c r="O51" s="82"/>
      <c r="P51" s="370"/>
    </row>
    <row r="52" spans="1:16" x14ac:dyDescent="0.25">
      <c r="A52" s="34"/>
      <c r="B52" s="82"/>
      <c r="C52" s="369"/>
      <c r="D52" s="82"/>
      <c r="E52" s="82"/>
      <c r="F52" s="82"/>
      <c r="G52" s="82"/>
      <c r="H52" s="82"/>
      <c r="I52" s="82"/>
      <c r="J52" s="82"/>
      <c r="K52" s="82"/>
      <c r="L52" s="82"/>
      <c r="M52" s="82"/>
      <c r="N52" s="34"/>
      <c r="O52" s="82"/>
      <c r="P52" s="370"/>
    </row>
    <row r="53" spans="1:16" x14ac:dyDescent="0.25">
      <c r="A53" s="34"/>
      <c r="B53" s="82"/>
      <c r="C53" s="369"/>
      <c r="D53" s="82"/>
      <c r="E53" s="82"/>
      <c r="F53" s="82"/>
      <c r="G53" s="82"/>
      <c r="H53" s="82"/>
      <c r="I53" s="82"/>
      <c r="J53" s="82"/>
      <c r="K53" s="82"/>
      <c r="L53" s="82"/>
      <c r="M53" s="82"/>
      <c r="N53" s="34"/>
      <c r="O53" s="82"/>
      <c r="P53" s="370"/>
    </row>
    <row r="54" spans="1:16" x14ac:dyDescent="0.25">
      <c r="A54" s="33" t="s">
        <v>44</v>
      </c>
      <c r="B54" s="92"/>
      <c r="C54" s="92"/>
      <c r="D54" s="92"/>
      <c r="E54" s="92"/>
      <c r="F54" s="92"/>
      <c r="G54" s="92"/>
      <c r="H54" s="92"/>
      <c r="I54" s="92"/>
      <c r="J54" s="384"/>
      <c r="K54" s="92"/>
      <c r="L54" s="92"/>
      <c r="M54" s="384"/>
      <c r="N54" s="33"/>
      <c r="O54" s="92"/>
      <c r="P54" s="385"/>
    </row>
    <row r="55" spans="1:16" x14ac:dyDescent="0.25">
      <c r="A55" s="40"/>
      <c r="B55" s="40"/>
      <c r="C55" s="40"/>
      <c r="D55" s="40"/>
      <c r="E55" s="40"/>
      <c r="F55" s="40"/>
      <c r="G55" s="40"/>
      <c r="H55" s="40"/>
      <c r="I55" s="40"/>
      <c r="J55" s="41"/>
      <c r="K55" s="40"/>
      <c r="L55" s="40"/>
      <c r="M55" s="41"/>
      <c r="N55" s="40"/>
      <c r="O55" s="40"/>
      <c r="P55" s="386"/>
    </row>
    <row r="56" spans="1:16" x14ac:dyDescent="0.25">
      <c r="A56" s="22" t="s">
        <v>243</v>
      </c>
      <c r="B56" s="29" t="s">
        <v>22</v>
      </c>
      <c r="C56" s="23"/>
      <c r="D56" s="22"/>
      <c r="E56" s="29" t="s">
        <v>23</v>
      </c>
      <c r="F56" s="23"/>
      <c r="G56" s="19"/>
      <c r="H56" s="7" t="s">
        <v>24</v>
      </c>
      <c r="I56" s="23"/>
      <c r="J56" s="19"/>
      <c r="K56" s="7" t="s">
        <v>25</v>
      </c>
      <c r="L56" s="23"/>
      <c r="M56" s="19"/>
      <c r="N56" s="7" t="s">
        <v>26</v>
      </c>
      <c r="O56" s="23"/>
      <c r="P56" s="19"/>
    </row>
    <row r="57" spans="1:16" x14ac:dyDescent="0.25">
      <c r="A57" s="23"/>
    </row>
    <row r="58" spans="1:16" ht="14.4" x14ac:dyDescent="0.3">
      <c r="A58" s="21"/>
      <c r="B58" s="28" t="s">
        <v>880</v>
      </c>
      <c r="C58" s="21" t="s">
        <v>21</v>
      </c>
      <c r="D58" s="21" t="s">
        <v>881</v>
      </c>
      <c r="E58" s="28" t="s">
        <v>882</v>
      </c>
      <c r="F58" s="21" t="s">
        <v>21</v>
      </c>
      <c r="G58" s="20" t="s">
        <v>883</v>
      </c>
      <c r="H58" s="28" t="s">
        <v>884</v>
      </c>
      <c r="I58" s="21" t="s">
        <v>21</v>
      </c>
      <c r="J58" s="20" t="s">
        <v>885</v>
      </c>
      <c r="K58" s="28" t="s">
        <v>886</v>
      </c>
      <c r="L58" s="21" t="s">
        <v>21</v>
      </c>
      <c r="M58" s="20" t="s">
        <v>887</v>
      </c>
      <c r="N58" s="28" t="s">
        <v>888</v>
      </c>
      <c r="O58" s="21" t="s">
        <v>21</v>
      </c>
      <c r="P58" s="20" t="s">
        <v>889</v>
      </c>
    </row>
    <row r="59" spans="1:16" x14ac:dyDescent="0.25">
      <c r="A59" s="387" t="s">
        <v>20</v>
      </c>
    </row>
    <row r="60" spans="1:16" x14ac:dyDescent="0.25">
      <c r="A60" s="154" t="str">
        <f>Cultivation!A21</f>
        <v>MAIN LAND USE</v>
      </c>
    </row>
    <row r="61" spans="1:16" x14ac:dyDescent="0.25">
      <c r="A61" s="154" t="str">
        <f>Cultivation!A22</f>
        <v>Diesel Fuel:</v>
      </c>
      <c r="B61" s="729"/>
      <c r="C61" s="992"/>
      <c r="D61" s="736"/>
      <c r="E61" s="729"/>
      <c r="F61" s="992"/>
      <c r="G61" s="736"/>
      <c r="H61" s="505"/>
      <c r="I61" s="992"/>
      <c r="J61" s="506"/>
      <c r="K61" s="505"/>
      <c r="L61" s="992"/>
      <c r="M61" s="506"/>
      <c r="N61" s="729"/>
      <c r="O61" s="992"/>
      <c r="P61" s="758"/>
    </row>
    <row r="62" spans="1:16" s="5" customFormat="1" x14ac:dyDescent="0.25">
      <c r="A62" s="979" t="str">
        <f>Cultivation!A23</f>
        <v>subsoiling</v>
      </c>
      <c r="B62" s="727">
        <f>(Unitflowchart!$S$17*(AllocationMass!$F$16/100)*Cultivation!J23)/Unitflowchart!$S$383</f>
        <v>37.584063592008938</v>
      </c>
      <c r="C62" s="26">
        <f t="shared" ref="C62:C70" si="6">(B62/B$386)*100</f>
        <v>0.29035039192861195</v>
      </c>
      <c r="D62" s="148">
        <f>(Unitflowchart!$S$17*(AllocationMass!$F$16/100)*Cultivation!K23)/Unitflowchart!$S$383</f>
        <v>0</v>
      </c>
      <c r="E62" s="727">
        <f>(Unitflowchart!$S$17*(AllocationMass!$F$16/100)*Cultivation!P23)/Unitflowchart!$S$383</f>
        <v>2.6970856445337263</v>
      </c>
      <c r="F62" s="26">
        <f t="shared" ref="F62:F70" si="7">(E62/E$386)*100</f>
        <v>0.33529925054278692</v>
      </c>
      <c r="G62" s="148">
        <f>(Unitflowchart!$S$17*(AllocationMass!$F$16/100)*Cultivation!Q23)/Unitflowchart!$S$383</f>
        <v>0</v>
      </c>
      <c r="H62" s="165">
        <f>(Unitflowchart!$S$17*(AllocationMass!$F$16/100)*Cultivation!V23)/Unitflowchart!$S$383</f>
        <v>5.604333806823326E-4</v>
      </c>
      <c r="I62" s="26">
        <f t="shared" ref="I62:I70" si="8">(H62/H$386)*100</f>
        <v>5.5975442134650985E-2</v>
      </c>
      <c r="J62" s="214">
        <f>(Unitflowchart!$S$17*(AllocationMass!$F$16/100)*Cultivation!W23)/Unitflowchart!$S$383</f>
        <v>0</v>
      </c>
      <c r="K62" s="165">
        <f>(Unitflowchart!$S$17*(AllocationMass!$F$16/100)*Cultivation!AB23)/Unitflowchart!$S$383</f>
        <v>7.2856339488703258E-4</v>
      </c>
      <c r="L62" s="26">
        <f t="shared" ref="L62:L70" si="9">(K62/K$386)*100</f>
        <v>0.33725101289586429</v>
      </c>
      <c r="M62" s="214">
        <f>(Unitflowchart!$S$17*(AllocationMass!$F$16/100)*Cultivation!AC23)/Unitflowchart!$S$383</f>
        <v>0</v>
      </c>
      <c r="N62" s="727">
        <f>E62+(GlobalWarmingPotentials!$B$11*H62)+(GlobalWarmingPotentials!$C$11*K62)</f>
        <v>2.925630377175982</v>
      </c>
      <c r="O62" s="26">
        <f t="shared" ref="O62:O70" si="10">(N62/N$386)*100</f>
        <v>0.32822301380407964</v>
      </c>
      <c r="P62" s="756">
        <f>SQRT((G62^2)+((GlobalWarmingPotentials!$B$11*J62)^2)+((GlobalWarmingPotentials!$C$11*M62)^2))</f>
        <v>0</v>
      </c>
    </row>
    <row r="63" spans="1:16" x14ac:dyDescent="0.25">
      <c r="A63" s="979" t="str">
        <f>Cultivation!A24</f>
        <v>ploughing</v>
      </c>
      <c r="B63" s="727">
        <f>(Unitflowchart!$S$17*(AllocationMass!$F$16/100)*Cultivation!J24)/Unitflowchart!$S$383</f>
        <v>37.600836367946258</v>
      </c>
      <c r="C63" s="26">
        <f t="shared" si="6"/>
        <v>0.29047996764772516</v>
      </c>
      <c r="D63" s="148">
        <f>(Unitflowchart!$S$17*(AllocationMass!$F$16/100)*Cultivation!K24)/Unitflowchart!$S$383</f>
        <v>0</v>
      </c>
      <c r="E63" s="727">
        <f>(Unitflowchart!$S$17*(AllocationMass!$F$16/100)*Cultivation!P24)/Unitflowchart!$S$383</f>
        <v>2.6982892826951184</v>
      </c>
      <c r="F63" s="26">
        <f t="shared" si="7"/>
        <v>0.33544888575153803</v>
      </c>
      <c r="G63" s="148">
        <f>(Unitflowchart!$S$17*(AllocationMass!$F$16/100)*Cultivation!Q24)/Unitflowchart!$S$383</f>
        <v>0</v>
      </c>
      <c r="H63" s="165">
        <f>(Unitflowchart!$S$17*(AllocationMass!$F$16/100)*Cultivation!V24)/Unitflowchart!$S$383</f>
        <v>5.6068348731327141E-4</v>
      </c>
      <c r="I63" s="26">
        <f t="shared" si="8"/>
        <v>5.6000422497581123E-2</v>
      </c>
      <c r="J63" s="214">
        <f>(Unitflowchart!$S$17*(AllocationMass!$F$16/100)*Cultivation!W24)/Unitflowchart!$S$383</f>
        <v>0</v>
      </c>
      <c r="K63" s="165">
        <f>(Unitflowchart!$S$17*(AllocationMass!$F$16/100)*Cultivation!AB24)/Unitflowchart!$S$383</f>
        <v>7.2888853350725272E-4</v>
      </c>
      <c r="L63" s="26">
        <f t="shared" si="9"/>
        <v>0.33740151912465693</v>
      </c>
      <c r="M63" s="214">
        <f>(Unitflowchart!$S$17*(AllocationMass!$F$16/100)*Cultivation!AC24)/Unitflowchart!$S$383</f>
        <v>0</v>
      </c>
      <c r="N63" s="727">
        <f>E63+(GlobalWarmingPotentials!$B$11*H63)+(GlobalWarmingPotentials!$C$11*K63)</f>
        <v>2.9269360088214706</v>
      </c>
      <c r="O63" s="26">
        <f t="shared" si="10"/>
        <v>0.32836949107507851</v>
      </c>
      <c r="P63" s="756">
        <f>SQRT((G63^2)+((GlobalWarmingPotentials!$B$11*J63)^2)+((GlobalWarmingPotentials!$C$11*M63)^2))</f>
        <v>0</v>
      </c>
    </row>
    <row r="64" spans="1:16" x14ac:dyDescent="0.25">
      <c r="A64" s="979" t="str">
        <f>Cultivation!A25</f>
        <v>rotavating/power harrowing</v>
      </c>
      <c r="B64" s="727">
        <f>(Unitflowchart!$S$17*(AllocationMass!$F$16/100)*Cultivation!J25)/Unitflowchart!$S$383</f>
        <v>19.680057099797409</v>
      </c>
      <c r="C64" s="26">
        <f t="shared" si="6"/>
        <v>0.15203551042624791</v>
      </c>
      <c r="D64" s="148">
        <f>(Unitflowchart!$S$17*(AllocationMass!$F$16/100)*Cultivation!K25)/Unitflowchart!$S$383</f>
        <v>0</v>
      </c>
      <c r="E64" s="727">
        <f>(Unitflowchart!$S$17*(AllocationMass!$F$16/100)*Cultivation!P25)/Unitflowchart!$S$383</f>
        <v>1.4122687760339239</v>
      </c>
      <c r="F64" s="26">
        <f t="shared" si="7"/>
        <v>0.17557197826805321</v>
      </c>
      <c r="G64" s="148">
        <f>(Unitflowchart!$S$17*(AllocationMass!$F$16/100)*Cultivation!Q25)/Unitflowchart!$S$383</f>
        <v>0</v>
      </c>
      <c r="H64" s="165">
        <f>(Unitflowchart!$S$17*(AllocationMass!$F$16/100)*Cultivation!V25)/Unitflowchart!$S$383</f>
        <v>2.9345844696808811E-4</v>
      </c>
      <c r="I64" s="26">
        <f t="shared" si="8"/>
        <v>2.9310292504681631E-2</v>
      </c>
      <c r="J64" s="214">
        <f>(Unitflowchart!$S$17*(AllocationMass!$F$16/100)*Cultivation!W25)/Unitflowchart!$S$383</f>
        <v>0</v>
      </c>
      <c r="K64" s="165">
        <f>(Unitflowchart!$S$17*(AllocationMass!$F$16/100)*Cultivation!AB25)/Unitflowchart!$S$383</f>
        <v>3.8149598105851457E-4</v>
      </c>
      <c r="L64" s="26">
        <f t="shared" si="9"/>
        <v>0.17659397511679112</v>
      </c>
      <c r="M64" s="214">
        <f>(Unitflowchart!$S$17*(AllocationMass!$F$16/100)*Cultivation!AC25)/Unitflowchart!$S$383</f>
        <v>0</v>
      </c>
      <c r="N64" s="727">
        <f>E64+(GlobalWarmingPotentials!$B$11*H64)+(GlobalWarmingPotentials!$C$11*K64)</f>
        <v>1.5319411307075104</v>
      </c>
      <c r="O64" s="26">
        <f t="shared" si="10"/>
        <v>0.17186666463881986</v>
      </c>
      <c r="P64" s="756">
        <f>SQRT((G64^2)+((GlobalWarmingPotentials!$B$11*J64)^2)+((GlobalWarmingPotentials!$C$11*M64)^2))</f>
        <v>0</v>
      </c>
    </row>
    <row r="65" spans="1:16" x14ac:dyDescent="0.25">
      <c r="A65" s="979" t="str">
        <f>Cultivation!A26</f>
        <v xml:space="preserve">planting </v>
      </c>
      <c r="B65" s="727">
        <f>(Unitflowchart!$S$17*(AllocationMass!$F$16/100)*Cultivation!J26)/Unitflowchart!$S$383</f>
        <v>32.800095166329015</v>
      </c>
      <c r="C65" s="26">
        <f t="shared" si="6"/>
        <v>0.25339251737707985</v>
      </c>
      <c r="D65" s="148">
        <f>(Unitflowchart!$S$17*(AllocationMass!$F$16/100)*Cultivation!K26)/Unitflowchart!$S$383</f>
        <v>0</v>
      </c>
      <c r="E65" s="727">
        <f>(Unitflowchart!$S$17*(AllocationMass!$F$16/100)*Cultivation!P26)/Unitflowchart!$S$383</f>
        <v>2.3537812933898734</v>
      </c>
      <c r="F65" s="26">
        <f t="shared" si="7"/>
        <v>0.2926199637800887</v>
      </c>
      <c r="G65" s="148">
        <f>(Unitflowchart!$S$17*(AllocationMass!$F$16/100)*Cultivation!Q26)/Unitflowchart!$S$383</f>
        <v>0</v>
      </c>
      <c r="H65" s="165">
        <f>(Unitflowchart!$S$17*(AllocationMass!$F$16/100)*Cultivation!V26)/Unitflowchart!$S$383</f>
        <v>4.8909741161348025E-4</v>
      </c>
      <c r="I65" s="26">
        <f t="shared" si="8"/>
        <v>4.8850487507802728E-2</v>
      </c>
      <c r="J65" s="214">
        <f>(Unitflowchart!$S$17*(AllocationMass!$F$16/100)*Cultivation!W26)/Unitflowchart!$S$383</f>
        <v>0</v>
      </c>
      <c r="K65" s="165">
        <f>(Unitflowchart!$S$17*(AllocationMass!$F$16/100)*Cultivation!AB26)/Unitflowchart!$S$383</f>
        <v>6.3582663509752419E-4</v>
      </c>
      <c r="L65" s="26">
        <f t="shared" si="9"/>
        <v>0.2943232918613185</v>
      </c>
      <c r="M65" s="214">
        <f>(Unitflowchart!$S$17*(AllocationMass!$F$16/100)*Cultivation!AC26)/Unitflowchart!$S$383</f>
        <v>0</v>
      </c>
      <c r="N65" s="727">
        <f>E65+(GlobalWarmingPotentials!$B$11*H65)+(GlobalWarmingPotentials!$C$11*K65)</f>
        <v>2.5532352178458506</v>
      </c>
      <c r="O65" s="26">
        <f t="shared" si="10"/>
        <v>0.28644444106469974</v>
      </c>
      <c r="P65" s="756">
        <f>SQRT((G65^2)+((GlobalWarmingPotentials!$B$11*J65)^2)+((GlobalWarmingPotentials!$C$11*M65)^2))</f>
        <v>0</v>
      </c>
    </row>
    <row r="66" spans="1:16" x14ac:dyDescent="0.25">
      <c r="A66" s="979" t="str">
        <f>Cultivation!A27</f>
        <v>rolling</v>
      </c>
      <c r="B66" s="727">
        <f>(Unitflowchart!$S$17*(AllocationMass!$F$16/100)*Cultivation!J27)/Unitflowchart!$S$383</f>
        <v>5.9040171299392217</v>
      </c>
      <c r="C66" s="26">
        <f t="shared" si="6"/>
        <v>4.5610653127874365E-2</v>
      </c>
      <c r="D66" s="148">
        <f>(Unitflowchart!$S$17*(AllocationMass!$F$16/100)*Cultivation!K27)/Unitflowchart!$S$383</f>
        <v>0</v>
      </c>
      <c r="E66" s="727">
        <f>(Unitflowchart!$S$17*(AllocationMass!$F$16/100)*Cultivation!P27)/Unitflowchart!$S$383</f>
        <v>0.4236806328101772</v>
      </c>
      <c r="F66" s="26">
        <f t="shared" si="7"/>
        <v>5.2671593480415974E-2</v>
      </c>
      <c r="G66" s="148">
        <f>(Unitflowchart!$S$17*(AllocationMass!$F$16/100)*Cultivation!Q27)/Unitflowchart!$S$383</f>
        <v>0</v>
      </c>
      <c r="H66" s="165">
        <f>(Unitflowchart!$S$17*(AllocationMass!$F$16/100)*Cultivation!V27)/Unitflowchart!$S$383</f>
        <v>8.8037534090426424E-5</v>
      </c>
      <c r="I66" s="26">
        <f t="shared" si="8"/>
        <v>8.7930877514044888E-3</v>
      </c>
      <c r="J66" s="214">
        <f>(Unitflowchart!$S$17*(AllocationMass!$F$16/100)*Cultivation!W27)/Unitflowchart!$S$383</f>
        <v>0</v>
      </c>
      <c r="K66" s="165">
        <f>(Unitflowchart!$S$17*(AllocationMass!$F$16/100)*Cultivation!AB27)/Unitflowchart!$S$383</f>
        <v>1.1444879431755436E-4</v>
      </c>
      <c r="L66" s="26">
        <f t="shared" si="9"/>
        <v>5.2978192535037334E-2</v>
      </c>
      <c r="M66" s="214">
        <f>(Unitflowchart!$S$17*(AllocationMass!$F$16/100)*Cultivation!AC27)/Unitflowchart!$S$383</f>
        <v>0</v>
      </c>
      <c r="N66" s="727">
        <f>E66+(GlobalWarmingPotentials!$B$11*H66)+(GlobalWarmingPotentials!$C$11*K66)</f>
        <v>0.45958233921225311</v>
      </c>
      <c r="O66" s="26">
        <f t="shared" si="10"/>
        <v>5.1559999391645961E-2</v>
      </c>
      <c r="P66" s="756">
        <f>SQRT((G66^2)+((GlobalWarmingPotentials!$B$11*J66)^2)+((GlobalWarmingPotentials!$C$11*M66)^2))</f>
        <v>0</v>
      </c>
    </row>
    <row r="67" spans="1:16" x14ac:dyDescent="0.25">
      <c r="A67" s="979" t="str">
        <f>Cultivation!A28</f>
        <v>fertilizer application</v>
      </c>
      <c r="B67" s="727">
        <f>(Unitflowchart!$S$17*(AllocationMass!$F$16/100)*Cultivation!J28)/Unitflowchart!$S$383</f>
        <v>147.60042824848057</v>
      </c>
      <c r="C67" s="26">
        <f t="shared" si="6"/>
        <v>1.1402663281968595</v>
      </c>
      <c r="D67" s="148">
        <f>(Unitflowchart!$S$17*(AllocationMass!$F$16/100)*Cultivation!K28)/Unitflowchart!$S$383</f>
        <v>0</v>
      </c>
      <c r="E67" s="727">
        <f>(Unitflowchart!$S$17*(AllocationMass!$F$16/100)*Cultivation!P28)/Unitflowchart!$S$383</f>
        <v>10.59201582025443</v>
      </c>
      <c r="F67" s="26">
        <f t="shared" si="7"/>
        <v>1.3167898370103992</v>
      </c>
      <c r="G67" s="148">
        <f>(Unitflowchart!$S$17*(AllocationMass!$F$16/100)*Cultivation!Q28)/Unitflowchart!$S$383</f>
        <v>0</v>
      </c>
      <c r="H67" s="165">
        <f>(Unitflowchart!$S$17*(AllocationMass!$F$16/100)*Cultivation!V28)/Unitflowchart!$S$383</f>
        <v>2.2009383522606607E-3</v>
      </c>
      <c r="I67" s="26">
        <f t="shared" si="8"/>
        <v>0.21982719378511223</v>
      </c>
      <c r="J67" s="214">
        <f>(Unitflowchart!$S$17*(AllocationMass!$F$16/100)*Cultivation!W28)/Unitflowchart!$S$383</f>
        <v>0</v>
      </c>
      <c r="K67" s="165">
        <f>(Unitflowchart!$S$17*(AllocationMass!$F$16/100)*Cultivation!AB28)/Unitflowchart!$S$383</f>
        <v>2.8612198579388596E-3</v>
      </c>
      <c r="L67" s="26">
        <f t="shared" si="9"/>
        <v>1.3244548133759337</v>
      </c>
      <c r="M67" s="214">
        <f>(Unitflowchart!$S$17*(AllocationMass!$F$16/100)*Cultivation!AC28)/Unitflowchart!$S$383</f>
        <v>0</v>
      </c>
      <c r="N67" s="727">
        <f>E67+(GlobalWarmingPotentials!$B$11*H67)+(GlobalWarmingPotentials!$C$11*K67)</f>
        <v>11.489558480306327</v>
      </c>
      <c r="O67" s="26">
        <f t="shared" si="10"/>
        <v>1.2889999847911489</v>
      </c>
      <c r="P67" s="756">
        <f>SQRT((G67^2)+((GlobalWarmingPotentials!$B$11*J67)^2)+((GlobalWarmingPotentials!$C$11*M67)^2))</f>
        <v>0</v>
      </c>
    </row>
    <row r="68" spans="1:16" x14ac:dyDescent="0.25">
      <c r="A68" s="979" t="str">
        <f>Cultivation!A29</f>
        <v>herbicide application</v>
      </c>
      <c r="B68" s="727">
        <f>(Unitflowchart!$S$17*(AllocationMass!$F$16/100)*Cultivation!J29)/Unitflowchart!$S$383</f>
        <v>11.808034259878443</v>
      </c>
      <c r="C68" s="26">
        <f t="shared" si="6"/>
        <v>9.122130625574873E-2</v>
      </c>
      <c r="D68" s="148">
        <f>(Unitflowchart!$S$17*(AllocationMass!$F$16/100)*Cultivation!K29)/Unitflowchart!$S$383</f>
        <v>0</v>
      </c>
      <c r="E68" s="727">
        <f>(Unitflowchart!$S$17*(AllocationMass!$F$16/100)*Cultivation!P29)/Unitflowchart!$S$383</f>
        <v>0.84736126562035441</v>
      </c>
      <c r="F68" s="26">
        <f t="shared" si="7"/>
        <v>0.10534318696083195</v>
      </c>
      <c r="G68" s="148">
        <f>(Unitflowchart!$S$17*(AllocationMass!$F$16/100)*Cultivation!Q29)/Unitflowchart!$S$383</f>
        <v>0</v>
      </c>
      <c r="H68" s="165">
        <f>(Unitflowchart!$S$17*(AllocationMass!$F$16/100)*Cultivation!V29)/Unitflowchart!$S$383</f>
        <v>1.7607506818085285E-4</v>
      </c>
      <c r="I68" s="26">
        <f t="shared" si="8"/>
        <v>1.7586175502808978E-2</v>
      </c>
      <c r="J68" s="214">
        <f>(Unitflowchart!$S$17*(AllocationMass!$F$16/100)*Cultivation!W29)/Unitflowchart!$S$383</f>
        <v>0</v>
      </c>
      <c r="K68" s="165">
        <f>(Unitflowchart!$S$17*(AllocationMass!$F$16/100)*Cultivation!AB29)/Unitflowchart!$S$383</f>
        <v>2.2889758863510871E-4</v>
      </c>
      <c r="L68" s="26">
        <f t="shared" si="9"/>
        <v>0.10595638507007467</v>
      </c>
      <c r="M68" s="214">
        <f>(Unitflowchart!$S$17*(AllocationMass!$F$16/100)*Cultivation!AC29)/Unitflowchart!$S$383</f>
        <v>0</v>
      </c>
      <c r="N68" s="727">
        <f>E68+(GlobalWarmingPotentials!$B$11*H68)+(GlobalWarmingPotentials!$C$11*K68)</f>
        <v>0.91916467842450622</v>
      </c>
      <c r="O68" s="26">
        <f t="shared" si="10"/>
        <v>0.10311999878329192</v>
      </c>
      <c r="P68" s="756">
        <f>SQRT((G68^2)+((GlobalWarmingPotentials!$B$11*J68)^2)+((GlobalWarmingPotentials!$C$11*M68)^2))</f>
        <v>0</v>
      </c>
    </row>
    <row r="69" spans="1:16" x14ac:dyDescent="0.25">
      <c r="A69" s="979" t="str">
        <f>Cultivation!A30</f>
        <v>weed cultivating</v>
      </c>
      <c r="B69" s="727">
        <f>(Unitflowchart!$S$17*(AllocationMass!$F$16/100)*Cultivation!J30)/Unitflowchart!$S$383</f>
        <v>5.9040171299392217</v>
      </c>
      <c r="C69" s="26">
        <f t="shared" si="6"/>
        <v>4.5610653127874365E-2</v>
      </c>
      <c r="D69" s="148">
        <f>(Unitflowchart!$S$17*(AllocationMass!$F$16/100)*Cultivation!K30)/Unitflowchart!$S$383</f>
        <v>0</v>
      </c>
      <c r="E69" s="727">
        <f>(Unitflowchart!$S$17*(AllocationMass!$F$16/100)*Cultivation!P30)/Unitflowchart!$S$383</f>
        <v>0.4236806328101772</v>
      </c>
      <c r="F69" s="26">
        <f t="shared" si="7"/>
        <v>5.2671593480415974E-2</v>
      </c>
      <c r="G69" s="148">
        <f>(Unitflowchart!$S$17*(AllocationMass!$F$16/100)*Cultivation!Q30)/Unitflowchart!$S$383</f>
        <v>0</v>
      </c>
      <c r="H69" s="165">
        <f>(Unitflowchart!$S$17*(AllocationMass!$F$16/100)*Cultivation!V30)/Unitflowchart!$S$383</f>
        <v>8.8037534090426424E-5</v>
      </c>
      <c r="I69" s="26">
        <f t="shared" si="8"/>
        <v>8.7930877514044888E-3</v>
      </c>
      <c r="J69" s="214">
        <f>(Unitflowchart!$S$17*(AllocationMass!$F$16/100)*Cultivation!W30)/Unitflowchart!$S$383</f>
        <v>0</v>
      </c>
      <c r="K69" s="165">
        <f>(Unitflowchart!$S$17*(AllocationMass!$F$16/100)*Cultivation!AB30)/Unitflowchart!$S$383</f>
        <v>1.1444879431755436E-4</v>
      </c>
      <c r="L69" s="26">
        <f t="shared" si="9"/>
        <v>5.2978192535037334E-2</v>
      </c>
      <c r="M69" s="214">
        <f>(Unitflowchart!$S$17*(AllocationMass!$F$16/100)*Cultivation!AC30)/Unitflowchart!$S$383</f>
        <v>0</v>
      </c>
      <c r="N69" s="727">
        <f>E69+(GlobalWarmingPotentials!$B$11*H69)+(GlobalWarmingPotentials!$C$11*K69)</f>
        <v>0.45958233921225311</v>
      </c>
      <c r="O69" s="26">
        <f t="shared" si="10"/>
        <v>5.1559999391645961E-2</v>
      </c>
      <c r="P69" s="756">
        <f>SQRT((G69^2)+((GlobalWarmingPotentials!$B$11*J69)^2)+((GlobalWarmingPotentials!$C$11*M69)^2))</f>
        <v>0</v>
      </c>
    </row>
    <row r="70" spans="1:16" x14ac:dyDescent="0.25">
      <c r="A70" s="979" t="str">
        <f>Cultivation!A31</f>
        <v>residue removal</v>
      </c>
      <c r="B70" s="727">
        <f>(Unitflowchart!$S$17*(AllocationMass!$F$16/100)*Cultivation!J31)/Unitflowchart!$S$383</f>
        <v>52.480152266126431</v>
      </c>
      <c r="C70" s="26">
        <f t="shared" si="6"/>
        <v>0.40542802780332782</v>
      </c>
      <c r="D70" s="148">
        <f>(Unitflowchart!$S$17*(AllocationMass!$F$16/100)*Cultivation!K31)/Unitflowchart!$S$383</f>
        <v>0</v>
      </c>
      <c r="E70" s="727">
        <f>(Unitflowchart!$S$17*(AllocationMass!$F$16/100)*Cultivation!P31)/Unitflowchart!$S$383</f>
        <v>3.7660500694237977</v>
      </c>
      <c r="F70" s="26">
        <f t="shared" si="7"/>
        <v>0.46819194204814202</v>
      </c>
      <c r="G70" s="148">
        <f>(Unitflowchart!$S$17*(AllocationMass!$F$16/100)*Cultivation!Q31)/Unitflowchart!$S$383</f>
        <v>0</v>
      </c>
      <c r="H70" s="165">
        <f>(Unitflowchart!$S$17*(AllocationMass!$F$16/100)*Cultivation!V31)/Unitflowchart!$S$383</f>
        <v>7.8255585858156835E-4</v>
      </c>
      <c r="I70" s="26">
        <f t="shared" si="8"/>
        <v>7.816078001248436E-2</v>
      </c>
      <c r="J70" s="214">
        <f>(Unitflowchart!$S$17*(AllocationMass!$F$16/100)*Cultivation!W31)/Unitflowchart!$S$383</f>
        <v>0</v>
      </c>
      <c r="K70" s="165">
        <f>(Unitflowchart!$S$17*(AllocationMass!$F$16/100)*Cultivation!AB31)/Unitflowchart!$S$383</f>
        <v>1.0173226161560389E-3</v>
      </c>
      <c r="L70" s="26">
        <f t="shared" si="9"/>
        <v>0.47091726697810971</v>
      </c>
      <c r="M70" s="214">
        <f>(Unitflowchart!$S$17*(AllocationMass!$F$16/100)*Cultivation!AC31)/Unitflowchart!$S$383</f>
        <v>0</v>
      </c>
      <c r="N70" s="727">
        <f>E70+(GlobalWarmingPotentials!$B$11*H70)+(GlobalWarmingPotentials!$C$11*K70)</f>
        <v>4.085176348553361</v>
      </c>
      <c r="O70" s="26">
        <f t="shared" si="10"/>
        <v>0.45831110570351957</v>
      </c>
      <c r="P70" s="756">
        <f>SQRT((G70^2)+((GlobalWarmingPotentials!$B$11*J70)^2)+((GlobalWarmingPotentials!$C$11*M70)^2))</f>
        <v>0</v>
      </c>
    </row>
    <row r="71" spans="1:16" s="43" customFormat="1" x14ac:dyDescent="0.25">
      <c r="A71" s="979"/>
      <c r="B71" s="729"/>
      <c r="C71" s="992"/>
      <c r="D71" s="736"/>
      <c r="E71" s="729"/>
      <c r="F71" s="992"/>
      <c r="G71" s="736"/>
      <c r="H71" s="505"/>
      <c r="I71" s="992"/>
      <c r="J71" s="506"/>
      <c r="K71" s="505"/>
      <c r="L71" s="992"/>
      <c r="M71" s="506"/>
      <c r="N71" s="729"/>
      <c r="O71" s="992"/>
      <c r="P71" s="758"/>
    </row>
    <row r="72" spans="1:16" x14ac:dyDescent="0.25">
      <c r="A72" s="979" t="str">
        <f>Cultivation!A33</f>
        <v>Sub-Totals for Diesel Fuel</v>
      </c>
      <c r="B72" s="727">
        <f>(Unitflowchart!$S$17*(AllocationMass!$F$16/100)*Cultivation!J33)/Unitflowchart!$S$383</f>
        <v>351.36170126044561</v>
      </c>
      <c r="C72" s="26">
        <f>(B72/B$386)*100</f>
        <v>2.7143953558913503</v>
      </c>
      <c r="D72" s="148">
        <f>(Unitflowchart!$S$17*(AllocationMass!$F$16/100)*Cultivation!K33)/Unitflowchart!$S$383</f>
        <v>0</v>
      </c>
      <c r="E72" s="727">
        <f>(Unitflowchart!$S$17*(AllocationMass!$F$16/100)*Cultivation!P33)/Unitflowchart!$S$383</f>
        <v>25.214213417571582</v>
      </c>
      <c r="F72" s="26">
        <f>(E72/E$386)*100</f>
        <v>3.1346082313226726</v>
      </c>
      <c r="G72" s="148">
        <f>(Unitflowchart!$S$17*(AllocationMass!$F$16/100)*Cultivation!Q33)/Unitflowchart!$S$383</f>
        <v>0</v>
      </c>
      <c r="H72" s="165">
        <f>(Unitflowchart!$S$17*(AllocationMass!$F$16/100)*Cultivation!V33)/Unitflowchart!$S$383</f>
        <v>5.2393170737811082E-3</v>
      </c>
      <c r="I72" s="26">
        <f>(H72/H$386)*100</f>
        <v>0.52329696944793114</v>
      </c>
      <c r="J72" s="214">
        <f>(Unitflowchart!$S$17*(AllocationMass!$F$16/100)*Cultivation!W33)/Unitflowchart!$S$383</f>
        <v>0</v>
      </c>
      <c r="K72" s="165">
        <f>(Unitflowchart!$S$17*(AllocationMass!$F$16/100)*Cultivation!AB33)/Unitflowchart!$S$383</f>
        <v>6.8111121959154395E-3</v>
      </c>
      <c r="L72" s="26">
        <f>(K72/K$386)*100</f>
        <v>3.1528546494928236</v>
      </c>
      <c r="M72" s="214">
        <f>(Unitflowchart!$S$17*(AllocationMass!$F$16/100)*Cultivation!AC33)/Unitflowchart!$S$383</f>
        <v>0</v>
      </c>
      <c r="N72" s="727">
        <f>E72+(GlobalWarmingPotentials!$B$11*H72)+(GlobalWarmingPotentials!$C$11*K72)</f>
        <v>27.350806920259515</v>
      </c>
      <c r="O72" s="26">
        <f>(N72/N$386)*100</f>
        <v>3.0684546986439303</v>
      </c>
      <c r="P72" s="756">
        <f>SQRT((G72^2)+((GlobalWarmingPotentials!$B$11*J72)^2)+((GlobalWarmingPotentials!$C$11*M72)^2))</f>
        <v>0</v>
      </c>
    </row>
    <row r="73" spans="1:16" s="43" customFormat="1" x14ac:dyDescent="0.25">
      <c r="A73" s="979"/>
      <c r="B73" s="729"/>
      <c r="C73" s="992"/>
      <c r="D73" s="736"/>
      <c r="E73" s="729"/>
      <c r="F73" s="992"/>
      <c r="G73" s="736"/>
      <c r="H73" s="505"/>
      <c r="I73" s="992"/>
      <c r="J73" s="506"/>
      <c r="K73" s="505"/>
      <c r="L73" s="992"/>
      <c r="M73" s="506"/>
      <c r="N73" s="729"/>
      <c r="O73" s="992"/>
      <c r="P73" s="758"/>
    </row>
    <row r="74" spans="1:16" x14ac:dyDescent="0.25">
      <c r="A74" s="979" t="str">
        <f>Cultivation!A35</f>
        <v>Machinery:</v>
      </c>
      <c r="B74" s="727">
        <f>(Unitflowchart!$S$17*(AllocationMass!$F$16/100)*Cultivation!J35)/Unitflowchart!$S$383</f>
        <v>0</v>
      </c>
      <c r="C74" s="26">
        <f t="shared" ref="C74:C83" si="11">(B74/B$386)*100</f>
        <v>0</v>
      </c>
      <c r="D74" s="148">
        <f>(Unitflowchart!$S$17*(AllocationMass!$F$16/100)*Cultivation!K35)/Unitflowchart!$S$383</f>
        <v>0</v>
      </c>
      <c r="E74" s="727">
        <f>(Unitflowchart!$S$17*(AllocationMass!$F$16/100)*Cultivation!P35)/Unitflowchart!$S$383</f>
        <v>0</v>
      </c>
      <c r="F74" s="26">
        <f t="shared" ref="F74:F83" si="12">(E74/E$386)*100</f>
        <v>0</v>
      </c>
      <c r="G74" s="148">
        <f>(Unitflowchart!$S$17*(AllocationMass!$F$16/100)*Cultivation!Q35)/Unitflowchart!$S$383</f>
        <v>0</v>
      </c>
      <c r="H74" s="165">
        <f>(Unitflowchart!$S$17*(AllocationMass!$F$16/100)*Cultivation!V35)/Unitflowchart!$S$383</f>
        <v>0</v>
      </c>
      <c r="I74" s="26">
        <f t="shared" ref="I74:I83" si="13">(H74/H$386)*100</f>
        <v>0</v>
      </c>
      <c r="J74" s="214">
        <f>(Unitflowchart!$S$17*(AllocationMass!$F$16/100)*Cultivation!W35)/Unitflowchart!$S$383</f>
        <v>0</v>
      </c>
      <c r="K74" s="165">
        <f>(Unitflowchart!$S$17*(AllocationMass!$F$16/100)*Cultivation!AB35)/Unitflowchart!$S$383</f>
        <v>0</v>
      </c>
      <c r="L74" s="26">
        <f t="shared" ref="L74:L83" si="14">(K74/K$386)*100</f>
        <v>0</v>
      </c>
      <c r="M74" s="214">
        <f>(Unitflowchart!$S$17*(AllocationMass!$F$16/100)*Cultivation!AC35)/Unitflowchart!$S$383</f>
        <v>0</v>
      </c>
      <c r="N74" s="727">
        <f>E74+(GlobalWarmingPotentials!$B$11*H74)+(GlobalWarmingPotentials!$C$11*K74)</f>
        <v>0</v>
      </c>
      <c r="O74" s="26">
        <f t="shared" ref="O74:O83" si="15">(N74/N$386)*100</f>
        <v>0</v>
      </c>
      <c r="P74" s="756">
        <f>SQRT((G74^2)+((GlobalWarmingPotentials!$B$11*J74)^2)+((GlobalWarmingPotentials!$C$11*M74)^2))</f>
        <v>0</v>
      </c>
    </row>
    <row r="75" spans="1:16" x14ac:dyDescent="0.25">
      <c r="A75" s="979" t="str">
        <f>Cultivation!A36</f>
        <v>subsoiling</v>
      </c>
      <c r="B75" s="727">
        <f>(Unitflowchart!$S$17*(AllocationMass!$F$16/100)*Cultivation!J36)/Unitflowchart!$S$383</f>
        <v>0</v>
      </c>
      <c r="C75" s="26">
        <f t="shared" si="11"/>
        <v>0</v>
      </c>
      <c r="D75" s="148">
        <f>(Unitflowchart!$S$17*(AllocationMass!$F$16/100)*Cultivation!K36)/Unitflowchart!$S$383</f>
        <v>0</v>
      </c>
      <c r="E75" s="727">
        <f>(Unitflowchart!$S$17*(AllocationMass!$F$16/100)*Cultivation!P36)/Unitflowchart!$S$383</f>
        <v>0</v>
      </c>
      <c r="F75" s="26">
        <f t="shared" si="12"/>
        <v>0</v>
      </c>
      <c r="G75" s="148">
        <f>(Unitflowchart!$S$17*(AllocationMass!$F$16/100)*Cultivation!Q36)/Unitflowchart!$S$383</f>
        <v>0</v>
      </c>
      <c r="H75" s="165">
        <f>(Unitflowchart!$S$17*(AllocationMass!$F$16/100)*Cultivation!V36)/Unitflowchart!$S$383</f>
        <v>0</v>
      </c>
      <c r="I75" s="26">
        <f t="shared" si="13"/>
        <v>0</v>
      </c>
      <c r="J75" s="214">
        <f>(Unitflowchart!$S$17*(AllocationMass!$F$16/100)*Cultivation!W36)/Unitflowchart!$S$383</f>
        <v>0</v>
      </c>
      <c r="K75" s="165">
        <f>(Unitflowchart!$S$17*(AllocationMass!$F$16/100)*Cultivation!AB36)/Unitflowchart!$S$383</f>
        <v>0</v>
      </c>
      <c r="L75" s="26">
        <f t="shared" si="14"/>
        <v>0</v>
      </c>
      <c r="M75" s="214">
        <f>(Unitflowchart!$S$17*(AllocationMass!$F$16/100)*Cultivation!AC36)/Unitflowchart!$S$383</f>
        <v>0</v>
      </c>
      <c r="N75" s="727">
        <f>E75+(GlobalWarmingPotentials!$B$11*H75)+(GlobalWarmingPotentials!$C$11*K75)</f>
        <v>0</v>
      </c>
      <c r="O75" s="26">
        <f t="shared" si="15"/>
        <v>0</v>
      </c>
      <c r="P75" s="756">
        <f>SQRT((G75^2)+((GlobalWarmingPotentials!$B$11*J75)^2)+((GlobalWarmingPotentials!$C$11*M75)^2))</f>
        <v>0</v>
      </c>
    </row>
    <row r="76" spans="1:16" x14ac:dyDescent="0.25">
      <c r="A76" s="979" t="str">
        <f>Cultivation!A37</f>
        <v>ploughing</v>
      </c>
      <c r="B76" s="727">
        <f>(Unitflowchart!$S$17*(AllocationMass!$F$16/100)*Cultivation!J37)/Unitflowchart!$S$383</f>
        <v>0</v>
      </c>
      <c r="C76" s="26">
        <f t="shared" si="11"/>
        <v>0</v>
      </c>
      <c r="D76" s="148">
        <f>(Unitflowchart!$S$17*(AllocationMass!$F$16/100)*Cultivation!K37)/Unitflowchart!$S$383</f>
        <v>0</v>
      </c>
      <c r="E76" s="727">
        <f>(Unitflowchart!$S$17*(AllocationMass!$F$16/100)*Cultivation!P37)/Unitflowchart!$S$383</f>
        <v>0</v>
      </c>
      <c r="F76" s="26">
        <f t="shared" si="12"/>
        <v>0</v>
      </c>
      <c r="G76" s="148">
        <f>(Unitflowchart!$S$17*(AllocationMass!$F$16/100)*Cultivation!Q37)/Unitflowchart!$S$383</f>
        <v>0</v>
      </c>
      <c r="H76" s="165">
        <f>(Unitflowchart!$S$17*(AllocationMass!$F$16/100)*Cultivation!V37)/Unitflowchart!$S$383</f>
        <v>0</v>
      </c>
      <c r="I76" s="26">
        <f t="shared" si="13"/>
        <v>0</v>
      </c>
      <c r="J76" s="214">
        <f>(Unitflowchart!$S$17*(AllocationMass!$F$16/100)*Cultivation!W37)/Unitflowchart!$S$383</f>
        <v>0</v>
      </c>
      <c r="K76" s="165">
        <f>(Unitflowchart!$S$17*(AllocationMass!$F$16/100)*Cultivation!AB37)/Unitflowchart!$S$383</f>
        <v>0</v>
      </c>
      <c r="L76" s="26">
        <f t="shared" si="14"/>
        <v>0</v>
      </c>
      <c r="M76" s="214">
        <f>(Unitflowchart!$S$17*(AllocationMass!$F$16/100)*Cultivation!AC37)/Unitflowchart!$S$383</f>
        <v>0</v>
      </c>
      <c r="N76" s="727">
        <f>E76+(GlobalWarmingPotentials!$B$11*H76)+(GlobalWarmingPotentials!$C$11*K76)</f>
        <v>0</v>
      </c>
      <c r="O76" s="26">
        <f t="shared" si="15"/>
        <v>0</v>
      </c>
      <c r="P76" s="756">
        <f>SQRT((G76^2)+((GlobalWarmingPotentials!$B$11*J76)^2)+((GlobalWarmingPotentials!$C$11*M76)^2))</f>
        <v>0</v>
      </c>
    </row>
    <row r="77" spans="1:16" x14ac:dyDescent="0.25">
      <c r="A77" s="979" t="str">
        <f>Cultivation!A38</f>
        <v>rotavating/power harrowing</v>
      </c>
      <c r="B77" s="727">
        <f>(Unitflowchart!$S$17*(AllocationMass!$F$16/100)*Cultivation!J38)/Unitflowchart!$S$383</f>
        <v>0</v>
      </c>
      <c r="C77" s="26">
        <f t="shared" si="11"/>
        <v>0</v>
      </c>
      <c r="D77" s="148">
        <f>(Unitflowchart!$S$17*(AllocationMass!$F$16/100)*Cultivation!K38)/Unitflowchart!$S$383</f>
        <v>0</v>
      </c>
      <c r="E77" s="727">
        <f>(Unitflowchart!$S$17*(AllocationMass!$F$16/100)*Cultivation!P38)/Unitflowchart!$S$383</f>
        <v>0</v>
      </c>
      <c r="F77" s="26">
        <f t="shared" si="12"/>
        <v>0</v>
      </c>
      <c r="G77" s="148">
        <f>(Unitflowchart!$S$17*(AllocationMass!$F$16/100)*Cultivation!Q38)/Unitflowchart!$S$383</f>
        <v>0</v>
      </c>
      <c r="H77" s="165">
        <f>(Unitflowchart!$S$17*(AllocationMass!$F$16/100)*Cultivation!V38)/Unitflowchart!$S$383</f>
        <v>0</v>
      </c>
      <c r="I77" s="26">
        <f t="shared" si="13"/>
        <v>0</v>
      </c>
      <c r="J77" s="214">
        <f>(Unitflowchart!$S$17*(AllocationMass!$F$16/100)*Cultivation!W38)/Unitflowchart!$S$383</f>
        <v>0</v>
      </c>
      <c r="K77" s="165">
        <f>(Unitflowchart!$S$17*(AllocationMass!$F$16/100)*Cultivation!AB38)/Unitflowchart!$S$383</f>
        <v>0</v>
      </c>
      <c r="L77" s="26">
        <f t="shared" si="14"/>
        <v>0</v>
      </c>
      <c r="M77" s="214">
        <f>(Unitflowchart!$S$17*(AllocationMass!$F$16/100)*Cultivation!AC38)/Unitflowchart!$S$383</f>
        <v>0</v>
      </c>
      <c r="N77" s="727">
        <f>E77+(GlobalWarmingPotentials!$B$11*H77)+(GlobalWarmingPotentials!$C$11*K77)</f>
        <v>0</v>
      </c>
      <c r="O77" s="26">
        <f t="shared" si="15"/>
        <v>0</v>
      </c>
      <c r="P77" s="756">
        <f>SQRT((G77^2)+((GlobalWarmingPotentials!$B$11*J77)^2)+((GlobalWarmingPotentials!$C$11*M77)^2))</f>
        <v>0</v>
      </c>
    </row>
    <row r="78" spans="1:16" x14ac:dyDescent="0.25">
      <c r="A78" s="979" t="str">
        <f>Cultivation!A39</f>
        <v xml:space="preserve">planting </v>
      </c>
      <c r="B78" s="727">
        <f>(Unitflowchart!$S$17*(AllocationMass!$F$16/100)*Cultivation!J39)/Unitflowchart!$S$383</f>
        <v>0</v>
      </c>
      <c r="C78" s="26">
        <f t="shared" si="11"/>
        <v>0</v>
      </c>
      <c r="D78" s="148">
        <f>(Unitflowchart!$S$17*(AllocationMass!$F$16/100)*Cultivation!K39)/Unitflowchart!$S$383</f>
        <v>0</v>
      </c>
      <c r="E78" s="727">
        <f>(Unitflowchart!$S$17*(AllocationMass!$F$16/100)*Cultivation!P39)/Unitflowchart!$S$383</f>
        <v>0</v>
      </c>
      <c r="F78" s="26">
        <f t="shared" si="12"/>
        <v>0</v>
      </c>
      <c r="G78" s="148">
        <f>(Unitflowchart!$S$17*(AllocationMass!$F$16/100)*Cultivation!Q39)/Unitflowchart!$S$383</f>
        <v>0</v>
      </c>
      <c r="H78" s="165">
        <f>(Unitflowchart!$S$17*(AllocationMass!$F$16/100)*Cultivation!V39)/Unitflowchart!$S$383</f>
        <v>0</v>
      </c>
      <c r="I78" s="26">
        <f t="shared" si="13"/>
        <v>0</v>
      </c>
      <c r="J78" s="214">
        <f>(Unitflowchart!$S$17*(AllocationMass!$F$16/100)*Cultivation!W39)/Unitflowchart!$S$383</f>
        <v>0</v>
      </c>
      <c r="K78" s="165">
        <f>(Unitflowchart!$S$17*(AllocationMass!$F$16/100)*Cultivation!AB39)/Unitflowchart!$S$383</f>
        <v>0</v>
      </c>
      <c r="L78" s="26">
        <f t="shared" si="14"/>
        <v>0</v>
      </c>
      <c r="M78" s="214">
        <f>(Unitflowchart!$S$17*(AllocationMass!$F$16/100)*Cultivation!AC39)/Unitflowchart!$S$383</f>
        <v>0</v>
      </c>
      <c r="N78" s="727">
        <f>E78+(GlobalWarmingPotentials!$B$11*H78)+(GlobalWarmingPotentials!$C$11*K78)</f>
        <v>0</v>
      </c>
      <c r="O78" s="26">
        <f t="shared" si="15"/>
        <v>0</v>
      </c>
      <c r="P78" s="756">
        <f>SQRT((G78^2)+((GlobalWarmingPotentials!$B$11*J78)^2)+((GlobalWarmingPotentials!$C$11*M78)^2))</f>
        <v>0</v>
      </c>
    </row>
    <row r="79" spans="1:16" x14ac:dyDescent="0.25">
      <c r="A79" s="979" t="str">
        <f>Cultivation!A40</f>
        <v>rolling</v>
      </c>
      <c r="B79" s="727">
        <f>(Unitflowchart!$S$17*(AllocationMass!$F$16/100)*Cultivation!J40)/Unitflowchart!$S$383</f>
        <v>0</v>
      </c>
      <c r="C79" s="26">
        <f t="shared" si="11"/>
        <v>0</v>
      </c>
      <c r="D79" s="148">
        <f>(Unitflowchart!$S$17*(AllocationMass!$F$16/100)*Cultivation!K40)/Unitflowchart!$S$383</f>
        <v>0</v>
      </c>
      <c r="E79" s="727">
        <f>(Unitflowchart!$S$17*(AllocationMass!$F$16/100)*Cultivation!P40)/Unitflowchart!$S$383</f>
        <v>0</v>
      </c>
      <c r="F79" s="26">
        <f t="shared" si="12"/>
        <v>0</v>
      </c>
      <c r="G79" s="148">
        <f>(Unitflowchart!$S$17*(AllocationMass!$F$16/100)*Cultivation!Q40)/Unitflowchart!$S$383</f>
        <v>0</v>
      </c>
      <c r="H79" s="165">
        <f>(Unitflowchart!$S$17*(AllocationMass!$F$16/100)*Cultivation!V40)/Unitflowchart!$S$383</f>
        <v>0</v>
      </c>
      <c r="I79" s="26">
        <f t="shared" si="13"/>
        <v>0</v>
      </c>
      <c r="J79" s="214">
        <f>(Unitflowchart!$S$17*(AllocationMass!$F$16/100)*Cultivation!W40)/Unitflowchart!$S$383</f>
        <v>0</v>
      </c>
      <c r="K79" s="165">
        <f>(Unitflowchart!$S$17*(AllocationMass!$F$16/100)*Cultivation!AB40)/Unitflowchart!$S$383</f>
        <v>0</v>
      </c>
      <c r="L79" s="26">
        <f t="shared" si="14"/>
        <v>0</v>
      </c>
      <c r="M79" s="214">
        <f>(Unitflowchart!$S$17*(AllocationMass!$F$16/100)*Cultivation!AC40)/Unitflowchart!$S$383</f>
        <v>0</v>
      </c>
      <c r="N79" s="727">
        <f>E79+(GlobalWarmingPotentials!$B$11*H79)+(GlobalWarmingPotentials!$C$11*K79)</f>
        <v>0</v>
      </c>
      <c r="O79" s="26">
        <f t="shared" si="15"/>
        <v>0</v>
      </c>
      <c r="P79" s="756">
        <f>SQRT((G79^2)+((GlobalWarmingPotentials!$B$11*J79)^2)+((GlobalWarmingPotentials!$C$11*M79)^2))</f>
        <v>0</v>
      </c>
    </row>
    <row r="80" spans="1:16" x14ac:dyDescent="0.25">
      <c r="A80" s="979" t="str">
        <f>Cultivation!A41</f>
        <v>fertilizer application</v>
      </c>
      <c r="B80" s="727">
        <f>(Unitflowchart!$S$17*(AllocationMass!$F$16/100)*Cultivation!J41)/Unitflowchart!$S$383</f>
        <v>0</v>
      </c>
      <c r="C80" s="26">
        <f t="shared" si="11"/>
        <v>0</v>
      </c>
      <c r="D80" s="148">
        <f>(Unitflowchart!$S$17*(AllocationMass!$F$16/100)*Cultivation!K41)/Unitflowchart!$S$383</f>
        <v>0</v>
      </c>
      <c r="E80" s="727">
        <f>(Unitflowchart!$S$17*(AllocationMass!$F$16/100)*Cultivation!P41)/Unitflowchart!$S$383</f>
        <v>0</v>
      </c>
      <c r="F80" s="26">
        <f t="shared" si="12"/>
        <v>0</v>
      </c>
      <c r="G80" s="148">
        <f>(Unitflowchart!$S$17*(AllocationMass!$F$16/100)*Cultivation!Q41)/Unitflowchart!$S$383</f>
        <v>0</v>
      </c>
      <c r="H80" s="165">
        <f>(Unitflowchart!$S$17*(AllocationMass!$F$16/100)*Cultivation!V41)/Unitflowchart!$S$383</f>
        <v>0</v>
      </c>
      <c r="I80" s="26">
        <f t="shared" si="13"/>
        <v>0</v>
      </c>
      <c r="J80" s="214">
        <f>(Unitflowchart!$S$17*(AllocationMass!$F$16/100)*Cultivation!W41)/Unitflowchart!$S$383</f>
        <v>0</v>
      </c>
      <c r="K80" s="165">
        <f>(Unitflowchart!$S$17*(AllocationMass!$F$16/100)*Cultivation!AB41)/Unitflowchart!$S$383</f>
        <v>0</v>
      </c>
      <c r="L80" s="26">
        <f t="shared" si="14"/>
        <v>0</v>
      </c>
      <c r="M80" s="214">
        <f>(Unitflowchart!$S$17*(AllocationMass!$F$16/100)*Cultivation!AC41)/Unitflowchart!$S$383</f>
        <v>0</v>
      </c>
      <c r="N80" s="727">
        <f>E80+(GlobalWarmingPotentials!$B$11*H80)+(GlobalWarmingPotentials!$C$11*K80)</f>
        <v>0</v>
      </c>
      <c r="O80" s="26">
        <f t="shared" si="15"/>
        <v>0</v>
      </c>
      <c r="P80" s="756">
        <f>SQRT((G80^2)+((GlobalWarmingPotentials!$B$11*J80)^2)+((GlobalWarmingPotentials!$C$11*M80)^2))</f>
        <v>0</v>
      </c>
    </row>
    <row r="81" spans="1:16" x14ac:dyDescent="0.25">
      <c r="A81" s="979" t="str">
        <f>Cultivation!A42</f>
        <v>herbicide application</v>
      </c>
      <c r="B81" s="727">
        <f>(Unitflowchart!$S$17*(AllocationMass!$F$16/100)*Cultivation!J42)/Unitflowchart!$S$383</f>
        <v>0</v>
      </c>
      <c r="C81" s="26">
        <f t="shared" si="11"/>
        <v>0</v>
      </c>
      <c r="D81" s="148">
        <f>(Unitflowchart!$S$17*(AllocationMass!$F$16/100)*Cultivation!K42)/Unitflowchart!$S$383</f>
        <v>0</v>
      </c>
      <c r="E81" s="727">
        <f>(Unitflowchart!$S$17*(AllocationMass!$F$16/100)*Cultivation!P42)/Unitflowchart!$S$383</f>
        <v>0</v>
      </c>
      <c r="F81" s="26">
        <f t="shared" si="12"/>
        <v>0</v>
      </c>
      <c r="G81" s="148">
        <f>(Unitflowchart!$S$17*(AllocationMass!$F$16/100)*Cultivation!Q42)/Unitflowchart!$S$383</f>
        <v>0</v>
      </c>
      <c r="H81" s="165">
        <f>(Unitflowchart!$S$17*(AllocationMass!$F$16/100)*Cultivation!V42)/Unitflowchart!$S$383</f>
        <v>0</v>
      </c>
      <c r="I81" s="26">
        <f t="shared" si="13"/>
        <v>0</v>
      </c>
      <c r="J81" s="214">
        <f>(Unitflowchart!$S$17*(AllocationMass!$F$16/100)*Cultivation!W42)/Unitflowchart!$S$383</f>
        <v>0</v>
      </c>
      <c r="K81" s="165">
        <f>(Unitflowchart!$S$17*(AllocationMass!$F$16/100)*Cultivation!AB42)/Unitflowchart!$S$383</f>
        <v>0</v>
      </c>
      <c r="L81" s="26">
        <f t="shared" si="14"/>
        <v>0</v>
      </c>
      <c r="M81" s="214">
        <f>(Unitflowchart!$S$17*(AllocationMass!$F$16/100)*Cultivation!AC42)/Unitflowchart!$S$383</f>
        <v>0</v>
      </c>
      <c r="N81" s="727">
        <f>E81+(GlobalWarmingPotentials!$B$11*H81)+(GlobalWarmingPotentials!$C$11*K81)</f>
        <v>0</v>
      </c>
      <c r="O81" s="26">
        <f t="shared" si="15"/>
        <v>0</v>
      </c>
      <c r="P81" s="756">
        <f>SQRT((G81^2)+((GlobalWarmingPotentials!$B$11*J81)^2)+((GlobalWarmingPotentials!$C$11*M81)^2))</f>
        <v>0</v>
      </c>
    </row>
    <row r="82" spans="1:16" x14ac:dyDescent="0.25">
      <c r="A82" s="979" t="str">
        <f>Cultivation!A43</f>
        <v>weed cultivating</v>
      </c>
      <c r="B82" s="727">
        <f>(Unitflowchart!$S$17*(AllocationMass!$F$16/100)*Cultivation!J43)/Unitflowchart!$S$383</f>
        <v>0</v>
      </c>
      <c r="C82" s="26">
        <f t="shared" si="11"/>
        <v>0</v>
      </c>
      <c r="D82" s="148">
        <f>(Unitflowchart!$S$17*(AllocationMass!$F$16/100)*Cultivation!K43)/Unitflowchart!$S$383</f>
        <v>0</v>
      </c>
      <c r="E82" s="727">
        <f>(Unitflowchart!$S$17*(AllocationMass!$F$16/100)*Cultivation!P43)/Unitflowchart!$S$383</f>
        <v>0</v>
      </c>
      <c r="F82" s="26">
        <f t="shared" si="12"/>
        <v>0</v>
      </c>
      <c r="G82" s="148">
        <f>(Unitflowchart!$S$17*(AllocationMass!$F$16/100)*Cultivation!Q43)/Unitflowchart!$S$383</f>
        <v>0</v>
      </c>
      <c r="H82" s="165">
        <f>(Unitflowchart!$S$17*(AllocationMass!$F$16/100)*Cultivation!V43)/Unitflowchart!$S$383</f>
        <v>0</v>
      </c>
      <c r="I82" s="26">
        <f t="shared" si="13"/>
        <v>0</v>
      </c>
      <c r="J82" s="214">
        <f>(Unitflowchart!$S$17*(AllocationMass!$F$16/100)*Cultivation!W43)/Unitflowchart!$S$383</f>
        <v>0</v>
      </c>
      <c r="K82" s="165">
        <f>(Unitflowchart!$S$17*(AllocationMass!$F$16/100)*Cultivation!AB43)/Unitflowchart!$S$383</f>
        <v>0</v>
      </c>
      <c r="L82" s="26">
        <f t="shared" si="14"/>
        <v>0</v>
      </c>
      <c r="M82" s="214">
        <f>(Unitflowchart!$S$17*(AllocationMass!$F$16/100)*Cultivation!AC43)/Unitflowchart!$S$383</f>
        <v>0</v>
      </c>
      <c r="N82" s="727">
        <f>E82+(GlobalWarmingPotentials!$B$11*H82)+(GlobalWarmingPotentials!$C$11*K82)</f>
        <v>0</v>
      </c>
      <c r="O82" s="26">
        <f t="shared" si="15"/>
        <v>0</v>
      </c>
      <c r="P82" s="756">
        <f>SQRT((G82^2)+((GlobalWarmingPotentials!$B$11*J82)^2)+((GlobalWarmingPotentials!$C$11*M82)^2))</f>
        <v>0</v>
      </c>
    </row>
    <row r="83" spans="1:16" x14ac:dyDescent="0.25">
      <c r="A83" s="979" t="str">
        <f>Cultivation!A44</f>
        <v>residue removal</v>
      </c>
      <c r="B83" s="727">
        <f>(Unitflowchart!$S$17*(AllocationMass!$F$16/100)*Cultivation!J44)/Unitflowchart!$S$383</f>
        <v>0</v>
      </c>
      <c r="C83" s="26">
        <f t="shared" si="11"/>
        <v>0</v>
      </c>
      <c r="D83" s="148">
        <f>(Unitflowchart!$S$17*(AllocationMass!$F$16/100)*Cultivation!K44)/Unitflowchart!$S$383</f>
        <v>0</v>
      </c>
      <c r="E83" s="727">
        <f>(Unitflowchart!$S$17*(AllocationMass!$F$16/100)*Cultivation!P44)/Unitflowchart!$S$383</f>
        <v>0</v>
      </c>
      <c r="F83" s="26">
        <f t="shared" si="12"/>
        <v>0</v>
      </c>
      <c r="G83" s="148">
        <f>(Unitflowchart!$S$17*(AllocationMass!$F$16/100)*Cultivation!Q44)/Unitflowchart!$S$383</f>
        <v>0</v>
      </c>
      <c r="H83" s="165">
        <f>(Unitflowchart!$S$17*(AllocationMass!$F$16/100)*Cultivation!V44)/Unitflowchart!$S$383</f>
        <v>0</v>
      </c>
      <c r="I83" s="26">
        <f t="shared" si="13"/>
        <v>0</v>
      </c>
      <c r="J83" s="214">
        <f>(Unitflowchart!$S$17*(AllocationMass!$F$16/100)*Cultivation!W44)/Unitflowchart!$S$383</f>
        <v>0</v>
      </c>
      <c r="K83" s="165">
        <f>(Unitflowchart!$S$17*(AllocationMass!$F$16/100)*Cultivation!AB44)/Unitflowchart!$S$383</f>
        <v>0</v>
      </c>
      <c r="L83" s="26">
        <f t="shared" si="14"/>
        <v>0</v>
      </c>
      <c r="M83" s="214">
        <f>(Unitflowchart!$S$17*(AllocationMass!$F$16/100)*Cultivation!AC44)/Unitflowchart!$S$383</f>
        <v>0</v>
      </c>
      <c r="N83" s="727">
        <f>E83+(GlobalWarmingPotentials!$B$11*H83)+(GlobalWarmingPotentials!$C$11*K83)</f>
        <v>0</v>
      </c>
      <c r="O83" s="26">
        <f t="shared" si="15"/>
        <v>0</v>
      </c>
      <c r="P83" s="756">
        <f>SQRT((G83^2)+((GlobalWarmingPotentials!$B$11*J83)^2)+((GlobalWarmingPotentials!$C$11*M83)^2))</f>
        <v>0</v>
      </c>
    </row>
    <row r="84" spans="1:16" s="43" customFormat="1" x14ac:dyDescent="0.25">
      <c r="A84" s="979"/>
      <c r="B84" s="729"/>
      <c r="C84" s="992"/>
      <c r="D84" s="736"/>
      <c r="E84" s="729"/>
      <c r="F84" s="992"/>
      <c r="G84" s="736"/>
      <c r="H84" s="505"/>
      <c r="I84" s="992"/>
      <c r="J84" s="506"/>
      <c r="K84" s="505"/>
      <c r="L84" s="992"/>
      <c r="M84" s="506"/>
      <c r="N84" s="729"/>
      <c r="O84" s="992"/>
      <c r="P84" s="758"/>
    </row>
    <row r="85" spans="1:16" x14ac:dyDescent="0.25">
      <c r="A85" s="979" t="str">
        <f>Cultivation!A46</f>
        <v>Sub-Totals for Machinery</v>
      </c>
      <c r="B85" s="727">
        <f>(Unitflowchart!$S$17*(AllocationMass!$F$16/100)*Cultivation!J46)/Unitflowchart!$S$383</f>
        <v>0</v>
      </c>
      <c r="C85" s="26">
        <f>(B85/B$386)*100</f>
        <v>0</v>
      </c>
      <c r="D85" s="148">
        <f>(Unitflowchart!$S$17*(AllocationMass!$F$16/100)*Cultivation!K46)/Unitflowchart!$S$383</f>
        <v>0</v>
      </c>
      <c r="E85" s="727">
        <f>(Unitflowchart!$S$17*(AllocationMass!$F$16/100)*Cultivation!P46)/Unitflowchart!$S$383</f>
        <v>0</v>
      </c>
      <c r="F85" s="26">
        <f>(E85/E$386)*100</f>
        <v>0</v>
      </c>
      <c r="G85" s="148">
        <f>(Unitflowchart!$S$17*(AllocationMass!$F$16/100)*Cultivation!Q46)/Unitflowchart!$S$383</f>
        <v>0</v>
      </c>
      <c r="H85" s="165">
        <f>(Unitflowchart!$S$17*(AllocationMass!$F$16/100)*Cultivation!V46)/Unitflowchart!$S$383</f>
        <v>0</v>
      </c>
      <c r="I85" s="26">
        <f>(H85/H$386)*100</f>
        <v>0</v>
      </c>
      <c r="J85" s="214">
        <f>(Unitflowchart!$S$17*(AllocationMass!$F$16/100)*Cultivation!W46)/Unitflowchart!$S$383</f>
        <v>0</v>
      </c>
      <c r="K85" s="165">
        <f>(Unitflowchart!$S$17*(AllocationMass!$F$16/100)*Cultivation!AB46)/Unitflowchart!$S$383</f>
        <v>0</v>
      </c>
      <c r="L85" s="26">
        <f>(K85/K$386)*100</f>
        <v>0</v>
      </c>
      <c r="M85" s="214">
        <f>(Unitflowchart!$S$17*(AllocationMass!$F$16/100)*Cultivation!AC46)/Unitflowchart!$S$383</f>
        <v>0</v>
      </c>
      <c r="N85" s="727">
        <f>E85+(GlobalWarmingPotentials!$B$11*H85)+(GlobalWarmingPotentials!$C$11*K85)</f>
        <v>0</v>
      </c>
      <c r="O85" s="26">
        <f>(N85/N$386)*100</f>
        <v>0</v>
      </c>
      <c r="P85" s="756">
        <f>SQRT((G85^2)+((GlobalWarmingPotentials!$B$11*J85)^2)+((GlobalWarmingPotentials!$C$11*M85)^2))</f>
        <v>0</v>
      </c>
    </row>
    <row r="86" spans="1:16" s="907" customFormat="1" x14ac:dyDescent="0.25">
      <c r="A86" s="979"/>
      <c r="B86" s="729"/>
      <c r="C86" s="992"/>
      <c r="D86" s="736"/>
      <c r="E86" s="729"/>
      <c r="F86" s="992"/>
      <c r="G86" s="736"/>
      <c r="H86" s="505"/>
      <c r="I86" s="992"/>
      <c r="J86" s="506"/>
      <c r="K86" s="505"/>
      <c r="L86" s="992"/>
      <c r="M86" s="506"/>
      <c r="N86" s="729"/>
      <c r="O86" s="992"/>
      <c r="P86" s="758"/>
    </row>
    <row r="87" spans="1:16" s="5" customFormat="1" x14ac:dyDescent="0.25">
      <c r="A87" s="979" t="str">
        <f>Cultivation!A48</f>
        <v>Maintenance:</v>
      </c>
      <c r="B87" s="727">
        <f>(Unitflowchart!$S$17*(AllocationMass!$F$16/100)*Cultivation!J48)/Unitflowchart!$S$383</f>
        <v>0</v>
      </c>
      <c r="C87" s="26">
        <f t="shared" ref="C87:C96" si="16">(B87/B$386)*100</f>
        <v>0</v>
      </c>
      <c r="D87" s="148">
        <f>(Unitflowchart!$S$17*(AllocationMass!$F$16/100)*Cultivation!K48)/Unitflowchart!$S$383</f>
        <v>0</v>
      </c>
      <c r="E87" s="727">
        <f>(Unitflowchart!$S$17*(AllocationMass!$F$16/100)*Cultivation!P48)/Unitflowchart!$S$383</f>
        <v>0</v>
      </c>
      <c r="F87" s="26">
        <f t="shared" ref="F87:F96" si="17">(E87/E$386)*100</f>
        <v>0</v>
      </c>
      <c r="G87" s="148">
        <f>(Unitflowchart!$S$17*(AllocationMass!$F$16/100)*Cultivation!Q48)/Unitflowchart!$S$383</f>
        <v>0</v>
      </c>
      <c r="H87" s="165">
        <f>(Unitflowchart!$S$17*(AllocationMass!$F$16/100)*Cultivation!V48)/Unitflowchart!$S$383</f>
        <v>0</v>
      </c>
      <c r="I87" s="26">
        <f t="shared" ref="I87:I96" si="18">(H87/H$386)*100</f>
        <v>0</v>
      </c>
      <c r="J87" s="214">
        <f>(Unitflowchart!$S$17*(AllocationMass!$F$16/100)*Cultivation!W48)/Unitflowchart!$S$383</f>
        <v>0</v>
      </c>
      <c r="K87" s="165">
        <f>(Unitflowchart!$S$17*(AllocationMass!$F$16/100)*Cultivation!AB48)/Unitflowchart!$S$383</f>
        <v>0</v>
      </c>
      <c r="L87" s="26">
        <f t="shared" ref="L87:L96" si="19">(K87/K$386)*100</f>
        <v>0</v>
      </c>
      <c r="M87" s="214">
        <f>(Unitflowchart!$S$17*(AllocationMass!$F$16/100)*Cultivation!AC48)/Unitflowchart!$S$383</f>
        <v>0</v>
      </c>
      <c r="N87" s="727">
        <f>E87+(GlobalWarmingPotentials!$B$11*H87)+(GlobalWarmingPotentials!$C$11*K87)</f>
        <v>0</v>
      </c>
      <c r="O87" s="26">
        <f t="shared" ref="O87:O96" si="20">(N87/N$386)*100</f>
        <v>0</v>
      </c>
      <c r="P87" s="756">
        <f>SQRT((G87^2)+((GlobalWarmingPotentials!$B$11*J87)^2)+((GlobalWarmingPotentials!$C$11*M87)^2))</f>
        <v>0</v>
      </c>
    </row>
    <row r="88" spans="1:16" s="5" customFormat="1" x14ac:dyDescent="0.25">
      <c r="A88" s="979" t="str">
        <f>Cultivation!A49</f>
        <v xml:space="preserve"> - subsoiling</v>
      </c>
      <c r="B88" s="727">
        <f>(Unitflowchart!$S$17*(AllocationMass!$F$16/100)*Cultivation!J49)/Unitflowchart!$S$383</f>
        <v>0</v>
      </c>
      <c r="C88" s="26">
        <f t="shared" si="16"/>
        <v>0</v>
      </c>
      <c r="D88" s="148">
        <f>(Unitflowchart!$S$17*(AllocationMass!$F$16/100)*Cultivation!K49)/Unitflowchart!$S$383</f>
        <v>0</v>
      </c>
      <c r="E88" s="727">
        <f>(Unitflowchart!$S$17*(AllocationMass!$F$16/100)*Cultivation!P49)/Unitflowchart!$S$383</f>
        <v>0</v>
      </c>
      <c r="F88" s="26">
        <f t="shared" si="17"/>
        <v>0</v>
      </c>
      <c r="G88" s="148">
        <f>(Unitflowchart!$S$17*(AllocationMass!$F$16/100)*Cultivation!Q49)/Unitflowchart!$S$383</f>
        <v>0</v>
      </c>
      <c r="H88" s="165">
        <f>(Unitflowchart!$S$17*(AllocationMass!$F$16/100)*Cultivation!V49)/Unitflowchart!$S$383</f>
        <v>0</v>
      </c>
      <c r="I88" s="26">
        <f t="shared" si="18"/>
        <v>0</v>
      </c>
      <c r="J88" s="214">
        <f>(Unitflowchart!$S$17*(AllocationMass!$F$16/100)*Cultivation!W49)/Unitflowchart!$S$383</f>
        <v>0</v>
      </c>
      <c r="K88" s="165">
        <f>(Unitflowchart!$S$17*(AllocationMass!$F$16/100)*Cultivation!AB49)/Unitflowchart!$S$383</f>
        <v>0</v>
      </c>
      <c r="L88" s="26">
        <f t="shared" si="19"/>
        <v>0</v>
      </c>
      <c r="M88" s="214">
        <f>(Unitflowchart!$S$17*(AllocationMass!$F$16/100)*Cultivation!AC49)/Unitflowchart!$S$383</f>
        <v>0</v>
      </c>
      <c r="N88" s="727">
        <f>E88+(GlobalWarmingPotentials!$B$11*H88)+(GlobalWarmingPotentials!$C$11*K88)</f>
        <v>0</v>
      </c>
      <c r="O88" s="26">
        <f t="shared" si="20"/>
        <v>0</v>
      </c>
      <c r="P88" s="756">
        <f>SQRT((G88^2)+((GlobalWarmingPotentials!$B$11*J88)^2)+((GlobalWarmingPotentials!$C$11*M88)^2))</f>
        <v>0</v>
      </c>
    </row>
    <row r="89" spans="1:16" x14ac:dyDescent="0.25">
      <c r="A89" s="979" t="str">
        <f>Cultivation!A50</f>
        <v xml:space="preserve"> - ploughing</v>
      </c>
      <c r="B89" s="727">
        <f>(Unitflowchart!$S$17*(AllocationMass!$F$16/100)*Cultivation!J50)/Unitflowchart!$S$383</f>
        <v>0</v>
      </c>
      <c r="C89" s="26">
        <f t="shared" si="16"/>
        <v>0</v>
      </c>
      <c r="D89" s="148">
        <f>(Unitflowchart!$S$17*(AllocationMass!$F$16/100)*Cultivation!K50)/Unitflowchart!$S$383</f>
        <v>0</v>
      </c>
      <c r="E89" s="727">
        <f>(Unitflowchart!$S$17*(AllocationMass!$F$16/100)*Cultivation!P50)/Unitflowchart!$S$383</f>
        <v>0</v>
      </c>
      <c r="F89" s="26">
        <f t="shared" si="17"/>
        <v>0</v>
      </c>
      <c r="G89" s="148">
        <f>(Unitflowchart!$S$17*(AllocationMass!$F$16/100)*Cultivation!Q50)/Unitflowchart!$S$383</f>
        <v>0</v>
      </c>
      <c r="H89" s="165">
        <f>(Unitflowchart!$S$17*(AllocationMass!$F$16/100)*Cultivation!V50)/Unitflowchart!$S$383</f>
        <v>0</v>
      </c>
      <c r="I89" s="26">
        <f t="shared" si="18"/>
        <v>0</v>
      </c>
      <c r="J89" s="214">
        <f>(Unitflowchart!$S$17*(AllocationMass!$F$16/100)*Cultivation!W50)/Unitflowchart!$S$383</f>
        <v>0</v>
      </c>
      <c r="K89" s="165">
        <f>(Unitflowchart!$S$17*(AllocationMass!$F$16/100)*Cultivation!AB50)/Unitflowchart!$S$383</f>
        <v>0</v>
      </c>
      <c r="L89" s="26">
        <f t="shared" si="19"/>
        <v>0</v>
      </c>
      <c r="M89" s="214">
        <f>(Unitflowchart!$S$17*(AllocationMass!$F$16/100)*Cultivation!AC50)/Unitflowchart!$S$383</f>
        <v>0</v>
      </c>
      <c r="N89" s="727">
        <f>E89+(GlobalWarmingPotentials!$B$11*H89)+(GlobalWarmingPotentials!$C$11*K89)</f>
        <v>0</v>
      </c>
      <c r="O89" s="26">
        <f t="shared" si="20"/>
        <v>0</v>
      </c>
      <c r="P89" s="756">
        <f>SQRT((G89^2)+((GlobalWarmingPotentials!$B$11*J89)^2)+((GlobalWarmingPotentials!$C$11*M89)^2))</f>
        <v>0</v>
      </c>
    </row>
    <row r="90" spans="1:16" x14ac:dyDescent="0.25">
      <c r="A90" s="979" t="str">
        <f>Cultivation!A51</f>
        <v xml:space="preserve"> - rotavating/power harrowing</v>
      </c>
      <c r="B90" s="727">
        <f>(Unitflowchart!$S$17*(AllocationMass!$F$16/100)*Cultivation!J51)/Unitflowchart!$S$383</f>
        <v>0</v>
      </c>
      <c r="C90" s="26">
        <f t="shared" si="16"/>
        <v>0</v>
      </c>
      <c r="D90" s="148">
        <f>(Unitflowchart!$S$17*(AllocationMass!$F$16/100)*Cultivation!K51)/Unitflowchart!$S$383</f>
        <v>0</v>
      </c>
      <c r="E90" s="727">
        <f>(Unitflowchart!$S$17*(AllocationMass!$F$16/100)*Cultivation!P51)/Unitflowchart!$S$383</f>
        <v>0</v>
      </c>
      <c r="F90" s="26">
        <f t="shared" si="17"/>
        <v>0</v>
      </c>
      <c r="G90" s="148">
        <f>(Unitflowchart!$S$17*(AllocationMass!$F$16/100)*Cultivation!Q51)/Unitflowchart!$S$383</f>
        <v>0</v>
      </c>
      <c r="H90" s="165">
        <f>(Unitflowchart!$S$17*(AllocationMass!$F$16/100)*Cultivation!V51)/Unitflowchart!$S$383</f>
        <v>0</v>
      </c>
      <c r="I90" s="26">
        <f t="shared" si="18"/>
        <v>0</v>
      </c>
      <c r="J90" s="214">
        <f>(Unitflowchart!$S$17*(AllocationMass!$F$16/100)*Cultivation!W51)/Unitflowchart!$S$383</f>
        <v>0</v>
      </c>
      <c r="K90" s="165">
        <f>(Unitflowchart!$S$17*(AllocationMass!$F$16/100)*Cultivation!AB51)/Unitflowchart!$S$383</f>
        <v>0</v>
      </c>
      <c r="L90" s="26">
        <f t="shared" si="19"/>
        <v>0</v>
      </c>
      <c r="M90" s="214">
        <f>(Unitflowchart!$S$17*(AllocationMass!$F$16/100)*Cultivation!AC51)/Unitflowchart!$S$383</f>
        <v>0</v>
      </c>
      <c r="N90" s="727">
        <f>E90+(GlobalWarmingPotentials!$B$11*H90)+(GlobalWarmingPotentials!$C$11*K90)</f>
        <v>0</v>
      </c>
      <c r="O90" s="26">
        <f t="shared" si="20"/>
        <v>0</v>
      </c>
      <c r="P90" s="756">
        <f>SQRT((G90^2)+((GlobalWarmingPotentials!$B$11*J90)^2)+((GlobalWarmingPotentials!$C$11*M90)^2))</f>
        <v>0</v>
      </c>
    </row>
    <row r="91" spans="1:16" x14ac:dyDescent="0.25">
      <c r="A91" s="979" t="str">
        <f>Cultivation!A52</f>
        <v xml:space="preserve"> - planting </v>
      </c>
      <c r="B91" s="727">
        <f>(Unitflowchart!$S$17*(AllocationMass!$F$16/100)*Cultivation!J52)/Unitflowchart!$S$383</f>
        <v>0</v>
      </c>
      <c r="C91" s="26">
        <f t="shared" si="16"/>
        <v>0</v>
      </c>
      <c r="D91" s="148">
        <f>(Unitflowchart!$S$17*(AllocationMass!$F$16/100)*Cultivation!K52)/Unitflowchart!$S$383</f>
        <v>0</v>
      </c>
      <c r="E91" s="727">
        <f>(Unitflowchart!$S$17*(AllocationMass!$F$16/100)*Cultivation!P52)/Unitflowchart!$S$383</f>
        <v>0</v>
      </c>
      <c r="F91" s="26">
        <f t="shared" si="17"/>
        <v>0</v>
      </c>
      <c r="G91" s="148">
        <f>(Unitflowchart!$S$17*(AllocationMass!$F$16/100)*Cultivation!Q52)/Unitflowchart!$S$383</f>
        <v>0</v>
      </c>
      <c r="H91" s="165">
        <f>(Unitflowchart!$S$17*(AllocationMass!$F$16/100)*Cultivation!V52)/Unitflowchart!$S$383</f>
        <v>0</v>
      </c>
      <c r="I91" s="26">
        <f t="shared" si="18"/>
        <v>0</v>
      </c>
      <c r="J91" s="214">
        <f>(Unitflowchart!$S$17*(AllocationMass!$F$16/100)*Cultivation!W52)/Unitflowchart!$S$383</f>
        <v>0</v>
      </c>
      <c r="K91" s="165">
        <f>(Unitflowchart!$S$17*(AllocationMass!$F$16/100)*Cultivation!AB52)/Unitflowchart!$S$383</f>
        <v>0</v>
      </c>
      <c r="L91" s="26">
        <f t="shared" si="19"/>
        <v>0</v>
      </c>
      <c r="M91" s="214">
        <f>(Unitflowchart!$S$17*(AllocationMass!$F$16/100)*Cultivation!AC52)/Unitflowchart!$S$383</f>
        <v>0</v>
      </c>
      <c r="N91" s="727">
        <f>E91+(GlobalWarmingPotentials!$B$11*H91)+(GlobalWarmingPotentials!$C$11*K91)</f>
        <v>0</v>
      </c>
      <c r="O91" s="26">
        <f t="shared" si="20"/>
        <v>0</v>
      </c>
      <c r="P91" s="756">
        <f>SQRT((G91^2)+((GlobalWarmingPotentials!$B$11*J91)^2)+((GlobalWarmingPotentials!$C$11*M91)^2))</f>
        <v>0</v>
      </c>
    </row>
    <row r="92" spans="1:16" x14ac:dyDescent="0.25">
      <c r="A92" s="979" t="str">
        <f>Cultivation!A53</f>
        <v xml:space="preserve"> - rolling</v>
      </c>
      <c r="B92" s="727">
        <f>(Unitflowchart!$S$17*(AllocationMass!$F$16/100)*Cultivation!J53)/Unitflowchart!$S$383</f>
        <v>0</v>
      </c>
      <c r="C92" s="26">
        <f t="shared" si="16"/>
        <v>0</v>
      </c>
      <c r="D92" s="148">
        <f>(Unitflowchart!$S$17*(AllocationMass!$F$16/100)*Cultivation!K53)/Unitflowchart!$S$383</f>
        <v>0</v>
      </c>
      <c r="E92" s="727">
        <f>(Unitflowchart!$S$17*(AllocationMass!$F$16/100)*Cultivation!P53)/Unitflowchart!$S$383</f>
        <v>0</v>
      </c>
      <c r="F92" s="26">
        <f t="shared" si="17"/>
        <v>0</v>
      </c>
      <c r="G92" s="148">
        <f>(Unitflowchart!$S$17*(AllocationMass!$F$16/100)*Cultivation!Q53)/Unitflowchart!$S$383</f>
        <v>0</v>
      </c>
      <c r="H92" s="165">
        <f>(Unitflowchart!$S$17*(AllocationMass!$F$16/100)*Cultivation!V53)/Unitflowchart!$S$383</f>
        <v>0</v>
      </c>
      <c r="I92" s="26">
        <f t="shared" si="18"/>
        <v>0</v>
      </c>
      <c r="J92" s="214">
        <f>(Unitflowchart!$S$17*(AllocationMass!$F$16/100)*Cultivation!W53)/Unitflowchart!$S$383</f>
        <v>0</v>
      </c>
      <c r="K92" s="165">
        <f>(Unitflowchart!$S$17*(AllocationMass!$F$16/100)*Cultivation!AB53)/Unitflowchart!$S$383</f>
        <v>0</v>
      </c>
      <c r="L92" s="26">
        <f t="shared" si="19"/>
        <v>0</v>
      </c>
      <c r="M92" s="214">
        <f>(Unitflowchart!$S$17*(AllocationMass!$F$16/100)*Cultivation!AC53)/Unitflowchart!$S$383</f>
        <v>0</v>
      </c>
      <c r="N92" s="727">
        <f>E92+(GlobalWarmingPotentials!$B$11*H92)+(GlobalWarmingPotentials!$C$11*K92)</f>
        <v>0</v>
      </c>
      <c r="O92" s="26">
        <f t="shared" si="20"/>
        <v>0</v>
      </c>
      <c r="P92" s="756">
        <f>SQRT((G92^2)+((GlobalWarmingPotentials!$B$11*J92)^2)+((GlobalWarmingPotentials!$C$11*M92)^2))</f>
        <v>0</v>
      </c>
    </row>
    <row r="93" spans="1:16" x14ac:dyDescent="0.25">
      <c r="A93" s="979" t="str">
        <f>Cultivation!A54</f>
        <v xml:space="preserve"> - fertilizer application</v>
      </c>
      <c r="B93" s="727">
        <f>(Unitflowchart!$S$17*(AllocationMass!$F$16/100)*Cultivation!J54)/Unitflowchart!$S$383</f>
        <v>0</v>
      </c>
      <c r="C93" s="26">
        <f t="shared" si="16"/>
        <v>0</v>
      </c>
      <c r="D93" s="148">
        <f>(Unitflowchart!$S$17*(AllocationMass!$F$16/100)*Cultivation!K54)/Unitflowchart!$S$383</f>
        <v>0</v>
      </c>
      <c r="E93" s="727">
        <f>(Unitflowchart!$S$17*(AllocationMass!$F$16/100)*Cultivation!P54)/Unitflowchart!$S$383</f>
        <v>0</v>
      </c>
      <c r="F93" s="26">
        <f t="shared" si="17"/>
        <v>0</v>
      </c>
      <c r="G93" s="148">
        <f>(Unitflowchart!$S$17*(AllocationMass!$F$16/100)*Cultivation!Q54)/Unitflowchart!$S$383</f>
        <v>0</v>
      </c>
      <c r="H93" s="165">
        <f>(Unitflowchart!$S$17*(AllocationMass!$F$16/100)*Cultivation!V54)/Unitflowchart!$S$383</f>
        <v>0</v>
      </c>
      <c r="I93" s="26">
        <f t="shared" si="18"/>
        <v>0</v>
      </c>
      <c r="J93" s="214">
        <f>(Unitflowchart!$S$17*(AllocationMass!$F$16/100)*Cultivation!W54)/Unitflowchart!$S$383</f>
        <v>0</v>
      </c>
      <c r="K93" s="165">
        <f>(Unitflowchart!$S$17*(AllocationMass!$F$16/100)*Cultivation!AB54)/Unitflowchart!$S$383</f>
        <v>0</v>
      </c>
      <c r="L93" s="26">
        <f t="shared" si="19"/>
        <v>0</v>
      </c>
      <c r="M93" s="214">
        <f>(Unitflowchart!$S$17*(AllocationMass!$F$16/100)*Cultivation!AC54)/Unitflowchart!$S$383</f>
        <v>0</v>
      </c>
      <c r="N93" s="727">
        <f>E93+(GlobalWarmingPotentials!$B$11*H93)+(GlobalWarmingPotentials!$C$11*K93)</f>
        <v>0</v>
      </c>
      <c r="O93" s="26">
        <f t="shared" si="20"/>
        <v>0</v>
      </c>
      <c r="P93" s="756">
        <f>SQRT((G93^2)+((GlobalWarmingPotentials!$B$11*J93)^2)+((GlobalWarmingPotentials!$C$11*M93)^2))</f>
        <v>0</v>
      </c>
    </row>
    <row r="94" spans="1:16" x14ac:dyDescent="0.25">
      <c r="A94" s="979" t="str">
        <f>Cultivation!A55</f>
        <v xml:space="preserve"> - dessicant application</v>
      </c>
      <c r="B94" s="727">
        <f>(Unitflowchart!$S$17*(AllocationMass!$F$16/100)*Cultivation!J55)/Unitflowchart!$S$383</f>
        <v>0</v>
      </c>
      <c r="C94" s="26">
        <f t="shared" si="16"/>
        <v>0</v>
      </c>
      <c r="D94" s="148">
        <f>(Unitflowchart!$S$17*(AllocationMass!$F$16/100)*Cultivation!K55)/Unitflowchart!$S$383</f>
        <v>0</v>
      </c>
      <c r="E94" s="727">
        <f>(Unitflowchart!$S$17*(AllocationMass!$F$16/100)*Cultivation!P55)/Unitflowchart!$S$383</f>
        <v>0</v>
      </c>
      <c r="F94" s="26">
        <f t="shared" si="17"/>
        <v>0</v>
      </c>
      <c r="G94" s="148">
        <f>(Unitflowchart!$S$17*(AllocationMass!$F$16/100)*Cultivation!Q55)/Unitflowchart!$S$383</f>
        <v>0</v>
      </c>
      <c r="H94" s="165">
        <f>(Unitflowchart!$S$17*(AllocationMass!$F$16/100)*Cultivation!V55)/Unitflowchart!$S$383</f>
        <v>0</v>
      </c>
      <c r="I94" s="26">
        <f t="shared" si="18"/>
        <v>0</v>
      </c>
      <c r="J94" s="214">
        <f>(Unitflowchart!$S$17*(AllocationMass!$F$16/100)*Cultivation!W55)/Unitflowchart!$S$383</f>
        <v>0</v>
      </c>
      <c r="K94" s="165">
        <f>(Unitflowchart!$S$17*(AllocationMass!$F$16/100)*Cultivation!AB55)/Unitflowchart!$S$383</f>
        <v>0</v>
      </c>
      <c r="L94" s="26">
        <f t="shared" si="19"/>
        <v>0</v>
      </c>
      <c r="M94" s="214">
        <f>(Unitflowchart!$S$17*(AllocationMass!$F$16/100)*Cultivation!AC55)/Unitflowchart!$S$383</f>
        <v>0</v>
      </c>
      <c r="N94" s="727">
        <f>E94+(GlobalWarmingPotentials!$B$11*H94)+(GlobalWarmingPotentials!$C$11*K94)</f>
        <v>0</v>
      </c>
      <c r="O94" s="26">
        <f t="shared" si="20"/>
        <v>0</v>
      </c>
      <c r="P94" s="756">
        <f>SQRT((G94^2)+((GlobalWarmingPotentials!$B$11*J94)^2)+((GlobalWarmingPotentials!$C$11*M94)^2))</f>
        <v>0</v>
      </c>
    </row>
    <row r="95" spans="1:16" x14ac:dyDescent="0.25">
      <c r="A95" s="979" t="str">
        <f>Cultivation!A56</f>
        <v>weed cultivating</v>
      </c>
      <c r="B95" s="727">
        <f>(Unitflowchart!$S$17*(AllocationMass!$F$16/100)*Cultivation!J56)/Unitflowchart!$S$383</f>
        <v>0</v>
      </c>
      <c r="C95" s="26">
        <f t="shared" si="16"/>
        <v>0</v>
      </c>
      <c r="D95" s="148">
        <f>(Unitflowchart!$S$17*(AllocationMass!$F$16/100)*Cultivation!K56)/Unitflowchart!$S$383</f>
        <v>0</v>
      </c>
      <c r="E95" s="727">
        <f>(Unitflowchart!$S$17*(AllocationMass!$F$16/100)*Cultivation!P56)/Unitflowchart!$S$383</f>
        <v>0</v>
      </c>
      <c r="F95" s="26">
        <f t="shared" si="17"/>
        <v>0</v>
      </c>
      <c r="G95" s="148">
        <f>(Unitflowchart!$S$17*(AllocationMass!$F$16/100)*Cultivation!Q56)/Unitflowchart!$S$383</f>
        <v>0</v>
      </c>
      <c r="H95" s="165">
        <f>(Unitflowchart!$S$17*(AllocationMass!$F$16/100)*Cultivation!V56)/Unitflowchart!$S$383</f>
        <v>0</v>
      </c>
      <c r="I95" s="26">
        <f t="shared" si="18"/>
        <v>0</v>
      </c>
      <c r="J95" s="214">
        <f>(Unitflowchart!$S$17*(AllocationMass!$F$16/100)*Cultivation!W56)/Unitflowchart!$S$383</f>
        <v>0</v>
      </c>
      <c r="K95" s="165">
        <f>(Unitflowchart!$S$17*(AllocationMass!$F$16/100)*Cultivation!AB56)/Unitflowchart!$S$383</f>
        <v>0</v>
      </c>
      <c r="L95" s="26">
        <f t="shared" si="19"/>
        <v>0</v>
      </c>
      <c r="M95" s="214">
        <f>(Unitflowchart!$S$17*(AllocationMass!$F$16/100)*Cultivation!AC56)/Unitflowchart!$S$383</f>
        <v>0</v>
      </c>
      <c r="N95" s="727">
        <f>E95+(GlobalWarmingPotentials!$B$11*H95)+(GlobalWarmingPotentials!$C$11*K95)</f>
        <v>0</v>
      </c>
      <c r="O95" s="26">
        <f t="shared" si="20"/>
        <v>0</v>
      </c>
      <c r="P95" s="756">
        <f>SQRT((G95^2)+((GlobalWarmingPotentials!$B$11*J95)^2)+((GlobalWarmingPotentials!$C$11*M95)^2))</f>
        <v>0</v>
      </c>
    </row>
    <row r="96" spans="1:16" x14ac:dyDescent="0.25">
      <c r="A96" s="979" t="str">
        <f>Cultivation!A57</f>
        <v>residue removal</v>
      </c>
      <c r="B96" s="727">
        <f>(Unitflowchart!$S$17*(AllocationMass!$F$16/100)*Cultivation!J57)/Unitflowchart!$S$383</f>
        <v>0</v>
      </c>
      <c r="C96" s="26">
        <f t="shared" si="16"/>
        <v>0</v>
      </c>
      <c r="D96" s="148">
        <f>(Unitflowchart!$S$17*(AllocationMass!$F$16/100)*Cultivation!K57)/Unitflowchart!$S$383</f>
        <v>0</v>
      </c>
      <c r="E96" s="727">
        <f>(Unitflowchart!$S$17*(AllocationMass!$F$16/100)*Cultivation!P57)/Unitflowchart!$S$383</f>
        <v>0</v>
      </c>
      <c r="F96" s="26">
        <f t="shared" si="17"/>
        <v>0</v>
      </c>
      <c r="G96" s="148">
        <f>(Unitflowchart!$S$17*(AllocationMass!$F$16/100)*Cultivation!Q57)/Unitflowchart!$S$383</f>
        <v>0</v>
      </c>
      <c r="H96" s="165">
        <f>(Unitflowchart!$S$17*(AllocationMass!$F$16/100)*Cultivation!V57)/Unitflowchart!$S$383</f>
        <v>0</v>
      </c>
      <c r="I96" s="26">
        <f t="shared" si="18"/>
        <v>0</v>
      </c>
      <c r="J96" s="214">
        <f>(Unitflowchart!$S$17*(AllocationMass!$F$16/100)*Cultivation!W57)/Unitflowchart!$S$383</f>
        <v>0</v>
      </c>
      <c r="K96" s="165">
        <f>(Unitflowchart!$S$17*(AllocationMass!$F$16/100)*Cultivation!AB57)/Unitflowchart!$S$383</f>
        <v>0</v>
      </c>
      <c r="L96" s="26">
        <f t="shared" si="19"/>
        <v>0</v>
      </c>
      <c r="M96" s="214">
        <f>(Unitflowchart!$S$17*(AllocationMass!$F$16/100)*Cultivation!AC57)/Unitflowchart!$S$383</f>
        <v>0</v>
      </c>
      <c r="N96" s="727">
        <f>E96+(GlobalWarmingPotentials!$B$11*H96)+(GlobalWarmingPotentials!$C$11*K96)</f>
        <v>0</v>
      </c>
      <c r="O96" s="26">
        <f t="shared" si="20"/>
        <v>0</v>
      </c>
      <c r="P96" s="756">
        <f>SQRT((G96^2)+((GlobalWarmingPotentials!$B$11*J96)^2)+((GlobalWarmingPotentials!$C$11*M96)^2))</f>
        <v>0</v>
      </c>
    </row>
    <row r="97" spans="1:16" s="43" customFormat="1" x14ac:dyDescent="0.25">
      <c r="A97" s="979"/>
      <c r="B97" s="729"/>
      <c r="C97" s="992"/>
      <c r="D97" s="736"/>
      <c r="E97" s="729"/>
      <c r="F97" s="992"/>
      <c r="G97" s="736"/>
      <c r="H97" s="505"/>
      <c r="I97" s="992"/>
      <c r="J97" s="506"/>
      <c r="K97" s="505"/>
      <c r="L97" s="992"/>
      <c r="M97" s="506"/>
      <c r="N97" s="729"/>
      <c r="O97" s="992"/>
      <c r="P97" s="758"/>
    </row>
    <row r="98" spans="1:16" x14ac:dyDescent="0.25">
      <c r="A98" s="979" t="str">
        <f>Cultivation!A59</f>
        <v>Sub-Totals for Maintenance</v>
      </c>
      <c r="B98" s="727">
        <f>(Unitflowchart!$S$17*(AllocationMass!$F$16/100)*Cultivation!J59)/Unitflowchart!$S$383</f>
        <v>0</v>
      </c>
      <c r="C98" s="26">
        <f>(B98/B$386)*100</f>
        <v>0</v>
      </c>
      <c r="D98" s="148">
        <f>(Unitflowchart!$S$17*(AllocationMass!$F$16/100)*Cultivation!K59)/Unitflowchart!$S$383</f>
        <v>0</v>
      </c>
      <c r="E98" s="727">
        <f>(Unitflowchart!$S$17*(AllocationMass!$F$16/100)*Cultivation!P59)/Unitflowchart!$S$383</f>
        <v>0</v>
      </c>
      <c r="F98" s="26">
        <f>(E98/E$386)*100</f>
        <v>0</v>
      </c>
      <c r="G98" s="148">
        <f>(Unitflowchart!$S$17*(AllocationMass!$F$16/100)*Cultivation!Q59)/Unitflowchart!$S$383</f>
        <v>0</v>
      </c>
      <c r="H98" s="165">
        <f>(Unitflowchart!$S$17*(AllocationMass!$F$16/100)*Cultivation!V59)/Unitflowchart!$S$383</f>
        <v>0</v>
      </c>
      <c r="I98" s="26">
        <f>(H98/H$386)*100</f>
        <v>0</v>
      </c>
      <c r="J98" s="214">
        <f>(Unitflowchart!$S$17*(AllocationMass!$F$16/100)*Cultivation!W59)/Unitflowchart!$S$383</f>
        <v>0</v>
      </c>
      <c r="K98" s="165">
        <f>(Unitflowchart!$S$17*(AllocationMass!$F$16/100)*Cultivation!AB59)/Unitflowchart!$S$383</f>
        <v>0</v>
      </c>
      <c r="L98" s="26">
        <f>(K98/K$386)*100</f>
        <v>0</v>
      </c>
      <c r="M98" s="214">
        <f>(Unitflowchart!$S$17*(AllocationMass!$F$16/100)*Cultivation!AC59)/Unitflowchart!$S$383</f>
        <v>0</v>
      </c>
      <c r="N98" s="727">
        <f>E98+(GlobalWarmingPotentials!$B$11*H98)+(GlobalWarmingPotentials!$C$11*K98)</f>
        <v>0</v>
      </c>
      <c r="O98" s="26">
        <f>(N98/N$386)*100</f>
        <v>0</v>
      </c>
      <c r="P98" s="756">
        <f>SQRT((G98^2)+((GlobalWarmingPotentials!$B$11*J98)^2)+((GlobalWarmingPotentials!$C$11*M98)^2))</f>
        <v>0</v>
      </c>
    </row>
    <row r="99" spans="1:16" s="907" customFormat="1" x14ac:dyDescent="0.25">
      <c r="A99" s="979"/>
      <c r="B99" s="729"/>
      <c r="C99" s="992"/>
      <c r="D99" s="736"/>
      <c r="E99" s="729"/>
      <c r="F99" s="992"/>
      <c r="G99" s="736"/>
      <c r="H99" s="505"/>
      <c r="I99" s="992"/>
      <c r="J99" s="506"/>
      <c r="K99" s="505"/>
      <c r="L99" s="992"/>
      <c r="M99" s="506"/>
      <c r="N99" s="729"/>
      <c r="O99" s="992"/>
      <c r="P99" s="758"/>
    </row>
    <row r="100" spans="1:16" s="5" customFormat="1" x14ac:dyDescent="0.25">
      <c r="A100" s="979" t="str">
        <f>Cultivation!A61</f>
        <v xml:space="preserve"> - N Fertiliser</v>
      </c>
      <c r="B100" s="727">
        <f>(Unitflowchart!$S$17*(AllocationMass!$F$16/100)*Cultivation!J61)/Unitflowchart!$S$383</f>
        <v>111.5885146740152</v>
      </c>
      <c r="C100" s="26">
        <f t="shared" ref="C100:C107" si="21">(B100/B$386)*100</f>
        <v>0.86206135989033306</v>
      </c>
      <c r="D100" s="148">
        <f>(Unitflowchart!$S$17*(AllocationMass!$F$16/100)*Cultivation!K61)/Unitflowchart!$S$383</f>
        <v>16.738277201102282</v>
      </c>
      <c r="E100" s="727">
        <f>(Unitflowchart!$S$17*(AllocationMass!$F$16/100)*Cultivation!P61)/Unitflowchart!$S$383</f>
        <v>6.5362972470304408</v>
      </c>
      <c r="F100" s="26">
        <f t="shared" ref="F100:F107" si="22">(E100/E$386)*100</f>
        <v>0.81258656828195608</v>
      </c>
      <c r="G100" s="148">
        <f>(Unitflowchart!$S$17*(AllocationMass!$F$16/100)*Cultivation!Q61)/Unitflowchart!$S$383</f>
        <v>0.98044458705456605</v>
      </c>
      <c r="H100" s="165">
        <f>(Unitflowchart!$S$17*(AllocationMass!$F$16/100)*Cultivation!V61)/Unitflowchart!$S$383</f>
        <v>1.7324116903140865E-2</v>
      </c>
      <c r="I100" s="26">
        <f t="shared" ref="I100:I107" si="23">(H100/H$386)*100</f>
        <v>1.7303128911861774</v>
      </c>
      <c r="J100" s="214">
        <f>(Unitflowchart!$S$17*(AllocationMass!$F$16/100)*Cultivation!W61)/Unitflowchart!$S$383</f>
        <v>2.5986175354711298E-3</v>
      </c>
      <c r="K100" s="165">
        <f>(Unitflowchart!$S$17*(AllocationMass!$F$16/100)*Cultivation!AB61)/Unitflowchart!$S$383</f>
        <v>0</v>
      </c>
      <c r="L100" s="26">
        <f t="shared" ref="L100:L107" si="24">(K100/K$386)*100</f>
        <v>0</v>
      </c>
      <c r="M100" s="214">
        <f>(Unitflowchart!$S$17*(AllocationMass!$F$16/100)*Cultivation!AC61)/Unitflowchart!$S$383</f>
        <v>0</v>
      </c>
      <c r="N100" s="727">
        <f>E100+(GlobalWarmingPotentials!$B$11*H100)+(GlobalWarmingPotentials!$C$11*K100)</f>
        <v>6.934751935802681</v>
      </c>
      <c r="O100" s="26">
        <f t="shared" ref="O100:O107" si="25">(N100/N$386)*100</f>
        <v>0.77800162252550908</v>
      </c>
      <c r="P100" s="756">
        <f>SQRT((G100^2)+((GlobalWarmingPotentials!$B$11*J100)^2)+((GlobalWarmingPotentials!$C$11*M100)^2))</f>
        <v>0.98226464173979189</v>
      </c>
    </row>
    <row r="101" spans="1:16" s="5" customFormat="1" x14ac:dyDescent="0.25">
      <c r="A101" s="979" t="str">
        <f>Cultivation!A62</f>
        <v xml:space="preserve"> - P Fertiliser</v>
      </c>
      <c r="B101" s="727">
        <f>(Unitflowchart!$S$17*(AllocationMass!$F$16/100)*Cultivation!J62)/Unitflowchart!$S$383</f>
        <v>3.5369573847567324</v>
      </c>
      <c r="C101" s="26">
        <f t="shared" si="21"/>
        <v>2.7324266317952522E-2</v>
      </c>
      <c r="D101" s="148">
        <f>(Unitflowchart!$S$17*(AllocationMass!$F$16/100)*Cultivation!K62)/Unitflowchart!$S$383</f>
        <v>0.53054360771350972</v>
      </c>
      <c r="E101" s="727">
        <f>(Unitflowchart!$S$17*(AllocationMass!$F$16/100)*Cultivation!P62)/Unitflowchart!$S$383</f>
        <v>0.18818605938953564</v>
      </c>
      <c r="F101" s="26">
        <f t="shared" si="22"/>
        <v>2.3395120879381722E-2</v>
      </c>
      <c r="G101" s="148">
        <f>(Unitflowchart!$S$17*(AllocationMass!$F$16/100)*Cultivation!Q62)/Unitflowchart!$S$383</f>
        <v>2.8227908908430348E-2</v>
      </c>
      <c r="H101" s="165">
        <f>(Unitflowchart!$S$17*(AllocationMass!$F$16/100)*Cultivation!V62)/Unitflowchart!$S$383</f>
        <v>2.4071236736823281E-4</v>
      </c>
      <c r="I101" s="26">
        <f t="shared" si="23"/>
        <v>2.4042074678547295E-2</v>
      </c>
      <c r="J101" s="214">
        <f>(Unitflowchart!$S$17*(AllocationMass!$F$16/100)*Cultivation!W62)/Unitflowchart!$S$383</f>
        <v>7.970608191001085E-5</v>
      </c>
      <c r="K101" s="165">
        <f>(Unitflowchart!$S$17*(AllocationMass!$F$16/100)*Cultivation!AB62)/Unitflowchart!$S$383</f>
        <v>0</v>
      </c>
      <c r="L101" s="26">
        <f t="shared" si="24"/>
        <v>0</v>
      </c>
      <c r="M101" s="214">
        <f>(Unitflowchart!$S$17*(AllocationMass!$F$16/100)*Cultivation!AC62)/Unitflowchart!$S$383</f>
        <v>0</v>
      </c>
      <c r="N101" s="727">
        <f>E101+(GlobalWarmingPotentials!$B$11*H101)+(GlobalWarmingPotentials!$C$11*K101)</f>
        <v>0.193722443839005</v>
      </c>
      <c r="O101" s="26">
        <f t="shared" si="25"/>
        <v>2.1733491986675894E-2</v>
      </c>
      <c r="P101" s="756">
        <f>SQRT((G101^2)+((GlobalWarmingPotentials!$B$11*J101)^2)+((GlobalWarmingPotentials!$C$11*M101)^2))</f>
        <v>2.828737544938862E-2</v>
      </c>
    </row>
    <row r="102" spans="1:16" s="5" customFormat="1" x14ac:dyDescent="0.25">
      <c r="A102" s="979" t="str">
        <f>Cultivation!A63</f>
        <v xml:space="preserve"> - K Fertiliser</v>
      </c>
      <c r="B102" s="727">
        <f>(Unitflowchart!$S$17*(AllocationMass!$F$16/100)*Cultivation!J63)/Unitflowchart!$S$383</f>
        <v>38.573758340349755</v>
      </c>
      <c r="C102" s="26">
        <f t="shared" si="21"/>
        <v>0.29799613937066194</v>
      </c>
      <c r="D102" s="148">
        <f>(Unitflowchart!$S$17*(AllocationMass!$F$16/100)*Cultivation!K63)/Unitflowchart!$S$383</f>
        <v>5.7860637510524633</v>
      </c>
      <c r="E102" s="727">
        <f>(Unitflowchart!$S$17*(AllocationMass!$F$16/100)*Cultivation!P63)/Unitflowchart!$S$383</f>
        <v>2.1373185864169413</v>
      </c>
      <c r="F102" s="26">
        <f t="shared" si="22"/>
        <v>0.26570951562076278</v>
      </c>
      <c r="G102" s="148">
        <f>(Unitflowchart!$S$17*(AllocationMass!$F$16/100)*Cultivation!Q63)/Unitflowchart!$S$383</f>
        <v>0.32059778796254118</v>
      </c>
      <c r="H102" s="165">
        <f>(Unitflowchart!$S$17*(AllocationMass!$F$16/100)*Cultivation!V63)/Unitflowchart!$S$383</f>
        <v>6.2605142036218035E-3</v>
      </c>
      <c r="I102" s="26">
        <f t="shared" si="23"/>
        <v>0.62529296543923751</v>
      </c>
      <c r="J102" s="214">
        <f>(Unitflowchart!$S$17*(AllocationMass!$F$16/100)*Cultivation!W63)/Unitflowchart!$S$383</f>
        <v>9.3907713054327028E-4</v>
      </c>
      <c r="K102" s="165">
        <f>(Unitflowchart!$S$17*(AllocationMass!$F$16/100)*Cultivation!AB63)/Unitflowchart!$S$383</f>
        <v>0</v>
      </c>
      <c r="L102" s="26">
        <f t="shared" si="24"/>
        <v>0</v>
      </c>
      <c r="M102" s="214">
        <f>(Unitflowchart!$S$17*(AllocationMass!$F$16/100)*Cultivation!AC63)/Unitflowchart!$S$383</f>
        <v>0</v>
      </c>
      <c r="N102" s="727">
        <f>E102+(GlobalWarmingPotentials!$B$11*H102)+(GlobalWarmingPotentials!$C$11*K102)</f>
        <v>2.2813104131002429</v>
      </c>
      <c r="O102" s="26">
        <f t="shared" si="25"/>
        <v>0.2559375186462084</v>
      </c>
      <c r="P102" s="756">
        <f>SQRT((G102^2)+((GlobalWarmingPotentials!$B$11*J102)^2)+((GlobalWarmingPotentials!$C$11*M102)^2))</f>
        <v>0.32132452238334591</v>
      </c>
    </row>
    <row r="103" spans="1:16" s="5" customFormat="1" x14ac:dyDescent="0.25">
      <c r="A103" s="979" t="str">
        <f>Cultivation!A64</f>
        <v xml:space="preserve"> - Lime  </v>
      </c>
      <c r="B103" s="727">
        <f>(Unitflowchart!$S$17*(AllocationMass!$F$16/100)*Cultivation!J64)/Unitflowchart!$S$383</f>
        <v>224.71649538720661</v>
      </c>
      <c r="C103" s="26">
        <f t="shared" si="21"/>
        <v>1.7360156479293571</v>
      </c>
      <c r="D103" s="148">
        <f>(Unitflowchart!$S$17*(AllocationMass!$F$16/100)*Cultivation!K64)/Unitflowchart!$S$383</f>
        <v>33.707474308080997</v>
      </c>
      <c r="E103" s="727">
        <f>(Unitflowchart!$S$17*(AllocationMass!$F$16/100)*Cultivation!P64)/Unitflowchart!$S$383</f>
        <v>13.56324236113265</v>
      </c>
      <c r="F103" s="26">
        <f t="shared" si="22"/>
        <v>1.6861700361036083</v>
      </c>
      <c r="G103" s="148">
        <f>(Unitflowchart!$S$17*(AllocationMass!$F$16/100)*Cultivation!Q64)/Unitflowchart!$S$383</f>
        <v>2.0344863541698968</v>
      </c>
      <c r="H103" s="165">
        <f>(Unitflowchart!$S$17*(AllocationMass!$F$16/100)*Cultivation!V64)/Unitflowchart!$S$383</f>
        <v>2.4583632977673346E-2</v>
      </c>
      <c r="I103" s="26">
        <f t="shared" si="23"/>
        <v>2.4553850156567454</v>
      </c>
      <c r="J103" s="214">
        <f>(Unitflowchart!$S$17*(AllocationMass!$F$16/100)*Cultivation!W64)/Unitflowchart!$S$383</f>
        <v>3.687544946651002E-3</v>
      </c>
      <c r="K103" s="165">
        <f>(Unitflowchart!$S$17*(AllocationMass!$F$16/100)*Cultivation!AB64)/Unitflowchart!$S$383</f>
        <v>0</v>
      </c>
      <c r="L103" s="26">
        <f t="shared" si="24"/>
        <v>0</v>
      </c>
      <c r="M103" s="214">
        <f>(Unitflowchart!$S$17*(AllocationMass!$F$16/100)*Cultivation!AC64)/Unitflowchart!$S$383</f>
        <v>0</v>
      </c>
      <c r="N103" s="727">
        <f>E103+(GlobalWarmingPotentials!$B$11*H103)+(GlobalWarmingPotentials!$C$11*K103)</f>
        <v>14.128665919619136</v>
      </c>
      <c r="O103" s="26">
        <f t="shared" si="25"/>
        <v>1.5850783288778505</v>
      </c>
      <c r="P103" s="756">
        <f>SQRT((G103^2)+((GlobalWarmingPotentials!$B$11*J103)^2)+((GlobalWarmingPotentials!$C$11*M103)^2))</f>
        <v>2.03625343727508</v>
      </c>
    </row>
    <row r="104" spans="1:16" s="5" customFormat="1" x14ac:dyDescent="0.25">
      <c r="A104" s="979" t="str">
        <f>Cultivation!A65</f>
        <v xml:space="preserve"> - Manganese</v>
      </c>
      <c r="B104" s="727">
        <f>(Unitflowchart!$S$17*(AllocationMass!$F$16/100)*Cultivation!J65)/Unitflowchart!$S$383</f>
        <v>22.773166260003102</v>
      </c>
      <c r="C104" s="26">
        <f t="shared" si="21"/>
        <v>0.17593088977353735</v>
      </c>
      <c r="D104" s="148">
        <f>(Unitflowchart!$S$17*(AllocationMass!$F$16/100)*Cultivation!K65)/Unitflowchart!$S$383</f>
        <v>3.4159749390004657</v>
      </c>
      <c r="E104" s="727">
        <f>(Unitflowchart!$S$17*(AllocationMass!$F$16/100)*Cultivation!P65)/Unitflowchart!$S$383</f>
        <v>1.7079874695002328</v>
      </c>
      <c r="F104" s="26">
        <f t="shared" si="22"/>
        <v>0.21233545906136983</v>
      </c>
      <c r="G104" s="148">
        <f>(Unitflowchart!$S$17*(AllocationMass!$F$16/100)*Cultivation!Q65)/Unitflowchart!$S$383</f>
        <v>0.25050482886003411</v>
      </c>
      <c r="H104" s="165">
        <f>(Unitflowchart!$S$17*(AllocationMass!$F$16/100)*Cultivation!V65)/Unitflowchart!$S$383</f>
        <v>2.7145614181923698E-7</v>
      </c>
      <c r="I104" s="26">
        <f t="shared" si="23"/>
        <v>2.711272754666828E-5</v>
      </c>
      <c r="J104" s="214">
        <f>(Unitflowchart!$S$17*(AllocationMass!$F$16/100)*Cultivation!W65)/Unitflowchart!$S$383</f>
        <v>0</v>
      </c>
      <c r="K104" s="165">
        <f>(Unitflowchart!$S$17*(AllocationMass!$F$16/100)*Cultivation!AB65)/Unitflowchart!$S$383</f>
        <v>0</v>
      </c>
      <c r="L104" s="26">
        <f t="shared" si="24"/>
        <v>0</v>
      </c>
      <c r="M104" s="214">
        <f>(Unitflowchart!$S$17*(AllocationMass!$F$16/100)*Cultivation!AC65)/Unitflowchart!$S$383</f>
        <v>0</v>
      </c>
      <c r="N104" s="727">
        <f>E104+(GlobalWarmingPotentials!$B$11*H104)+(GlobalWarmingPotentials!$C$11*K104)</f>
        <v>1.7079937129914946</v>
      </c>
      <c r="O104" s="26">
        <f t="shared" si="25"/>
        <v>0.19161779574411605</v>
      </c>
      <c r="P104" s="756">
        <f>SQRT((G104^2)+((GlobalWarmingPotentials!$B$11*J104)^2)+((GlobalWarmingPotentials!$C$11*M104)^2))</f>
        <v>0.25050482886003411</v>
      </c>
    </row>
    <row r="105" spans="1:16" s="5" customFormat="1" x14ac:dyDescent="0.25">
      <c r="A105" s="979" t="str">
        <f>Cultivation!A66</f>
        <v xml:space="preserve"> - Advance Herbicide</v>
      </c>
      <c r="B105" s="727">
        <f>(Unitflowchart!$S$17*(AllocationMass!$F$16/100)*Cultivation!J66)/Unitflowchart!$S$383</f>
        <v>18.06671189960246</v>
      </c>
      <c r="C105" s="26">
        <f t="shared" si="21"/>
        <v>0.13957183922033961</v>
      </c>
      <c r="D105" s="148">
        <f>(Unitflowchart!$S$17*(AllocationMass!$F$16/100)*Cultivation!K66)/Unitflowchart!$S$383</f>
        <v>2.7327799512003721</v>
      </c>
      <c r="E105" s="727">
        <f>(Unitflowchart!$S$17*(AllocationMass!$F$16/100)*Cultivation!P66)/Unitflowchart!$S$383</f>
        <v>1.0627477588001448</v>
      </c>
      <c r="F105" s="26">
        <f t="shared" si="22"/>
        <v>0.13211984119374121</v>
      </c>
      <c r="G105" s="148">
        <f>(Unitflowchart!$S$17*(AllocationMass!$F$16/100)*Cultivation!Q66)/Unitflowchart!$S$383</f>
        <v>0.15182110840002069</v>
      </c>
      <c r="H105" s="165">
        <f>(Unitflowchart!$S$17*(AllocationMass!$F$16/100)*Cultivation!V66)/Unitflowchart!$S$383</f>
        <v>9.0485380606412316E-9</v>
      </c>
      <c r="I105" s="26">
        <f t="shared" si="23"/>
        <v>9.0375758488894267E-7</v>
      </c>
      <c r="J105" s="214">
        <f>(Unitflowchart!$S$17*(AllocationMass!$F$16/100)*Cultivation!W66)/Unitflowchart!$S$383</f>
        <v>0</v>
      </c>
      <c r="K105" s="165">
        <f>(Unitflowchart!$S$17*(AllocationMass!$F$16/100)*Cultivation!AB66)/Unitflowchart!$S$383</f>
        <v>0</v>
      </c>
      <c r="L105" s="26">
        <f t="shared" si="24"/>
        <v>0</v>
      </c>
      <c r="M105" s="214">
        <f>(Unitflowchart!$S$17*(AllocationMass!$F$16/100)*Cultivation!AC66)/Unitflowchart!$S$383</f>
        <v>0</v>
      </c>
      <c r="N105" s="727">
        <f>E105+(GlobalWarmingPotentials!$B$11*H105)+(GlobalWarmingPotentials!$C$11*K105)</f>
        <v>1.0627479669165203</v>
      </c>
      <c r="O105" s="26">
        <f t="shared" si="25"/>
        <v>0.11922843819806173</v>
      </c>
      <c r="P105" s="756">
        <f>SQRT((G105^2)+((GlobalWarmingPotentials!$B$11*J105)^2)+((GlobalWarmingPotentials!$C$11*M105)^2))</f>
        <v>0.15182110840002069</v>
      </c>
    </row>
    <row r="106" spans="1:16" s="5" customFormat="1" x14ac:dyDescent="0.25">
      <c r="A106" s="979" t="str">
        <f>Cultivation!A67</f>
        <v xml:space="preserve"> - Trifolex-Tra Herbicide</v>
      </c>
      <c r="B106" s="727">
        <f>(Unitflowchart!$S$17*(AllocationMass!$F$16/100)*Cultivation!J67)/Unitflowchart!$S$383</f>
        <v>37.99323237710518</v>
      </c>
      <c r="C106" s="26">
        <f t="shared" si="21"/>
        <v>0.29351136777218484</v>
      </c>
      <c r="D106" s="148">
        <f>(Unitflowchart!$S$17*(AllocationMass!$F$16/100)*Cultivation!K67)/Unitflowchart!$S$383</f>
        <v>5.552857039730756</v>
      </c>
      <c r="E106" s="727">
        <f>(Unitflowchart!$S$17*(AllocationMass!$F$16/100)*Cultivation!P67)/Unitflowchart!$S$383</f>
        <v>4.0915788713805572</v>
      </c>
      <c r="F106" s="26">
        <f t="shared" si="22"/>
        <v>0.5086613885959036</v>
      </c>
      <c r="G106" s="148">
        <f>(Unitflowchart!$S$17*(AllocationMass!$F$16/100)*Cultivation!Q67)/Unitflowchart!$S$383</f>
        <v>0.58451126734007963</v>
      </c>
      <c r="H106" s="165">
        <f>(Unitflowchart!$S$17*(AllocationMass!$F$16/100)*Cultivation!V67)/Unitflowchart!$S$383</f>
        <v>3.483687153346874E-8</v>
      </c>
      <c r="I106" s="26">
        <f t="shared" si="23"/>
        <v>3.4794667018224289E-6</v>
      </c>
      <c r="J106" s="214">
        <f>(Unitflowchart!$S$17*(AllocationMass!$F$16/100)*Cultivation!W67)/Unitflowchart!$S$383</f>
        <v>0</v>
      </c>
      <c r="K106" s="165">
        <f>(Unitflowchart!$S$17*(AllocationMass!$F$16/100)*Cultivation!AB67)/Unitflowchart!$S$383</f>
        <v>0</v>
      </c>
      <c r="L106" s="26">
        <f t="shared" si="24"/>
        <v>0</v>
      </c>
      <c r="M106" s="214">
        <f>(Unitflowchart!$S$17*(AllocationMass!$F$16/100)*Cultivation!AC67)/Unitflowchart!$S$383</f>
        <v>0</v>
      </c>
      <c r="N106" s="727">
        <f>E106+(GlobalWarmingPotentials!$B$11*H106)+(GlobalWarmingPotentials!$C$11*K106)</f>
        <v>4.0915796726286029</v>
      </c>
      <c r="O106" s="26">
        <f t="shared" si="25"/>
        <v>0.45902948706253766</v>
      </c>
      <c r="P106" s="756">
        <f>SQRT((G106^2)+((GlobalWarmingPotentials!$B$11*J106)^2)+((GlobalWarmingPotentials!$C$11*M106)^2))</f>
        <v>0.58451126734007963</v>
      </c>
    </row>
    <row r="107" spans="1:16" s="5" customFormat="1" x14ac:dyDescent="0.25">
      <c r="A107" s="979" t="str">
        <f>Cultivation!A68</f>
        <v xml:space="preserve"> - Glyphosate Herbicide</v>
      </c>
      <c r="B107" s="727">
        <f>(Unitflowchart!$S$17*(AllocationMass!$F$16/100)*Cultivation!J68)/Unitflowchart!$S$383</f>
        <v>1033.9017482041409</v>
      </c>
      <c r="C107" s="26">
        <f t="shared" si="21"/>
        <v>7.987262395718596</v>
      </c>
      <c r="D107" s="148">
        <f>(Unitflowchart!$S$17*(AllocationMass!$F$16/100)*Cultivation!K68)/Unitflowchart!$S$383</f>
        <v>154.8575305680211</v>
      </c>
      <c r="E107" s="727">
        <f>(Unitflowchart!$S$17*(AllocationMass!$F$16/100)*Cultivation!P68)/Unitflowchart!$S$383</f>
        <v>59.210232276008071</v>
      </c>
      <c r="F107" s="26">
        <f t="shared" si="22"/>
        <v>7.360962580794153</v>
      </c>
      <c r="G107" s="148">
        <f>(Unitflowchart!$S$17*(AllocationMass!$F$16/100)*Cultivation!Q68)/Unitflowchart!$S$383</f>
        <v>9.1092665040012406</v>
      </c>
      <c r="H107" s="165">
        <f>(Unitflowchart!$S$17*(AllocationMass!$F$16/100)*Cultivation!V68)/Unitflowchart!$S$383</f>
        <v>2.7145614181923698E-7</v>
      </c>
      <c r="I107" s="26">
        <f t="shared" si="23"/>
        <v>2.711272754666828E-5</v>
      </c>
      <c r="J107" s="214">
        <f>(Unitflowchart!$S$17*(AllocationMass!$F$16/100)*Cultivation!W68)/Unitflowchart!$S$383</f>
        <v>0</v>
      </c>
      <c r="K107" s="165">
        <f>(Unitflowchart!$S$17*(AllocationMass!$F$16/100)*Cultivation!AB68)/Unitflowchart!$S$383</f>
        <v>0</v>
      </c>
      <c r="L107" s="26">
        <f t="shared" si="24"/>
        <v>0</v>
      </c>
      <c r="M107" s="214">
        <f>(Unitflowchart!$S$17*(AllocationMass!$F$16/100)*Cultivation!AC68)/Unitflowchart!$S$383</f>
        <v>0</v>
      </c>
      <c r="N107" s="727">
        <f>E107+(GlobalWarmingPotentials!$B$11*H107)+(GlobalWarmingPotentials!$C$11*K107)</f>
        <v>59.210238519499335</v>
      </c>
      <c r="O107" s="26">
        <f t="shared" si="25"/>
        <v>6.6427266706492354</v>
      </c>
      <c r="P107" s="756">
        <f>SQRT((G107^2)+((GlobalWarmingPotentials!$B$11*J107)^2)+((GlobalWarmingPotentials!$C$11*M107)^2))</f>
        <v>9.1092665040012406</v>
      </c>
    </row>
    <row r="108" spans="1:16" s="907" customFormat="1" x14ac:dyDescent="0.25">
      <c r="A108" s="979"/>
      <c r="B108" s="729"/>
      <c r="C108" s="992"/>
      <c r="D108" s="736"/>
      <c r="E108" s="729"/>
      <c r="F108" s="992"/>
      <c r="G108" s="736"/>
      <c r="H108" s="505"/>
      <c r="I108" s="992"/>
      <c r="J108" s="506"/>
      <c r="K108" s="505"/>
      <c r="L108" s="992"/>
      <c r="M108" s="506"/>
      <c r="N108" s="729"/>
      <c r="O108" s="992"/>
      <c r="P108" s="758"/>
    </row>
    <row r="109" spans="1:16" s="5" customFormat="1" x14ac:dyDescent="0.25">
      <c r="A109" s="979" t="str">
        <f>Cultivation!A70</f>
        <v>Sub-Totals for Agrochemicals</v>
      </c>
      <c r="B109" s="727">
        <f>(Unitflowchart!$S$17*(AllocationMass!$F$16/100)*Cultivation!J70)/Unitflowchart!$S$383</f>
        <v>1491.1505845271799</v>
      </c>
      <c r="C109" s="26">
        <f>(B109/B$386)*100</f>
        <v>11.519673905992962</v>
      </c>
      <c r="D109" s="148">
        <f>(Unitflowchart!$S$17*(AllocationMass!$F$16/100)*Cultivation!K70)/Unitflowchart!$S$383</f>
        <v>159.62753435456128</v>
      </c>
      <c r="E109" s="727">
        <f>(Unitflowchart!$S$17*(AllocationMass!$F$16/100)*Cultivation!P70)/Unitflowchart!$S$383</f>
        <v>88.497590629658561</v>
      </c>
      <c r="F109" s="26">
        <f>(E109/E$386)*100</f>
        <v>11.001940510530876</v>
      </c>
      <c r="G109" s="148">
        <f>(Unitflowchart!$S$17*(AllocationMass!$F$16/100)*Cultivation!Q70)/Unitflowchart!$S$383</f>
        <v>9.4132979370080729</v>
      </c>
      <c r="H109" s="165">
        <f>(Unitflowchart!$S$17*(AllocationMass!$F$16/100)*Cultivation!V70)/Unitflowchart!$S$383</f>
        <v>4.8409563249497467E-2</v>
      </c>
      <c r="I109" s="26">
        <f>(H109/H$386)*100</f>
        <v>4.8350915556400862</v>
      </c>
      <c r="J109" s="214">
        <f>(Unitflowchart!$S$17*(AllocationMass!$F$16/100)*Cultivation!W70)/Unitflowchart!$S$383</f>
        <v>4.6085810989752824E-3</v>
      </c>
      <c r="K109" s="165">
        <f>(Unitflowchart!$S$17*(AllocationMass!$F$16/100)*Cultivation!AB70)/Unitflowchart!$S$383</f>
        <v>0</v>
      </c>
      <c r="L109" s="26">
        <f>(K109/K$386)*100</f>
        <v>0</v>
      </c>
      <c r="M109" s="214">
        <f>(Unitflowchart!$S$17*(AllocationMass!$F$16/100)*Cultivation!AC70)/Unitflowchart!$S$383</f>
        <v>0</v>
      </c>
      <c r="N109" s="727">
        <f>E109+(GlobalWarmingPotentials!$B$11*H109)+(GlobalWarmingPotentials!$C$11*K109)</f>
        <v>89.611010584397008</v>
      </c>
      <c r="O109" s="26">
        <f>(N109/N$386)*100</f>
        <v>10.053353353690193</v>
      </c>
      <c r="P109" s="756">
        <f>SQRT((G109^2)+((GlobalWarmingPotentials!$B$11*J109)^2)+((GlobalWarmingPotentials!$C$11*M109)^2))</f>
        <v>9.4138947036986753</v>
      </c>
    </row>
    <row r="110" spans="1:16" s="907" customFormat="1" x14ac:dyDescent="0.25">
      <c r="A110" s="979"/>
      <c r="B110" s="729"/>
      <c r="C110" s="992"/>
      <c r="D110" s="736"/>
      <c r="E110" s="729"/>
      <c r="F110" s="992"/>
      <c r="G110" s="736"/>
      <c r="H110" s="505"/>
      <c r="I110" s="992"/>
      <c r="J110" s="506"/>
      <c r="K110" s="505"/>
      <c r="L110" s="992"/>
      <c r="M110" s="506"/>
      <c r="N110" s="729"/>
      <c r="O110" s="992"/>
      <c r="P110" s="758"/>
    </row>
    <row r="111" spans="1:16" s="5" customFormat="1" x14ac:dyDescent="0.25">
      <c r="A111" s="979" t="str">
        <f>Cultivation!A72</f>
        <v xml:space="preserve"> - Rhizomes</v>
      </c>
      <c r="B111" s="727">
        <f>(Unitflowchart!$S$17*(AllocationMass!$F$16/100)*Cultivation!J72)/Unitflowchart!$S$383</f>
        <v>425.09910352005795</v>
      </c>
      <c r="C111" s="26">
        <f>(B111/B$386)*100</f>
        <v>3.2840432757726976</v>
      </c>
      <c r="D111" s="148">
        <f>(Unitflowchart!$S$17*(AllocationMass!$F$16/100)*Cultivation!K72)/Unitflowchart!$S$383</f>
        <v>53.137387940007244</v>
      </c>
      <c r="E111" s="727">
        <f>(Unitflowchart!$S$17*(AllocationMass!$F$16/100)*Cultivation!P72)/Unitflowchart!$S$383</f>
        <v>14.878468623202032</v>
      </c>
      <c r="F111" s="26">
        <f>(E111/E$386)*100</f>
        <v>1.8496777767123773</v>
      </c>
      <c r="G111" s="148">
        <f>(Unitflowchart!$S$17*(AllocationMass!$F$16/100)*Cultivation!Q72)/Unitflowchart!$S$383</f>
        <v>2.1254955176002901</v>
      </c>
      <c r="H111" s="165">
        <f>(Unitflowchart!$S$17*(AllocationMass!$F$16/100)*Cultivation!V72)/Unitflowchart!$S$383</f>
        <v>5.0671813139590908E-5</v>
      </c>
      <c r="I111" s="26">
        <f>(H111/H$386)*100</f>
        <v>5.0610424753780798E-3</v>
      </c>
      <c r="J111" s="214">
        <f>(Unitflowchart!$S$17*(AllocationMass!$F$16/100)*Cultivation!W72)/Unitflowchart!$S$383</f>
        <v>6.3339766424488635E-6</v>
      </c>
      <c r="K111" s="165">
        <f>(Unitflowchart!$S$17*(AllocationMass!$F$16/100)*Cultivation!AB72)/Unitflowchart!$S$383</f>
        <v>5.4370175340215408E-7</v>
      </c>
      <c r="L111" s="26">
        <f>(K111/K$386)*100</f>
        <v>2.5167880837132287E-4</v>
      </c>
      <c r="M111" s="214">
        <f>(Unitflowchart!$S$17*(AllocationMass!$F$16/100)*Cultivation!AC72)/Unitflowchart!$S$383</f>
        <v>6.7962719175269259E-8</v>
      </c>
      <c r="N111" s="727">
        <f>E111+(GlobalWarmingPotentials!$B$11*H111)+(GlobalWarmingPotentials!$C$11*K111)</f>
        <v>14.879795010623249</v>
      </c>
      <c r="O111" s="26">
        <f>(N111/N$386)*100</f>
        <v>1.6693466137331863</v>
      </c>
      <c r="P111" s="756">
        <f>SQRT((G111^2)+((GlobalWarmingPotentials!$B$11*J111)^2)+((GlobalWarmingPotentials!$C$11*M111)^2))</f>
        <v>2.1254955226879932</v>
      </c>
    </row>
    <row r="112" spans="1:16" s="907" customFormat="1" x14ac:dyDescent="0.25">
      <c r="A112" s="979"/>
      <c r="B112" s="729"/>
      <c r="C112" s="992"/>
      <c r="D112" s="736"/>
      <c r="E112" s="729"/>
      <c r="F112" s="992"/>
      <c r="G112" s="736"/>
      <c r="H112" s="505"/>
      <c r="I112" s="992"/>
      <c r="J112" s="506"/>
      <c r="K112" s="505"/>
      <c r="L112" s="992"/>
      <c r="M112" s="506"/>
      <c r="N112" s="729"/>
      <c r="O112" s="992"/>
      <c r="P112" s="758"/>
    </row>
    <row r="113" spans="1:16" s="5" customFormat="1" x14ac:dyDescent="0.25">
      <c r="A113" s="979" t="str">
        <f>Cultivation!A74</f>
        <v xml:space="preserve"> - Nitrous Oxide Emissions from Soil</v>
      </c>
      <c r="B113" s="727">
        <f>(Unitflowchart!$S$17*(AllocationMass!$F$16/100)*Cultivation!J74)/Unitflowchart!$S$383</f>
        <v>0</v>
      </c>
      <c r="C113" s="26">
        <f>(B113/B$386)*100</f>
        <v>0</v>
      </c>
      <c r="D113" s="148">
        <f>(Unitflowchart!$S$17*(AllocationMass!$F$16/100)*Cultivation!K74)/Unitflowchart!$S$383</f>
        <v>0</v>
      </c>
      <c r="E113" s="727">
        <f>(Unitflowchart!$S$17*(AllocationMass!$F$16/100)*Cultivation!P74)/Unitflowchart!$S$383</f>
        <v>0</v>
      </c>
      <c r="F113" s="26">
        <f>(E113/E$386)*100</f>
        <v>0</v>
      </c>
      <c r="G113" s="148">
        <f>(Unitflowchart!$S$17*(AllocationMass!$F$16/100)*Cultivation!Q74)/Unitflowchart!$S$383</f>
        <v>0</v>
      </c>
      <c r="H113" s="165">
        <f>(Unitflowchart!$S$17*(AllocationMass!$F$16/100)*Cultivation!V74)/Unitflowchart!$S$383</f>
        <v>0</v>
      </c>
      <c r="I113" s="26">
        <f>(H113/H$386)*100</f>
        <v>0</v>
      </c>
      <c r="J113" s="214">
        <f>(Unitflowchart!$S$17*(AllocationMass!$F$16/100)*Cultivation!W74)/Unitflowchart!$S$383</f>
        <v>0</v>
      </c>
      <c r="K113" s="165">
        <f>(Unitflowchart!$S$17*(AllocationMass!$F$16/100)*Cultivation!AB74)/Unitflowchart!$S$383</f>
        <v>5.8026027630487899E-2</v>
      </c>
      <c r="L113" s="26">
        <f>(K113/K$386)*100</f>
        <v>26.860169931732266</v>
      </c>
      <c r="M113" s="214">
        <f>(Unitflowchart!$S$17*(AllocationMass!$F$16/100)*Cultivation!AC74)/Unitflowchart!$S$383</f>
        <v>0</v>
      </c>
      <c r="N113" s="727">
        <f>E113+(GlobalWarmingPotentials!$B$11*H113)+(GlobalWarmingPotentials!$C$11*K113)</f>
        <v>17.175704178624418</v>
      </c>
      <c r="O113" s="26">
        <f>(N113/N$386)*100</f>
        <v>1.9269219494354215</v>
      </c>
      <c r="P113" s="756">
        <f>SQRT((G113^2)+((GlobalWarmingPotentials!$B$11*J113)^2)+((GlobalWarmingPotentials!$C$11*M113)^2))</f>
        <v>0</v>
      </c>
    </row>
    <row r="114" spans="1:16" s="5" customFormat="1" x14ac:dyDescent="0.25">
      <c r="A114" s="979" t="str">
        <f>Cultivation!A75</f>
        <v xml:space="preserve"> - Carbon Dioxide Emissions from Soil</v>
      </c>
      <c r="B114" s="727">
        <f>(Unitflowchart!$S$17*(AllocationMass!$F$16/100)*Cultivation!J75)/Unitflowchart!$S$383</f>
        <v>0</v>
      </c>
      <c r="C114" s="26">
        <f>(B114/B$386)*100</f>
        <v>0</v>
      </c>
      <c r="D114" s="148">
        <f>(Unitflowchart!$S$17*(AllocationMass!$F$16/100)*Cultivation!K75)/Unitflowchart!$S$383</f>
        <v>0</v>
      </c>
      <c r="E114" s="727">
        <f>(Unitflowchart!$S$17*(AllocationMass!$F$16/100)*Cultivation!P75)/Unitflowchart!$S$383</f>
        <v>0</v>
      </c>
      <c r="F114" s="26">
        <f>(E114/E$386)*100</f>
        <v>0</v>
      </c>
      <c r="G114" s="148">
        <f>(Unitflowchart!$S$17*(AllocationMass!$F$16/100)*Cultivation!Q75)/Unitflowchart!$S$383</f>
        <v>0</v>
      </c>
      <c r="H114" s="165">
        <f>(Unitflowchart!$S$17*(AllocationMass!$F$16/100)*Cultivation!V75)/Unitflowchart!$S$383</f>
        <v>0</v>
      </c>
      <c r="I114" s="26">
        <f>(H114/H$386)*100</f>
        <v>0</v>
      </c>
      <c r="J114" s="214">
        <f>(Unitflowchart!$S$17*(AllocationMass!$F$16/100)*Cultivation!W75)/Unitflowchart!$S$383</f>
        <v>0</v>
      </c>
      <c r="K114" s="165">
        <f>(Unitflowchart!$S$17*(AllocationMass!$F$16/100)*Cultivation!AB75)/Unitflowchart!$S$383</f>
        <v>0</v>
      </c>
      <c r="L114" s="26">
        <f>(K114/K$386)*100</f>
        <v>0</v>
      </c>
      <c r="M114" s="214">
        <f>(Unitflowchart!$S$17*(AllocationMass!$F$16/100)*Cultivation!AC75)/Unitflowchart!$S$383</f>
        <v>0</v>
      </c>
      <c r="N114" s="727">
        <f>E114+(GlobalWarmingPotentials!$B$11*H114)+(GlobalWarmingPotentials!$C$11*K114)</f>
        <v>0</v>
      </c>
      <c r="O114" s="26">
        <f>(N114/N$386)*100</f>
        <v>0</v>
      </c>
      <c r="P114" s="756">
        <f>SQRT((G114^2)+((GlobalWarmingPotentials!$B$11*J114)^2)+((GlobalWarmingPotentials!$C$11*M114)^2))</f>
        <v>0</v>
      </c>
    </row>
    <row r="115" spans="1:16" s="43" customFormat="1" x14ac:dyDescent="0.25">
      <c r="A115" s="979"/>
      <c r="B115" s="729"/>
      <c r="C115" s="992"/>
      <c r="D115" s="736"/>
      <c r="E115" s="729"/>
      <c r="F115" s="992"/>
      <c r="G115" s="736"/>
      <c r="H115" s="505"/>
      <c r="I115" s="992"/>
      <c r="J115" s="506"/>
      <c r="K115" s="505"/>
      <c r="L115" s="992"/>
      <c r="M115" s="506"/>
      <c r="N115" s="1006"/>
      <c r="O115" s="992"/>
      <c r="P115" s="1011"/>
    </row>
    <row r="116" spans="1:16" s="7" customFormat="1" x14ac:dyDescent="0.25">
      <c r="A116" s="218" t="s">
        <v>27</v>
      </c>
      <c r="B116" s="1042">
        <f>(Unitflowchart!$S$17*(AllocationMass!$F$16/100)*Cultivation!J77)/Unitflowchart!$S$383</f>
        <v>2267.6113893076836</v>
      </c>
      <c r="C116" s="993">
        <f>(B116/B$386)*100</f>
        <v>17.518112537657011</v>
      </c>
      <c r="D116" s="189">
        <f>(Unitflowchart!$S$17*(AllocationMass!$F$16/100)*Cultivation!K77)/Unitflowchart!$S$383</f>
        <v>168.23950701664418</v>
      </c>
      <c r="E116" s="1042">
        <f>(Unitflowchart!$S$17*(AllocationMass!$F$16/100)*Cultivation!P77)/Unitflowchart!$S$383</f>
        <v>128.59027267043217</v>
      </c>
      <c r="F116" s="993">
        <f>(E116/E$386)*100</f>
        <v>15.986226518565925</v>
      </c>
      <c r="G116" s="189">
        <f>(Unitflowchart!$S$17*(AllocationMass!$F$16/100)*Cultivation!Q77)/Unitflowchart!$S$383</f>
        <v>9.6502802677548889</v>
      </c>
      <c r="H116" s="1043">
        <f>(Unitflowchart!$S$17*(AllocationMass!$F$16/100)*Cultivation!V77)/Unitflowchart!$S$383</f>
        <v>5.3699552136418166E-2</v>
      </c>
      <c r="I116" s="993">
        <f>(H116/H$386)*100</f>
        <v>5.3634495675633955</v>
      </c>
      <c r="J116" s="1044">
        <f>(Unitflowchart!$S$17*(AllocationMass!$F$16/100)*Cultivation!W77)/Unitflowchart!$S$383</f>
        <v>4.6085854516426548E-3</v>
      </c>
      <c r="K116" s="1043">
        <f>(Unitflowchart!$S$17*(AllocationMass!$F$16/100)*Cultivation!AB77)/Unitflowchart!$S$383</f>
        <v>6.4837683528156748E-2</v>
      </c>
      <c r="L116" s="993">
        <f>(K116/K$386)*100</f>
        <v>30.013276260033461</v>
      </c>
      <c r="M116" s="1044">
        <f>(Unitflowchart!$S$17*(AllocationMass!$F$16/100)*Cultivation!AC77)/Unitflowchart!$S$383</f>
        <v>6.7962719175269259E-8</v>
      </c>
      <c r="N116" s="730">
        <f>E116+(GlobalWarmingPotentials!$B$11*H116)+(GlobalWarmingPotentials!$C$11*K116)</f>
        <v>149.01731669390421</v>
      </c>
      <c r="O116" s="15">
        <f>(N116/N$386)*100</f>
        <v>16.718076615502735</v>
      </c>
      <c r="P116" s="759">
        <f>SQRT((G116^2)+((GlobalWarmingPotentials!$B$11*J116)^2)+((GlobalWarmingPotentials!$C$11*M116)^2))</f>
        <v>9.65086238163682</v>
      </c>
    </row>
    <row r="117" spans="1:16" x14ac:dyDescent="0.25">
      <c r="A117" s="979"/>
      <c r="B117" s="729"/>
      <c r="C117" s="992"/>
      <c r="D117" s="736"/>
      <c r="E117" s="729"/>
      <c r="F117" s="992"/>
      <c r="G117" s="736"/>
      <c r="H117" s="505"/>
      <c r="I117" s="992"/>
      <c r="J117" s="506"/>
      <c r="K117" s="505"/>
      <c r="L117" s="992"/>
      <c r="M117" s="506"/>
      <c r="N117" s="729"/>
      <c r="O117" s="992"/>
      <c r="P117" s="758"/>
    </row>
    <row r="118" spans="1:16" x14ac:dyDescent="0.25">
      <c r="A118" s="154" t="s">
        <v>1145</v>
      </c>
      <c r="B118" s="729"/>
      <c r="C118" s="992"/>
      <c r="D118" s="736"/>
      <c r="E118" s="729"/>
      <c r="F118" s="992"/>
      <c r="G118" s="736"/>
      <c r="H118" s="505"/>
      <c r="I118" s="992"/>
      <c r="J118" s="506"/>
      <c r="K118" s="505"/>
      <c r="L118" s="992"/>
      <c r="M118" s="506"/>
      <c r="N118" s="729"/>
      <c r="O118" s="992"/>
      <c r="P118" s="758"/>
    </row>
    <row r="119" spans="1:16" x14ac:dyDescent="0.25">
      <c r="A119" s="154" t="str">
        <f>Harvesting!A17</f>
        <v>MAIN LAND USE</v>
      </c>
      <c r="B119" s="729"/>
      <c r="C119" s="992"/>
      <c r="D119" s="736"/>
      <c r="E119" s="729"/>
      <c r="F119" s="992"/>
      <c r="G119" s="736"/>
      <c r="H119" s="505"/>
      <c r="I119" s="992"/>
      <c r="J119" s="506"/>
      <c r="K119" s="505"/>
      <c r="L119" s="992"/>
      <c r="M119" s="506"/>
      <c r="N119" s="729"/>
      <c r="O119" s="992"/>
      <c r="P119" s="758"/>
    </row>
    <row r="120" spans="1:16" x14ac:dyDescent="0.25">
      <c r="A120" s="154" t="str">
        <f>Harvesting!A18</f>
        <v xml:space="preserve"> Diesel Fuel</v>
      </c>
      <c r="B120" s="729"/>
      <c r="C120" s="992"/>
      <c r="D120" s="736"/>
      <c r="E120" s="729"/>
      <c r="F120" s="992"/>
      <c r="G120" s="736"/>
      <c r="H120" s="505"/>
      <c r="I120" s="992"/>
      <c r="J120" s="506"/>
      <c r="K120" s="505"/>
      <c r="L120" s="992"/>
      <c r="M120" s="506"/>
      <c r="N120" s="729"/>
      <c r="O120" s="992"/>
      <c r="P120" s="758"/>
    </row>
    <row r="121" spans="1:16" x14ac:dyDescent="0.25">
      <c r="A121" s="979" t="str">
        <f>Harvesting!A19</f>
        <v>Mower conditioner</v>
      </c>
      <c r="B121" s="727">
        <f>(Unitflowchart!$S$17*(AllocationMass!$F$16/100)*Harvesting!J19)/Unitflowchart!$S$383</f>
        <v>117.14580485391284</v>
      </c>
      <c r="C121" s="26">
        <f>(B121/B$386)*100</f>
        <v>0.904993422780344</v>
      </c>
      <c r="D121" s="148">
        <f>(Unitflowchart!$S$17*(AllocationMass!$F$16/100)*Harvesting!K19)/Unitflowchart!$S$383</f>
        <v>0</v>
      </c>
      <c r="E121" s="727">
        <f>(Unitflowchart!$S$17*(AllocationMass!$F$16/100)*Harvesting!P19)/Unitflowchart!$S$383</f>
        <v>8.4065489037756649</v>
      </c>
      <c r="F121" s="26">
        <f>(E121/E$386)*100</f>
        <v>1.0450945644978091</v>
      </c>
      <c r="G121" s="148">
        <f>(Unitflowchart!$S$17*(AllocationMass!$F$16/100)*Harvesting!Q19)/Unitflowchart!$S$383</f>
        <v>0</v>
      </c>
      <c r="H121" s="165">
        <f>(Unitflowchart!$S$17*(AllocationMass!$F$16/100)*Harvesting!V19)/Unitflowchart!$S$383</f>
        <v>1.7468153566287097E-3</v>
      </c>
      <c r="I121" s="26">
        <f>(H121/H$386)*100</f>
        <v>0.17446991076056811</v>
      </c>
      <c r="J121" s="214">
        <f>(Unitflowchart!$S$17*(AllocationMass!$F$16/100)*Harvesting!W19)/Unitflowchart!$S$383</f>
        <v>0</v>
      </c>
      <c r="K121" s="165">
        <f>(Unitflowchart!$S$17*(AllocationMass!$F$16/100)*Harvesting!AB19)/Unitflowchart!$S$383</f>
        <v>2.2708599636173227E-3</v>
      </c>
      <c r="L121" s="26">
        <f>(K121/K$386)*100</f>
        <v>1.0511780144998315</v>
      </c>
      <c r="M121" s="214">
        <f>(Unitflowchart!$S$17*(AllocationMass!$F$16/100)*Harvesting!AC19)/Unitflowchart!$S$383</f>
        <v>0</v>
      </c>
      <c r="N121" s="727">
        <f>E121+(GlobalWarmingPotentials!$B$11*H121)+(GlobalWarmingPotentials!$C$11*K121)</f>
        <v>9.1189002062088527</v>
      </c>
      <c r="O121" s="26">
        <f>(N121/N$386)*100</f>
        <v>1.023038635232381</v>
      </c>
      <c r="P121" s="756">
        <f>SQRT((G121^2)+((GlobalWarmingPotentials!$B$11*J121)^2)+((GlobalWarmingPotentials!$C$11*M121)^2))</f>
        <v>0</v>
      </c>
    </row>
    <row r="122" spans="1:16" x14ac:dyDescent="0.25">
      <c r="A122" s="979" t="str">
        <f>Harvesting!A20</f>
        <v>Baler</v>
      </c>
      <c r="B122" s="727">
        <f>(Unitflowchart!$S$17*(AllocationMass!$F$16/100)*Harvesting!J20)/Unitflowchart!$S$383</f>
        <v>150.61603481217364</v>
      </c>
      <c r="C122" s="26">
        <f>(B122/B$386)*100</f>
        <v>1.1635629721461567</v>
      </c>
      <c r="D122" s="148">
        <f>(Unitflowchart!$S$17*(AllocationMass!$F$16/100)*Harvesting!K20)/Unitflowchart!$S$383</f>
        <v>0</v>
      </c>
      <c r="E122" s="727">
        <f>(Unitflowchart!$S$17*(AllocationMass!$F$16/100)*Harvesting!P20)/Unitflowchart!$S$383</f>
        <v>10.808420019140142</v>
      </c>
      <c r="F122" s="26">
        <f>(E122/E$386)*100</f>
        <v>1.3436930114971835</v>
      </c>
      <c r="G122" s="148">
        <f>(Unitflowchart!$S$17*(AllocationMass!$F$16/100)*Harvesting!Q20)/Unitflowchart!$S$383</f>
        <v>0</v>
      </c>
      <c r="H122" s="165">
        <f>(Unitflowchart!$S$17*(AllocationMass!$F$16/100)*Harvesting!V20)/Unitflowchart!$S$383</f>
        <v>2.2459054585226268E-3</v>
      </c>
      <c r="I122" s="26">
        <f>(H122/H$386)*100</f>
        <v>0.224318456692159</v>
      </c>
      <c r="J122" s="214">
        <f>(Unitflowchart!$S$17*(AllocationMass!$F$16/100)*Harvesting!W20)/Unitflowchart!$S$383</f>
        <v>0</v>
      </c>
      <c r="K122" s="165">
        <f>(Unitflowchart!$S$17*(AllocationMass!$F$16/100)*Harvesting!AB20)/Unitflowchart!$S$383</f>
        <v>2.9196770960794147E-3</v>
      </c>
      <c r="L122" s="26">
        <f>(K122/K$386)*100</f>
        <v>1.3515145900712118</v>
      </c>
      <c r="M122" s="214">
        <f>(Unitflowchart!$S$17*(AllocationMass!$F$16/100)*Harvesting!AC20)/Unitflowchart!$S$383</f>
        <v>0</v>
      </c>
      <c r="N122" s="727">
        <f>E122+(GlobalWarmingPotentials!$B$11*H122)+(GlobalWarmingPotentials!$C$11*K122)</f>
        <v>11.72430026512567</v>
      </c>
      <c r="O122" s="26">
        <f>(N122/N$386)*100</f>
        <v>1.3153353881559189</v>
      </c>
      <c r="P122" s="756">
        <f>SQRT((G122^2)+((GlobalWarmingPotentials!$B$11*J122)^2)+((GlobalWarmingPotentials!$C$11*M122)^2))</f>
        <v>0</v>
      </c>
    </row>
    <row r="123" spans="1:16" x14ac:dyDescent="0.25">
      <c r="A123" s="979" t="str">
        <f>Harvesting!A21</f>
        <v>Tractor and trailer</v>
      </c>
      <c r="B123" s="727">
        <f>(Unitflowchart!$S$17*(AllocationMass!$F$16/100)*Harvesting!J21)/Unitflowchart!$S$383</f>
        <v>101.46429006541904</v>
      </c>
      <c r="C123" s="26">
        <f>(B123/B$386)*100</f>
        <v>0.78384808803688177</v>
      </c>
      <c r="D123" s="148">
        <f>(Unitflowchart!$S$17*(AllocationMass!$F$16/100)*Harvesting!K21)/Unitflowchart!$S$383</f>
        <v>0</v>
      </c>
      <c r="E123" s="727">
        <f>(Unitflowchart!$S$17*(AllocationMass!$F$16/100)*Harvesting!P21)/Unitflowchart!$S$383</f>
        <v>7.2812211882919522</v>
      </c>
      <c r="F123" s="26">
        <f>(E123/E$386)*100</f>
        <v>0.90519483962943292</v>
      </c>
      <c r="G123" s="148">
        <f>(Unitflowchart!$S$17*(AllocationMass!$F$16/100)*Harvesting!Q21)/Unitflowchart!$S$383</f>
        <v>0</v>
      </c>
      <c r="H123" s="165">
        <f>(Unitflowchart!$S$17*(AllocationMass!$F$16/100)*Harvesting!V21)/Unitflowchart!$S$383</f>
        <v>1.5129810261385877E-3</v>
      </c>
      <c r="I123" s="26">
        <f>(H123/H$386)*100</f>
        <v>0.15111480650266551</v>
      </c>
      <c r="J123" s="214">
        <f>(Unitflowchart!$S$17*(AllocationMass!$F$16/100)*Harvesting!W21)/Unitflowchart!$S$383</f>
        <v>0</v>
      </c>
      <c r="K123" s="165">
        <f>(Unitflowchart!$S$17*(AllocationMass!$F$16/100)*Harvesting!AB21)/Unitflowchart!$S$383</f>
        <v>1.9668753339801641E-3</v>
      </c>
      <c r="L123" s="26">
        <f>(K123/K$386)*100</f>
        <v>0.91046393941814008</v>
      </c>
      <c r="M123" s="214">
        <f>(Unitflowchart!$S$17*(AllocationMass!$F$16/100)*Harvesting!AC21)/Unitflowchart!$S$383</f>
        <v>0</v>
      </c>
      <c r="N123" s="727">
        <f>E123+(GlobalWarmingPotentials!$B$11*H123)+(GlobalWarmingPotentials!$C$11*K123)</f>
        <v>7.8982148507512679</v>
      </c>
      <c r="O123" s="26">
        <f>(N123/N$386)*100</f>
        <v>0.88609138810216281</v>
      </c>
      <c r="P123" s="756">
        <f>SQRT((G123^2)+((GlobalWarmingPotentials!$B$11*J123)^2)+((GlobalWarmingPotentials!$C$11*M123)^2))</f>
        <v>0</v>
      </c>
    </row>
    <row r="124" spans="1:16" s="43" customFormat="1" x14ac:dyDescent="0.25">
      <c r="A124" s="979"/>
      <c r="B124" s="729"/>
      <c r="C124" s="992"/>
      <c r="D124" s="736"/>
      <c r="E124" s="729"/>
      <c r="F124" s="992"/>
      <c r="G124" s="736"/>
      <c r="H124" s="505"/>
      <c r="I124" s="992"/>
      <c r="J124" s="506"/>
      <c r="K124" s="505"/>
      <c r="L124" s="992"/>
      <c r="M124" s="506"/>
      <c r="N124" s="729"/>
      <c r="O124" s="992"/>
      <c r="P124" s="758"/>
    </row>
    <row r="125" spans="1:16" x14ac:dyDescent="0.25">
      <c r="A125" s="979" t="str">
        <f>Harvesting!A23</f>
        <v>Sub-totals for diesel fuel</v>
      </c>
      <c r="B125" s="727">
        <f>(Unitflowchart!$S$17*(AllocationMass!$F$16/100)*Harvesting!J23)/Unitflowchart!$S$383</f>
        <v>369.22612973150552</v>
      </c>
      <c r="C125" s="26">
        <f>(B125/B$386)*100</f>
        <v>2.8524044829633826</v>
      </c>
      <c r="D125" s="148">
        <f>(Unitflowchart!$S$17*(AllocationMass!$F$16/100)*Harvesting!K23)/Unitflowchart!$S$383</f>
        <v>0</v>
      </c>
      <c r="E125" s="727">
        <f>(Unitflowchart!$S$17*(AllocationMass!$F$16/100)*Harvesting!P23)/Unitflowchart!$S$383</f>
        <v>26.49619011120776</v>
      </c>
      <c r="F125" s="26">
        <f>(E125/E$386)*100</f>
        <v>3.2939824156244253</v>
      </c>
      <c r="G125" s="148">
        <f>(Unitflowchart!$S$17*(AllocationMass!$F$16/100)*Harvesting!Q23)/Unitflowchart!$S$383</f>
        <v>0</v>
      </c>
      <c r="H125" s="165">
        <f>(Unitflowchart!$S$17*(AllocationMass!$F$16/100)*Harvesting!V23)/Unitflowchart!$S$383</f>
        <v>5.505701841289924E-3</v>
      </c>
      <c r="I125" s="26">
        <f>(H125/H$386)*100</f>
        <v>0.54990317395539268</v>
      </c>
      <c r="J125" s="214">
        <f>(Unitflowchart!$S$17*(AllocationMass!$F$16/100)*Harvesting!W23)/Unitflowchart!$S$383</f>
        <v>0</v>
      </c>
      <c r="K125" s="165">
        <f>(Unitflowchart!$S$17*(AllocationMass!$F$16/100)*Harvesting!AB23)/Unitflowchart!$S$383</f>
        <v>7.157412393676902E-3</v>
      </c>
      <c r="L125" s="26">
        <f>(K125/K$386)*100</f>
        <v>3.3131565439891841</v>
      </c>
      <c r="M125" s="214">
        <f>(Unitflowchart!$S$17*(AllocationMass!$F$16/100)*Harvesting!AC23)/Unitflowchart!$S$383</f>
        <v>0</v>
      </c>
      <c r="N125" s="727">
        <f>E125+(GlobalWarmingPotentials!$B$11*H125)+(GlobalWarmingPotentials!$C$11*K125)</f>
        <v>28.741415322085793</v>
      </c>
      <c r="O125" s="26">
        <f>(N125/N$386)*100</f>
        <v>3.2244654114904634</v>
      </c>
      <c r="P125" s="756">
        <f>SQRT((G125^2)+((GlobalWarmingPotentials!$B$11*J125)^2)+((GlobalWarmingPotentials!$C$11*M125)^2))</f>
        <v>0</v>
      </c>
    </row>
    <row r="126" spans="1:16" s="43" customFormat="1" x14ac:dyDescent="0.25">
      <c r="A126" s="979"/>
      <c r="B126" s="729"/>
      <c r="C126" s="992"/>
      <c r="D126" s="736"/>
      <c r="E126" s="729"/>
      <c r="F126" s="992"/>
      <c r="G126" s="736"/>
      <c r="H126" s="505"/>
      <c r="I126" s="992"/>
      <c r="J126" s="506"/>
      <c r="K126" s="505"/>
      <c r="L126" s="992"/>
      <c r="M126" s="506"/>
      <c r="N126" s="729"/>
      <c r="O126" s="992"/>
      <c r="P126" s="758"/>
    </row>
    <row r="127" spans="1:16" x14ac:dyDescent="0.25">
      <c r="A127" s="979" t="str">
        <f>Harvesting!A25</f>
        <v xml:space="preserve"> Machinery</v>
      </c>
      <c r="B127" s="727">
        <f>(Unitflowchart!$S$17*(AllocationMass!$F$16/100)*Harvesting!J25)/Unitflowchart!$S$383</f>
        <v>0</v>
      </c>
      <c r="C127" s="26">
        <f>(B127/B$386)*100</f>
        <v>0</v>
      </c>
      <c r="D127" s="148">
        <f>(Unitflowchart!$S$17*(AllocationMass!$F$16/100)*Harvesting!K25)/Unitflowchart!$S$383</f>
        <v>0</v>
      </c>
      <c r="E127" s="727">
        <f>(Unitflowchart!$S$17*(AllocationMass!$F$16/100)*Harvesting!P25)/Unitflowchart!$S$383</f>
        <v>0</v>
      </c>
      <c r="F127" s="26">
        <f>(E127/E$386)*100</f>
        <v>0</v>
      </c>
      <c r="G127" s="148">
        <f>(Unitflowchart!$S$17*(AllocationMass!$F$16/100)*Harvesting!Q25)/Unitflowchart!$S$383</f>
        <v>0</v>
      </c>
      <c r="H127" s="165">
        <f>(Unitflowchart!$S$17*(AllocationMass!$F$16/100)*Harvesting!V25)/Unitflowchart!$S$383</f>
        <v>0</v>
      </c>
      <c r="I127" s="26">
        <f>(H127/H$386)*100</f>
        <v>0</v>
      </c>
      <c r="J127" s="214">
        <f>(Unitflowchart!$S$17*(AllocationMass!$F$16/100)*Harvesting!W25)/Unitflowchart!$S$383</f>
        <v>0</v>
      </c>
      <c r="K127" s="165">
        <f>(Unitflowchart!$S$17*(AllocationMass!$F$16/100)*Harvesting!AB25)/Unitflowchart!$S$383</f>
        <v>0</v>
      </c>
      <c r="L127" s="26">
        <f>(K127/K$386)*100</f>
        <v>0</v>
      </c>
      <c r="M127" s="214">
        <f>(Unitflowchart!$S$17*(AllocationMass!$F$16/100)*Harvesting!AC25)/Unitflowchart!$S$383</f>
        <v>0</v>
      </c>
      <c r="N127" s="727">
        <f>E127+(GlobalWarmingPotentials!$B$11*H127)+(GlobalWarmingPotentials!$C$11*K127)</f>
        <v>0</v>
      </c>
      <c r="O127" s="26">
        <f>(N127/N$386)*100</f>
        <v>0</v>
      </c>
      <c r="P127" s="756">
        <f>SQRT((G127^2)+((GlobalWarmingPotentials!$B$11*J127)^2)+((GlobalWarmingPotentials!$C$11*M127)^2))</f>
        <v>0</v>
      </c>
    </row>
    <row r="128" spans="1:16" x14ac:dyDescent="0.25">
      <c r="A128" s="979" t="str">
        <f>Harvesting!A26</f>
        <v>Mower conditioner</v>
      </c>
      <c r="B128" s="727">
        <f>(Unitflowchart!$S$17*(AllocationMass!$F$16/100)*Harvesting!J26)/Unitflowchart!$S$383</f>
        <v>0</v>
      </c>
      <c r="C128" s="26">
        <f>(B128/B$386)*100</f>
        <v>0</v>
      </c>
      <c r="D128" s="148">
        <f>(Unitflowchart!$S$17*(AllocationMass!$F$16/100)*Harvesting!K26)/Unitflowchart!$S$383</f>
        <v>0</v>
      </c>
      <c r="E128" s="727">
        <f>(Unitflowchart!$S$17*(AllocationMass!$F$16/100)*Harvesting!P26)/Unitflowchart!$S$383</f>
        <v>0</v>
      </c>
      <c r="F128" s="26">
        <f>(E128/E$386)*100</f>
        <v>0</v>
      </c>
      <c r="G128" s="148">
        <f>(Unitflowchart!$S$17*(AllocationMass!$F$16/100)*Harvesting!Q26)/Unitflowchart!$S$383</f>
        <v>0</v>
      </c>
      <c r="H128" s="165">
        <f>(Unitflowchart!$S$17*(AllocationMass!$F$16/100)*Harvesting!V26)/Unitflowchart!$S$383</f>
        <v>0</v>
      </c>
      <c r="I128" s="26">
        <f>(H128/H$386)*100</f>
        <v>0</v>
      </c>
      <c r="J128" s="214">
        <f>(Unitflowchart!$S$17*(AllocationMass!$F$16/100)*Harvesting!W26)/Unitflowchart!$S$383</f>
        <v>0</v>
      </c>
      <c r="K128" s="165">
        <f>(Unitflowchart!$S$17*(AllocationMass!$F$16/100)*Harvesting!AB26)/Unitflowchart!$S$383</f>
        <v>0</v>
      </c>
      <c r="L128" s="26">
        <f>(K128/K$386)*100</f>
        <v>0</v>
      </c>
      <c r="M128" s="214">
        <f>(Unitflowchart!$S$17*(AllocationMass!$F$16/100)*Harvesting!AC26)/Unitflowchart!$S$383</f>
        <v>0</v>
      </c>
      <c r="N128" s="727">
        <f>E128+(GlobalWarmingPotentials!$B$11*H128)+(GlobalWarmingPotentials!$C$11*K128)</f>
        <v>0</v>
      </c>
      <c r="O128" s="26">
        <f>(N128/N$386)*100</f>
        <v>0</v>
      </c>
      <c r="P128" s="756">
        <f>SQRT((G128^2)+((GlobalWarmingPotentials!$B$11*J128)^2)+((GlobalWarmingPotentials!$C$11*M128)^2))</f>
        <v>0</v>
      </c>
    </row>
    <row r="129" spans="1:16" x14ac:dyDescent="0.25">
      <c r="A129" s="979" t="str">
        <f>Harvesting!A27</f>
        <v>Baler</v>
      </c>
      <c r="B129" s="727">
        <f>(Unitflowchart!$S$17*(AllocationMass!$F$16/100)*Harvesting!J27)/Unitflowchart!$S$383</f>
        <v>0</v>
      </c>
      <c r="C129" s="26">
        <f>(B129/B$386)*100</f>
        <v>0</v>
      </c>
      <c r="D129" s="148">
        <f>(Unitflowchart!$S$17*(AllocationMass!$F$16/100)*Harvesting!K27)/Unitflowchart!$S$383</f>
        <v>0</v>
      </c>
      <c r="E129" s="727">
        <f>(Unitflowchart!$S$17*(AllocationMass!$F$16/100)*Harvesting!P27)/Unitflowchart!$S$383</f>
        <v>0</v>
      </c>
      <c r="F129" s="26">
        <f>(E129/E$386)*100</f>
        <v>0</v>
      </c>
      <c r="G129" s="148">
        <f>(Unitflowchart!$S$17*(AllocationMass!$F$16/100)*Harvesting!Q27)/Unitflowchart!$S$383</f>
        <v>0</v>
      </c>
      <c r="H129" s="165">
        <f>(Unitflowchart!$S$17*(AllocationMass!$F$16/100)*Harvesting!V27)/Unitflowchart!$S$383</f>
        <v>0</v>
      </c>
      <c r="I129" s="26">
        <f>(H129/H$386)*100</f>
        <v>0</v>
      </c>
      <c r="J129" s="214">
        <f>(Unitflowchart!$S$17*(AllocationMass!$F$16/100)*Harvesting!W27)/Unitflowchart!$S$383</f>
        <v>0</v>
      </c>
      <c r="K129" s="165">
        <f>(Unitflowchart!$S$17*(AllocationMass!$F$16/100)*Harvesting!AB27)/Unitflowchart!$S$383</f>
        <v>0</v>
      </c>
      <c r="L129" s="26">
        <f>(K129/K$386)*100</f>
        <v>0</v>
      </c>
      <c r="M129" s="214">
        <f>(Unitflowchart!$S$17*(AllocationMass!$F$16/100)*Harvesting!AC27)/Unitflowchart!$S$383</f>
        <v>0</v>
      </c>
      <c r="N129" s="727">
        <f>E129+(GlobalWarmingPotentials!$B$11*H129)+(GlobalWarmingPotentials!$C$11*K129)</f>
        <v>0</v>
      </c>
      <c r="O129" s="26">
        <f>(N129/N$386)*100</f>
        <v>0</v>
      </c>
      <c r="P129" s="756">
        <f>SQRT((G129^2)+((GlobalWarmingPotentials!$B$11*J129)^2)+((GlobalWarmingPotentials!$C$11*M129)^2))</f>
        <v>0</v>
      </c>
    </row>
    <row r="130" spans="1:16" x14ac:dyDescent="0.25">
      <c r="A130" s="979" t="str">
        <f>Harvesting!A28</f>
        <v>Tractor</v>
      </c>
      <c r="B130" s="727">
        <f>(Unitflowchart!$S$17*(AllocationMass!$F$16/100)*Harvesting!J28)/Unitflowchart!$S$383</f>
        <v>0</v>
      </c>
      <c r="C130" s="26">
        <f>(B130/B$386)*100</f>
        <v>0</v>
      </c>
      <c r="D130" s="148">
        <f>(Unitflowchart!$S$17*(AllocationMass!$F$16/100)*Harvesting!K28)/Unitflowchart!$S$383</f>
        <v>0</v>
      </c>
      <c r="E130" s="727">
        <f>(Unitflowchart!$S$17*(AllocationMass!$F$16/100)*Harvesting!P28)/Unitflowchart!$S$383</f>
        <v>0</v>
      </c>
      <c r="F130" s="26">
        <f>(E130/E$386)*100</f>
        <v>0</v>
      </c>
      <c r="G130" s="148">
        <f>(Unitflowchart!$S$17*(AllocationMass!$F$16/100)*Harvesting!Q28)/Unitflowchart!$S$383</f>
        <v>0</v>
      </c>
      <c r="H130" s="165">
        <f>(Unitflowchart!$S$17*(AllocationMass!$F$16/100)*Harvesting!V28)/Unitflowchart!$S$383</f>
        <v>0</v>
      </c>
      <c r="I130" s="26">
        <f>(H130/H$386)*100</f>
        <v>0</v>
      </c>
      <c r="J130" s="214">
        <f>(Unitflowchart!$S$17*(AllocationMass!$F$16/100)*Harvesting!W28)/Unitflowchart!$S$383</f>
        <v>0</v>
      </c>
      <c r="K130" s="165">
        <f>(Unitflowchart!$S$17*(AllocationMass!$F$16/100)*Harvesting!AB28)/Unitflowchart!$S$383</f>
        <v>0</v>
      </c>
      <c r="L130" s="26">
        <f>(K130/K$386)*100</f>
        <v>0</v>
      </c>
      <c r="M130" s="214">
        <f>(Unitflowchart!$S$17*(AllocationMass!$F$16/100)*Harvesting!AC28)/Unitflowchart!$S$383</f>
        <v>0</v>
      </c>
      <c r="N130" s="727">
        <f>E130+(GlobalWarmingPotentials!$B$11*H130)+(GlobalWarmingPotentials!$C$11*K130)</f>
        <v>0</v>
      </c>
      <c r="O130" s="26">
        <f>(N130/N$386)*100</f>
        <v>0</v>
      </c>
      <c r="P130" s="756">
        <f>SQRT((G130^2)+((GlobalWarmingPotentials!$B$11*J130)^2)+((GlobalWarmingPotentials!$C$11*M130)^2))</f>
        <v>0</v>
      </c>
    </row>
    <row r="131" spans="1:16" x14ac:dyDescent="0.25">
      <c r="A131" s="979" t="str">
        <f>Harvesting!A29</f>
        <v>Trailer</v>
      </c>
      <c r="B131" s="727">
        <f>(Unitflowchart!$S$17*(AllocationMass!$F$16/100)*Harvesting!J29)/Unitflowchart!$S$383</f>
        <v>0</v>
      </c>
      <c r="C131" s="26">
        <f>(B131/B$386)*100</f>
        <v>0</v>
      </c>
      <c r="D131" s="148">
        <f>(Unitflowchart!$S$17*(AllocationMass!$F$16/100)*Harvesting!K29)/Unitflowchart!$S$383</f>
        <v>0</v>
      </c>
      <c r="E131" s="727">
        <f>(Unitflowchart!$S$17*(AllocationMass!$F$16/100)*Harvesting!P29)/Unitflowchart!$S$383</f>
        <v>0</v>
      </c>
      <c r="F131" s="26">
        <f>(E131/E$386)*100</f>
        <v>0</v>
      </c>
      <c r="G131" s="148">
        <f>(Unitflowchart!$S$17*(AllocationMass!$F$16/100)*Harvesting!Q29)/Unitflowchart!$S$383</f>
        <v>0</v>
      </c>
      <c r="H131" s="165">
        <f>(Unitflowchart!$S$17*(AllocationMass!$F$16/100)*Harvesting!V29)/Unitflowchart!$S$383</f>
        <v>0</v>
      </c>
      <c r="I131" s="26">
        <f>(H131/H$386)*100</f>
        <v>0</v>
      </c>
      <c r="J131" s="214">
        <f>(Unitflowchart!$S$17*(AllocationMass!$F$16/100)*Harvesting!W29)/Unitflowchart!$S$383</f>
        <v>0</v>
      </c>
      <c r="K131" s="165">
        <f>(Unitflowchart!$S$17*(AllocationMass!$F$16/100)*Harvesting!AB29)/Unitflowchart!$S$383</f>
        <v>0</v>
      </c>
      <c r="L131" s="26">
        <f>(K131/K$386)*100</f>
        <v>0</v>
      </c>
      <c r="M131" s="214">
        <f>(Unitflowchart!$S$17*(AllocationMass!$F$16/100)*Harvesting!AC29)/Unitflowchart!$S$383</f>
        <v>0</v>
      </c>
      <c r="N131" s="727">
        <f>E131+(GlobalWarmingPotentials!$B$11*H131)+(GlobalWarmingPotentials!$C$11*K131)</f>
        <v>0</v>
      </c>
      <c r="O131" s="26">
        <f>(N131/N$386)*100</f>
        <v>0</v>
      </c>
      <c r="P131" s="756">
        <f>SQRT((G131^2)+((GlobalWarmingPotentials!$B$11*J131)^2)+((GlobalWarmingPotentials!$C$11*M131)^2))</f>
        <v>0</v>
      </c>
    </row>
    <row r="132" spans="1:16" s="43" customFormat="1" x14ac:dyDescent="0.25">
      <c r="A132" s="979"/>
      <c r="B132" s="729"/>
      <c r="C132" s="992"/>
      <c r="D132" s="736"/>
      <c r="E132" s="729"/>
      <c r="F132" s="992"/>
      <c r="G132" s="736"/>
      <c r="H132" s="505"/>
      <c r="I132" s="992"/>
      <c r="J132" s="506"/>
      <c r="K132" s="505"/>
      <c r="L132" s="992"/>
      <c r="M132" s="506"/>
      <c r="N132" s="1006"/>
      <c r="O132" s="992"/>
      <c r="P132" s="1011"/>
    </row>
    <row r="133" spans="1:16" x14ac:dyDescent="0.25">
      <c r="A133" s="979" t="str">
        <f>Harvesting!A31</f>
        <v>Sub-totals for machinery</v>
      </c>
      <c r="B133" s="727">
        <f>(Unitflowchart!$S$17*(AllocationMass!$F$16/100)*Harvesting!J31)/Unitflowchart!$S$383</f>
        <v>0</v>
      </c>
      <c r="C133" s="26">
        <f>(B133/B$386)*100</f>
        <v>0</v>
      </c>
      <c r="D133" s="148">
        <f>(Unitflowchart!$S$17*(AllocationMass!$F$16/100)*Harvesting!K31)/Unitflowchart!$S$383</f>
        <v>0</v>
      </c>
      <c r="E133" s="727">
        <f>(Unitflowchart!$S$17*(AllocationMass!$F$16/100)*Harvesting!P31)/Unitflowchart!$S$383</f>
        <v>0</v>
      </c>
      <c r="F133" s="26">
        <f>(E133/E$386)*100</f>
        <v>0</v>
      </c>
      <c r="G133" s="148">
        <f>(Unitflowchart!$S$17*(AllocationMass!$F$16/100)*Harvesting!Q31)/Unitflowchart!$S$383</f>
        <v>0</v>
      </c>
      <c r="H133" s="165">
        <f>(Unitflowchart!$S$17*(AllocationMass!$F$16/100)*Harvesting!V31)/Unitflowchart!$S$383</f>
        <v>0</v>
      </c>
      <c r="I133" s="26">
        <f>(H133/H$386)*100</f>
        <v>0</v>
      </c>
      <c r="J133" s="214">
        <f>(Unitflowchart!$S$17*(AllocationMass!$F$16/100)*Harvesting!W31)/Unitflowchart!$S$383</f>
        <v>0</v>
      </c>
      <c r="K133" s="165">
        <f>(Unitflowchart!$S$17*(AllocationMass!$F$16/100)*Harvesting!AB31)/Unitflowchart!$S$383</f>
        <v>0</v>
      </c>
      <c r="L133" s="26">
        <f>(K133/K$386)*100</f>
        <v>0</v>
      </c>
      <c r="M133" s="214">
        <f>(Unitflowchart!$S$17*(AllocationMass!$F$16/100)*Harvesting!AC31)/Unitflowchart!$S$383</f>
        <v>0</v>
      </c>
      <c r="N133" s="727">
        <f>E133+(GlobalWarmingPotentials!$B$11*H133)+(GlobalWarmingPotentials!$C$11*K133)</f>
        <v>0</v>
      </c>
      <c r="O133" s="26">
        <f>(N133/N$386)*100</f>
        <v>0</v>
      </c>
      <c r="P133" s="756">
        <f>SQRT((G133^2)+((GlobalWarmingPotentials!$B$11*J133)^2)+((GlobalWarmingPotentials!$C$11*M133)^2))</f>
        <v>0</v>
      </c>
    </row>
    <row r="134" spans="1:16" s="43" customFormat="1" x14ac:dyDescent="0.25">
      <c r="A134" s="979"/>
      <c r="B134" s="729"/>
      <c r="C134" s="992"/>
      <c r="D134" s="736"/>
      <c r="E134" s="729"/>
      <c r="F134" s="992"/>
      <c r="G134" s="736"/>
      <c r="H134" s="505"/>
      <c r="I134" s="992"/>
      <c r="J134" s="506"/>
      <c r="K134" s="505"/>
      <c r="L134" s="992"/>
      <c r="M134" s="506"/>
      <c r="N134" s="729"/>
      <c r="O134" s="992"/>
      <c r="P134" s="758"/>
    </row>
    <row r="135" spans="1:16" x14ac:dyDescent="0.25">
      <c r="A135" s="979" t="str">
        <f>Harvesting!A33</f>
        <v xml:space="preserve"> Maintenance</v>
      </c>
      <c r="B135" s="727">
        <f>(Unitflowchart!$S$17*(AllocationMass!$F$16/100)*Harvesting!J33)/Unitflowchart!$S$383</f>
        <v>0</v>
      </c>
      <c r="C135" s="26">
        <f>(B135/B$386)*100</f>
        <v>0</v>
      </c>
      <c r="D135" s="148">
        <f>(Unitflowchart!$S$17*(AllocationMass!$F$16/100)*Harvesting!K33)/Unitflowchart!$S$383</f>
        <v>0</v>
      </c>
      <c r="E135" s="727">
        <f>(Unitflowchart!$S$17*(AllocationMass!$F$16/100)*Harvesting!P33)/Unitflowchart!$S$383</f>
        <v>0</v>
      </c>
      <c r="F135" s="26">
        <f>(E135/E$386)*100</f>
        <v>0</v>
      </c>
      <c r="G135" s="148">
        <f>(Unitflowchart!$S$17*(AllocationMass!$F$16/100)*Harvesting!Q33)/Unitflowchart!$S$383</f>
        <v>0</v>
      </c>
      <c r="H135" s="165">
        <f>(Unitflowchart!$S$17*(AllocationMass!$F$16/100)*Harvesting!V33)/Unitflowchart!$S$383</f>
        <v>0</v>
      </c>
      <c r="I135" s="26">
        <f>(H135/H$386)*100</f>
        <v>0</v>
      </c>
      <c r="J135" s="214">
        <f>(Unitflowchart!$S$17*(AllocationMass!$F$16/100)*Harvesting!W33)/Unitflowchart!$S$383</f>
        <v>0</v>
      </c>
      <c r="K135" s="165">
        <f>(Unitflowchart!$S$17*(AllocationMass!$F$16/100)*Harvesting!AB33)/Unitflowchart!$S$383</f>
        <v>0</v>
      </c>
      <c r="L135" s="26">
        <f>(K135/K$386)*100</f>
        <v>0</v>
      </c>
      <c r="M135" s="214">
        <f>(Unitflowchart!$S$17*(AllocationMass!$F$16/100)*Harvesting!AC33)/Unitflowchart!$S$383</f>
        <v>0</v>
      </c>
      <c r="N135" s="727">
        <f>E135+(GlobalWarmingPotentials!$B$11*H135)+(GlobalWarmingPotentials!$C$11*K135)</f>
        <v>0</v>
      </c>
      <c r="O135" s="26">
        <f>(N135/N$386)*100</f>
        <v>0</v>
      </c>
      <c r="P135" s="756">
        <f>SQRT((G135^2)+((GlobalWarmingPotentials!$B$11*J135)^2)+((GlobalWarmingPotentials!$C$11*M135)^2))</f>
        <v>0</v>
      </c>
    </row>
    <row r="136" spans="1:16" x14ac:dyDescent="0.25">
      <c r="A136" s="979" t="str">
        <f>Harvesting!A34</f>
        <v>Mower conditioner</v>
      </c>
      <c r="B136" s="727">
        <f>(Unitflowchart!$S$17*(AllocationMass!$F$16/100)*Harvesting!J34)/Unitflowchart!$S$383</f>
        <v>0</v>
      </c>
      <c r="C136" s="26">
        <f>(B136/B$386)*100</f>
        <v>0</v>
      </c>
      <c r="D136" s="148">
        <f>(Unitflowchart!$S$17*(AllocationMass!$F$16/100)*Harvesting!K34)/Unitflowchart!$S$383</f>
        <v>0</v>
      </c>
      <c r="E136" s="727">
        <f>(Unitflowchart!$S$17*(AllocationMass!$F$16/100)*Harvesting!P34)/Unitflowchart!$S$383</f>
        <v>0</v>
      </c>
      <c r="F136" s="26">
        <f>(E136/E$386)*100</f>
        <v>0</v>
      </c>
      <c r="G136" s="148">
        <f>(Unitflowchart!$S$17*(AllocationMass!$F$16/100)*Harvesting!Q34)/Unitflowchart!$S$383</f>
        <v>0</v>
      </c>
      <c r="H136" s="165">
        <f>(Unitflowchart!$S$17*(AllocationMass!$F$16/100)*Harvesting!V34)/Unitflowchart!$S$383</f>
        <v>0</v>
      </c>
      <c r="I136" s="26">
        <f>(H136/H$386)*100</f>
        <v>0</v>
      </c>
      <c r="J136" s="214">
        <f>(Unitflowchart!$S$17*(AllocationMass!$F$16/100)*Harvesting!W34)/Unitflowchart!$S$383</f>
        <v>0</v>
      </c>
      <c r="K136" s="165">
        <f>(Unitflowchart!$S$17*(AllocationMass!$F$16/100)*Harvesting!AB34)/Unitflowchart!$S$383</f>
        <v>0</v>
      </c>
      <c r="L136" s="26">
        <f>(K136/K$386)*100</f>
        <v>0</v>
      </c>
      <c r="M136" s="214">
        <f>(Unitflowchart!$S$17*(AllocationMass!$F$16/100)*Harvesting!AC34)/Unitflowchart!$S$383</f>
        <v>0</v>
      </c>
      <c r="N136" s="727">
        <f>E136+(GlobalWarmingPotentials!$B$11*H136)+(GlobalWarmingPotentials!$C$11*K136)</f>
        <v>0</v>
      </c>
      <c r="O136" s="26">
        <f>(N136/N$386)*100</f>
        <v>0</v>
      </c>
      <c r="P136" s="756">
        <f>SQRT((G136^2)+((GlobalWarmingPotentials!$B$11*J136)^2)+((GlobalWarmingPotentials!$C$11*M136)^2))</f>
        <v>0</v>
      </c>
    </row>
    <row r="137" spans="1:16" x14ac:dyDescent="0.25">
      <c r="A137" s="979" t="str">
        <f>Harvesting!A35</f>
        <v>Baler</v>
      </c>
      <c r="B137" s="727">
        <f>(Unitflowchart!$S$17*(AllocationMass!$F$16/100)*Harvesting!J35)/Unitflowchart!$S$383</f>
        <v>0</v>
      </c>
      <c r="C137" s="26">
        <f>(B137/B$386)*100</f>
        <v>0</v>
      </c>
      <c r="D137" s="148">
        <f>(Unitflowchart!$S$17*(AllocationMass!$F$16/100)*Harvesting!K35)/Unitflowchart!$S$383</f>
        <v>0</v>
      </c>
      <c r="E137" s="727">
        <f>(Unitflowchart!$S$17*(AllocationMass!$F$16/100)*Harvesting!P35)/Unitflowchart!$S$383</f>
        <v>0</v>
      </c>
      <c r="F137" s="26">
        <f>(E137/E$386)*100</f>
        <v>0</v>
      </c>
      <c r="G137" s="148">
        <f>(Unitflowchart!$S$17*(AllocationMass!$F$16/100)*Harvesting!Q35)/Unitflowchart!$S$383</f>
        <v>0</v>
      </c>
      <c r="H137" s="165">
        <f>(Unitflowchart!$S$17*(AllocationMass!$F$16/100)*Harvesting!V35)/Unitflowchart!$S$383</f>
        <v>0</v>
      </c>
      <c r="I137" s="26">
        <f>(H137/H$386)*100</f>
        <v>0</v>
      </c>
      <c r="J137" s="214">
        <f>(Unitflowchart!$S$17*(AllocationMass!$F$16/100)*Harvesting!W35)/Unitflowchart!$S$383</f>
        <v>0</v>
      </c>
      <c r="K137" s="165">
        <f>(Unitflowchart!$S$17*(AllocationMass!$F$16/100)*Harvesting!AB35)/Unitflowchart!$S$383</f>
        <v>0</v>
      </c>
      <c r="L137" s="26">
        <f>(K137/K$386)*100</f>
        <v>0</v>
      </c>
      <c r="M137" s="214">
        <f>(Unitflowchart!$S$17*(AllocationMass!$F$16/100)*Harvesting!AC35)/Unitflowchart!$S$383</f>
        <v>0</v>
      </c>
      <c r="N137" s="727">
        <f>E137+(GlobalWarmingPotentials!$B$11*H137)+(GlobalWarmingPotentials!$C$11*K137)</f>
        <v>0</v>
      </c>
      <c r="O137" s="26">
        <f>(N137/N$386)*100</f>
        <v>0</v>
      </c>
      <c r="P137" s="756">
        <f>SQRT((G137^2)+((GlobalWarmingPotentials!$B$11*J137)^2)+((GlobalWarmingPotentials!$C$11*M137)^2))</f>
        <v>0</v>
      </c>
    </row>
    <row r="138" spans="1:16" x14ac:dyDescent="0.25">
      <c r="A138" s="979" t="str">
        <f>Harvesting!A36</f>
        <v>Tractor</v>
      </c>
      <c r="B138" s="727">
        <f>(Unitflowchart!$S$17*(AllocationMass!$F$16/100)*Harvesting!J36)/Unitflowchart!$S$383</f>
        <v>0</v>
      </c>
      <c r="C138" s="26">
        <f>(B138/B$386)*100</f>
        <v>0</v>
      </c>
      <c r="D138" s="148">
        <f>(Unitflowchart!$S$17*(AllocationMass!$F$16/100)*Harvesting!K36)/Unitflowchart!$S$383</f>
        <v>0</v>
      </c>
      <c r="E138" s="727">
        <f>(Unitflowchart!$S$17*(AllocationMass!$F$16/100)*Harvesting!P36)/Unitflowchart!$S$383</f>
        <v>0</v>
      </c>
      <c r="F138" s="26">
        <f>(E138/E$386)*100</f>
        <v>0</v>
      </c>
      <c r="G138" s="148">
        <f>(Unitflowchart!$S$17*(AllocationMass!$F$16/100)*Harvesting!Q36)/Unitflowchart!$S$383</f>
        <v>0</v>
      </c>
      <c r="H138" s="165">
        <f>(Unitflowchart!$S$17*(AllocationMass!$F$16/100)*Harvesting!V36)/Unitflowchart!$S$383</f>
        <v>0</v>
      </c>
      <c r="I138" s="26">
        <f>(H138/H$386)*100</f>
        <v>0</v>
      </c>
      <c r="J138" s="214">
        <f>(Unitflowchart!$S$17*(AllocationMass!$F$16/100)*Harvesting!W36)/Unitflowchart!$S$383</f>
        <v>0</v>
      </c>
      <c r="K138" s="165">
        <f>(Unitflowchart!$S$17*(AllocationMass!$F$16/100)*Harvesting!AB36)/Unitflowchart!$S$383</f>
        <v>0</v>
      </c>
      <c r="L138" s="26">
        <f>(K138/K$386)*100</f>
        <v>0</v>
      </c>
      <c r="M138" s="214">
        <f>(Unitflowchart!$S$17*(AllocationMass!$F$16/100)*Harvesting!AC36)/Unitflowchart!$S$383</f>
        <v>0</v>
      </c>
      <c r="N138" s="727">
        <f>E138+(GlobalWarmingPotentials!$B$11*H138)+(GlobalWarmingPotentials!$C$11*K138)</f>
        <v>0</v>
      </c>
      <c r="O138" s="26">
        <f>(N138/N$386)*100</f>
        <v>0</v>
      </c>
      <c r="P138" s="756">
        <f>SQRT((G138^2)+((GlobalWarmingPotentials!$B$11*J138)^2)+((GlobalWarmingPotentials!$C$11*M138)^2))</f>
        <v>0</v>
      </c>
    </row>
    <row r="139" spans="1:16" x14ac:dyDescent="0.25">
      <c r="A139" s="979" t="str">
        <f>Harvesting!A37</f>
        <v>Trailer</v>
      </c>
      <c r="B139" s="727">
        <f>(Unitflowchart!$S$17*(AllocationMass!$F$16/100)*Harvesting!J37)/Unitflowchart!$S$383</f>
        <v>0</v>
      </c>
      <c r="C139" s="26">
        <f>(B139/B$386)*100</f>
        <v>0</v>
      </c>
      <c r="D139" s="148">
        <f>(Unitflowchart!$S$17*(AllocationMass!$F$16/100)*Harvesting!K37)/Unitflowchart!$S$383</f>
        <v>0</v>
      </c>
      <c r="E139" s="727">
        <f>(Unitflowchart!$S$17*(AllocationMass!$F$16/100)*Harvesting!P37)/Unitflowchart!$S$383</f>
        <v>0</v>
      </c>
      <c r="F139" s="26">
        <f>(E139/E$386)*100</f>
        <v>0</v>
      </c>
      <c r="G139" s="148">
        <f>(Unitflowchart!$S$17*(AllocationMass!$F$16/100)*Harvesting!Q37)/Unitflowchart!$S$383</f>
        <v>0</v>
      </c>
      <c r="H139" s="165">
        <f>(Unitflowchart!$S$17*(AllocationMass!$F$16/100)*Harvesting!V37)/Unitflowchart!$S$383</f>
        <v>0</v>
      </c>
      <c r="I139" s="26">
        <f>(H139/H$386)*100</f>
        <v>0</v>
      </c>
      <c r="J139" s="214">
        <f>(Unitflowchart!$S$17*(AllocationMass!$F$16/100)*Harvesting!W37)/Unitflowchart!$S$383</f>
        <v>0</v>
      </c>
      <c r="K139" s="165">
        <f>(Unitflowchart!$S$17*(AllocationMass!$F$16/100)*Harvesting!AB37)/Unitflowchart!$S$383</f>
        <v>0</v>
      </c>
      <c r="L139" s="26">
        <f>(K139/K$386)*100</f>
        <v>0</v>
      </c>
      <c r="M139" s="214">
        <f>(Unitflowchart!$S$17*(AllocationMass!$F$16/100)*Harvesting!AC37)/Unitflowchart!$S$383</f>
        <v>0</v>
      </c>
      <c r="N139" s="727">
        <f>E139+(GlobalWarmingPotentials!$B$11*H139)+(GlobalWarmingPotentials!$C$11*K139)</f>
        <v>0</v>
      </c>
      <c r="O139" s="26">
        <f>(N139/N$386)*100</f>
        <v>0</v>
      </c>
      <c r="P139" s="756">
        <f>SQRT((G139^2)+((GlobalWarmingPotentials!$B$11*J139)^2)+((GlobalWarmingPotentials!$C$11*M139)^2))</f>
        <v>0</v>
      </c>
    </row>
    <row r="140" spans="1:16" s="43" customFormat="1" x14ac:dyDescent="0.25">
      <c r="A140" s="979"/>
      <c r="B140" s="729"/>
      <c r="C140" s="992"/>
      <c r="D140" s="736"/>
      <c r="E140" s="729"/>
      <c r="F140" s="992"/>
      <c r="G140" s="736"/>
      <c r="H140" s="505"/>
      <c r="I140" s="992"/>
      <c r="J140" s="506"/>
      <c r="K140" s="505"/>
      <c r="L140" s="992"/>
      <c r="M140" s="506"/>
      <c r="N140" s="729"/>
      <c r="O140" s="992"/>
      <c r="P140" s="758"/>
    </row>
    <row r="141" spans="1:16" x14ac:dyDescent="0.25">
      <c r="A141" s="979" t="str">
        <f>Harvesting!A39</f>
        <v>Sub-totals for maintenance</v>
      </c>
      <c r="B141" s="727">
        <f>(Unitflowchart!$S$17*(AllocationMass!$F$16/100)*Harvesting!J39)/Unitflowchart!$S$383</f>
        <v>0</v>
      </c>
      <c r="C141" s="26">
        <f>(B141/B$386)*100</f>
        <v>0</v>
      </c>
      <c r="D141" s="148">
        <f>(Unitflowchart!$S$17*(AllocationMass!$F$16/100)*Harvesting!K39)/Unitflowchart!$S$383</f>
        <v>0</v>
      </c>
      <c r="E141" s="727">
        <f>(Unitflowchart!$S$17*(AllocationMass!$F$16/100)*Harvesting!P39)/Unitflowchart!$S$383</f>
        <v>0</v>
      </c>
      <c r="F141" s="26">
        <f>(E141/E$386)*100</f>
        <v>0</v>
      </c>
      <c r="G141" s="148">
        <f>(Unitflowchart!$S$17*(AllocationMass!$F$16/100)*Harvesting!Q39)/Unitflowchart!$S$383</f>
        <v>0</v>
      </c>
      <c r="H141" s="165">
        <f>(Unitflowchart!$S$17*(AllocationMass!$F$16/100)*Harvesting!V39)/Unitflowchart!$S$383</f>
        <v>0</v>
      </c>
      <c r="I141" s="26">
        <f>(H141/H$386)*100</f>
        <v>0</v>
      </c>
      <c r="J141" s="214">
        <f>(Unitflowchart!$S$17*(AllocationMass!$F$16/100)*Harvesting!W39)/Unitflowchart!$S$383</f>
        <v>0</v>
      </c>
      <c r="K141" s="165">
        <f>(Unitflowchart!$S$17*(AllocationMass!$F$16/100)*Harvesting!AB39)/Unitflowchart!$S$383</f>
        <v>0</v>
      </c>
      <c r="L141" s="26">
        <f>(K141/K$386)*100</f>
        <v>0</v>
      </c>
      <c r="M141" s="214">
        <f>(Unitflowchart!$S$17*(AllocationMass!$F$16/100)*Harvesting!AC39)/Unitflowchart!$S$383</f>
        <v>0</v>
      </c>
      <c r="N141" s="727">
        <f>E141+(GlobalWarmingPotentials!$B$11*H141)+(GlobalWarmingPotentials!$C$11*K141)</f>
        <v>0</v>
      </c>
      <c r="O141" s="26">
        <f>(N141/N$386)*100</f>
        <v>0</v>
      </c>
      <c r="P141" s="756">
        <f>SQRT((G141^2)+((GlobalWarmingPotentials!$B$11*J141)^2)+((GlobalWarmingPotentials!$C$11*M141)^2))</f>
        <v>0</v>
      </c>
    </row>
    <row r="142" spans="1:16" s="43" customFormat="1" x14ac:dyDescent="0.25">
      <c r="A142" s="979"/>
      <c r="B142" s="729"/>
      <c r="C142" s="992"/>
      <c r="D142" s="736"/>
      <c r="E142" s="729"/>
      <c r="F142" s="992"/>
      <c r="G142" s="736"/>
      <c r="H142" s="505"/>
      <c r="I142" s="992"/>
      <c r="J142" s="506"/>
      <c r="K142" s="505"/>
      <c r="L142" s="992"/>
      <c r="M142" s="506"/>
      <c r="N142" s="729"/>
      <c r="O142" s="992"/>
      <c r="P142" s="758"/>
    </row>
    <row r="143" spans="1:16" x14ac:dyDescent="0.25">
      <c r="A143" s="218" t="s">
        <v>1351</v>
      </c>
      <c r="B143" s="1042">
        <f>(Unitflowchart!$S$17*(AllocationMass!$F$16/100)*Harvesting!J41)/Unitflowchart!$S$383</f>
        <v>369.22612973150552</v>
      </c>
      <c r="C143" s="993">
        <f>(B143/B$386)*100</f>
        <v>2.8524044829633826</v>
      </c>
      <c r="D143" s="189">
        <f>(Unitflowchart!$S$17*(AllocationMass!$F$16/100)*Harvesting!K41)/Unitflowchart!$S$383</f>
        <v>0</v>
      </c>
      <c r="E143" s="1042">
        <f>(Unitflowchart!$S$17*(AllocationMass!$F$16/100)*Harvesting!P41)/Unitflowchart!$S$383</f>
        <v>26.49619011120776</v>
      </c>
      <c r="F143" s="993">
        <f>(E143/E$386)*100</f>
        <v>3.2939824156244253</v>
      </c>
      <c r="G143" s="189">
        <f>(Unitflowchart!$S$17*(AllocationMass!$F$16/100)*Harvesting!Q41)/Unitflowchart!$S$383</f>
        <v>0</v>
      </c>
      <c r="H143" s="1043">
        <f>(Unitflowchart!$S$17*(AllocationMass!$F$16/100)*Harvesting!V41)/Unitflowchart!$S$383</f>
        <v>5.505701841289924E-3</v>
      </c>
      <c r="I143" s="993">
        <f>(H143/H$386)*100</f>
        <v>0.54990317395539268</v>
      </c>
      <c r="J143" s="1044">
        <f>(Unitflowchart!$S$17*(AllocationMass!$F$16/100)*Harvesting!W41)/Unitflowchart!$S$383</f>
        <v>0</v>
      </c>
      <c r="K143" s="1043">
        <f>(Unitflowchart!$S$17*(AllocationMass!$F$16/100)*Harvesting!AB41)/Unitflowchart!$S$383</f>
        <v>7.157412393676902E-3</v>
      </c>
      <c r="L143" s="993">
        <f>(K143/K$386)*100</f>
        <v>3.3131565439891841</v>
      </c>
      <c r="M143" s="1044">
        <f>(Unitflowchart!$S$17*(AllocationMass!$F$16/100)*Harvesting!AC41)/Unitflowchart!$S$383</f>
        <v>0</v>
      </c>
      <c r="N143" s="1042">
        <f>E143+(GlobalWarmingPotentials!$B$11*H143)+(GlobalWarmingPotentials!$C$11*K143)</f>
        <v>28.741415322085793</v>
      </c>
      <c r="O143" s="993">
        <f>(N143/N$386)*100</f>
        <v>3.2244654114904634</v>
      </c>
      <c r="P143" s="1058">
        <f>SQRT((G143^2)+((GlobalWarmingPotentials!$B$11*J143)^2)+((GlobalWarmingPotentials!$C$11*M143)^2))</f>
        <v>0</v>
      </c>
    </row>
    <row r="144" spans="1:16" s="3" customFormat="1" x14ac:dyDescent="0.25">
      <c r="A144" s="361"/>
      <c r="B144" s="731"/>
      <c r="C144" s="27"/>
      <c r="D144" s="738"/>
      <c r="E144" s="731"/>
      <c r="F144" s="27"/>
      <c r="G144" s="746"/>
      <c r="H144" s="748"/>
      <c r="I144" s="27"/>
      <c r="J144" s="45"/>
      <c r="K144" s="753"/>
      <c r="L144" s="27"/>
      <c r="M144" s="45"/>
      <c r="N144" s="738"/>
      <c r="O144" s="27"/>
      <c r="P144" s="746"/>
    </row>
    <row r="145" spans="1:16" x14ac:dyDescent="0.25">
      <c r="A145" s="387" t="s">
        <v>34</v>
      </c>
      <c r="B145" s="728"/>
      <c r="C145" s="26"/>
      <c r="D145" s="735"/>
      <c r="E145" s="728"/>
      <c r="F145" s="26"/>
      <c r="G145" s="739"/>
      <c r="H145" s="194"/>
      <c r="I145" s="26"/>
      <c r="J145" s="32"/>
      <c r="K145" s="194"/>
      <c r="L145" s="26"/>
      <c r="M145" s="32"/>
      <c r="N145" s="755"/>
      <c r="O145" s="26"/>
      <c r="P145" s="757"/>
    </row>
    <row r="146" spans="1:16" x14ac:dyDescent="0.25">
      <c r="B146" s="728"/>
      <c r="D146" s="739"/>
      <c r="E146" s="735"/>
      <c r="G146" s="739"/>
      <c r="H146" s="724"/>
      <c r="J146" s="32"/>
      <c r="K146" s="724"/>
      <c r="M146" s="724"/>
      <c r="N146" s="728"/>
      <c r="P146" s="739"/>
    </row>
    <row r="147" spans="1:16" x14ac:dyDescent="0.25">
      <c r="A147" s="14" t="str">
        <f>RoadTransportStage1!A28</f>
        <v xml:space="preserve"> - Diesel Fuel</v>
      </c>
      <c r="B147" s="732">
        <f>Unitflowchart!$S$41*(AllocationMass!$F$16/100)/Unitflowchart!$S$383*(RoadTransportStage1!J28)*Unitflowchart!$S$52</f>
        <v>275.59665533211654</v>
      </c>
      <c r="C147" s="26">
        <f>(B147/B$386)*100</f>
        <v>2.1290831603134115</v>
      </c>
      <c r="D147" s="491">
        <f>Unitflowchart!$S$41*(AllocationMass!$F$16/100)/Unitflowchart!$S$383*(RoadTransportStage1!K28)*Unitflowchart!$S$52</f>
        <v>12.953042800609477</v>
      </c>
      <c r="E147" s="732">
        <f>Unitflowchart!$S$41*(AllocationMass!$F$16/100)/Unitflowchart!$S$383*(RoadTransportStage1!P28)*Unitflowchart!$S$52</f>
        <v>19.777206393823835</v>
      </c>
      <c r="F147" s="26">
        <f>(E147/E$386)*100</f>
        <v>2.4586844304032347</v>
      </c>
      <c r="G147" s="491">
        <f>Unitflowchart!$S$41*(AllocationMass!$F$16/100)/Unitflowchart!$S$383*(RoadTransportStage1!Q28)*Unitflowchart!$S$52</f>
        <v>0.92952870050972014</v>
      </c>
      <c r="H147" s="749">
        <f>Unitflowchart!$S$41*(AllocationMass!$F$16/100)/Unitflowchart!$S$383*(RoadTransportStage1!V21)*Unitflowchart!$S$52</f>
        <v>3.6793848994752299E-3</v>
      </c>
      <c r="I147" s="26">
        <f>(H147/H$386)*100</f>
        <v>0.36749273621234352</v>
      </c>
      <c r="J147" s="751">
        <f>Unitflowchart!$S$41*(AllocationMass!$F$16/100)/Unitflowchart!$S$383*(RoadTransportStage1!W21)*Unitflowchart!$S$52</f>
        <v>1.7293109027533579E-4</v>
      </c>
      <c r="K147" s="749">
        <f>Unitflowchart!$S$41*(AllocationMass!$F$16/100)/Unitflowchart!$S$383*(RoadTransportStage1!AB21)*Unitflowchart!$S$52</f>
        <v>4.7832003693177982E-3</v>
      </c>
      <c r="L147" s="26">
        <f>(K147/K$386)*100</f>
        <v>2.2141369999606213</v>
      </c>
      <c r="M147" s="751">
        <f>Unitflowchart!$S$41*(AllocationMass!$F$16/100)/Unitflowchart!$S$383*(RoadTransportStage1!AC21)*Unitflowchart!$S$52</f>
        <v>2.2481041735793655E-4</v>
      </c>
      <c r="N147" s="727">
        <f>E147+(GlobalWarmingPotentials!$B$11*H147)+(GlobalWarmingPotentials!$C$11*K147)</f>
        <v>21.277659555829835</v>
      </c>
      <c r="O147" s="26">
        <f>(N147/N$386)*100</f>
        <v>2.3871154745299368</v>
      </c>
      <c r="P147" s="756">
        <f>SQRT((G147^2)+((GlobalWarmingPotentials!$B$11*J147)^2)+((GlobalWarmingPotentials!$C$11*M147)^2))</f>
        <v>0.9319160441468376</v>
      </c>
    </row>
    <row r="148" spans="1:16" x14ac:dyDescent="0.25">
      <c r="A148" s="14" t="str">
        <f>RoadTransportStage1!A29</f>
        <v xml:space="preserve"> - Vehicle </v>
      </c>
      <c r="B148" s="732">
        <f>Unitflowchart!$S$41*(AllocationMass!$F$16/100)/Unitflowchart!$S$383*(RoadTransportStage1!J29)*Unitflowchart!$S$52</f>
        <v>0</v>
      </c>
      <c r="C148" s="26">
        <f>(B148/B$386)*100</f>
        <v>0</v>
      </c>
      <c r="D148" s="491">
        <f>Unitflowchart!$S$41*(AllocationMass!$F$16/100)/Unitflowchart!$S$383*(RoadTransportStage1!K29)*Unitflowchart!$S$52</f>
        <v>0</v>
      </c>
      <c r="E148" s="732">
        <f>Unitflowchart!$S$41*(AllocationMass!$F$16/100)/Unitflowchart!$S$383*(RoadTransportStage1!P29)*Unitflowchart!$S$52</f>
        <v>0</v>
      </c>
      <c r="F148" s="26">
        <f>(E148/E$386)*100</f>
        <v>0</v>
      </c>
      <c r="G148" s="491">
        <f>Unitflowchart!$S$41*(AllocationMass!$F$16/100)/Unitflowchart!$S$383*(RoadTransportStage1!Q29)*Unitflowchart!$S$52</f>
        <v>0</v>
      </c>
      <c r="H148" s="749">
        <f>Unitflowchart!$S$41*(AllocationMass!$F$16/100)/Unitflowchart!$S$383*(RoadTransportStage1!V22)*Unitflowchart!$S$52</f>
        <v>0</v>
      </c>
      <c r="I148" s="26">
        <f>(H148/H$386)*100</f>
        <v>0</v>
      </c>
      <c r="J148" s="751">
        <f>Unitflowchart!$S$41*(AllocationMass!$F$16/100)/Unitflowchart!$S$383*(RoadTransportStage1!W22)*Unitflowchart!$S$52</f>
        <v>0</v>
      </c>
      <c r="K148" s="749">
        <f>Unitflowchart!$S$41*(AllocationMass!$F$16/100)/Unitflowchart!$S$383*(RoadTransportStage1!AB22)*Unitflowchart!$S$52</f>
        <v>0</v>
      </c>
      <c r="L148" s="26">
        <f>(K148/K$386)*100</f>
        <v>0</v>
      </c>
      <c r="M148" s="751">
        <f>Unitflowchart!$S$41*(AllocationMass!$F$16/100)/Unitflowchart!$S$383*(RoadTransportStage1!AC22)*Unitflowchart!$S$52</f>
        <v>0</v>
      </c>
      <c r="N148" s="727">
        <f>E148+(GlobalWarmingPotentials!$B$11*H148)+(GlobalWarmingPotentials!$C$11*K148)</f>
        <v>0</v>
      </c>
      <c r="O148" s="26">
        <f>(N148/N$386)*100</f>
        <v>0</v>
      </c>
      <c r="P148" s="756">
        <f>SQRT((G148^2)+((GlobalWarmingPotentials!$B$11*J148)^2)+((GlobalWarmingPotentials!$C$11*M148)^2))</f>
        <v>0</v>
      </c>
    </row>
    <row r="149" spans="1:16" x14ac:dyDescent="0.25">
      <c r="A149" s="14" t="str">
        <f>RoadTransportStage1!A30</f>
        <v xml:space="preserve"> - Maintenance</v>
      </c>
      <c r="B149" s="732">
        <f>Unitflowchart!$S$41*(AllocationMass!$F$16/100)/Unitflowchart!$S$383*(RoadTransportStage1!J30)*Unitflowchart!$S$52</f>
        <v>0</v>
      </c>
      <c r="C149" s="26">
        <f>(B149/B$386)*100</f>
        <v>0</v>
      </c>
      <c r="D149" s="491">
        <f>Unitflowchart!$S$41*(AllocationMass!$F$16/100)/Unitflowchart!$S$383*(RoadTransportStage1!K30)*Unitflowchart!$S$52</f>
        <v>0</v>
      </c>
      <c r="E149" s="732">
        <f>Unitflowchart!$S$41*(AllocationMass!$F$16/100)/Unitflowchart!$S$383*(RoadTransportStage1!P30)*Unitflowchart!$S$52</f>
        <v>0</v>
      </c>
      <c r="F149" s="26">
        <f>(E149/E$386)*100</f>
        <v>0</v>
      </c>
      <c r="G149" s="491">
        <f>Unitflowchart!$S$41*(AllocationMass!$F$16/100)/Unitflowchart!$S$383*(RoadTransportStage1!Q30)*Unitflowchart!$S$52</f>
        <v>0</v>
      </c>
      <c r="H149" s="749">
        <f>Unitflowchart!$S$41*(AllocationMass!$F$16/100)/Unitflowchart!$S$383*(RoadTransportStage1!V23)*Unitflowchart!$S$52</f>
        <v>0</v>
      </c>
      <c r="I149" s="26">
        <f>(H149/H$386)*100</f>
        <v>0</v>
      </c>
      <c r="J149" s="751">
        <f>Unitflowchart!$S$41*(AllocationMass!$F$16/100)/Unitflowchart!$S$383*(RoadTransportStage1!W23)*Unitflowchart!$S$52</f>
        <v>0</v>
      </c>
      <c r="K149" s="749">
        <f>Unitflowchart!$S$41*(AllocationMass!$F$16/100)/Unitflowchart!$S$383*(RoadTransportStage1!AB23)*Unitflowchart!$S$52</f>
        <v>0</v>
      </c>
      <c r="L149" s="26">
        <f>(K149/K$386)*100</f>
        <v>0</v>
      </c>
      <c r="M149" s="751">
        <f>Unitflowchart!$S$41*(AllocationMass!$F$16/100)/Unitflowchart!$S$383*(RoadTransportStage1!AC23)*Unitflowchart!$S$52</f>
        <v>0</v>
      </c>
      <c r="N149" s="727">
        <f>E149+(GlobalWarmingPotentials!$B$11*H149)+(GlobalWarmingPotentials!$C$11*K149)</f>
        <v>0</v>
      </c>
      <c r="O149" s="26">
        <f>(N149/N$386)*100</f>
        <v>0</v>
      </c>
      <c r="P149" s="756">
        <f>SQRT((G149^2)+((GlobalWarmingPotentials!$B$11*J149)^2)+((GlobalWarmingPotentials!$C$11*M149)^2))</f>
        <v>0</v>
      </c>
    </row>
    <row r="150" spans="1:16" s="43" customFormat="1" x14ac:dyDescent="0.25">
      <c r="A150" s="155"/>
      <c r="B150" s="766"/>
      <c r="C150" s="992"/>
      <c r="D150" s="779"/>
      <c r="E150" s="766"/>
      <c r="F150" s="992"/>
      <c r="G150" s="779"/>
      <c r="H150" s="783"/>
      <c r="I150" s="992"/>
      <c r="J150" s="784"/>
      <c r="K150" s="783"/>
      <c r="L150" s="992"/>
      <c r="M150" s="784"/>
      <c r="N150" s="1006"/>
      <c r="O150" s="992"/>
      <c r="P150" s="1011"/>
    </row>
    <row r="151" spans="1:16" x14ac:dyDescent="0.25">
      <c r="A151" s="218" t="s">
        <v>866</v>
      </c>
      <c r="B151" s="1002">
        <f>Unitflowchart!$S$41*(AllocationMass!$F$16/100)/Unitflowchart!$S$383*(RoadTransportStage1!J32)*Unitflowchart!$S$52</f>
        <v>275.59665533211654</v>
      </c>
      <c r="C151" s="993">
        <f>(B151/B$386)*100</f>
        <v>2.1290831603134115</v>
      </c>
      <c r="D151" s="1003">
        <f>Unitflowchart!$S$41*(AllocationMass!$F$16/100)/Unitflowchart!$S$383*(RoadTransportStage1!K32)*Unitflowchart!$S$52</f>
        <v>12.953042800609477</v>
      </c>
      <c r="E151" s="1002">
        <f>Unitflowchart!$S$41*(AllocationMass!$F$16/100)/Unitflowchart!$S$383*(RoadTransportStage1!P32)*Unitflowchart!$S$52</f>
        <v>19.777206393823835</v>
      </c>
      <c r="F151" s="993">
        <f>(E151/E$386)*100</f>
        <v>2.4586844304032347</v>
      </c>
      <c r="G151" s="1003">
        <f>Unitflowchart!$S$41*(AllocationMass!$F$16/100)/Unitflowchart!$S$383*(RoadTransportStage1!Q32)*Unitflowchart!$S$52</f>
        <v>0.92952870050972014</v>
      </c>
      <c r="H151" s="1004">
        <f>Unitflowchart!$S$41*(AllocationMass!$F$16/100)/Unitflowchart!$S$383*(RoadTransportStage1!V25)*Unitflowchart!$S$52</f>
        <v>3.6793848994752299E-3</v>
      </c>
      <c r="I151" s="993">
        <f>(H151/H$386)*100</f>
        <v>0.36749273621234352</v>
      </c>
      <c r="J151" s="1005">
        <f>Unitflowchart!$S$41*(AllocationMass!$F$16/100)/Unitflowchart!$S$383*(RoadTransportStage1!W25)*Unitflowchart!$S$52</f>
        <v>1.7293109027533579E-4</v>
      </c>
      <c r="K151" s="1004">
        <f>Unitflowchart!$S$41*(AllocationMass!$F$16/100)/Unitflowchart!$S$383*(RoadTransportStage1!AB25)*Unitflowchart!$S$52</f>
        <v>4.7832003693177982E-3</v>
      </c>
      <c r="L151" s="993">
        <f>(K151/K$386)*100</f>
        <v>2.2141369999606213</v>
      </c>
      <c r="M151" s="1005">
        <f>Unitflowchart!$S$41*(AllocationMass!$F$16/100)/Unitflowchart!$S$383*(RoadTransportStage1!AC25)*Unitflowchart!$S$52</f>
        <v>2.2481041735793655E-4</v>
      </c>
      <c r="N151" s="730">
        <f>E151+(GlobalWarmingPotentials!$B$11*H151)+(GlobalWarmingPotentials!$C$11*K151)</f>
        <v>21.277659555829835</v>
      </c>
      <c r="O151" s="15">
        <f>(N151/N$386)*100</f>
        <v>2.3871154745299368</v>
      </c>
      <c r="P151" s="759">
        <f>SQRT((G151^2)+((GlobalWarmingPotentials!$B$11*J151)^2)+((GlobalWarmingPotentials!$C$11*M151)^2))</f>
        <v>0.9319160441468376</v>
      </c>
    </row>
    <row r="152" spans="1:16" x14ac:dyDescent="0.25">
      <c r="B152" s="728"/>
      <c r="D152" s="739"/>
      <c r="E152" s="735"/>
      <c r="G152" s="735"/>
      <c r="H152" s="31"/>
      <c r="J152" s="724"/>
      <c r="K152" s="31"/>
      <c r="M152" s="724"/>
      <c r="N152" s="733"/>
      <c r="O152" s="354"/>
      <c r="P152" s="741"/>
    </row>
    <row r="153" spans="1:16" x14ac:dyDescent="0.25">
      <c r="A153" s="387" t="s">
        <v>862</v>
      </c>
      <c r="B153" s="728"/>
      <c r="D153" s="739"/>
      <c r="E153" s="735"/>
      <c r="G153" s="735"/>
      <c r="H153" s="31"/>
      <c r="J153" s="724"/>
      <c r="K153" s="31"/>
      <c r="M153" s="724"/>
      <c r="N153" s="728"/>
      <c r="P153" s="739"/>
    </row>
    <row r="154" spans="1:16" x14ac:dyDescent="0.25">
      <c r="B154" s="728"/>
      <c r="D154" s="739"/>
      <c r="E154" s="735"/>
      <c r="G154" s="735"/>
      <c r="H154" s="31"/>
      <c r="J154" s="724"/>
      <c r="K154" s="31"/>
      <c r="M154" s="724"/>
      <c r="N154" s="728"/>
      <c r="P154" s="739"/>
    </row>
    <row r="155" spans="1:16" x14ac:dyDescent="0.25">
      <c r="A155" s="14" t="str">
        <f>RailTransport!A11</f>
        <v xml:space="preserve"> - Gas Oil</v>
      </c>
      <c r="B155" s="726">
        <f>Unitflowchart!$S$41*(AllocationMass!$F$16/100)/Unitflowchart!$S$383*(RailTransport!J11)*Unitflowchart!$S$54</f>
        <v>0</v>
      </c>
      <c r="C155" s="25">
        <f>(B155/B$386)*100</f>
        <v>0</v>
      </c>
      <c r="D155" s="742">
        <f>Unitflowchart!$S$41*(AllocationMass!$F$16/100)/Unitflowchart!$S$383*(RailTransport!K11)*Unitflowchart!$S$54</f>
        <v>0</v>
      </c>
      <c r="E155" s="744">
        <f>Unitflowchart!$S$41*(AllocationMass!$F$16/100)/Unitflowchart!$S$383*(RailTransport!P11)*Unitflowchart!$S$54</f>
        <v>0</v>
      </c>
      <c r="F155" s="25">
        <f>(E155/E$386)*100</f>
        <v>0</v>
      </c>
      <c r="G155" s="744">
        <f>Unitflowchart!$S$41*(AllocationMass!$F$16/100)/Unitflowchart!$S$383*(RailTransport!Q11)*Unitflowchart!$S$54</f>
        <v>0</v>
      </c>
      <c r="H155" s="723">
        <f>Unitflowchart!$S$41*(AllocationMass!$F$16/100)/Unitflowchart!$S$383*(RailTransport!V11)*Unitflowchart!$S$54</f>
        <v>0</v>
      </c>
      <c r="I155" s="25">
        <f>(H155/H$386)*100</f>
        <v>0</v>
      </c>
      <c r="J155" s="725">
        <f>Unitflowchart!$S$41*(AllocationMass!$F$16/100)/Unitflowchart!$S$383*(RailTransport!W11)*Unitflowchart!$S$54</f>
        <v>0</v>
      </c>
      <c r="K155" s="723">
        <f>Unitflowchart!$S$41*(AllocationMass!$F$16/100)/Unitflowchart!$S$383*(RailTransport!AB11)*Unitflowchart!$S$54</f>
        <v>0</v>
      </c>
      <c r="L155" s="25">
        <f>(K155/K$386)*100</f>
        <v>0</v>
      </c>
      <c r="M155" s="725">
        <f>Unitflowchart!$S$41*(AllocationMass!$F$16/100)/Unitflowchart!$S$383*(RailTransport!AC11)*Unitflowchart!$S$54</f>
        <v>0</v>
      </c>
      <c r="N155" s="726">
        <f>E155+(GlobalWarmingPotentials!$B$11*H155)+(GlobalWarmingPotentials!$C$11*K155)</f>
        <v>0</v>
      </c>
      <c r="O155" s="25">
        <f>(N155/N$386)*100</f>
        <v>0</v>
      </c>
      <c r="P155" s="742">
        <f>SQRT((G155^2)+((GlobalWarmingPotentials!$B$11*J155)^2)+((GlobalWarmingPotentials!$C$11*M155)^2))</f>
        <v>0</v>
      </c>
    </row>
    <row r="156" spans="1:16" x14ac:dyDescent="0.25">
      <c r="A156" s="14" t="str">
        <f>RailTransport!A12</f>
        <v xml:space="preserve"> - Capital Equipment</v>
      </c>
      <c r="B156" s="726">
        <f>Unitflowchart!$S$41*(AllocationMass!$F$16/100)/Unitflowchart!$S$383*(RailTransport!J12)*Unitflowchart!$S$54</f>
        <v>0</v>
      </c>
      <c r="C156" s="25">
        <f>(B156/B$386)*100</f>
        <v>0</v>
      </c>
      <c r="D156" s="742">
        <f>Unitflowchart!$S$41*(AllocationMass!$F$16/100)/Unitflowchart!$S$383*(RailTransport!K12)*Unitflowchart!$S$54</f>
        <v>0</v>
      </c>
      <c r="E156" s="744">
        <f>Unitflowchart!$S$41*(AllocationMass!$F$16/100)/Unitflowchart!$S$383*(RailTransport!P12)*Unitflowchart!$S$54</f>
        <v>0</v>
      </c>
      <c r="F156" s="25">
        <f>(E156/E$386)*100</f>
        <v>0</v>
      </c>
      <c r="G156" s="744">
        <f>Unitflowchart!$S$41*(AllocationMass!$F$16/100)/Unitflowchart!$S$383*(RailTransport!Q12)*Unitflowchart!$S$54</f>
        <v>0</v>
      </c>
      <c r="H156" s="723">
        <f>Unitflowchart!$S$41*(AllocationMass!$F$16/100)/Unitflowchart!$S$383*(RailTransport!V12)*Unitflowchart!$S$54</f>
        <v>0</v>
      </c>
      <c r="I156" s="25">
        <f>(H156/H$386)*100</f>
        <v>0</v>
      </c>
      <c r="J156" s="725">
        <f>Unitflowchart!$S$41*(AllocationMass!$F$16/100)/Unitflowchart!$S$383*(RailTransport!W12)*Unitflowchart!$S$54</f>
        <v>0</v>
      </c>
      <c r="K156" s="723">
        <f>Unitflowchart!$S$41*(AllocationMass!$F$16/100)/Unitflowchart!$S$383*(RailTransport!AB12)*Unitflowchart!$S$54</f>
        <v>0</v>
      </c>
      <c r="L156" s="25">
        <f>(K156/K$386)*100</f>
        <v>0</v>
      </c>
      <c r="M156" s="725">
        <f>Unitflowchart!$S$41*(AllocationMass!$F$16/100)/Unitflowchart!$S$383*(RailTransport!AC12)*Unitflowchart!$S$54</f>
        <v>0</v>
      </c>
      <c r="N156" s="726">
        <f>E156+(GlobalWarmingPotentials!$B$11*H156)+(GlobalWarmingPotentials!$C$11*K156)</f>
        <v>0</v>
      </c>
      <c r="O156" s="25">
        <f>(N156/N$386)*100</f>
        <v>0</v>
      </c>
      <c r="P156" s="742">
        <f>SQRT((G156^2)+((GlobalWarmingPotentials!$B$11*J156)^2)+((GlobalWarmingPotentials!$C$11*M156)^2))</f>
        <v>0</v>
      </c>
    </row>
    <row r="157" spans="1:16" x14ac:dyDescent="0.25">
      <c r="A157" s="14" t="str">
        <f>RailTransport!A13</f>
        <v xml:space="preserve"> - Maintenance</v>
      </c>
      <c r="B157" s="726">
        <f>Unitflowchart!$S$41*(AllocationMass!$F$16/100)/Unitflowchart!$S$383*(RailTransport!J13)*Unitflowchart!$S$54</f>
        <v>0</v>
      </c>
      <c r="C157" s="25">
        <f>(B157/B$386)*100</f>
        <v>0</v>
      </c>
      <c r="D157" s="742">
        <f>Unitflowchart!$S$41*(AllocationMass!$F$16/100)/Unitflowchart!$S$383*(RailTransport!K13)*Unitflowchart!$S$54</f>
        <v>0</v>
      </c>
      <c r="E157" s="744">
        <f>Unitflowchart!$S$41*(AllocationMass!$F$16/100)/Unitflowchart!$S$383*(RailTransport!P13)*Unitflowchart!$S$54</f>
        <v>0</v>
      </c>
      <c r="F157" s="25">
        <f>(E157/E$386)*100</f>
        <v>0</v>
      </c>
      <c r="G157" s="744">
        <f>Unitflowchart!$S$41*(AllocationMass!$F$16/100)/Unitflowchart!$S$383*(RailTransport!Q13)*Unitflowchart!$S$54</f>
        <v>0</v>
      </c>
      <c r="H157" s="723">
        <f>Unitflowchart!$S$41*(AllocationMass!$F$16/100)/Unitflowchart!$S$383*(RailTransport!V13)*Unitflowchart!$S$54</f>
        <v>0</v>
      </c>
      <c r="I157" s="25">
        <f>(H157/H$386)*100</f>
        <v>0</v>
      </c>
      <c r="J157" s="725">
        <f>Unitflowchart!$S$41*(AllocationMass!$F$16/100)/Unitflowchart!$S$383*(RailTransport!W13)*Unitflowchart!$S$54</f>
        <v>0</v>
      </c>
      <c r="K157" s="723">
        <f>Unitflowchart!$S$41*(AllocationMass!$F$16/100)/Unitflowchart!$S$383*(RailTransport!AB13)*Unitflowchart!$S$54</f>
        <v>0</v>
      </c>
      <c r="L157" s="25">
        <f>(K157/K$386)*100</f>
        <v>0</v>
      </c>
      <c r="M157" s="725">
        <f>Unitflowchart!$S$41*(AllocationMass!$F$16/100)/Unitflowchart!$S$383*(RailTransport!AC13)*Unitflowchart!$S$54</f>
        <v>0</v>
      </c>
      <c r="N157" s="726">
        <f>E157+(GlobalWarmingPotentials!$B$11*H157)+(GlobalWarmingPotentials!$C$11*K157)</f>
        <v>0</v>
      </c>
      <c r="O157" s="25">
        <f>(N157/N$386)*100</f>
        <v>0</v>
      </c>
      <c r="P157" s="742">
        <f>SQRT((G157^2)+((GlobalWarmingPotentials!$B$11*J157)^2)+((GlobalWarmingPotentials!$C$11*M157)^2))</f>
        <v>0</v>
      </c>
    </row>
    <row r="158" spans="1:16" x14ac:dyDescent="0.25">
      <c r="A158" s="24"/>
      <c r="B158" s="728"/>
      <c r="C158" s="25"/>
      <c r="D158" s="739"/>
      <c r="E158" s="735"/>
      <c r="F158" s="25"/>
      <c r="G158" s="735"/>
      <c r="H158" s="31"/>
      <c r="I158" s="25"/>
      <c r="J158" s="724"/>
      <c r="K158" s="31"/>
      <c r="L158" s="25"/>
      <c r="M158" s="724"/>
      <c r="N158" s="728"/>
      <c r="O158" s="25"/>
      <c r="P158" s="739"/>
    </row>
    <row r="159" spans="1:16" x14ac:dyDescent="0.25">
      <c r="A159" s="218" t="s">
        <v>867</v>
      </c>
      <c r="B159" s="734">
        <f>Unitflowchart!$S$41*(AllocationMass!$F$16/100)/Unitflowchart!$S$383*(RailTransport!J15)*Unitflowchart!$S$54</f>
        <v>0</v>
      </c>
      <c r="C159" s="721">
        <f>(B159/B$386)*100</f>
        <v>0</v>
      </c>
      <c r="D159" s="743">
        <f>Unitflowchart!$S$41*(AllocationMass!$F$16/100)/Unitflowchart!$S$383*(RailTransport!K15)*Unitflowchart!$S$54</f>
        <v>0</v>
      </c>
      <c r="E159" s="745">
        <f>Unitflowchart!$S$41*(AllocationMass!$F$16/100)/Unitflowchart!$S$383*(RailTransport!P15)*Unitflowchart!$S$54</f>
        <v>0</v>
      </c>
      <c r="F159" s="721">
        <f>(E159/E$386)*100</f>
        <v>0</v>
      </c>
      <c r="G159" s="745">
        <f>Unitflowchart!$S$41*(AllocationMass!$F$16/100)/Unitflowchart!$S$383*(RailTransport!Q15)*Unitflowchart!$S$54</f>
        <v>0</v>
      </c>
      <c r="H159" s="722">
        <f>Unitflowchart!$S$41*(AllocationMass!$F$16/100)/Unitflowchart!$S$383*(RailTransport!V15)*Unitflowchart!$S$54</f>
        <v>0</v>
      </c>
      <c r="I159" s="721">
        <f>(H159/H$386)*100</f>
        <v>0</v>
      </c>
      <c r="J159" s="720">
        <f>Unitflowchart!$S$41*(AllocationMass!$F$16/100)/Unitflowchart!$S$383*(RailTransport!W15)*Unitflowchart!$S$54</f>
        <v>0</v>
      </c>
      <c r="K159" s="722">
        <f>Unitflowchart!$S$41*(AllocationMass!$F$16/100)/Unitflowchart!$S$383*(RailTransport!AB15)*Unitflowchart!$S$54</f>
        <v>0</v>
      </c>
      <c r="L159" s="721">
        <f>(K159/K$386)*100</f>
        <v>0</v>
      </c>
      <c r="M159" s="720">
        <f>Unitflowchart!$S$41*(AllocationMass!$F$16/100)/Unitflowchart!$S$383*(RailTransport!AC15)*Unitflowchart!$S$54</f>
        <v>0</v>
      </c>
      <c r="N159" s="734">
        <f>E159+(GlobalWarmingPotentials!$B$11*H159)+(GlobalWarmingPotentials!$C$11*K159)</f>
        <v>0</v>
      </c>
      <c r="O159" s="721">
        <f>(N159/N$386)*100</f>
        <v>0</v>
      </c>
      <c r="P159" s="743">
        <f>SQRT((G159^2)+((GlobalWarmingPotentials!$B$11*J159)^2)+((GlobalWarmingPotentials!$C$11*M159)^2))</f>
        <v>0</v>
      </c>
    </row>
    <row r="160" spans="1:16" x14ac:dyDescent="0.25">
      <c r="B160" s="728"/>
      <c r="C160" s="25"/>
      <c r="D160" s="739"/>
      <c r="E160" s="735"/>
      <c r="F160" s="25"/>
      <c r="G160" s="735"/>
      <c r="H160" s="31"/>
      <c r="I160" s="25"/>
      <c r="J160" s="724"/>
      <c r="K160" s="31"/>
      <c r="L160" s="25"/>
      <c r="M160" s="724"/>
      <c r="N160" s="728"/>
      <c r="O160" s="25"/>
      <c r="P160" s="739"/>
    </row>
    <row r="161" spans="1:16" x14ac:dyDescent="0.25">
      <c r="A161" s="387" t="s">
        <v>870</v>
      </c>
      <c r="B161" s="728"/>
      <c r="C161" s="25"/>
      <c r="D161" s="739"/>
      <c r="E161" s="735"/>
      <c r="F161" s="25"/>
      <c r="G161" s="735"/>
      <c r="H161" s="31"/>
      <c r="I161" s="25"/>
      <c r="J161" s="724"/>
      <c r="K161" s="31"/>
      <c r="L161" s="25"/>
      <c r="M161" s="724"/>
      <c r="N161" s="728"/>
      <c r="O161" s="25"/>
      <c r="P161" s="739"/>
    </row>
    <row r="162" spans="1:16" x14ac:dyDescent="0.25">
      <c r="B162" s="728"/>
      <c r="C162" s="25"/>
      <c r="D162" s="739"/>
      <c r="E162" s="735"/>
      <c r="F162" s="25"/>
      <c r="G162" s="735"/>
      <c r="H162" s="31"/>
      <c r="I162" s="25"/>
      <c r="J162" s="724"/>
      <c r="K162" s="31"/>
      <c r="L162" s="25"/>
      <c r="M162" s="724"/>
      <c r="N162" s="728"/>
      <c r="O162" s="25"/>
      <c r="P162" s="739"/>
    </row>
    <row r="163" spans="1:16" x14ac:dyDescent="0.25">
      <c r="A163" s="14" t="str">
        <f>BargeTransport!A11</f>
        <v xml:space="preserve"> - Marine Diesel</v>
      </c>
      <c r="B163" s="726">
        <f>Unitflowchart!$S$41*(AllocationMass!$F$16/100)/Unitflowchart!$S$383*(BargeTransport!J11)*Unitflowchart!$S$56</f>
        <v>0</v>
      </c>
      <c r="C163" s="25">
        <f>(B163/B$386)*100</f>
        <v>0</v>
      </c>
      <c r="D163" s="742">
        <f>Unitflowchart!$S$41*(AllocationMass!$F$16/100)/Unitflowchart!$S$383*(BargeTransport!K11)*Unitflowchart!$S$56</f>
        <v>0</v>
      </c>
      <c r="E163" s="744">
        <f>Unitflowchart!$S$41*(AllocationMass!$F$16/100)/Unitflowchart!$S$383*(BargeTransport!P11)*Unitflowchart!$S$56</f>
        <v>0</v>
      </c>
      <c r="F163" s="25">
        <f>(E163/E$386)*100</f>
        <v>0</v>
      </c>
      <c r="G163" s="744">
        <f>Unitflowchart!$S$41*(AllocationMass!$F$16/100)/Unitflowchart!$S$383*(BargeTransport!Q11)*Unitflowchart!$S$56</f>
        <v>0</v>
      </c>
      <c r="H163" s="723">
        <f>Unitflowchart!$S$41*(AllocationMass!$F$16/100)/Unitflowchart!$S$383*(BargeTransport!V11)*Unitflowchart!$S$56</f>
        <v>0</v>
      </c>
      <c r="I163" s="25">
        <f>(H163/H$386)*100</f>
        <v>0</v>
      </c>
      <c r="J163" s="725">
        <f>Unitflowchart!$S$41*(AllocationMass!$F$16/100)/Unitflowchart!$S$383*(BargeTransport!W11)*Unitflowchart!$S$56</f>
        <v>0</v>
      </c>
      <c r="K163" s="723">
        <f>Unitflowchart!$S$41*(AllocationMass!$F$16/100)/Unitflowchart!$S$383*(BargeTransport!AB11)*Unitflowchart!$S$56</f>
        <v>0</v>
      </c>
      <c r="L163" s="25">
        <f>(K163/K$386)*100</f>
        <v>0</v>
      </c>
      <c r="M163" s="725">
        <f>Unitflowchart!$S$41*(AllocationMass!$F$16/100)/Unitflowchart!$S$383*(BargeTransport!AC11)*Unitflowchart!$S$56</f>
        <v>0</v>
      </c>
      <c r="N163" s="726">
        <f>E163+(GlobalWarmingPotentials!$B$11*H163)+(GlobalWarmingPotentials!$C$11*K163)</f>
        <v>0</v>
      </c>
      <c r="O163" s="25">
        <f>(N163/N$386)*100</f>
        <v>0</v>
      </c>
      <c r="P163" s="742">
        <f>SQRT((G163^2)+((GlobalWarmingPotentials!$B$11*J163)^2)+((GlobalWarmingPotentials!$C$11*M163)^2))</f>
        <v>0</v>
      </c>
    </row>
    <row r="164" spans="1:16" x14ac:dyDescent="0.25">
      <c r="A164" s="14" t="str">
        <f>BargeTransport!A12</f>
        <v xml:space="preserve"> - Barge Construction</v>
      </c>
      <c r="B164" s="726">
        <f>Unitflowchart!$S$41*(AllocationMass!$F$16/100)/Unitflowchart!$S$383*(BargeTransport!J12)*Unitflowchart!$S$56</f>
        <v>0</v>
      </c>
      <c r="C164" s="25">
        <f>(B164/B$386)*100</f>
        <v>0</v>
      </c>
      <c r="D164" s="742">
        <f>Unitflowchart!$S$41*(AllocationMass!$F$16/100)/Unitflowchart!$S$383*(BargeTransport!K12)*Unitflowchart!$S$56</f>
        <v>0</v>
      </c>
      <c r="E164" s="744">
        <f>Unitflowchart!$S$41*(AllocationMass!$F$16/100)/Unitflowchart!$S$383*(BargeTransport!P12)*Unitflowchart!$S$56</f>
        <v>0</v>
      </c>
      <c r="F164" s="25">
        <f>(E164/E$386)*100</f>
        <v>0</v>
      </c>
      <c r="G164" s="744">
        <f>Unitflowchart!$S$41*(AllocationMass!$F$16/100)/Unitflowchart!$S$383*(BargeTransport!Q12)*Unitflowchart!$S$56</f>
        <v>0</v>
      </c>
      <c r="H164" s="723">
        <f>Unitflowchart!$S$41*(AllocationMass!$F$16/100)/Unitflowchart!$S$383*(BargeTransport!V12)*Unitflowchart!$S$56</f>
        <v>0</v>
      </c>
      <c r="I164" s="25">
        <f>(H164/H$386)*100</f>
        <v>0</v>
      </c>
      <c r="J164" s="725">
        <f>Unitflowchart!$S$41*(AllocationMass!$F$16/100)/Unitflowchart!$S$383*(BargeTransport!W12)*Unitflowchart!$S$56</f>
        <v>0</v>
      </c>
      <c r="K164" s="723">
        <f>Unitflowchart!$S$41*(AllocationMass!$F$16/100)/Unitflowchart!$S$383*(BargeTransport!AB12)*Unitflowchart!$S$56</f>
        <v>0</v>
      </c>
      <c r="L164" s="25">
        <f>(K164/K$386)*100</f>
        <v>0</v>
      </c>
      <c r="M164" s="725">
        <f>Unitflowchart!$S$41*(AllocationMass!$F$16/100)/Unitflowchart!$S$383*(BargeTransport!AC12)*Unitflowchart!$S$56</f>
        <v>0</v>
      </c>
      <c r="N164" s="726">
        <f>E164+(GlobalWarmingPotentials!$B$11*H164)+(GlobalWarmingPotentials!$C$11*K164)</f>
        <v>0</v>
      </c>
      <c r="O164" s="25">
        <f>(N164/N$386)*100</f>
        <v>0</v>
      </c>
      <c r="P164" s="742">
        <f>SQRT((G164^2)+((GlobalWarmingPotentials!$B$11*J164)^2)+((GlobalWarmingPotentials!$C$11*M164)^2))</f>
        <v>0</v>
      </c>
    </row>
    <row r="165" spans="1:16" x14ac:dyDescent="0.25">
      <c r="A165" s="14" t="str">
        <f>BargeTransport!A13</f>
        <v xml:space="preserve"> - Barge Maintenance</v>
      </c>
      <c r="B165" s="726">
        <f>Unitflowchart!$S$41*(AllocationMass!$F$16/100)/Unitflowchart!$S$383*(BargeTransport!J13)*Unitflowchart!$S$56</f>
        <v>0</v>
      </c>
      <c r="C165" s="25">
        <f>(B165/B$386)*100</f>
        <v>0</v>
      </c>
      <c r="D165" s="742">
        <f>Unitflowchart!$S$41*(AllocationMass!$F$16/100)/Unitflowchart!$S$383*(BargeTransport!K13)*Unitflowchart!$S$56</f>
        <v>0</v>
      </c>
      <c r="E165" s="744">
        <f>Unitflowchart!$S$41*(AllocationMass!$F$16/100)/Unitflowchart!$S$383*(BargeTransport!P13)*Unitflowchart!$S$56</f>
        <v>0</v>
      </c>
      <c r="F165" s="25">
        <f>(E165/E$386)*100</f>
        <v>0</v>
      </c>
      <c r="G165" s="744">
        <f>Unitflowchart!$S$41*(AllocationMass!$F$16/100)/Unitflowchart!$S$383*(BargeTransport!Q13)*Unitflowchart!$S$56</f>
        <v>0</v>
      </c>
      <c r="H165" s="723">
        <f>Unitflowchart!$S$41*(AllocationMass!$F$16/100)/Unitflowchart!$S$383*(BargeTransport!V13)*Unitflowchart!$S$56</f>
        <v>0</v>
      </c>
      <c r="I165" s="25">
        <f>(H165/H$386)*100</f>
        <v>0</v>
      </c>
      <c r="J165" s="725">
        <f>Unitflowchart!$S$41*(AllocationMass!$F$16/100)/Unitflowchart!$S$383*(BargeTransport!W13)*Unitflowchart!$S$56</f>
        <v>0</v>
      </c>
      <c r="K165" s="723">
        <f>Unitflowchart!$S$41*(AllocationMass!$F$16/100)/Unitflowchart!$S$383*(BargeTransport!AB13)*Unitflowchart!$S$56</f>
        <v>0</v>
      </c>
      <c r="L165" s="25">
        <f>(K165/K$386)*100</f>
        <v>0</v>
      </c>
      <c r="M165" s="725">
        <f>Unitflowchart!$S$41*(AllocationMass!$F$16/100)/Unitflowchart!$S$383*(BargeTransport!AC13)*Unitflowchart!$S$56</f>
        <v>0</v>
      </c>
      <c r="N165" s="726">
        <f>E165+(GlobalWarmingPotentials!$B$11*H165)+(GlobalWarmingPotentials!$C$11*K165)</f>
        <v>0</v>
      </c>
      <c r="O165" s="25">
        <f>(N165/N$386)*100</f>
        <v>0</v>
      </c>
      <c r="P165" s="742">
        <f>SQRT((G165^2)+((GlobalWarmingPotentials!$B$11*J165)^2)+((GlobalWarmingPotentials!$C$11*M165)^2))</f>
        <v>0</v>
      </c>
    </row>
    <row r="166" spans="1:16" x14ac:dyDescent="0.25">
      <c r="A166" s="24"/>
      <c r="B166" s="728"/>
      <c r="C166" s="25"/>
      <c r="D166" s="739"/>
      <c r="E166" s="735"/>
      <c r="F166" s="25"/>
      <c r="G166" s="735"/>
      <c r="H166" s="31"/>
      <c r="I166" s="25"/>
      <c r="J166" s="724"/>
      <c r="K166" s="31"/>
      <c r="L166" s="25"/>
      <c r="M166" s="724"/>
      <c r="N166" s="728"/>
      <c r="O166" s="25"/>
      <c r="P166" s="739"/>
    </row>
    <row r="167" spans="1:16" x14ac:dyDescent="0.25">
      <c r="A167" s="218" t="s">
        <v>871</v>
      </c>
      <c r="B167" s="734">
        <f>Unitflowchart!$S$41*(AllocationMass!$F$16/100)/Unitflowchart!$S$383*(BargeTransport!J15)*Unitflowchart!$S$56</f>
        <v>0</v>
      </c>
      <c r="C167" s="721">
        <f>(B167/B$386)*100</f>
        <v>0</v>
      </c>
      <c r="D167" s="743">
        <f>Unitflowchart!$S$41*(AllocationMass!$F$16/100)/Unitflowchart!$S$383*(BargeTransport!K15)*Unitflowchart!$S$56</f>
        <v>0</v>
      </c>
      <c r="E167" s="745">
        <f>Unitflowchart!$S$41*(AllocationMass!$F$16/100)/Unitflowchart!$S$383*(BargeTransport!P15)*Unitflowchart!$S$56</f>
        <v>0</v>
      </c>
      <c r="F167" s="721">
        <f>(E167/E$386)*100</f>
        <v>0</v>
      </c>
      <c r="G167" s="745">
        <f>Unitflowchart!$S$41*(AllocationMass!$F$16/100)/Unitflowchart!$S$383*(BargeTransport!Q15)*Unitflowchart!$S$56</f>
        <v>0</v>
      </c>
      <c r="H167" s="722">
        <f>Unitflowchart!$S$41*(AllocationMass!$F$16/100)/Unitflowchart!$S$383*(BargeTransport!V15)*Unitflowchart!$S$56</f>
        <v>0</v>
      </c>
      <c r="I167" s="721">
        <f>(H167/H$386)*100</f>
        <v>0</v>
      </c>
      <c r="J167" s="720">
        <f>Unitflowchart!$S$41*(AllocationMass!$F$16/100)/Unitflowchart!$S$383*(BargeTransport!W15)*Unitflowchart!$S$56</f>
        <v>0</v>
      </c>
      <c r="K167" s="722">
        <f>Unitflowchart!$S$41*(AllocationMass!$F$16/100)/Unitflowchart!$S$383*(BargeTransport!AB15)*Unitflowchart!$S$56</f>
        <v>0</v>
      </c>
      <c r="L167" s="721">
        <f>(K167/K$386)*100</f>
        <v>0</v>
      </c>
      <c r="M167" s="720">
        <f>Unitflowchart!$S$41*(AllocationMass!$F$16/100)/Unitflowchart!$S$383*(BargeTransport!AC15)*Unitflowchart!$S$56</f>
        <v>0</v>
      </c>
      <c r="N167" s="734">
        <f>E167+(GlobalWarmingPotentials!$B$11*H167)+(GlobalWarmingPotentials!$C$11*K167)</f>
        <v>0</v>
      </c>
      <c r="O167" s="721">
        <f>(N167/N$386)*100</f>
        <v>0</v>
      </c>
      <c r="P167" s="743">
        <f>SQRT((G167^2)+((GlobalWarmingPotentials!$B$11*J167)^2)+((GlobalWarmingPotentials!$C$11*M167)^2))</f>
        <v>0</v>
      </c>
    </row>
    <row r="168" spans="1:16" x14ac:dyDescent="0.25">
      <c r="B168" s="728"/>
      <c r="C168" s="25"/>
      <c r="D168" s="739"/>
      <c r="E168" s="735"/>
      <c r="F168" s="25"/>
      <c r="G168" s="735"/>
      <c r="H168" s="31"/>
      <c r="I168" s="25"/>
      <c r="J168" s="724"/>
      <c r="K168" s="31"/>
      <c r="L168" s="25"/>
      <c r="M168" s="724"/>
      <c r="N168" s="728"/>
      <c r="O168" s="25"/>
      <c r="P168" s="739"/>
    </row>
    <row r="169" spans="1:16" x14ac:dyDescent="0.25">
      <c r="A169" s="387" t="s">
        <v>872</v>
      </c>
      <c r="B169" s="728"/>
      <c r="C169" s="25"/>
      <c r="D169" s="739"/>
      <c r="E169" s="735"/>
      <c r="F169" s="25"/>
      <c r="G169" s="735"/>
      <c r="H169" s="31"/>
      <c r="I169" s="25"/>
      <c r="J169" s="724"/>
      <c r="K169" s="31"/>
      <c r="L169" s="25"/>
      <c r="M169" s="724"/>
      <c r="N169" s="728"/>
      <c r="O169" s="25"/>
      <c r="P169" s="739"/>
    </row>
    <row r="170" spans="1:16" x14ac:dyDescent="0.25">
      <c r="B170" s="728"/>
      <c r="C170" s="25"/>
      <c r="D170" s="739"/>
      <c r="E170" s="735"/>
      <c r="F170" s="25"/>
      <c r="G170" s="735"/>
      <c r="H170" s="31"/>
      <c r="I170" s="25"/>
      <c r="J170" s="724"/>
      <c r="K170" s="31"/>
      <c r="L170" s="25"/>
      <c r="M170" s="724"/>
      <c r="N170" s="728"/>
      <c r="O170" s="25"/>
      <c r="P170" s="739"/>
    </row>
    <row r="171" spans="1:16" x14ac:dyDescent="0.25">
      <c r="A171" s="14" t="str">
        <f>ShipTransport!A11</f>
        <v xml:space="preserve"> - Marine Diesel</v>
      </c>
      <c r="B171" s="726">
        <f>Unitflowchart!$S$41*(AllocationMass!$F$16/100)/Unitflowchart!$S$383*(ShipTransport!J11)*Unitflowchart!$S$58</f>
        <v>0</v>
      </c>
      <c r="C171" s="25">
        <f>(B171/B$386)*100</f>
        <v>0</v>
      </c>
      <c r="D171" s="742">
        <f>Unitflowchart!$S$41*(AllocationMass!$F$16/100)/Unitflowchart!$S$383*(ShipTransport!K11)*Unitflowchart!$S$58</f>
        <v>0</v>
      </c>
      <c r="E171" s="744">
        <f>Unitflowchart!$S$41*(AllocationMass!$F$16/100)/Unitflowchart!$S$383*(ShipTransport!P11)*Unitflowchart!$S$58</f>
        <v>0</v>
      </c>
      <c r="F171" s="25">
        <f>(E171/E$386)*100</f>
        <v>0</v>
      </c>
      <c r="G171" s="744">
        <f>Unitflowchart!$S$41*(AllocationMass!$F$16/100)/Unitflowchart!$S$383*(ShipTransport!Q11)*Unitflowchart!$S$58</f>
        <v>0</v>
      </c>
      <c r="H171" s="723">
        <f>Unitflowchart!$S$41*(AllocationMass!$F$16/100)/Unitflowchart!$S$383*(ShipTransport!V11)*Unitflowchart!$S$58</f>
        <v>0</v>
      </c>
      <c r="I171" s="25">
        <f>(H171/H$386)*100</f>
        <v>0</v>
      </c>
      <c r="J171" s="725">
        <f>Unitflowchart!$S$41*(AllocationMass!$F$16/100)/Unitflowchart!$S$383*(ShipTransport!W11)*Unitflowchart!$S$58</f>
        <v>0</v>
      </c>
      <c r="K171" s="723">
        <f>Unitflowchart!$S$41*(AllocationMass!$F$16/100)/Unitflowchart!$S$383*(ShipTransport!AB11)*Unitflowchart!$S$58</f>
        <v>0</v>
      </c>
      <c r="L171" s="25">
        <f>(K171/K$386)*100</f>
        <v>0</v>
      </c>
      <c r="M171" s="725">
        <f>Unitflowchart!$S$41*(AllocationMass!$F$16/100)/Unitflowchart!$S$383*(ShipTransport!AC11)*Unitflowchart!$S$58</f>
        <v>0</v>
      </c>
      <c r="N171" s="726">
        <f>E171+(GlobalWarmingPotentials!$B$11*H171)+(GlobalWarmingPotentials!$C$11*K171)</f>
        <v>0</v>
      </c>
      <c r="O171" s="25">
        <f>(N171/N$386)*100</f>
        <v>0</v>
      </c>
      <c r="P171" s="742">
        <f>SQRT((G171^2)+((GlobalWarmingPotentials!$B$11*J171)^2)+((GlobalWarmingPotentials!$C$11*M171)^2))</f>
        <v>0</v>
      </c>
    </row>
    <row r="172" spans="1:16" x14ac:dyDescent="0.25">
      <c r="A172" s="14" t="str">
        <f>ShipTransport!A12</f>
        <v xml:space="preserve"> - Ship Construction</v>
      </c>
      <c r="B172" s="726">
        <f>Unitflowchart!$S$41*(AllocationMass!$F$16/100)/Unitflowchart!$S$383*(ShipTransport!J12)*Unitflowchart!$S$58</f>
        <v>0</v>
      </c>
      <c r="C172" s="25">
        <f>(B172/B$386)*100</f>
        <v>0</v>
      </c>
      <c r="D172" s="742">
        <f>Unitflowchart!$S$41*(AllocationMass!$F$16/100)/Unitflowchart!$S$383*(ShipTransport!K12)*Unitflowchart!$S$58</f>
        <v>0</v>
      </c>
      <c r="E172" s="744">
        <f>Unitflowchart!$S$41*(AllocationMass!$F$16/100)/Unitflowchart!$S$383*(ShipTransport!P12)*Unitflowchart!$S$58</f>
        <v>0</v>
      </c>
      <c r="F172" s="25">
        <f>(E172/E$386)*100</f>
        <v>0</v>
      </c>
      <c r="G172" s="744">
        <f>Unitflowchart!$S$41*(AllocationMass!$F$16/100)/Unitflowchart!$S$383*(ShipTransport!Q12)*Unitflowchart!$S$58</f>
        <v>0</v>
      </c>
      <c r="H172" s="723">
        <f>Unitflowchart!$S$41*(AllocationMass!$F$16/100)/Unitflowchart!$S$383*(ShipTransport!V12)*Unitflowchart!$S$58</f>
        <v>0</v>
      </c>
      <c r="I172" s="25">
        <f>(H172/H$386)*100</f>
        <v>0</v>
      </c>
      <c r="J172" s="725">
        <f>Unitflowchart!$S$41*(AllocationMass!$F$16/100)/Unitflowchart!$S$383*(ShipTransport!W12)*Unitflowchart!$S$58</f>
        <v>0</v>
      </c>
      <c r="K172" s="723">
        <f>Unitflowchart!$S$41*(AllocationMass!$F$16/100)/Unitflowchart!$S$383*(ShipTransport!AB12)*Unitflowchart!$S$58</f>
        <v>0</v>
      </c>
      <c r="L172" s="25">
        <f>(K172/K$386)*100</f>
        <v>0</v>
      </c>
      <c r="M172" s="725">
        <f>Unitflowchart!$S$41*(AllocationMass!$F$16/100)/Unitflowchart!$S$383*(ShipTransport!AC12)*Unitflowchart!$S$58</f>
        <v>0</v>
      </c>
      <c r="N172" s="726">
        <f>E172+(GlobalWarmingPotentials!$B$11*H172)+(GlobalWarmingPotentials!$C$11*K172)</f>
        <v>0</v>
      </c>
      <c r="O172" s="25">
        <f>(N172/N$386)*100</f>
        <v>0</v>
      </c>
      <c r="P172" s="742">
        <f>SQRT((G172^2)+((GlobalWarmingPotentials!$B$11*J172)^2)+((GlobalWarmingPotentials!$C$11*M172)^2))</f>
        <v>0</v>
      </c>
    </row>
    <row r="173" spans="1:16" x14ac:dyDescent="0.25">
      <c r="A173" s="14" t="str">
        <f>ShipTransport!A13</f>
        <v xml:space="preserve"> - Ship Maintenance</v>
      </c>
      <c r="B173" s="726">
        <f>Unitflowchart!$S$41*(AllocationMass!$F$16/100)/Unitflowchart!$S$383*(ShipTransport!J13)*Unitflowchart!$S$58</f>
        <v>0</v>
      </c>
      <c r="C173" s="25">
        <f>(B173/B$386)*100</f>
        <v>0</v>
      </c>
      <c r="D173" s="742">
        <f>Unitflowchart!$S$41*(AllocationMass!$F$16/100)/Unitflowchart!$S$383*(ShipTransport!K13)*Unitflowchart!$S$58</f>
        <v>0</v>
      </c>
      <c r="E173" s="744">
        <f>Unitflowchart!$S$41*(AllocationMass!$F$16/100)/Unitflowchart!$S$383*(ShipTransport!P13)*Unitflowchart!$S$58</f>
        <v>0</v>
      </c>
      <c r="F173" s="25">
        <f>(E173/E$386)*100</f>
        <v>0</v>
      </c>
      <c r="G173" s="744">
        <f>Unitflowchart!$S$41*(AllocationMass!$F$16/100)/Unitflowchart!$S$383*(ShipTransport!Q13)*Unitflowchart!$S$58</f>
        <v>0</v>
      </c>
      <c r="H173" s="723">
        <f>Unitflowchart!$S$41*(AllocationMass!$F$16/100)/Unitflowchart!$S$383*(ShipTransport!V13)*Unitflowchart!$S$58</f>
        <v>0</v>
      </c>
      <c r="I173" s="25">
        <f>(H173/H$386)*100</f>
        <v>0</v>
      </c>
      <c r="J173" s="725">
        <f>Unitflowchart!$S$41*(AllocationMass!$F$16/100)/Unitflowchart!$S$383*(ShipTransport!W13)*Unitflowchart!$S$58</f>
        <v>0</v>
      </c>
      <c r="K173" s="723">
        <f>Unitflowchart!$S$41*(AllocationMass!$F$16/100)/Unitflowchart!$S$383*(ShipTransport!AB13)*Unitflowchart!$S$58</f>
        <v>0</v>
      </c>
      <c r="L173" s="25">
        <f>(K173/K$386)*100</f>
        <v>0</v>
      </c>
      <c r="M173" s="725">
        <f>Unitflowchart!$S$41*(AllocationMass!$F$16/100)/Unitflowchart!$S$383*(ShipTransport!AC13)*Unitflowchart!$S$58</f>
        <v>0</v>
      </c>
      <c r="N173" s="726">
        <f>E173+(GlobalWarmingPotentials!$B$11*H173)+(GlobalWarmingPotentials!$C$11*K173)</f>
        <v>0</v>
      </c>
      <c r="O173" s="25">
        <f>(N173/N$386)*100</f>
        <v>0</v>
      </c>
      <c r="P173" s="742">
        <f>SQRT((G173^2)+((GlobalWarmingPotentials!$B$11*J173)^2)+((GlobalWarmingPotentials!$C$11*M173)^2))</f>
        <v>0</v>
      </c>
    </row>
    <row r="174" spans="1:16" x14ac:dyDescent="0.25">
      <c r="A174" s="24"/>
      <c r="B174" s="728"/>
      <c r="C174" s="25"/>
      <c r="D174" s="739"/>
      <c r="E174" s="735"/>
      <c r="F174" s="25"/>
      <c r="G174" s="735"/>
      <c r="H174" s="31"/>
      <c r="I174" s="25"/>
      <c r="J174" s="724"/>
      <c r="K174" s="31"/>
      <c r="L174" s="25"/>
      <c r="M174" s="724"/>
      <c r="N174" s="728"/>
      <c r="O174" s="25"/>
      <c r="P174" s="739"/>
    </row>
    <row r="175" spans="1:16" x14ac:dyDescent="0.25">
      <c r="A175" s="218" t="s">
        <v>873</v>
      </c>
      <c r="B175" s="734">
        <f>Unitflowchart!$S$41*(AllocationMass!$F$16/100)/Unitflowchart!$S$383*(ShipTransport!J15)*Unitflowchart!$S$58</f>
        <v>0</v>
      </c>
      <c r="C175" s="721">
        <f>(B175/B$386)*100</f>
        <v>0</v>
      </c>
      <c r="D175" s="743">
        <f>Unitflowchart!$S$41*(AllocationMass!$F$16/100)/Unitflowchart!$S$383*(ShipTransport!K15)*Unitflowchart!$S$58</f>
        <v>0</v>
      </c>
      <c r="E175" s="745">
        <f>Unitflowchart!$S$41*(AllocationMass!$F$16/100)/Unitflowchart!$S$383*(ShipTransport!P15)*Unitflowchart!$S$58</f>
        <v>0</v>
      </c>
      <c r="F175" s="721">
        <f>(E175/E$386)*100</f>
        <v>0</v>
      </c>
      <c r="G175" s="745">
        <f>Unitflowchart!$S$41*(AllocationMass!$F$16/100)/Unitflowchart!$S$383*(ShipTransport!Q15)*Unitflowchart!$S$58</f>
        <v>0</v>
      </c>
      <c r="H175" s="722">
        <f>Unitflowchart!$S$41*(AllocationMass!$F$16/100)/Unitflowchart!$S$383*(ShipTransport!V15)*Unitflowchart!$S$58</f>
        <v>0</v>
      </c>
      <c r="I175" s="721">
        <f>(H175/H$386)*100</f>
        <v>0</v>
      </c>
      <c r="J175" s="720">
        <f>Unitflowchart!$S$41*(AllocationMass!$F$16/100)/Unitflowchart!$S$383*(ShipTransport!W15)*Unitflowchart!$S$58</f>
        <v>0</v>
      </c>
      <c r="K175" s="722">
        <f>Unitflowchart!$S$41*(AllocationMass!$F$16/100)/Unitflowchart!$S$383*(ShipTransport!AB15)*Unitflowchart!$S$58</f>
        <v>0</v>
      </c>
      <c r="L175" s="721">
        <f>(K175/K$386)*100</f>
        <v>0</v>
      </c>
      <c r="M175" s="720">
        <f>Unitflowchart!$S$41*(AllocationMass!$F$16/100)/Unitflowchart!$S$383*(ShipTransport!AC15)*Unitflowchart!$S$58</f>
        <v>0</v>
      </c>
      <c r="N175" s="734">
        <f>E175+(GlobalWarmingPotentials!$B$11*H175)+(GlobalWarmingPotentials!$C$11*K175)</f>
        <v>0</v>
      </c>
      <c r="O175" s="721">
        <f>(N175/N$386)*100</f>
        <v>0</v>
      </c>
      <c r="P175" s="743">
        <f>SQRT((G175^2)+((GlobalWarmingPotentials!$B$11*J175)^2)+((GlobalWarmingPotentials!$C$11*M175)^2))</f>
        <v>0</v>
      </c>
    </row>
    <row r="176" spans="1:16" x14ac:dyDescent="0.25">
      <c r="B176" s="728"/>
      <c r="D176" s="739"/>
      <c r="E176" s="735"/>
      <c r="G176" s="735"/>
      <c r="H176" s="31"/>
      <c r="J176" s="724"/>
      <c r="K176" s="31"/>
      <c r="M176" s="724"/>
      <c r="N176" s="728"/>
      <c r="P176" s="739"/>
    </row>
    <row r="177" spans="1:16" x14ac:dyDescent="0.25">
      <c r="A177" s="218" t="s">
        <v>875</v>
      </c>
      <c r="B177" s="734">
        <f>B151+B159+B167+B175</f>
        <v>275.59665533211654</v>
      </c>
      <c r="C177" s="721">
        <f>(B177/B$386)*100</f>
        <v>2.1290831603134115</v>
      </c>
      <c r="D177" s="743">
        <f>SQRT((D151^2)+(D159^2)+(D167^2)+(D175^2))</f>
        <v>12.953042800609477</v>
      </c>
      <c r="E177" s="745">
        <f t="shared" ref="E177" si="26">E151+E159+E167+E175</f>
        <v>19.777206393823835</v>
      </c>
      <c r="F177" s="721">
        <f>(E177/E$386)*100</f>
        <v>2.4586844304032347</v>
      </c>
      <c r="G177" s="745">
        <f t="shared" ref="G177" si="27">SQRT((G151^2)+(G159^2)+(G167^2)+(G175^2))</f>
        <v>0.92952870050972014</v>
      </c>
      <c r="H177" s="722">
        <f t="shared" ref="H177" si="28">H151+H159+H167+H175</f>
        <v>3.6793848994752299E-3</v>
      </c>
      <c r="I177" s="721">
        <f>(H177/H$386)*100</f>
        <v>0.36749273621234352</v>
      </c>
      <c r="J177" s="720">
        <f t="shared" ref="J177" si="29">SQRT((J151^2)+(J159^2)+(J167^2)+(J175^2))</f>
        <v>1.7293109027533579E-4</v>
      </c>
      <c r="K177" s="722">
        <f t="shared" ref="K177" si="30">K151+K159+K167+K175</f>
        <v>4.7832003693177982E-3</v>
      </c>
      <c r="L177" s="721">
        <f>(K177/K$386)*100</f>
        <v>2.2141369999606213</v>
      </c>
      <c r="M177" s="720">
        <f t="shared" ref="M177" si="31">SQRT((M151^2)+(M159^2)+(M167^2)+(M175^2))</f>
        <v>2.2481041735793655E-4</v>
      </c>
      <c r="N177" s="734">
        <f t="shared" ref="N177" si="32">N151+N159+N167+N175</f>
        <v>21.277659555829835</v>
      </c>
      <c r="O177" s="721">
        <f>(N177/N$386)*100</f>
        <v>2.3871154745299368</v>
      </c>
      <c r="P177" s="743">
        <f t="shared" ref="P177" si="33">SQRT((P151^2)+(P159^2)+(P167^2)+(P175^2))</f>
        <v>0.9319160441468376</v>
      </c>
    </row>
    <row r="178" spans="1:16" x14ac:dyDescent="0.25">
      <c r="B178" s="728"/>
      <c r="D178" s="739"/>
      <c r="E178" s="735"/>
      <c r="G178" s="735"/>
      <c r="H178" s="31"/>
      <c r="J178" s="724"/>
      <c r="K178" s="31"/>
      <c r="M178" s="724"/>
      <c r="N178" s="728"/>
      <c r="P178" s="739"/>
    </row>
    <row r="179" spans="1:16" x14ac:dyDescent="0.25">
      <c r="A179" s="387" t="s">
        <v>43</v>
      </c>
      <c r="B179" s="728"/>
      <c r="D179" s="739"/>
      <c r="E179" s="735"/>
      <c r="G179" s="735"/>
      <c r="H179" s="31"/>
      <c r="J179" s="724"/>
      <c r="K179" s="31"/>
      <c r="M179" s="724"/>
      <c r="N179" s="728"/>
      <c r="P179" s="739"/>
    </row>
    <row r="180" spans="1:16" x14ac:dyDescent="0.25">
      <c r="B180" s="728"/>
      <c r="D180" s="739"/>
      <c r="E180" s="735"/>
      <c r="G180" s="735"/>
      <c r="H180" s="31"/>
      <c r="J180" s="724"/>
      <c r="K180" s="31"/>
      <c r="M180" s="724"/>
      <c r="N180" s="728"/>
      <c r="P180" s="739"/>
    </row>
    <row r="181" spans="1:16" x14ac:dyDescent="0.25">
      <c r="A181" t="str">
        <f>RoadTransportStage2!A28</f>
        <v xml:space="preserve"> - Diesel Fuel</v>
      </c>
      <c r="B181" s="732">
        <f>Unitflowchart!$S$64*(AllocationMass!$F$16/100)/Unitflowchart!$S$383*(RoadTransportStage2!J28)*Unitflowchart!$S$73</f>
        <v>0</v>
      </c>
      <c r="C181" s="26">
        <f>(B181/B$386)*100</f>
        <v>0</v>
      </c>
      <c r="D181" s="491">
        <f>Unitflowchart!$S$64*(AllocationMass!$F$16/100)/Unitflowchart!$S$383*(RoadTransportStage2!K28)*Unitflowchart!$S$73</f>
        <v>0</v>
      </c>
      <c r="E181" s="732">
        <f>Unitflowchart!$S$64*(AllocationMass!$F$16/100)/Unitflowchart!$S$383*(RoadTransportStage2!P28)*Unitflowchart!$S$73</f>
        <v>0</v>
      </c>
      <c r="F181" s="26">
        <f>(E181/E$386)*100</f>
        <v>0</v>
      </c>
      <c r="G181" s="491">
        <f>Unitflowchart!$S$64*(AllocationMass!$F$16/100)/Unitflowchart!$S$383*(RoadTransportStage2!Q28)*Unitflowchart!$S$73</f>
        <v>0</v>
      </c>
      <c r="H181" s="749">
        <f>Unitflowchart!$S$64*(AllocationMass!$F$16/100)/Unitflowchart!$S$383*(RoadTransportStage2!V28)*Unitflowchart!$S$73</f>
        <v>0</v>
      </c>
      <c r="I181" s="26">
        <f>(H181/H$386)*100</f>
        <v>0</v>
      </c>
      <c r="J181" s="751">
        <f>Unitflowchart!$S$64*(AllocationMass!$F$16/100)/Unitflowchart!$S$383*(RoadTransportStage2!W28)*Unitflowchart!$S$73</f>
        <v>0</v>
      </c>
      <c r="K181" s="749">
        <f>Unitflowchart!$S$64*(AllocationMass!$F$16/100)/Unitflowchart!$S$383*(RoadTransportStage2!AB28)*Unitflowchart!$S$73</f>
        <v>0</v>
      </c>
      <c r="L181" s="26">
        <f>(K181/K$386)*100</f>
        <v>0</v>
      </c>
      <c r="M181" s="751">
        <f>Unitflowchart!$S$64*(AllocationMass!$F$16/100)/Unitflowchart!$S$383*(RoadTransportStage2!AC28)*Unitflowchart!$S$73</f>
        <v>0</v>
      </c>
      <c r="N181" s="727">
        <f>E181+(GlobalWarmingPotentials!$B$11*H181)+(GlobalWarmingPotentials!$C$11*K181)</f>
        <v>0</v>
      </c>
      <c r="O181" s="26">
        <f>(N181/N$386)*100</f>
        <v>0</v>
      </c>
      <c r="P181" s="756">
        <f>SQRT((G181^2)+((GlobalWarmingPotentials!$B$11*J181)^2)+((GlobalWarmingPotentials!$C$11*M181)^2))</f>
        <v>0</v>
      </c>
    </row>
    <row r="182" spans="1:16" x14ac:dyDescent="0.25">
      <c r="A182" t="str">
        <f>RoadTransportStage2!A29</f>
        <v xml:space="preserve"> - Vehicle </v>
      </c>
      <c r="B182" s="732">
        <f>Unitflowchart!$S$64*(AllocationMass!$F$16/100)/Unitflowchart!$S$383*(RoadTransportStage2!J29)*Unitflowchart!$S$73</f>
        <v>0</v>
      </c>
      <c r="C182" s="26">
        <f>(B182/B$386)*100</f>
        <v>0</v>
      </c>
      <c r="D182" s="491">
        <f>Unitflowchart!$S$64*(AllocationMass!$F$16/100)/Unitflowchart!$S$383*(RoadTransportStage2!K29)*Unitflowchart!$S$73</f>
        <v>0</v>
      </c>
      <c r="E182" s="732">
        <f>Unitflowchart!$S$64*(AllocationMass!$F$16/100)/Unitflowchart!$S$383*(RoadTransportStage2!P29)*Unitflowchart!$S$73</f>
        <v>0</v>
      </c>
      <c r="F182" s="26">
        <f>(E182/E$386)*100</f>
        <v>0</v>
      </c>
      <c r="G182" s="491">
        <f>Unitflowchart!$S$64*(AllocationMass!$F$16/100)/Unitflowchart!$S$383*(RoadTransportStage2!Q29)*Unitflowchart!$S$73</f>
        <v>0</v>
      </c>
      <c r="H182" s="749">
        <f>Unitflowchart!$S$64*(AllocationMass!$F$16/100)/Unitflowchart!$S$383*(RoadTransportStage2!V29)*Unitflowchart!$S$73</f>
        <v>0</v>
      </c>
      <c r="I182" s="26">
        <f>(H182/H$386)*100</f>
        <v>0</v>
      </c>
      <c r="J182" s="751">
        <f>Unitflowchart!$S$64*(AllocationMass!$F$16/100)/Unitflowchart!$S$383*(RoadTransportStage2!W29)*Unitflowchart!$S$73</f>
        <v>0</v>
      </c>
      <c r="K182" s="749">
        <f>Unitflowchart!$S$64*(AllocationMass!$F$16/100)/Unitflowchart!$S$383*(RoadTransportStage2!AB29)*Unitflowchart!$S$73</f>
        <v>0</v>
      </c>
      <c r="L182" s="26">
        <f>(K182/K$386)*100</f>
        <v>0</v>
      </c>
      <c r="M182" s="751">
        <f>Unitflowchart!$S$64*(AllocationMass!$F$16/100)/Unitflowchart!$S$383*(RoadTransportStage2!AC29)*Unitflowchart!$S$73</f>
        <v>0</v>
      </c>
      <c r="N182" s="727">
        <f>E182+(GlobalWarmingPotentials!$B$11*H182)+(GlobalWarmingPotentials!$C$11*K182)</f>
        <v>0</v>
      </c>
      <c r="O182" s="26">
        <f>(N182/N$386)*100</f>
        <v>0</v>
      </c>
      <c r="P182" s="756">
        <f>SQRT((G182^2)+((GlobalWarmingPotentials!$B$11*J182)^2)+((GlobalWarmingPotentials!$C$11*M182)^2))</f>
        <v>0</v>
      </c>
    </row>
    <row r="183" spans="1:16" x14ac:dyDescent="0.25">
      <c r="A183" t="str">
        <f>RoadTransportStage2!A30</f>
        <v xml:space="preserve"> - Maintenance</v>
      </c>
      <c r="B183" s="732">
        <f>Unitflowchart!$S$64*(AllocationMass!$F$16/100)/Unitflowchart!$S$383*(RoadTransportStage2!J30)*Unitflowchart!$S$73</f>
        <v>0</v>
      </c>
      <c r="C183" s="26">
        <f>(B183/B$386)*100</f>
        <v>0</v>
      </c>
      <c r="D183" s="491">
        <f>Unitflowchart!$S$64*(AllocationMass!$F$16/100)/Unitflowchart!$S$383*(RoadTransportStage2!K30)*Unitflowchart!$S$73</f>
        <v>0</v>
      </c>
      <c r="E183" s="732">
        <f>Unitflowchart!$S$64*(AllocationMass!$F$16/100)/Unitflowchart!$S$383*(RoadTransportStage2!P30)*Unitflowchart!$S$73</f>
        <v>0</v>
      </c>
      <c r="F183" s="26">
        <f>(E183/E$386)*100</f>
        <v>0</v>
      </c>
      <c r="G183" s="491">
        <f>Unitflowchart!$S$64*(AllocationMass!$F$16/100)/Unitflowchart!$S$383*(RoadTransportStage2!Q30)*Unitflowchart!$S$73</f>
        <v>0</v>
      </c>
      <c r="H183" s="749">
        <f>Unitflowchart!$S$64*(AllocationMass!$F$16/100)/Unitflowchart!$S$383*(RoadTransportStage2!V30)*Unitflowchart!$S$73</f>
        <v>0</v>
      </c>
      <c r="I183" s="26">
        <f>(H183/H$386)*100</f>
        <v>0</v>
      </c>
      <c r="J183" s="751">
        <f>Unitflowchart!$S$64*(AllocationMass!$F$16/100)/Unitflowchart!$S$383*(RoadTransportStage2!W30)*Unitflowchart!$S$73</f>
        <v>0</v>
      </c>
      <c r="K183" s="749">
        <f>Unitflowchart!$S$64*(AllocationMass!$F$16/100)/Unitflowchart!$S$383*(RoadTransportStage2!AB30)*Unitflowchart!$S$73</f>
        <v>0</v>
      </c>
      <c r="L183" s="26">
        <f>(K183/K$386)*100</f>
        <v>0</v>
      </c>
      <c r="M183" s="751">
        <f>Unitflowchart!$S$64*(AllocationMass!$F$16/100)/Unitflowchart!$S$383*(RoadTransportStage2!AC30)*Unitflowchart!$S$73</f>
        <v>0</v>
      </c>
      <c r="N183" s="727">
        <f>E183+(GlobalWarmingPotentials!$B$11*H183)+(GlobalWarmingPotentials!$C$11*K183)</f>
        <v>0</v>
      </c>
      <c r="O183" s="26">
        <f>(N183/N$386)*100</f>
        <v>0</v>
      </c>
      <c r="P183" s="756">
        <f>SQRT((G183^2)+((GlobalWarmingPotentials!$B$11*J183)^2)+((GlobalWarmingPotentials!$C$11*M183)^2))</f>
        <v>0</v>
      </c>
    </row>
    <row r="184" spans="1:16" s="43" customFormat="1" x14ac:dyDescent="0.25">
      <c r="B184" s="766"/>
      <c r="C184" s="992"/>
      <c r="D184" s="779"/>
      <c r="E184" s="766"/>
      <c r="F184" s="992"/>
      <c r="G184" s="779"/>
      <c r="H184" s="783"/>
      <c r="I184" s="992"/>
      <c r="J184" s="784"/>
      <c r="K184" s="783"/>
      <c r="L184" s="992"/>
      <c r="M184" s="784"/>
      <c r="N184" s="729"/>
      <c r="O184" s="155"/>
      <c r="P184" s="736"/>
    </row>
    <row r="185" spans="1:16" x14ac:dyDescent="0.25">
      <c r="A185" s="22" t="s">
        <v>868</v>
      </c>
      <c r="B185" s="1002">
        <f>Unitflowchart!$S$64*(AllocationMass!$F$16/100)/Unitflowchart!$S$383*(RoadTransportStage2!J32)*Unitflowchart!$S$73</f>
        <v>0</v>
      </c>
      <c r="C185" s="993">
        <f>(B185/B$386)*100</f>
        <v>0</v>
      </c>
      <c r="D185" s="1003">
        <f>Unitflowchart!$S$64*(AllocationMass!$F$16/100)/Unitflowchart!$S$383*(RoadTransportStage2!K32)*Unitflowchart!$S$73</f>
        <v>0</v>
      </c>
      <c r="E185" s="1002">
        <f>Unitflowchart!$S$64*(AllocationMass!$F$16/100)/Unitflowchart!$S$383*(RoadTransportStage2!P32)*Unitflowchart!$S$73</f>
        <v>0</v>
      </c>
      <c r="F185" s="993">
        <f>(E185/E$386)*100</f>
        <v>0</v>
      </c>
      <c r="G185" s="1003">
        <f>Unitflowchart!$S$64*(AllocationMass!$F$16/100)/Unitflowchart!$S$383*(RoadTransportStage2!Q32)*Unitflowchart!$S$73</f>
        <v>0</v>
      </c>
      <c r="H185" s="1004">
        <f>Unitflowchart!$S$64*(AllocationMass!$F$16/100)/Unitflowchart!$S$383*(RoadTransportStage2!V32)*Unitflowchart!$S$73</f>
        <v>0</v>
      </c>
      <c r="I185" s="993">
        <f>(H185/H$386)*100</f>
        <v>0</v>
      </c>
      <c r="J185" s="1005">
        <f>Unitflowchart!$S$64*(AllocationMass!$F$16/100)/Unitflowchart!$S$383*(RoadTransportStage2!W32)*Unitflowchart!$S$73</f>
        <v>0</v>
      </c>
      <c r="K185" s="1004">
        <f>Unitflowchart!$S$64*(AllocationMass!$F$16/100)/Unitflowchart!$S$383*(RoadTransportStage2!AB32)*Unitflowchart!$S$73</f>
        <v>0</v>
      </c>
      <c r="L185" s="993">
        <f>(K185/K$386)*100</f>
        <v>0</v>
      </c>
      <c r="M185" s="1005">
        <f>Unitflowchart!$S$64*(AllocationMass!$F$16/100)/Unitflowchart!$S$383*(RoadTransportStage2!AC32)*Unitflowchart!$S$73</f>
        <v>0</v>
      </c>
      <c r="N185" s="762">
        <f>E185+(GlobalWarmingPotentials!$B$11*H185)+(GlobalWarmingPotentials!$C$11*K185)</f>
        <v>0</v>
      </c>
      <c r="O185" s="714">
        <f>(N185/N$386)*100</f>
        <v>0</v>
      </c>
      <c r="P185" s="767">
        <f>SQRT((G185^2)+((GlobalWarmingPotentials!$B$11*J185)^2)+((GlobalWarmingPotentials!$C$11*M185)^2))</f>
        <v>0</v>
      </c>
    </row>
    <row r="186" spans="1:16" s="212" customFormat="1" x14ac:dyDescent="0.25">
      <c r="A186" s="775"/>
      <c r="B186" s="766"/>
      <c r="C186" s="764"/>
      <c r="D186" s="779"/>
      <c r="E186" s="766"/>
      <c r="F186" s="764"/>
      <c r="G186" s="779"/>
      <c r="H186" s="783"/>
      <c r="I186" s="764"/>
      <c r="J186" s="784"/>
      <c r="K186" s="783"/>
      <c r="L186" s="764"/>
      <c r="M186" s="784"/>
      <c r="N186" s="763"/>
      <c r="O186" s="773"/>
      <c r="P186" s="787"/>
    </row>
    <row r="187" spans="1:16" s="212" customFormat="1" x14ac:dyDescent="0.25">
      <c r="A187" s="387" t="s">
        <v>890</v>
      </c>
      <c r="B187" s="766"/>
      <c r="C187" s="764"/>
      <c r="D187" s="779"/>
      <c r="E187" s="766"/>
      <c r="F187" s="764"/>
      <c r="G187" s="779"/>
      <c r="H187" s="783"/>
      <c r="I187" s="764"/>
      <c r="J187" s="784"/>
      <c r="K187" s="783"/>
      <c r="L187" s="764"/>
      <c r="M187" s="784"/>
      <c r="N187" s="766"/>
      <c r="O187" s="764"/>
      <c r="P187" s="788"/>
    </row>
    <row r="188" spans="1:16" s="212" customFormat="1" x14ac:dyDescent="0.25">
      <c r="A188"/>
      <c r="B188" s="766"/>
      <c r="C188" s="764"/>
      <c r="D188" s="779"/>
      <c r="E188" s="766"/>
      <c r="F188" s="764"/>
      <c r="G188" s="779"/>
      <c r="H188" s="783"/>
      <c r="I188" s="764"/>
      <c r="J188" s="784"/>
      <c r="K188" s="783"/>
      <c r="L188" s="764"/>
      <c r="M188" s="784"/>
      <c r="N188" s="766"/>
      <c r="O188" s="764"/>
      <c r="P188" s="788"/>
    </row>
    <row r="189" spans="1:16" s="212" customFormat="1" x14ac:dyDescent="0.25">
      <c r="A189" t="str">
        <f>RailTransport!A11</f>
        <v xml:space="preserve"> - Gas Oil</v>
      </c>
      <c r="B189" s="791">
        <f>Unitflowchart!$S$64*(AllocationMass!$F$16/100)/Unitflowchart!$S$383*(RailTransport!J11)*Unitflowchart!$S$75</f>
        <v>0</v>
      </c>
      <c r="C189" s="764">
        <f>(B189/B$386)*100</f>
        <v>0</v>
      </c>
      <c r="D189" s="792">
        <f>Unitflowchart!$S$64*(AllocationMass!$F$16/100)/Unitflowchart!$S$383*(RailTransport!K11)*Unitflowchart!$S$75</f>
        <v>0</v>
      </c>
      <c r="E189" s="791">
        <f>Unitflowchart!$S$64*(AllocationMass!$F$16/100)/Unitflowchart!$S$383*(RailTransport!P11)*Unitflowchart!$S$75</f>
        <v>0</v>
      </c>
      <c r="F189" s="764">
        <f>(E189/E$386)*100</f>
        <v>0</v>
      </c>
      <c r="G189" s="792">
        <f>Unitflowchart!$S$64*(AllocationMass!$F$16/100)/Unitflowchart!$S$383*(RailTransport!Q11)*Unitflowchart!$S$75</f>
        <v>0</v>
      </c>
      <c r="H189" s="793">
        <f>Unitflowchart!$S64*(AllocationMass!$F$16/100)/Unitflowchart!$S$383*(RailTransport!V11)*Unitflowchart!$S$75</f>
        <v>0</v>
      </c>
      <c r="I189" s="764">
        <f>(H189/H$386)*100</f>
        <v>0</v>
      </c>
      <c r="J189" s="794">
        <f>Unitflowchart!$S$64*(AllocationMass!$F$16/100)/Unitflowchart!$S$383*(RailTransport!W11)*Unitflowchart!$S$75</f>
        <v>0</v>
      </c>
      <c r="K189" s="793">
        <f>Unitflowchart!$S$64*(AllocationMass!$F$16/100)/Unitflowchart!$S$383*(RailTransport!AB11)*Unitflowchart!$S$75</f>
        <v>0</v>
      </c>
      <c r="L189" s="764">
        <f>(K189/K$386)*100</f>
        <v>0</v>
      </c>
      <c r="M189" s="794">
        <f>Unitflowchart!$S$64*(AllocationMass!$F$16/100)/Unitflowchart!$S$383*(RailTransport!AC11)*Unitflowchart!$S$75</f>
        <v>0</v>
      </c>
      <c r="N189" s="791">
        <f>E189+(GlobalWarmingPotentials!$B$11*H189)+(GlobalWarmingPotentials!$C$11*K189)</f>
        <v>0</v>
      </c>
      <c r="O189" s="764">
        <f>(N189/N$386)*100</f>
        <v>0</v>
      </c>
      <c r="P189" s="796">
        <f>SQRT((G189^2)+((GlobalWarmingPotentials!$B$11*J189)^2)+((GlobalWarmingPotentials!$C$11*M189)^2))</f>
        <v>0</v>
      </c>
    </row>
    <row r="190" spans="1:16" s="212" customFormat="1" x14ac:dyDescent="0.25">
      <c r="A190" t="str">
        <f>RailTransport!A12</f>
        <v xml:space="preserve"> - Capital Equipment</v>
      </c>
      <c r="B190" s="791">
        <f>Unitflowchart!$S$64*(AllocationMass!$F$16/100)/Unitflowchart!$S$383*(RailTransport!J12)*Unitflowchart!$S$75</f>
        <v>0</v>
      </c>
      <c r="C190" s="764">
        <f>(B190/B$386)*100</f>
        <v>0</v>
      </c>
      <c r="D190" s="792">
        <f>Unitflowchart!$S$64*(AllocationMass!$F$16/100)/Unitflowchart!$S$383*(RailTransport!K12)*Unitflowchart!$S$75</f>
        <v>0</v>
      </c>
      <c r="E190" s="791">
        <f>Unitflowchart!$S$64*(AllocationMass!$F$16/100)/Unitflowchart!$S$383*(RailTransport!P12)*Unitflowchart!$S$75</f>
        <v>0</v>
      </c>
      <c r="F190" s="764">
        <f>(E190/E$386)*100</f>
        <v>0</v>
      </c>
      <c r="G190" s="792">
        <f>Unitflowchart!$S$64*(AllocationMass!$F$16/100)/Unitflowchart!$S$383*(RailTransport!Q12)*Unitflowchart!$S$75</f>
        <v>0</v>
      </c>
      <c r="H190" s="793">
        <f>Unitflowchart!$S65*(AllocationMass!$F$16/100)/Unitflowchart!$S$383*(RailTransport!V12)*Unitflowchart!$S$75</f>
        <v>0</v>
      </c>
      <c r="I190" s="764">
        <f>(H190/H$386)*100</f>
        <v>0</v>
      </c>
      <c r="J190" s="794">
        <f>Unitflowchart!$S$64*(AllocationMass!$F$16/100)/Unitflowchart!$S$383*(RailTransport!W12)*Unitflowchart!$S$75</f>
        <v>0</v>
      </c>
      <c r="K190" s="793">
        <f>Unitflowchart!$S$64*(AllocationMass!$F$16/100)/Unitflowchart!$S$383*(RailTransport!AB12)*Unitflowchart!$S$75</f>
        <v>0</v>
      </c>
      <c r="L190" s="764">
        <f>(K190/K$386)*100</f>
        <v>0</v>
      </c>
      <c r="M190" s="794">
        <f>Unitflowchart!$S$64*(AllocationMass!$F$16/100)/Unitflowchart!$S$383*(RailTransport!AC12)*Unitflowchart!$S$75</f>
        <v>0</v>
      </c>
      <c r="N190" s="791">
        <f>E190+(GlobalWarmingPotentials!$B$11*H190)+(GlobalWarmingPotentials!$C$11*K190)</f>
        <v>0</v>
      </c>
      <c r="O190" s="764">
        <f>(N190/N$386)*100</f>
        <v>0</v>
      </c>
      <c r="P190" s="796">
        <f>SQRT((G190^2)+((GlobalWarmingPotentials!$B$11*J190)^2)+((GlobalWarmingPotentials!$C$11*M190)^2))</f>
        <v>0</v>
      </c>
    </row>
    <row r="191" spans="1:16" s="212" customFormat="1" x14ac:dyDescent="0.25">
      <c r="A191" t="str">
        <f>RailTransport!A13</f>
        <v xml:space="preserve"> - Maintenance</v>
      </c>
      <c r="B191" s="791">
        <f>Unitflowchart!$S$64*(AllocationMass!$F$16/100)/Unitflowchart!$S$383*(RailTransport!J13)*Unitflowchart!$S$75</f>
        <v>0</v>
      </c>
      <c r="C191" s="764">
        <f>(B191/B$386)*100</f>
        <v>0</v>
      </c>
      <c r="D191" s="792">
        <f>Unitflowchart!$S$64*(AllocationMass!$F$16/100)/Unitflowchart!$S$383*(RailTransport!K13)*Unitflowchart!$S$75</f>
        <v>0</v>
      </c>
      <c r="E191" s="791">
        <f>Unitflowchart!$S$64*(AllocationMass!$F$16/100)/Unitflowchart!$S$383*(RailTransport!P13)*Unitflowchart!$S$75</f>
        <v>0</v>
      </c>
      <c r="F191" s="764">
        <f>(E191/E$386)*100</f>
        <v>0</v>
      </c>
      <c r="G191" s="792">
        <f>Unitflowchart!$S$64*(AllocationMass!$F$16/100)/Unitflowchart!$S$383*(RailTransport!Q13)*Unitflowchart!$S$75</f>
        <v>0</v>
      </c>
      <c r="H191" s="793">
        <f>Unitflowchart!$S66*(AllocationMass!$F$16/100)/Unitflowchart!$S$383*(RailTransport!V13)*Unitflowchart!$S$75</f>
        <v>0</v>
      </c>
      <c r="I191" s="764">
        <f>(H191/H$386)*100</f>
        <v>0</v>
      </c>
      <c r="J191" s="794">
        <f>Unitflowchart!$S$64*(AllocationMass!$F$16/100)/Unitflowchart!$S$383*(RailTransport!W13)*Unitflowchart!$S$75</f>
        <v>0</v>
      </c>
      <c r="K191" s="793">
        <f>Unitflowchart!$S$64*(AllocationMass!$F$16/100)/Unitflowchart!$S$383*(RailTransport!AB13)*Unitflowchart!$S$75</f>
        <v>0</v>
      </c>
      <c r="L191" s="764">
        <f>(K191/K$386)*100</f>
        <v>0</v>
      </c>
      <c r="M191" s="794">
        <f>Unitflowchart!$S$64*(AllocationMass!$F$16/100)/Unitflowchart!$S$383*(RailTransport!AC13)*Unitflowchart!$S$75</f>
        <v>0</v>
      </c>
      <c r="N191" s="791">
        <f>E191+(GlobalWarmingPotentials!$B$11*H191)+(GlobalWarmingPotentials!$C$11*K191)</f>
        <v>0</v>
      </c>
      <c r="O191" s="764">
        <f>(N191/N$386)*100</f>
        <v>0</v>
      </c>
      <c r="P191" s="796">
        <f>SQRT((G191^2)+((GlobalWarmingPotentials!$B$11*J191)^2)+((GlobalWarmingPotentials!$C$11*M191)^2))</f>
        <v>0</v>
      </c>
    </row>
    <row r="192" spans="1:16" s="212" customFormat="1" x14ac:dyDescent="0.25">
      <c r="A192"/>
      <c r="B192" s="766"/>
      <c r="C192" s="764"/>
      <c r="D192" s="779"/>
      <c r="E192" s="766"/>
      <c r="F192" s="764"/>
      <c r="G192" s="779"/>
      <c r="H192" s="783"/>
      <c r="I192" s="764"/>
      <c r="J192" s="784"/>
      <c r="K192" s="783"/>
      <c r="L192" s="764"/>
      <c r="M192" s="784"/>
      <c r="N192" s="766"/>
      <c r="O192" s="764"/>
      <c r="P192" s="788"/>
    </row>
    <row r="193" spans="1:16" s="212" customFormat="1" x14ac:dyDescent="0.25">
      <c r="A193" s="715" t="s">
        <v>891</v>
      </c>
      <c r="B193" s="734">
        <f>Unitflowchart!$S$64*(AllocationMass!$F$16/100)/Unitflowchart!$S$383*(RailTransport!J15)*Unitflowchart!$S$75</f>
        <v>0</v>
      </c>
      <c r="C193" s="790">
        <f>(B193/B$386)*100</f>
        <v>0</v>
      </c>
      <c r="D193" s="743">
        <f>Unitflowchart!$S$64*(AllocationMass!$F$16/100)/Unitflowchart!$S$383*(RailTransport!K15)*Unitflowchart!$S$75</f>
        <v>0</v>
      </c>
      <c r="E193" s="734">
        <f>Unitflowchart!$S$64*(AllocationMass!$F$16/100)/Unitflowchart!$S$383*(RailTransport!P15)*Unitflowchart!$S$75</f>
        <v>0</v>
      </c>
      <c r="F193" s="790">
        <f>(E193/E$386)*100</f>
        <v>0</v>
      </c>
      <c r="G193" s="743">
        <f>Unitflowchart!$S$64*(AllocationMass!$F$16/100)/Unitflowchart!$S$383*(RailTransport!Q15)*Unitflowchart!$S$75</f>
        <v>0</v>
      </c>
      <c r="H193" s="722">
        <f>Unitflowchart!$S68*(AllocationMass!$F$16/100)/Unitflowchart!$S$383*(RailTransport!V15)*Unitflowchart!$S$75</f>
        <v>0</v>
      </c>
      <c r="I193" s="790">
        <f>(H193/H$386)*100</f>
        <v>0</v>
      </c>
      <c r="J193" s="719">
        <f>Unitflowchart!$S$64*(AllocationMass!$F$16/100)/Unitflowchart!$S$383*(RailTransport!W15)*Unitflowchart!$S$75</f>
        <v>0</v>
      </c>
      <c r="K193" s="722">
        <f>Unitflowchart!$S$64*(AllocationMass!$F$16/100)/Unitflowchart!$S$383*(RailTransport!AB15)*Unitflowchart!$S$75</f>
        <v>0</v>
      </c>
      <c r="L193" s="790">
        <f>(K193/K$386)*100</f>
        <v>0</v>
      </c>
      <c r="M193" s="719">
        <f>Unitflowchart!$S$64*(AllocationMass!$F$16/100)/Unitflowchart!$S$383*(RailTransport!AC15)*Unitflowchart!$S$75</f>
        <v>0</v>
      </c>
      <c r="N193" s="734">
        <f>E193+(GlobalWarmingPotentials!$B$11*H193)+(GlobalWarmingPotentials!$C$11*K193)</f>
        <v>0</v>
      </c>
      <c r="O193" s="790">
        <f>(N193/N$386)*100</f>
        <v>0</v>
      </c>
      <c r="P193" s="795">
        <f>SQRT((G193^2)+((GlobalWarmingPotentials!$B$11*J193)^2)+((GlobalWarmingPotentials!$C$11*M193)^2))</f>
        <v>0</v>
      </c>
    </row>
    <row r="194" spans="1:16" s="212" customFormat="1" x14ac:dyDescent="0.25">
      <c r="A194" s="776"/>
      <c r="B194" s="766"/>
      <c r="C194" s="764"/>
      <c r="D194" s="779"/>
      <c r="E194" s="766"/>
      <c r="F194" s="764"/>
      <c r="G194" s="779"/>
      <c r="H194" s="783"/>
      <c r="I194" s="764"/>
      <c r="J194" s="784"/>
      <c r="K194" s="783"/>
      <c r="L194" s="764"/>
      <c r="M194" s="784"/>
      <c r="N194" s="766"/>
      <c r="O194" s="764"/>
      <c r="P194" s="788"/>
    </row>
    <row r="195" spans="1:16" s="212" customFormat="1" x14ac:dyDescent="0.25">
      <c r="A195" s="387" t="s">
        <v>892</v>
      </c>
      <c r="B195" s="766"/>
      <c r="C195" s="764"/>
      <c r="D195" s="779"/>
      <c r="E195" s="766"/>
      <c r="F195" s="764"/>
      <c r="G195" s="779"/>
      <c r="H195" s="783"/>
      <c r="I195" s="764"/>
      <c r="J195" s="784"/>
      <c r="K195" s="783"/>
      <c r="L195" s="764"/>
      <c r="M195" s="784"/>
      <c r="N195" s="766"/>
      <c r="O195" s="764"/>
      <c r="P195" s="788"/>
    </row>
    <row r="196" spans="1:16" s="212" customFormat="1" x14ac:dyDescent="0.25">
      <c r="A196"/>
      <c r="B196" s="766"/>
      <c r="C196" s="764"/>
      <c r="D196" s="779"/>
      <c r="E196" s="766"/>
      <c r="F196" s="764"/>
      <c r="G196" s="779"/>
      <c r="H196" s="783"/>
      <c r="I196" s="764"/>
      <c r="J196" s="784"/>
      <c r="K196" s="783"/>
      <c r="L196" s="764"/>
      <c r="M196" s="784"/>
      <c r="N196" s="766"/>
      <c r="O196" s="764"/>
      <c r="P196" s="788"/>
    </row>
    <row r="197" spans="1:16" s="212" customFormat="1" x14ac:dyDescent="0.25">
      <c r="A197" t="str">
        <f>BargeTransport!A11</f>
        <v xml:space="preserve"> - Marine Diesel</v>
      </c>
      <c r="B197" s="791">
        <f>Unitflowchart!$S$64*(AllocationMass!$F$16/100)/Unitflowchart!$S$383*(BargeTransport!J11)*Unitflowchart!$S$77</f>
        <v>0</v>
      </c>
      <c r="C197" s="764">
        <f>(B197/B$386)*100</f>
        <v>0</v>
      </c>
      <c r="D197" s="792">
        <f>Unitflowchart!$S$64*(AllocationMass!$F$16/100)/Unitflowchart!$S$383*(BargeTransport!K11)*Unitflowchart!$S$77</f>
        <v>0</v>
      </c>
      <c r="E197" s="791">
        <f>Unitflowchart!$S$64*(AllocationMass!$F$16/100)/Unitflowchart!$S$383*(BargeTransport!P11)*Unitflowchart!$S$77</f>
        <v>0</v>
      </c>
      <c r="F197" s="764">
        <f>(E197/E$386)*100</f>
        <v>0</v>
      </c>
      <c r="G197" s="792">
        <f>Unitflowchart!$S$64*(AllocationMass!$F$16/100)/Unitflowchart!$S$383*(BargeTransport!Q11)*Unitflowchart!$S$77</f>
        <v>0</v>
      </c>
      <c r="H197" s="793">
        <f>Unitflowchart!$S72*(AllocationMass!$F$16/100)/Unitflowchart!$S$383*(BargeTransport!V11)*Unitflowchart!$S$77</f>
        <v>0</v>
      </c>
      <c r="I197" s="764">
        <f>(H197/H$386)*100</f>
        <v>0</v>
      </c>
      <c r="J197" s="794">
        <f>Unitflowchart!$S$64*(AllocationMass!$F$16/100)/Unitflowchart!$S$383*(BargeTransport!W11)*Unitflowchart!$S$77</f>
        <v>0</v>
      </c>
      <c r="K197" s="793">
        <f>Unitflowchart!$S$64*(AllocationMass!$F$16/100)/Unitflowchart!$S$383*(BargeTransport!AB11)*Unitflowchart!$S$77</f>
        <v>0</v>
      </c>
      <c r="L197" s="764">
        <f>(K197/K$386)*100</f>
        <v>0</v>
      </c>
      <c r="M197" s="794">
        <f>Unitflowchart!$S$64*(AllocationMass!$F$16/100)/Unitflowchart!$S$383*(BargeTransport!AC11)*Unitflowchart!$S$77</f>
        <v>0</v>
      </c>
      <c r="N197" s="791">
        <f>E197+(GlobalWarmingPotentials!$B$11*H197)+(GlobalWarmingPotentials!$C$11*K197)</f>
        <v>0</v>
      </c>
      <c r="O197" s="764">
        <f>(N197/N$386)*100</f>
        <v>0</v>
      </c>
      <c r="P197" s="796">
        <f>SQRT((G197^2)+((GlobalWarmingPotentials!$B$11*J197)^2)+((GlobalWarmingPotentials!$C$11*M197)^2))</f>
        <v>0</v>
      </c>
    </row>
    <row r="198" spans="1:16" s="212" customFormat="1" x14ac:dyDescent="0.25">
      <c r="A198" t="str">
        <f>BargeTransport!A12</f>
        <v xml:space="preserve"> - Barge Construction</v>
      </c>
      <c r="B198" s="791">
        <f>Unitflowchart!$S$64*(AllocationMass!$F$16/100)/Unitflowchart!$S$383*(BargeTransport!J12)*Unitflowchart!$S$77</f>
        <v>0</v>
      </c>
      <c r="C198" s="764">
        <f>(B198/B$386)*100</f>
        <v>0</v>
      </c>
      <c r="D198" s="792">
        <f>Unitflowchart!$S$64*(AllocationMass!$F$16/100)/Unitflowchart!$S$383*(BargeTransport!K12)*Unitflowchart!$S$77</f>
        <v>0</v>
      </c>
      <c r="E198" s="791">
        <f>Unitflowchart!$S$64*(AllocationMass!$F$16/100)/Unitflowchart!$S$383*(BargeTransport!P12)*Unitflowchart!$S$77</f>
        <v>0</v>
      </c>
      <c r="F198" s="764">
        <f>(E198/E$386)*100</f>
        <v>0</v>
      </c>
      <c r="G198" s="792">
        <f>Unitflowchart!$S$64*(AllocationMass!$F$16/100)/Unitflowchart!$S$383*(BargeTransport!Q12)*Unitflowchart!$S$77</f>
        <v>0</v>
      </c>
      <c r="H198" s="793">
        <f>Unitflowchart!$S73*(AllocationMass!$F$16/100)/Unitflowchart!$S$383*(BargeTransport!V12)*Unitflowchart!$S$77</f>
        <v>0</v>
      </c>
      <c r="I198" s="764">
        <f>(H198/H$386)*100</f>
        <v>0</v>
      </c>
      <c r="J198" s="794">
        <f>Unitflowchart!$S$64*(AllocationMass!$F$16/100)/Unitflowchart!$S$383*(BargeTransport!W12)*Unitflowchart!$S$77</f>
        <v>0</v>
      </c>
      <c r="K198" s="793">
        <f>Unitflowchart!$S$64*(AllocationMass!$F$16/100)/Unitflowchart!$S$383*(BargeTransport!AB12)*Unitflowchart!$S$77</f>
        <v>0</v>
      </c>
      <c r="L198" s="764">
        <f>(K198/K$386)*100</f>
        <v>0</v>
      </c>
      <c r="M198" s="794">
        <f>Unitflowchart!$S$64*(AllocationMass!$F$16/100)/Unitflowchart!$S$383*(BargeTransport!AC12)*Unitflowchart!$S$77</f>
        <v>0</v>
      </c>
      <c r="N198" s="791">
        <f>E198+(GlobalWarmingPotentials!$B$11*H198)+(GlobalWarmingPotentials!$C$11*K198)</f>
        <v>0</v>
      </c>
      <c r="O198" s="764">
        <f>(N198/N$386)*100</f>
        <v>0</v>
      </c>
      <c r="P198" s="796">
        <f>SQRT((G198^2)+((GlobalWarmingPotentials!$B$11*J198)^2)+((GlobalWarmingPotentials!$C$11*M198)^2))</f>
        <v>0</v>
      </c>
    </row>
    <row r="199" spans="1:16" s="212" customFormat="1" x14ac:dyDescent="0.25">
      <c r="A199" t="str">
        <f>BargeTransport!A13</f>
        <v xml:space="preserve"> - Barge Maintenance</v>
      </c>
      <c r="B199" s="791">
        <f>Unitflowchart!$S$64*(AllocationMass!$F$16/100)/Unitflowchart!$S$383*(BargeTransport!J13)*Unitflowchart!$S$77</f>
        <v>0</v>
      </c>
      <c r="C199" s="764">
        <f>(B199/B$386)*100</f>
        <v>0</v>
      </c>
      <c r="D199" s="792">
        <f>Unitflowchart!$S$64*(AllocationMass!$F$16/100)/Unitflowchart!$S$383*(BargeTransport!K13)*Unitflowchart!$S$77</f>
        <v>0</v>
      </c>
      <c r="E199" s="791">
        <f>Unitflowchart!$S$64*(AllocationMass!$F$16/100)/Unitflowchart!$S$383*(BargeTransport!P13)*Unitflowchart!$S$77</f>
        <v>0</v>
      </c>
      <c r="F199" s="764">
        <f>(E199/E$386)*100</f>
        <v>0</v>
      </c>
      <c r="G199" s="792">
        <f>Unitflowchart!$S$64*(AllocationMass!$F$16/100)/Unitflowchart!$S$383*(BargeTransport!Q13)*Unitflowchart!$S$77</f>
        <v>0</v>
      </c>
      <c r="H199" s="793">
        <f>Unitflowchart!$S74*(AllocationMass!$F$16/100)/Unitflowchart!$S$383*(BargeTransport!V13)*Unitflowchart!$S$77</f>
        <v>0</v>
      </c>
      <c r="I199" s="764">
        <f>(H199/H$386)*100</f>
        <v>0</v>
      </c>
      <c r="J199" s="794">
        <f>Unitflowchart!$S$64*(AllocationMass!$F$16/100)/Unitflowchart!$S$383*(BargeTransport!W13)*Unitflowchart!$S$77</f>
        <v>0</v>
      </c>
      <c r="K199" s="793">
        <f>Unitflowchart!$S$64*(AllocationMass!$F$16/100)/Unitflowchart!$S$383*(BargeTransport!AB13)*Unitflowchart!$S$77</f>
        <v>0</v>
      </c>
      <c r="L199" s="764">
        <f>(K199/K$386)*100</f>
        <v>0</v>
      </c>
      <c r="M199" s="794">
        <f>Unitflowchart!$S$64*(AllocationMass!$F$16/100)/Unitflowchart!$S$383*(BargeTransport!AC13)*Unitflowchart!$S$77</f>
        <v>0</v>
      </c>
      <c r="N199" s="791">
        <f>E199+(GlobalWarmingPotentials!$B$11*H199)+(GlobalWarmingPotentials!$C$11*K199)</f>
        <v>0</v>
      </c>
      <c r="O199" s="764">
        <f>(N199/N$386)*100</f>
        <v>0</v>
      </c>
      <c r="P199" s="796">
        <f>SQRT((G199^2)+((GlobalWarmingPotentials!$B$11*J199)^2)+((GlobalWarmingPotentials!$C$11*M199)^2))</f>
        <v>0</v>
      </c>
    </row>
    <row r="200" spans="1:16" s="212" customFormat="1" x14ac:dyDescent="0.25">
      <c r="A200"/>
      <c r="B200" s="766"/>
      <c r="C200" s="764"/>
      <c r="D200" s="779"/>
      <c r="E200" s="766"/>
      <c r="F200" s="764"/>
      <c r="G200" s="779"/>
      <c r="H200" s="783"/>
      <c r="I200" s="764"/>
      <c r="J200" s="784"/>
      <c r="K200" s="783"/>
      <c r="L200" s="764"/>
      <c r="M200" s="784"/>
      <c r="N200" s="766"/>
      <c r="O200" s="764"/>
      <c r="P200" s="788"/>
    </row>
    <row r="201" spans="1:16" s="212" customFormat="1" x14ac:dyDescent="0.25">
      <c r="A201" s="715" t="s">
        <v>893</v>
      </c>
      <c r="B201" s="734">
        <f>Unitflowchart!$S$64*(AllocationMass!$F$16/100)/Unitflowchart!$S$383*(BargeTransport!J15)*Unitflowchart!$S$77</f>
        <v>0</v>
      </c>
      <c r="C201" s="790">
        <f>(B201/B$386)*100</f>
        <v>0</v>
      </c>
      <c r="D201" s="743">
        <f>Unitflowchart!$S$64*(AllocationMass!$F$16/100)/Unitflowchart!$S$383*(BargeTransport!K15)*Unitflowchart!$S$77</f>
        <v>0</v>
      </c>
      <c r="E201" s="734">
        <f>Unitflowchart!$S$64*(AllocationMass!$F$16/100)/Unitflowchart!$S$383*(BargeTransport!P15)*Unitflowchart!$S$77</f>
        <v>0</v>
      </c>
      <c r="F201" s="790">
        <f>(E201/E$386)*100</f>
        <v>0</v>
      </c>
      <c r="G201" s="743">
        <f>Unitflowchart!$S$64*(AllocationMass!$F$16/100)/Unitflowchart!$S$383*(BargeTransport!Q15)*Unitflowchart!$S$77</f>
        <v>0</v>
      </c>
      <c r="H201" s="722">
        <f>Unitflowchart!$S76*(AllocationMass!$F$16/100)/Unitflowchart!$S$383*(BargeTransport!V15)*Unitflowchart!$S$77</f>
        <v>0</v>
      </c>
      <c r="I201" s="790">
        <f>(H201/H$386)*100</f>
        <v>0</v>
      </c>
      <c r="J201" s="719">
        <f>Unitflowchart!$S$64*(AllocationMass!$F$16/100)/Unitflowchart!$S$383*(BargeTransport!W15)*Unitflowchart!$S$77</f>
        <v>0</v>
      </c>
      <c r="K201" s="722">
        <f>Unitflowchart!$S$64*(AllocationMass!$F$16/100)/Unitflowchart!$S$383*(BargeTransport!AB15)*Unitflowchart!$S$77</f>
        <v>0</v>
      </c>
      <c r="L201" s="790">
        <f>(K201/K$386)*100</f>
        <v>0</v>
      </c>
      <c r="M201" s="719">
        <f>Unitflowchart!$S$64*(AllocationMass!$F$16/100)/Unitflowchart!$S$383*(BargeTransport!AC15)*Unitflowchart!$S$77</f>
        <v>0</v>
      </c>
      <c r="N201" s="734">
        <f>E201+(GlobalWarmingPotentials!$B$11*H201)+(GlobalWarmingPotentials!$C$11*K201)</f>
        <v>0</v>
      </c>
      <c r="O201" s="790">
        <f>(N201/N$386)*100</f>
        <v>0</v>
      </c>
      <c r="P201" s="795">
        <f>SQRT((G201^2)+((GlobalWarmingPotentials!$B$11*J201)^2)+((GlobalWarmingPotentials!$C$11*M201)^2))</f>
        <v>0</v>
      </c>
    </row>
    <row r="202" spans="1:16" s="212" customFormat="1" x14ac:dyDescent="0.25">
      <c r="A202" s="776"/>
      <c r="B202" s="766"/>
      <c r="C202" s="764"/>
      <c r="D202" s="779"/>
      <c r="E202" s="766"/>
      <c r="F202" s="764"/>
      <c r="G202" s="779"/>
      <c r="H202" s="783"/>
      <c r="I202" s="764"/>
      <c r="J202" s="784"/>
      <c r="K202" s="783"/>
      <c r="L202" s="764"/>
      <c r="M202" s="784"/>
      <c r="N202" s="766"/>
      <c r="O202" s="764"/>
      <c r="P202" s="788"/>
    </row>
    <row r="203" spans="1:16" s="212" customFormat="1" x14ac:dyDescent="0.25">
      <c r="A203" s="387" t="s">
        <v>894</v>
      </c>
      <c r="B203" s="766"/>
      <c r="C203" s="764"/>
      <c r="D203" s="779"/>
      <c r="E203" s="766"/>
      <c r="F203" s="764"/>
      <c r="G203" s="779"/>
      <c r="H203" s="783"/>
      <c r="I203" s="764"/>
      <c r="J203" s="784"/>
      <c r="K203" s="783"/>
      <c r="L203" s="764"/>
      <c r="M203" s="784"/>
      <c r="N203" s="766"/>
      <c r="O203" s="764"/>
      <c r="P203" s="788"/>
    </row>
    <row r="204" spans="1:16" s="212" customFormat="1" x14ac:dyDescent="0.25">
      <c r="A204"/>
      <c r="B204" s="766"/>
      <c r="C204" s="764"/>
      <c r="D204" s="779"/>
      <c r="E204" s="766"/>
      <c r="F204" s="764"/>
      <c r="G204" s="779"/>
      <c r="H204" s="783"/>
      <c r="I204" s="764"/>
      <c r="J204" s="784"/>
      <c r="K204" s="783"/>
      <c r="L204" s="764"/>
      <c r="M204" s="784"/>
      <c r="N204" s="766"/>
      <c r="O204" s="764"/>
      <c r="P204" s="788"/>
    </row>
    <row r="205" spans="1:16" s="212" customFormat="1" x14ac:dyDescent="0.25">
      <c r="A205" t="str">
        <f>ShipTransport!A11</f>
        <v xml:space="preserve"> - Marine Diesel</v>
      </c>
      <c r="B205" s="791">
        <f>Unitflowchart!$S$64*(AllocationMass!$F$16/100)/Unitflowchart!$S$383*(ShipTransport!J11)*Unitflowchart!$S$79</f>
        <v>0</v>
      </c>
      <c r="C205" s="764">
        <f>(B205/B$386)*100</f>
        <v>0</v>
      </c>
      <c r="D205" s="792">
        <f>Unitflowchart!$S$64*(AllocationMass!$F$16/100)/Unitflowchart!$S$383*(ShipTransport!K11)*Unitflowchart!$S$79</f>
        <v>0</v>
      </c>
      <c r="E205" s="791">
        <f>Unitflowchart!$S$64*(AllocationMass!$F$16/100)/Unitflowchart!$S$383*(ShipTransport!P11)*Unitflowchart!$S$79</f>
        <v>0</v>
      </c>
      <c r="F205" s="764">
        <f>(E205/E$386)*100</f>
        <v>0</v>
      </c>
      <c r="G205" s="792">
        <f>Unitflowchart!$S$64*(AllocationMass!$F$16/100)/Unitflowchart!$S$383*(ShipTransport!Q11)*Unitflowchart!$S$79</f>
        <v>0</v>
      </c>
      <c r="H205" s="793">
        <f>Unitflowchart!$S80*(AllocationMass!$F$16/100)/Unitflowchart!$S$383*(ShipTransport!V11)*Unitflowchart!$S$79</f>
        <v>0</v>
      </c>
      <c r="I205" s="764">
        <f>(H205/H$386)*100</f>
        <v>0</v>
      </c>
      <c r="J205" s="794">
        <f>Unitflowchart!$S$64*(AllocationMass!$F$16/100)/Unitflowchart!$S$383*(ShipTransport!W11)*Unitflowchart!$S$79</f>
        <v>0</v>
      </c>
      <c r="K205" s="793">
        <f>Unitflowchart!$S$64*(AllocationMass!$F$16/100)/Unitflowchart!$S$383*(ShipTransport!AB11)*Unitflowchart!$S$79</f>
        <v>0</v>
      </c>
      <c r="L205" s="764">
        <f>(K205/K$386)*100</f>
        <v>0</v>
      </c>
      <c r="M205" s="794">
        <f>Unitflowchart!$S$64*(AllocationMass!$F$16/100)/Unitflowchart!$S$383*(ShipTransport!AC11)*Unitflowchart!$S$79</f>
        <v>0</v>
      </c>
      <c r="N205" s="791">
        <f>E205+(GlobalWarmingPotentials!$B$11*H205)+(GlobalWarmingPotentials!$C$11*K205)</f>
        <v>0</v>
      </c>
      <c r="O205" s="764">
        <f>(N205/N$386)*100</f>
        <v>0</v>
      </c>
      <c r="P205" s="796">
        <f>SQRT((G205^2)+((GlobalWarmingPotentials!$B$11*J205)^2)+((GlobalWarmingPotentials!$C$11*M205)^2))</f>
        <v>0</v>
      </c>
    </row>
    <row r="206" spans="1:16" s="212" customFormat="1" x14ac:dyDescent="0.25">
      <c r="A206" t="str">
        <f>ShipTransport!A12</f>
        <v xml:space="preserve"> - Ship Construction</v>
      </c>
      <c r="B206" s="791">
        <f>Unitflowchart!$S$64*(AllocationMass!$F$16/100)/Unitflowchart!$S$383*(ShipTransport!J12)*Unitflowchart!$S$79</f>
        <v>0</v>
      </c>
      <c r="C206" s="764">
        <f>(B206/B$386)*100</f>
        <v>0</v>
      </c>
      <c r="D206" s="792">
        <f>Unitflowchart!$S$64*(AllocationMass!$F$16/100)/Unitflowchart!$S$383*(ShipTransport!K12)*Unitflowchart!$S$79</f>
        <v>0</v>
      </c>
      <c r="E206" s="791">
        <f>Unitflowchart!$S$64*(AllocationMass!$F$16/100)/Unitflowchart!$S$383*(ShipTransport!P12)*Unitflowchart!$S$79</f>
        <v>0</v>
      </c>
      <c r="F206" s="764">
        <f>(E206/E$386)*100</f>
        <v>0</v>
      </c>
      <c r="G206" s="792">
        <f>Unitflowchart!$S$64*(AllocationMass!$F$16/100)/Unitflowchart!$S$383*(ShipTransport!Q12)*Unitflowchart!$S$79</f>
        <v>0</v>
      </c>
      <c r="H206" s="793">
        <f>Unitflowchart!$S81*(AllocationMass!$F$16/100)/Unitflowchart!$S$383*(ShipTransport!V12)*Unitflowchart!$S$79</f>
        <v>0</v>
      </c>
      <c r="I206" s="764">
        <f>(H206/H$386)*100</f>
        <v>0</v>
      </c>
      <c r="J206" s="794">
        <f>Unitflowchart!$S$64*(AllocationMass!$F$16/100)/Unitflowchart!$S$383*(ShipTransport!W12)*Unitflowchart!$S$79</f>
        <v>0</v>
      </c>
      <c r="K206" s="793">
        <f>Unitflowchart!$S$64*(AllocationMass!$F$16/100)/Unitflowchart!$S$383*(ShipTransport!AB12)*Unitflowchart!$S$79</f>
        <v>0</v>
      </c>
      <c r="L206" s="764">
        <f>(K206/K$386)*100</f>
        <v>0</v>
      </c>
      <c r="M206" s="794">
        <f>Unitflowchart!$S$64*(AllocationMass!$F$16/100)/Unitflowchart!$S$383*(ShipTransport!AC12)*Unitflowchart!$S$79</f>
        <v>0</v>
      </c>
      <c r="N206" s="791">
        <f>E206+(GlobalWarmingPotentials!$B$11*H206)+(GlobalWarmingPotentials!$C$11*K206)</f>
        <v>0</v>
      </c>
      <c r="O206" s="764">
        <f>(N206/N$386)*100</f>
        <v>0</v>
      </c>
      <c r="P206" s="796">
        <f>SQRT((G206^2)+((GlobalWarmingPotentials!$B$11*J206)^2)+((GlobalWarmingPotentials!$C$11*M206)^2))</f>
        <v>0</v>
      </c>
    </row>
    <row r="207" spans="1:16" s="212" customFormat="1" x14ac:dyDescent="0.25">
      <c r="A207" t="str">
        <f>ShipTransport!A13</f>
        <v xml:space="preserve"> - Ship Maintenance</v>
      </c>
      <c r="B207" s="791">
        <f>Unitflowchart!$S$64*(AllocationMass!$F$16/100)/Unitflowchart!$S$383*(ShipTransport!J13)*Unitflowchart!$S$79</f>
        <v>0</v>
      </c>
      <c r="C207" s="764">
        <f>(B207/B$386)*100</f>
        <v>0</v>
      </c>
      <c r="D207" s="792">
        <f>Unitflowchart!$S$64*(AllocationMass!$F$16/100)/Unitflowchart!$S$383*(ShipTransport!K13)*Unitflowchart!$S$79</f>
        <v>0</v>
      </c>
      <c r="E207" s="791">
        <f>Unitflowchart!$S$64*(AllocationMass!$F$16/100)/Unitflowchart!$S$383*(ShipTransport!P13)*Unitflowchart!$S$79</f>
        <v>0</v>
      </c>
      <c r="F207" s="764">
        <f>(E207/E$386)*100</f>
        <v>0</v>
      </c>
      <c r="G207" s="792">
        <f>Unitflowchart!$S$64*(AllocationMass!$F$16/100)/Unitflowchart!$S$383*(ShipTransport!Q13)*Unitflowchart!$S$79</f>
        <v>0</v>
      </c>
      <c r="H207" s="793">
        <f>Unitflowchart!$S82*(AllocationMass!$F$16/100)/Unitflowchart!$S$383*(ShipTransport!V13)*Unitflowchart!$S$79</f>
        <v>0</v>
      </c>
      <c r="I207" s="764">
        <f>(H207/H$386)*100</f>
        <v>0</v>
      </c>
      <c r="J207" s="794">
        <f>Unitflowchart!$S$64*(AllocationMass!$F$16/100)/Unitflowchart!$S$383*(ShipTransport!W13)*Unitflowchart!$S$79</f>
        <v>0</v>
      </c>
      <c r="K207" s="793">
        <f>Unitflowchart!$S$64*(AllocationMass!$F$16/100)/Unitflowchart!$S$383*(ShipTransport!AB13)*Unitflowchart!$S$79</f>
        <v>0</v>
      </c>
      <c r="L207" s="764">
        <f>(K207/K$386)*100</f>
        <v>0</v>
      </c>
      <c r="M207" s="794">
        <f>Unitflowchart!$S$64*(AllocationMass!$F$16/100)/Unitflowchart!$S$383*(ShipTransport!AC13)*Unitflowchart!$S$79</f>
        <v>0</v>
      </c>
      <c r="N207" s="791">
        <f>E207+(GlobalWarmingPotentials!$B$11*H207)+(GlobalWarmingPotentials!$C$11*K207)</f>
        <v>0</v>
      </c>
      <c r="O207" s="764">
        <f>(N207/N$386)*100</f>
        <v>0</v>
      </c>
      <c r="P207" s="796">
        <f>SQRT((G207^2)+((GlobalWarmingPotentials!$B$11*J207)^2)+((GlobalWarmingPotentials!$C$11*M207)^2))</f>
        <v>0</v>
      </c>
    </row>
    <row r="208" spans="1:16" s="212" customFormat="1" x14ac:dyDescent="0.25">
      <c r="A208"/>
      <c r="B208" s="766"/>
      <c r="C208" s="764"/>
      <c r="D208" s="779"/>
      <c r="E208" s="766"/>
      <c r="F208" s="764"/>
      <c r="G208" s="779"/>
      <c r="H208" s="783"/>
      <c r="I208" s="764"/>
      <c r="J208" s="784"/>
      <c r="K208" s="783"/>
      <c r="L208" s="764"/>
      <c r="M208" s="784"/>
      <c r="N208" s="766"/>
      <c r="O208" s="764"/>
      <c r="P208" s="788"/>
    </row>
    <row r="209" spans="1:23" s="212" customFormat="1" x14ac:dyDescent="0.25">
      <c r="A209" s="715" t="s">
        <v>895</v>
      </c>
      <c r="B209" s="797">
        <f>Unitflowchart!$S$64*(AllocationMass!$F$16/100)/Unitflowchart!$S$383*(ShipTransport!J15)*Unitflowchart!$S$79</f>
        <v>0</v>
      </c>
      <c r="C209" s="789">
        <f>(B209/B$386)*100</f>
        <v>0</v>
      </c>
      <c r="D209" s="798">
        <f>Unitflowchart!$S$64*(AllocationMass!$F$16/100)/Unitflowchart!$S$383*(ShipTransport!K15)*Unitflowchart!$S$79</f>
        <v>0</v>
      </c>
      <c r="E209" s="797">
        <f>Unitflowchart!$S$64*(AllocationMass!$F$16/100)/Unitflowchart!$S$383*(ShipTransport!P15)*Unitflowchart!$S$79</f>
        <v>0</v>
      </c>
      <c r="F209" s="789">
        <f>(E209/E$386)*100</f>
        <v>0</v>
      </c>
      <c r="G209" s="798">
        <f>Unitflowchart!$S$64*(AllocationMass!$F$16/100)/Unitflowchart!$S$383*(ShipTransport!Q15)*Unitflowchart!$S$79</f>
        <v>0</v>
      </c>
      <c r="H209" s="799">
        <f>Unitflowchart!$S84*(AllocationMass!$F$16/100)/Unitflowchart!$S$383*(ShipTransport!V15)*Unitflowchart!$S$79</f>
        <v>0</v>
      </c>
      <c r="I209" s="789">
        <f>(H209/H$386)*100</f>
        <v>0</v>
      </c>
      <c r="J209" s="800">
        <f>Unitflowchart!$S$64*(AllocationMass!$F$16/100)/Unitflowchart!$S$383*(ShipTransport!W15)*Unitflowchart!$S$79</f>
        <v>0</v>
      </c>
      <c r="K209" s="799">
        <f>Unitflowchart!$S$64*(AllocationMass!$F$16/100)/Unitflowchart!$S$383*(ShipTransport!AB15)*Unitflowchart!$S$79</f>
        <v>0</v>
      </c>
      <c r="L209" s="789">
        <f>(K209/K$386)*100</f>
        <v>0</v>
      </c>
      <c r="M209" s="800">
        <f>Unitflowchart!$S$64*(AllocationMass!$F$16/100)/Unitflowchart!$S$383*(ShipTransport!AC15)*Unitflowchart!$S$79</f>
        <v>0</v>
      </c>
      <c r="N209" s="797">
        <f>E209+(GlobalWarmingPotentials!$B$11*H209)+(GlobalWarmingPotentials!$C$11*K209)</f>
        <v>0</v>
      </c>
      <c r="O209" s="789">
        <f>(N209/N$386)*100</f>
        <v>0</v>
      </c>
      <c r="P209" s="801">
        <f>SQRT((G209^2)+((GlobalWarmingPotentials!$B$11*J209)^2)+((GlobalWarmingPotentials!$C$11*M209)^2))</f>
        <v>0</v>
      </c>
    </row>
    <row r="210" spans="1:23" s="361" customFormat="1" x14ac:dyDescent="0.25">
      <c r="A210" s="777"/>
      <c r="B210" s="780"/>
      <c r="C210" s="774"/>
      <c r="D210" s="781"/>
      <c r="E210" s="780"/>
      <c r="F210" s="774"/>
      <c r="G210" s="781"/>
      <c r="H210" s="785"/>
      <c r="I210" s="774"/>
      <c r="J210" s="786"/>
      <c r="K210" s="785"/>
      <c r="L210" s="774"/>
      <c r="M210" s="786"/>
      <c r="N210" s="780"/>
      <c r="O210" s="774"/>
      <c r="P210" s="781"/>
    </row>
    <row r="211" spans="1:23" x14ac:dyDescent="0.25">
      <c r="A211" s="21" t="s">
        <v>869</v>
      </c>
      <c r="B211" s="768">
        <f>B185+B193+B201+B209</f>
        <v>0</v>
      </c>
      <c r="C211" s="769">
        <f>(B211/B$386)*100</f>
        <v>0</v>
      </c>
      <c r="D211" s="770">
        <f>SQRT((D185^2)+(D193^2)+(D201^2)+(D209^2))</f>
        <v>0</v>
      </c>
      <c r="E211" s="768">
        <f t="shared" ref="E211" si="34">E185+E193+E201+E209</f>
        <v>0</v>
      </c>
      <c r="F211" s="769">
        <f>(E211/E$386)*100</f>
        <v>0</v>
      </c>
      <c r="G211" s="770">
        <f t="shared" ref="G211" si="35">SQRT((G185^2)+(G193^2)+(G201^2)+(G209^2))</f>
        <v>0</v>
      </c>
      <c r="H211" s="771">
        <f t="shared" ref="H211" si="36">H185+H193+H201+H209</f>
        <v>0</v>
      </c>
      <c r="I211" s="769">
        <f>(H211/H$386)*100</f>
        <v>0</v>
      </c>
      <c r="J211" s="772">
        <f t="shared" ref="J211" si="37">SQRT((J185^2)+(J193^2)+(J201^2)+(J209^2))</f>
        <v>0</v>
      </c>
      <c r="K211" s="771">
        <f t="shared" ref="K211" si="38">K185+K193+K201+K209</f>
        <v>0</v>
      </c>
      <c r="L211" s="769">
        <f>(K211/K$386)*100</f>
        <v>0</v>
      </c>
      <c r="M211" s="772">
        <f t="shared" ref="M211" si="39">SQRT((M185^2)+(M193^2)+(M201^2)+(M209^2))</f>
        <v>0</v>
      </c>
      <c r="N211" s="768">
        <f t="shared" ref="N211" si="40">N185+N193+N201+N209</f>
        <v>0</v>
      </c>
      <c r="O211" s="769">
        <f>(N211/N$386)*100</f>
        <v>0</v>
      </c>
      <c r="P211" s="770">
        <f t="shared" ref="P211" si="41">SQRT((P185^2)+(P193^2)+(P201^2)+(P209^2))</f>
        <v>0</v>
      </c>
      <c r="Q211" s="30"/>
    </row>
    <row r="212" spans="1:23" s="43" customFormat="1" x14ac:dyDescent="0.25">
      <c r="A212" s="157"/>
      <c r="B212" s="1006"/>
      <c r="C212" s="1010"/>
      <c r="D212" s="1097"/>
      <c r="E212" s="1006"/>
      <c r="F212" s="1010"/>
      <c r="G212" s="1097"/>
      <c r="H212" s="1012"/>
      <c r="I212" s="1010"/>
      <c r="J212" s="1013"/>
      <c r="K212" s="1012"/>
      <c r="L212" s="1010"/>
      <c r="M212" s="1098"/>
      <c r="N212" s="1006"/>
      <c r="O212" s="1010"/>
      <c r="P212" s="1097"/>
      <c r="Q212" s="852"/>
    </row>
    <row r="213" spans="1:23" x14ac:dyDescent="0.25">
      <c r="A213" s="1438" t="s">
        <v>1809</v>
      </c>
      <c r="B213" s="1006"/>
      <c r="C213" s="1010"/>
      <c r="D213" s="1097"/>
      <c r="E213" s="1006"/>
      <c r="F213" s="1010"/>
      <c r="G213" s="1097"/>
      <c r="H213" s="1012"/>
      <c r="I213" s="1010"/>
      <c r="J213" s="1013"/>
      <c r="K213" s="1012"/>
      <c r="L213" s="1010"/>
      <c r="M213" s="1098"/>
      <c r="N213" s="1006"/>
      <c r="O213" s="1010"/>
      <c r="P213" s="1097"/>
      <c r="Q213" s="852"/>
      <c r="R213" s="43"/>
      <c r="S213" s="43"/>
      <c r="T213" s="43"/>
      <c r="U213" s="43"/>
      <c r="V213" s="43"/>
      <c r="W213" s="43"/>
    </row>
    <row r="214" spans="1:23" x14ac:dyDescent="0.25">
      <c r="A214" s="29"/>
      <c r="B214" s="1006"/>
      <c r="C214" s="1010"/>
      <c r="D214" s="1097"/>
      <c r="E214" s="1006"/>
      <c r="F214" s="1010"/>
      <c r="G214" s="1097"/>
      <c r="H214" s="1012"/>
      <c r="I214" s="1010"/>
      <c r="J214" s="1013"/>
      <c r="K214" s="1012"/>
      <c r="L214" s="1010"/>
      <c r="M214" s="1098"/>
      <c r="N214" s="1006"/>
      <c r="O214" s="1010"/>
      <c r="P214" s="1097"/>
      <c r="Q214" s="852"/>
      <c r="R214" s="43"/>
      <c r="S214" s="43"/>
      <c r="T214" s="43"/>
      <c r="U214" s="43"/>
      <c r="V214" s="43"/>
      <c r="W214" s="43"/>
    </row>
    <row r="215" spans="1:23" x14ac:dyDescent="0.25">
      <c r="A215" s="1095" t="str">
        <f>Milling!A18</f>
        <v>Electricity Input</v>
      </c>
      <c r="B215" s="732">
        <f>(AllocationMass!$F$16/100)*Milling!J18*(Unitflowchart!$S$312/Unitflowchart!$S$383)</f>
        <v>0</v>
      </c>
      <c r="C215" s="26">
        <f>(B215/B$386)*100</f>
        <v>0</v>
      </c>
      <c r="D215" s="491">
        <f>(AllocationMass!$F$16/100)*Milling!K18*(Unitflowchart!$S$312/Unitflowchart!$S$383)</f>
        <v>0</v>
      </c>
      <c r="E215" s="732">
        <f>(AllocationMass!$F$16/100)*Milling!P18*(Unitflowchart!$S$312/Unitflowchart!$S$383)</f>
        <v>0</v>
      </c>
      <c r="F215" s="26">
        <f>(E215/E$386)*100</f>
        <v>0</v>
      </c>
      <c r="G215" s="491">
        <f>(AllocationMass!$F$16/100)*Milling!Q18*(Unitflowchart!$S$312/Unitflowchart!$S$383)</f>
        <v>0</v>
      </c>
      <c r="H215" s="732">
        <f>(AllocationMass!$F$16/100)*Milling!V18*(Unitflowchart!$S$312/Unitflowchart!$S$383)</f>
        <v>2.2858900532981945E-3</v>
      </c>
      <c r="I215" s="26">
        <f>(H215/H$386)*100</f>
        <v>0.22831207207676063</v>
      </c>
      <c r="J215" s="491">
        <f>(AllocationMass!$F$16/100)*Milling!W18*(Unitflowchart!$S$312/Unitflowchart!$S$383)</f>
        <v>0</v>
      </c>
      <c r="K215" s="732">
        <f>(AllocationMass!$F$16/100)*Milling!AB18*(Unitflowchart!$S$312/Unitflowchart!$S$383)</f>
        <v>6.8576701598945823E-4</v>
      </c>
      <c r="L215" s="26">
        <f>(K215/K$386)*100</f>
        <v>0.31744062682270718</v>
      </c>
      <c r="M215" s="491">
        <f>(AllocationMass!$F$16/100)*Milling!AC18*(Unitflowchart!$S$312/Unitflowchart!$S$383)</f>
        <v>0</v>
      </c>
      <c r="N215" s="727">
        <f>E215+(GlobalWarmingPotentials!$B$11*H215)+(GlobalWarmingPotentials!$C$11*K215)</f>
        <v>0.25556250795873808</v>
      </c>
      <c r="O215" s="26">
        <f>(N215/N$386)*100</f>
        <v>2.8671255682857055E-2</v>
      </c>
      <c r="P215" s="760">
        <f>SQRT((G215^2)+((GlobalWarmingPotentials!$B$11*J215)^2)+((GlobalWarmingPotentials!$C$11*M215)^2))</f>
        <v>0</v>
      </c>
      <c r="Q215" s="30"/>
    </row>
    <row r="216" spans="1:23" s="43" customFormat="1" x14ac:dyDescent="0.25">
      <c r="A216" s="1096"/>
      <c r="B216" s="1006"/>
      <c r="C216" s="1010"/>
      <c r="D216" s="1097"/>
      <c r="E216" s="1006"/>
      <c r="F216" s="1010"/>
      <c r="G216" s="1097"/>
      <c r="H216" s="1012"/>
      <c r="I216" s="1010"/>
      <c r="J216" s="1013"/>
      <c r="K216" s="1012"/>
      <c r="L216" s="1010"/>
      <c r="M216" s="1098"/>
      <c r="N216" s="1006"/>
      <c r="O216" s="1010"/>
      <c r="P216" s="1097"/>
      <c r="Q216" s="852"/>
    </row>
    <row r="217" spans="1:23" x14ac:dyDescent="0.25">
      <c r="A217" s="715" t="s">
        <v>1810</v>
      </c>
      <c r="B217" s="1002">
        <f>(AllocationMass!$F$16/100)*Milling!J20*(Unitflowchart!$S$312/Unitflowchart!$S$383)</f>
        <v>0</v>
      </c>
      <c r="C217" s="993">
        <f>(B217/B$386)*100</f>
        <v>0</v>
      </c>
      <c r="D217" s="1003">
        <f>(AllocationMass!$F$16/100)*Milling!K20*(Unitflowchart!$S$312/Unitflowchart!$S$383)</f>
        <v>0</v>
      </c>
      <c r="E217" s="1002">
        <f>(AllocationMass!$F$16/100)*Milling!P20*(Unitflowchart!$S$312/Unitflowchart!$S$383)</f>
        <v>0</v>
      </c>
      <c r="F217" s="993">
        <f>(E217/E$386)*100</f>
        <v>0</v>
      </c>
      <c r="G217" s="1003">
        <f>(AllocationMass!$F$16/100)*Milling!Q20*(Unitflowchart!$S$312/Unitflowchart!$S$383)</f>
        <v>0</v>
      </c>
      <c r="H217" s="1002">
        <f>(AllocationMass!$F$16/100)*Milling!V20*(Unitflowchart!$S$312/Unitflowchart!$S$383)</f>
        <v>2.2858900532981945E-3</v>
      </c>
      <c r="I217" s="993">
        <f>(H217/H$386)*100</f>
        <v>0.22831207207676063</v>
      </c>
      <c r="J217" s="1003">
        <f>(AllocationMass!$F$16/100)*Milling!W20*(Unitflowchart!$S$312/Unitflowchart!$S$383)</f>
        <v>0</v>
      </c>
      <c r="K217" s="1002">
        <f>(AllocationMass!$F$16/100)*Milling!AB20*(Unitflowchart!$S$312/Unitflowchart!$S$383)</f>
        <v>6.8576701598945823E-4</v>
      </c>
      <c r="L217" s="993">
        <f>(K217/K$386)*100</f>
        <v>0.31744062682270718</v>
      </c>
      <c r="M217" s="1003">
        <f>(AllocationMass!$F$16/100)*Milling!AC20*(Unitflowchart!$S$312/Unitflowchart!$S$383)</f>
        <v>0</v>
      </c>
      <c r="N217" s="1042">
        <f>E217+(GlobalWarmingPotentials!$B$11*H217)+(GlobalWarmingPotentials!$C$11*K217)</f>
        <v>0.25556250795873808</v>
      </c>
      <c r="O217" s="993">
        <f>(N217/N$386)*100</f>
        <v>2.8671255682857055E-2</v>
      </c>
      <c r="P217" s="1058">
        <f>SQRT((G217^2)+((GlobalWarmingPotentials!$B$11*J217)^2)+((GlobalWarmingPotentials!$C$11*M217)^2))</f>
        <v>0</v>
      </c>
      <c r="Q217" s="30"/>
    </row>
    <row r="218" spans="1:23" x14ac:dyDescent="0.25">
      <c r="B218" s="733"/>
      <c r="D218" s="735"/>
      <c r="E218" s="733"/>
      <c r="G218" s="735"/>
      <c r="H218" s="750"/>
      <c r="J218" s="724"/>
      <c r="K218" s="750"/>
      <c r="M218" s="724"/>
      <c r="N218" s="733"/>
      <c r="P218" s="735"/>
      <c r="Q218" s="30"/>
    </row>
    <row r="219" spans="1:23" x14ac:dyDescent="0.25">
      <c r="A219" s="2" t="s">
        <v>1701</v>
      </c>
      <c r="B219" s="728"/>
      <c r="D219" s="735"/>
      <c r="E219" s="728"/>
      <c r="G219" s="735"/>
      <c r="H219" s="31"/>
      <c r="J219" s="724"/>
      <c r="K219" s="31"/>
      <c r="M219" s="724"/>
      <c r="N219" s="728"/>
      <c r="P219" s="735"/>
      <c r="Q219" s="30"/>
    </row>
    <row r="220" spans="1:23" x14ac:dyDescent="0.25">
      <c r="B220" s="728"/>
      <c r="D220" s="735"/>
      <c r="E220" s="728"/>
      <c r="G220" s="735"/>
      <c r="H220" s="31"/>
      <c r="J220" s="724"/>
      <c r="K220" s="31"/>
      <c r="M220" s="724"/>
      <c r="N220" s="728"/>
      <c r="P220" s="735"/>
      <c r="Q220" s="30"/>
    </row>
    <row r="221" spans="1:23" x14ac:dyDescent="0.25">
      <c r="A221" t="str">
        <f>'Pre-TreatHydrolysis'!A29</f>
        <v>Heat Input</v>
      </c>
      <c r="B221" s="732">
        <f>(AllocationMass!$F$16/100)*'Pre-TreatHydrolysis'!J29*(Unitflowchart!$S$312/Unitflowchart!$S$383)</f>
        <v>0</v>
      </c>
      <c r="C221" s="26">
        <f t="shared" ref="C221:C232" si="42">(B221/B$386)*100</f>
        <v>0</v>
      </c>
      <c r="D221" s="358">
        <f>(AllocationMass!$F$16/100)*'Pre-TreatHydrolysis'!K29*(Unitflowchart!$S$312/Unitflowchart!$S$383)</f>
        <v>0</v>
      </c>
      <c r="E221" s="732">
        <f>(AllocationMass!$F$16/100)*'Pre-TreatHydrolysis'!P29*(Unitflowchart!$S$312/Unitflowchart!$S$383)</f>
        <v>0</v>
      </c>
      <c r="F221" s="26">
        <f t="shared" ref="F221:F232" si="43">(E221/E$386)*100</f>
        <v>0</v>
      </c>
      <c r="G221" s="358">
        <f>(AllocationMass!$F$16/100)*'Pre-TreatHydrolysis'!Q29*(Unitflowchart!$S$312/Unitflowchart!$S$383)</f>
        <v>0</v>
      </c>
      <c r="H221" s="749">
        <f>(AllocationMass!$F$16/100)*'Pre-TreatHydrolysis'!V29*(Unitflowchart!$S$312/Unitflowchart!$S$383)</f>
        <v>4.5421214065377727E-3</v>
      </c>
      <c r="I221" s="26">
        <f t="shared" ref="I221:I232" si="44">(H221/H$386)*100</f>
        <v>0.45366186726898095</v>
      </c>
      <c r="J221" s="752">
        <f>(AllocationMass!$F$16/100)*'Pre-TreatHydrolysis'!W29*(Unitflowchart!$S$312/Unitflowchart!$S$383)</f>
        <v>0</v>
      </c>
      <c r="K221" s="749">
        <f>(AllocationMass!$F$16/100)*'Pre-TreatHydrolysis'!AB29*(Unitflowchart!$S$312/Unitflowchart!$S$383)</f>
        <v>1.3626364219613315E-3</v>
      </c>
      <c r="L221" s="26">
        <f t="shared" ref="L221:L232" si="45">(K221/K$386)*100</f>
        <v>0.63076256196828417</v>
      </c>
      <c r="M221" s="752">
        <f>(AllocationMass!$F$16/100)*'Pre-TreatHydrolysis'!AC29*(Unitflowchart!$S$312/Unitflowchart!$S$383)</f>
        <v>0</v>
      </c>
      <c r="N221" s="727">
        <f>E221+(GlobalWarmingPotentials!$B$11*H221)+(GlobalWarmingPotentials!$C$11*K221)</f>
        <v>0.5078091732509229</v>
      </c>
      <c r="O221" s="26">
        <f t="shared" ref="O221:O232" si="46">(N221/N$386)*100</f>
        <v>5.6970510896411211E-2</v>
      </c>
      <c r="P221" s="760">
        <f>SQRT((G221^2)+((GlobalWarmingPotentials!$B$11*J221)^2)+((GlobalWarmingPotentials!$C$11*M221)^2))</f>
        <v>0</v>
      </c>
      <c r="Q221" s="30"/>
    </row>
    <row r="222" spans="1:23" x14ac:dyDescent="0.25">
      <c r="A222" t="str">
        <f>'Pre-TreatHydrolysis'!A30</f>
        <v>Electricity Input</v>
      </c>
      <c r="B222" s="732">
        <f>(AllocationMass!$F$16/100)*'Pre-TreatHydrolysis'!J30*(Unitflowchart!$S$312/Unitflowchart!$S$383)</f>
        <v>0</v>
      </c>
      <c r="C222" s="26">
        <f t="shared" si="42"/>
        <v>0</v>
      </c>
      <c r="D222" s="358">
        <f>(AllocationMass!$F$16/100)*'Pre-TreatHydrolysis'!K30*(Unitflowchart!$S$312/Unitflowchart!$S$383)</f>
        <v>0</v>
      </c>
      <c r="E222" s="732">
        <f>(AllocationMass!$F$16/100)*'Pre-TreatHydrolysis'!P30*(Unitflowchart!$S$312/Unitflowchart!$S$383)</f>
        <v>0</v>
      </c>
      <c r="F222" s="26">
        <f t="shared" si="43"/>
        <v>0</v>
      </c>
      <c r="G222" s="358">
        <f>(AllocationMass!$F$16/100)*'Pre-TreatHydrolysis'!Q30*(Unitflowchart!$S$312/Unitflowchart!$S$383)</f>
        <v>0</v>
      </c>
      <c r="H222" s="749">
        <f>(AllocationMass!$F$16/100)*'Pre-TreatHydrolysis'!V30*(Unitflowchart!$S$312/Unitflowchart!$S$383)</f>
        <v>3.4527067165798363E-2</v>
      </c>
      <c r="I222" s="26">
        <f t="shared" si="44"/>
        <v>3.4485237975391723</v>
      </c>
      <c r="J222" s="752">
        <f>(AllocationMass!$F$16/100)*'Pre-TreatHydrolysis'!W30*(Unitflowchart!$S$312/Unitflowchart!$S$383)</f>
        <v>0</v>
      </c>
      <c r="K222" s="749">
        <f>(AllocationMass!$F$16/100)*'Pre-TreatHydrolysis'!AB30*(Unitflowchart!$S$312/Unitflowchart!$S$383)</f>
        <v>1.0358120149739506E-2</v>
      </c>
      <c r="L222" s="26">
        <f t="shared" si="45"/>
        <v>4.7947598475467759</v>
      </c>
      <c r="M222" s="752">
        <f>(AllocationMass!$F$16/100)*'Pre-TreatHydrolysis'!AC30*(Unitflowchart!$S$312/Unitflowchart!$S$383)</f>
        <v>0</v>
      </c>
      <c r="N222" s="727">
        <f>E222+(GlobalWarmingPotentials!$B$11*H222)+(GlobalWarmingPotentials!$C$11*K222)</f>
        <v>3.8601261091362558</v>
      </c>
      <c r="O222" s="26">
        <f t="shared" si="46"/>
        <v>0.43306298536163518</v>
      </c>
      <c r="P222" s="760">
        <f>SQRT((G222^2)+((GlobalWarmingPotentials!$B$11*J222)^2)+((GlobalWarmingPotentials!$C$11*M222)^2))</f>
        <v>0</v>
      </c>
      <c r="Q222" s="30"/>
    </row>
    <row r="223" spans="1:23" x14ac:dyDescent="0.25">
      <c r="A223" t="str">
        <f>'Pre-TreatHydrolysis'!A31</f>
        <v>Sulphuric Acid (93%) Input</v>
      </c>
      <c r="B223" s="732">
        <f>(AllocationMass!$F$16/100)*'Pre-TreatHydrolysis'!J31*(Unitflowchart!$S$312/Unitflowchart!$S$383)</f>
        <v>439.02109916033982</v>
      </c>
      <c r="C223" s="26">
        <f t="shared" si="42"/>
        <v>3.3915956930542528</v>
      </c>
      <c r="D223" s="358">
        <f>(AllocationMass!$F$16/100)*'Pre-TreatHydrolysis'!K31*(Unitflowchart!$S$312/Unitflowchart!$S$383)</f>
        <v>493.89873655538236</v>
      </c>
      <c r="E223" s="732">
        <f>(AllocationMass!$F$16/100)*'Pre-TreatHydrolysis'!P31*(Unitflowchart!$S$312/Unitflowchart!$S$383)</f>
        <v>23.780309537851743</v>
      </c>
      <c r="F223" s="26">
        <f t="shared" si="43"/>
        <v>2.9563465965114522</v>
      </c>
      <c r="G223" s="358">
        <f>(AllocationMass!$F$16/100)*'Pre-TreatHydrolysis'!Q31*(Unitflowchart!$S$312/Unitflowchart!$S$383)</f>
        <v>29.268073277355988</v>
      </c>
      <c r="H223" s="749">
        <f>(AllocationMass!$F$16/100)*'Pre-TreatHydrolysis'!V31*(Unitflowchart!$S$312/Unitflowchart!$S$383)</f>
        <v>4.9389873655538229E-2</v>
      </c>
      <c r="I223" s="26">
        <f t="shared" si="44"/>
        <v>4.9330038326363681</v>
      </c>
      <c r="J223" s="752">
        <f>(AllocationMass!$F$16/100)*'Pre-TreatHydrolysis'!W31*(Unitflowchart!$S$312/Unitflowchart!$S$383)</f>
        <v>5.4877637395042471E-2</v>
      </c>
      <c r="K223" s="749">
        <f>(AllocationMass!$F$16/100)*'Pre-TreatHydrolysis'!AB31*(Unitflowchart!$S$312/Unitflowchart!$S$383)</f>
        <v>3.6585091596694981E-5</v>
      </c>
      <c r="L223" s="26">
        <f t="shared" si="45"/>
        <v>1.6935189558605918E-2</v>
      </c>
      <c r="M223" s="752">
        <f>(AllocationMass!$F$16/100)*'Pre-TreatHydrolysis'!AC31*(Unitflowchart!$S$312/Unitflowchart!$S$383)</f>
        <v>5.4877637395042478E-5</v>
      </c>
      <c r="N223" s="727">
        <f>E223+(GlobalWarmingPotentials!$B$11*H223)+(GlobalWarmingPotentials!$C$11*K223)</f>
        <v>24.927105819041746</v>
      </c>
      <c r="O223" s="26">
        <f t="shared" si="46"/>
        <v>2.7965425370092647</v>
      </c>
      <c r="P223" s="760">
        <f>SQRT((G223^2)+((GlobalWarmingPotentials!$B$11*J223)^2)+((GlobalWarmingPotentials!$C$11*M223)^2))</f>
        <v>29.295281017078786</v>
      </c>
      <c r="Q223" s="30"/>
    </row>
    <row r="224" spans="1:23" x14ac:dyDescent="0.25">
      <c r="A224" t="str">
        <f>'Pre-TreatHydrolysis'!A32</f>
        <v>Caustic Soda Input</v>
      </c>
      <c r="B224" s="732">
        <f>(AllocationMass!$F$16/100)*'Pre-TreatHydrolysis'!J32*(Unitflowchart!$S$312/Unitflowchart!$S$383)</f>
        <v>0</v>
      </c>
      <c r="C224" s="26">
        <f t="shared" si="42"/>
        <v>0</v>
      </c>
      <c r="D224" s="358">
        <f>(AllocationMass!$F$16/100)*'Pre-TreatHydrolysis'!K32*(Unitflowchart!$S$312/Unitflowchart!$S$383)</f>
        <v>0</v>
      </c>
      <c r="E224" s="732">
        <f>(AllocationMass!$F$16/100)*'Pre-TreatHydrolysis'!P32*(Unitflowchart!$S$312/Unitflowchart!$S$383)</f>
        <v>0</v>
      </c>
      <c r="F224" s="26">
        <f t="shared" si="43"/>
        <v>0</v>
      </c>
      <c r="G224" s="358">
        <f>(AllocationMass!$F$16/100)*'Pre-TreatHydrolysis'!Q32*(Unitflowchart!$S$312/Unitflowchart!$S$383)</f>
        <v>0</v>
      </c>
      <c r="H224" s="749">
        <f>(AllocationMass!$F$16/100)*'Pre-TreatHydrolysis'!V32*(Unitflowchart!$S$312/Unitflowchart!$S$383)</f>
        <v>0</v>
      </c>
      <c r="I224" s="26">
        <f t="shared" si="44"/>
        <v>0</v>
      </c>
      <c r="J224" s="752">
        <f>(AllocationMass!$F$16/100)*'Pre-TreatHydrolysis'!W32*(Unitflowchart!$S$312/Unitflowchart!$S$383)</f>
        <v>0</v>
      </c>
      <c r="K224" s="749">
        <f>(AllocationMass!$F$16/100)*'Pre-TreatHydrolysis'!AB32*(Unitflowchart!$S$312/Unitflowchart!$S$383)</f>
        <v>0</v>
      </c>
      <c r="L224" s="26">
        <f t="shared" si="45"/>
        <v>0</v>
      </c>
      <c r="M224" s="752">
        <f>(AllocationMass!$F$16/100)*'Pre-TreatHydrolysis'!AC32*(Unitflowchart!$S$312/Unitflowchart!$S$383)</f>
        <v>0</v>
      </c>
      <c r="N224" s="727">
        <f>E224+(GlobalWarmingPotentials!$B$11*H224)+(GlobalWarmingPotentials!$C$11*K224)</f>
        <v>0</v>
      </c>
      <c r="O224" s="26">
        <f t="shared" si="46"/>
        <v>0</v>
      </c>
      <c r="P224" s="760">
        <f>SQRT((G224^2)+((GlobalWarmingPotentials!$B$11*J224)^2)+((GlobalWarmingPotentials!$C$11*M224)^2))</f>
        <v>0</v>
      </c>
      <c r="Q224" s="30"/>
    </row>
    <row r="225" spans="1:17" x14ac:dyDescent="0.25">
      <c r="A225" t="str">
        <f>'Pre-TreatHydrolysis'!A33</f>
        <v>Water Input</v>
      </c>
      <c r="B225" s="732">
        <f>(AllocationMass!$F$16/100)*'Pre-TreatHydrolysis'!J33*(Unitflowchart!$S$312/Unitflowchart!$S$383)</f>
        <v>0</v>
      </c>
      <c r="C225" s="26">
        <f t="shared" si="42"/>
        <v>0</v>
      </c>
      <c r="D225" s="358">
        <f>(AllocationMass!$F$16/100)*'Pre-TreatHydrolysis'!K33*(Unitflowchart!$S$312/Unitflowchart!$S$383)</f>
        <v>0</v>
      </c>
      <c r="E225" s="732">
        <f>(AllocationMass!$F$16/100)*'Pre-TreatHydrolysis'!P33*(Unitflowchart!$S$312/Unitflowchart!$S$383)</f>
        <v>0</v>
      </c>
      <c r="F225" s="26">
        <f t="shared" si="43"/>
        <v>0</v>
      </c>
      <c r="G225" s="358">
        <f>(AllocationMass!$F$16/100)*'Pre-TreatHydrolysis'!Q33*(Unitflowchart!$S$312/Unitflowchart!$S$383)</f>
        <v>0</v>
      </c>
      <c r="H225" s="749">
        <f>(AllocationMass!$F$16/100)*'Pre-TreatHydrolysis'!V33*(Unitflowchart!$S$312/Unitflowchart!$S$383)</f>
        <v>0</v>
      </c>
      <c r="I225" s="26">
        <f t="shared" si="44"/>
        <v>0</v>
      </c>
      <c r="J225" s="752">
        <f>(AllocationMass!$F$16/100)*'Pre-TreatHydrolysis'!W33*(Unitflowchart!$S$312/Unitflowchart!$S$383)</f>
        <v>0</v>
      </c>
      <c r="K225" s="749">
        <f>(AllocationMass!$F$16/100)*'Pre-TreatHydrolysis'!AB33*(Unitflowchart!$S$312/Unitflowchart!$S$383)</f>
        <v>0</v>
      </c>
      <c r="L225" s="26">
        <f t="shared" si="45"/>
        <v>0</v>
      </c>
      <c r="M225" s="752">
        <f>(AllocationMass!$F$16/100)*'Pre-TreatHydrolysis'!AC33*(Unitflowchart!$S$312/Unitflowchart!$S$383)</f>
        <v>0</v>
      </c>
      <c r="N225" s="727">
        <f>E225+(GlobalWarmingPotentials!$B$11*H225)+(GlobalWarmingPotentials!$C$11*K225)</f>
        <v>0</v>
      </c>
      <c r="O225" s="26">
        <f t="shared" si="46"/>
        <v>0</v>
      </c>
      <c r="P225" s="760">
        <f>SQRT((G225^2)+((GlobalWarmingPotentials!$B$11*J225)^2)+((GlobalWarmingPotentials!$C$11*M225)^2))</f>
        <v>0</v>
      </c>
      <c r="Q225" s="30"/>
    </row>
    <row r="226" spans="1:17" x14ac:dyDescent="0.25">
      <c r="A226" t="str">
        <f>'Pre-TreatHydrolysis'!A34</f>
        <v>Ammonia Input</v>
      </c>
      <c r="B226" s="732">
        <f>(AllocationMass!$F$16/100)*'Pre-TreatHydrolysis'!J34*(Unitflowchart!$S$312/Unitflowchart!$S$383)</f>
        <v>3432.542417454617</v>
      </c>
      <c r="C226" s="26">
        <f t="shared" si="42"/>
        <v>26.517623188340846</v>
      </c>
      <c r="D226" s="358">
        <f>(AllocationMass!$F$16/100)*'Pre-TreatHydrolysis'!K34*(Unitflowchart!$S$312/Unitflowchart!$S$383)</f>
        <v>548.77637395042461</v>
      </c>
      <c r="E226" s="732">
        <f>(AllocationMass!$F$16/100)*'Pre-TreatHydrolysis'!P34*(Unitflowchart!$S$312/Unitflowchart!$S$383)</f>
        <v>154.94862323306108</v>
      </c>
      <c r="F226" s="26">
        <f t="shared" si="43"/>
        <v>19.263072846047464</v>
      </c>
      <c r="G226" s="358">
        <f>(AllocationMass!$F$16/100)*'Pre-TreatHydrolysis'!Q34*(Unitflowchart!$S$312/Unitflowchart!$S$383)</f>
        <v>22.596674221488076</v>
      </c>
      <c r="H226" s="749">
        <f>(AllocationMass!$F$16/100)*'Pre-TreatHydrolysis'!V34*(Unitflowchart!$S$312/Unitflowchart!$S$383)</f>
        <v>0.33464598489918057</v>
      </c>
      <c r="I226" s="26">
        <f t="shared" si="44"/>
        <v>33.424056469496954</v>
      </c>
      <c r="J226" s="752">
        <f>(AllocationMass!$F$16/100)*'Pre-TreatHydrolysis'!W34*(Unitflowchart!$S$312/Unitflowchart!$S$383)</f>
        <v>5.2725573183472173E-2</v>
      </c>
      <c r="K226" s="749">
        <f>(AllocationMass!$F$16/100)*'Pre-TreatHydrolysis'!AB34*(Unitflowchart!$S$312/Unitflowchart!$S$383)</f>
        <v>4.1319632862149623E-4</v>
      </c>
      <c r="L226" s="26">
        <f t="shared" si="45"/>
        <v>0.19126802325013745</v>
      </c>
      <c r="M226" s="752">
        <f>(AllocationMass!$F$16/100)*'Pre-TreatHydrolysis'!AC34*(Unitflowchart!$S$312/Unitflowchart!$S$383)</f>
        <v>1.6893704060826799E-4</v>
      </c>
      <c r="N226" s="727">
        <f>E226+(GlobalWarmingPotentials!$B$11*H226)+(GlobalWarmingPotentials!$C$11*K226)</f>
        <v>162.76778699901422</v>
      </c>
      <c r="O226" s="26">
        <f t="shared" si="46"/>
        <v>18.260725625431043</v>
      </c>
      <c r="P226" s="760">
        <f>SQRT((G226^2)+((GlobalWarmingPotentials!$B$11*J226)^2)+((GlobalWarmingPotentials!$C$11*M226)^2))</f>
        <v>22.629246541549183</v>
      </c>
      <c r="Q226" s="30"/>
    </row>
    <row r="227" spans="1:17" x14ac:dyDescent="0.25">
      <c r="A227" t="str">
        <f>'Pre-TreatHydrolysis'!A35</f>
        <v>Corn Steep Liquor Input</v>
      </c>
      <c r="B227" s="732">
        <f>(AllocationMass!$F$16/100)*'Pre-TreatHydrolysis'!J35*(Unitflowchart!$S$312/Unitflowchart!$S$383)</f>
        <v>2317.0353052743817</v>
      </c>
      <c r="C227" s="26">
        <f t="shared" si="42"/>
        <v>17.899930042207764</v>
      </c>
      <c r="D227" s="358">
        <f>(AllocationMass!$F$16/100)*'Pre-TreatHydrolysis'!K35*(Unitflowchart!$S$312/Unitflowchart!$S$383)</f>
        <v>21.569447857643901</v>
      </c>
      <c r="E227" s="732">
        <f>(AllocationMass!$F$16/100)*'Pre-TreatHydrolysis'!P35*(Unitflowchart!$S$312/Unitflowchart!$S$383)</f>
        <v>123.88684286507934</v>
      </c>
      <c r="F227" s="26">
        <f t="shared" si="43"/>
        <v>15.401500374658822</v>
      </c>
      <c r="G227" s="358">
        <f>(AllocationMass!$F$16/100)*'Pre-TreatHydrolysis'!Q35*(Unitflowchart!$S$312/Unitflowchart!$S$383)</f>
        <v>12.990551315963438</v>
      </c>
      <c r="H227" s="749">
        <f>(AllocationMass!$F$16/100)*'Pre-TreatHydrolysis'!V35*(Unitflowchart!$S$312/Unitflowchart!$S$383)</f>
        <v>0.3083270081860372</v>
      </c>
      <c r="I227" s="26">
        <f t="shared" si="44"/>
        <v>30.795347315420287</v>
      </c>
      <c r="J227" s="752">
        <f>(AllocationMass!$F$16/100)*'Pre-TreatHydrolysis'!W35*(Unitflowchart!$S$312/Unitflowchart!$S$383)</f>
        <v>2.3219235654120913E-3</v>
      </c>
      <c r="K227" s="749">
        <f>(AllocationMass!$F$16/100)*'Pre-TreatHydrolysis'!AB35*(Unitflowchart!$S$312/Unitflowchart!$S$383)</f>
        <v>0.12171767742897067</v>
      </c>
      <c r="L227" s="26">
        <f t="shared" si="45"/>
        <v>56.34294872393</v>
      </c>
      <c r="M227" s="752">
        <f>(AllocationMass!$F$16/100)*'Pre-TreatHydrolysis'!AC35*(Unitflowchart!$S$312/Unitflowchart!$S$383)</f>
        <v>2.4441300688548331E-4</v>
      </c>
      <c r="N227" s="727">
        <f>E227+(GlobalWarmingPotentials!$B$11*H227)+(GlobalWarmingPotentials!$C$11*K227)</f>
        <v>167.00679657233354</v>
      </c>
      <c r="O227" s="26">
        <f t="shared" si="46"/>
        <v>18.736295098784073</v>
      </c>
      <c r="P227" s="760">
        <f>SQRT((G227^2)+((GlobalWarmingPotentials!$B$11*J227)^2)+((GlobalWarmingPotentials!$C$11*M227)^2))</f>
        <v>12.990862538170362</v>
      </c>
      <c r="Q227" s="30"/>
    </row>
    <row r="228" spans="1:17" x14ac:dyDescent="0.25">
      <c r="A228" t="str">
        <f>'Pre-TreatHydrolysis'!A36</f>
        <v>Diammonium Phosphate Input</v>
      </c>
      <c r="B228" s="732">
        <f>(AllocationMass!$F$16/100)*'Pre-TreatHydrolysis'!J36*(Unitflowchart!$S$312/Unitflowchart!$S$383)</f>
        <v>157.10683619952158</v>
      </c>
      <c r="C228" s="26">
        <f t="shared" si="42"/>
        <v>1.2137067444429861</v>
      </c>
      <c r="D228" s="358">
        <f>(AllocationMass!$F$16/100)*'Pre-TreatHydrolysis'!K36*(Unitflowchart!$S$312/Unitflowchart!$S$383)</f>
        <v>23.518987455018202</v>
      </c>
      <c r="E228" s="732">
        <f>(AllocationMass!$F$16/100)*'Pre-TreatHydrolysis'!P36*(Unitflowchart!$S$312/Unitflowchart!$S$383)</f>
        <v>8.7537671307577742</v>
      </c>
      <c r="F228" s="26">
        <f t="shared" si="43"/>
        <v>1.088260420768578</v>
      </c>
      <c r="G228" s="358">
        <f>(AllocationMass!$F$16/100)*'Pre-TreatHydrolysis'!Q36*(Unitflowchart!$S$312/Unitflowchart!$S$383)</f>
        <v>1.3130650696136661</v>
      </c>
      <c r="H228" s="749">
        <f>(AllocationMass!$F$16/100)*'Pre-TreatHydrolysis'!V36*(Unitflowchart!$S$312/Unitflowchart!$S$383)</f>
        <v>1.6933670967613106E-2</v>
      </c>
      <c r="I228" s="26">
        <f t="shared" si="44"/>
        <v>1.6913155997610403</v>
      </c>
      <c r="J228" s="752">
        <f>(AllocationMass!$F$16/100)*'Pre-TreatHydrolysis'!W36*(Unitflowchart!$S$312/Unitflowchart!$S$383)</f>
        <v>2.5400506451419658E-3</v>
      </c>
      <c r="K228" s="749">
        <f>(AllocationMass!$F$16/100)*'Pre-TreatHydrolysis'!AB36*(Unitflowchart!$S$312/Unitflowchart!$S$383)</f>
        <v>0</v>
      </c>
      <c r="L228" s="26">
        <f t="shared" si="45"/>
        <v>0</v>
      </c>
      <c r="M228" s="752">
        <f>(AllocationMass!$F$16/100)*'Pre-TreatHydrolysis'!AC36*(Unitflowchart!$S$312/Unitflowchart!$S$383)</f>
        <v>0</v>
      </c>
      <c r="N228" s="727">
        <f>E228+(GlobalWarmingPotentials!$B$11*H228)+(GlobalWarmingPotentials!$C$11*K228)</f>
        <v>9.1432415630128752</v>
      </c>
      <c r="O228" s="26">
        <f t="shared" si="46"/>
        <v>1.0257694632797738</v>
      </c>
      <c r="P228" s="760">
        <f>SQRT((G228^2)+((GlobalWarmingPotentials!$B$11*J228)^2)+((GlobalWarmingPotentials!$C$11*M228)^2))</f>
        <v>1.3143640703932078</v>
      </c>
      <c r="Q228" s="30"/>
    </row>
    <row r="229" spans="1:17" x14ac:dyDescent="0.25">
      <c r="A229" t="str">
        <f>'Pre-TreatHydrolysis'!A37</f>
        <v>Sorbitol Input</v>
      </c>
      <c r="B229" s="732">
        <f>(AllocationMass!$F$16/100)*'Pre-TreatHydrolysis'!J37*(Unitflowchart!$S$312/Unitflowchart!$S$383)</f>
        <v>41.119798328218096</v>
      </c>
      <c r="C229" s="26">
        <f t="shared" si="42"/>
        <v>0.31766521284734334</v>
      </c>
      <c r="D229" s="358">
        <f>(AllocationMass!$F$16/100)*'Pre-TreatHydrolysis'!K37*(Unitflowchart!$S$312/Unitflowchart!$S$383)</f>
        <v>6.1871846082645927</v>
      </c>
      <c r="E229" s="732">
        <f>(AllocationMass!$F$16/100)*'Pre-TreatHydrolysis'!P37*(Unitflowchart!$S$312/Unitflowchart!$S$383)</f>
        <v>2.7630967287840011</v>
      </c>
      <c r="F229" s="26">
        <f t="shared" si="43"/>
        <v>0.34350568889653094</v>
      </c>
      <c r="G229" s="358">
        <f>(AllocationMass!$F$16/100)*'Pre-TreatHydrolysis'!Q37*(Unitflowchart!$S$312/Unitflowchart!$S$383)</f>
        <v>0.41504095508855648</v>
      </c>
      <c r="H229" s="749">
        <f>(AllocationMass!$F$16/100)*'Pre-TreatHydrolysis'!V37*(Unitflowchart!$S$312/Unitflowchart!$S$383)</f>
        <v>3.9582609605667892E-3</v>
      </c>
      <c r="I229" s="26">
        <f t="shared" si="44"/>
        <v>0.39534655677057717</v>
      </c>
      <c r="J229" s="752">
        <f>(AllocationMass!$F$16/100)*'Pre-TreatHydrolysis'!W37*(Unitflowchart!$S$312/Unitflowchart!$S$383)</f>
        <v>5.7644577095632837E-4</v>
      </c>
      <c r="K229" s="749">
        <f>(AllocationMass!$F$16/100)*'Pre-TreatHydrolysis'!AB37*(Unitflowchart!$S$312/Unitflowchart!$S$383)</f>
        <v>3.9966906786305439E-3</v>
      </c>
      <c r="L229" s="26">
        <f t="shared" si="45"/>
        <v>1.8500627248897221</v>
      </c>
      <c r="M229" s="752">
        <f>(AllocationMass!$F$16/100)*'Pre-TreatHydrolysis'!AC37*(Unitflowchart!$S$312/Unitflowchart!$S$383)</f>
        <v>6.1487548902008373E-4</v>
      </c>
      <c r="N229" s="727">
        <f>E229+(GlobalWarmingPotentials!$B$11*H229)+(GlobalWarmingPotentials!$C$11*K229)</f>
        <v>4.0371571717516783</v>
      </c>
      <c r="O229" s="26">
        <f t="shared" si="46"/>
        <v>0.45292389101871283</v>
      </c>
      <c r="P229" s="760">
        <f>SQRT((G229^2)+((GlobalWarmingPotentials!$B$11*J229)^2)+((GlobalWarmingPotentials!$C$11*M229)^2))</f>
        <v>0.45338716387343386</v>
      </c>
      <c r="Q229" s="30"/>
    </row>
    <row r="230" spans="1:17" x14ac:dyDescent="0.25">
      <c r="A230" t="str">
        <f>'Pre-TreatHydrolysis'!A38</f>
        <v>Glucose Input</v>
      </c>
      <c r="B230" s="732">
        <f>(AllocationMass!$F$16/100)*'Pre-TreatHydrolysis'!J38*(Unitflowchart!$S$312/Unitflowchart!$S$383)</f>
        <v>1794.283536396732</v>
      </c>
      <c r="C230" s="26">
        <f t="shared" si="42"/>
        <v>13.8614848484509</v>
      </c>
      <c r="D230" s="358">
        <f>(AllocationMass!$F$16/100)*'Pre-TreatHydrolysis'!K38*(Unitflowchart!$S$312/Unitflowchart!$S$383)</f>
        <v>269.69976137143425</v>
      </c>
      <c r="E230" s="732">
        <f>(AllocationMass!$F$16/100)*'Pre-TreatHydrolysis'!P38*(Unitflowchart!$S$312/Unitflowchart!$S$383)</f>
        <v>200.60312829280232</v>
      </c>
      <c r="F230" s="26">
        <f t="shared" si="43"/>
        <v>24.93879966675788</v>
      </c>
      <c r="G230" s="358">
        <f>(AllocationMass!$F$16/100)*'Pre-TreatHydrolysis'!Q38*(Unitflowchart!$S$312/Unitflowchart!$S$383)</f>
        <v>30.090469243920349</v>
      </c>
      <c r="H230" s="749">
        <f>(AllocationMass!$F$16/100)*'Pre-TreatHydrolysis'!V38*(Unitflowchart!$S$312/Unitflowchart!$S$383)</f>
        <v>0</v>
      </c>
      <c r="I230" s="26">
        <f t="shared" si="44"/>
        <v>0</v>
      </c>
      <c r="J230" s="752">
        <f>(AllocationMass!$F$16/100)*'Pre-TreatHydrolysis'!W38*(Unitflowchart!$S$312/Unitflowchart!$S$383)</f>
        <v>0</v>
      </c>
      <c r="K230" s="749">
        <f>(AllocationMass!$F$16/100)*'Pre-TreatHydrolysis'!AB38*(Unitflowchart!$S$312/Unitflowchart!$S$383)</f>
        <v>0</v>
      </c>
      <c r="L230" s="26">
        <f t="shared" si="45"/>
        <v>0</v>
      </c>
      <c r="M230" s="752">
        <f>(AllocationMass!$F$16/100)*'Pre-TreatHydrolysis'!AC38*(Unitflowchart!$S$312/Unitflowchart!$S$383)</f>
        <v>0</v>
      </c>
      <c r="N230" s="727">
        <f>E230+(GlobalWarmingPotentials!$B$11*H230)+(GlobalWarmingPotentials!$C$11*K230)</f>
        <v>200.60312829280232</v>
      </c>
      <c r="O230" s="26">
        <f t="shared" si="46"/>
        <v>22.505427842305135</v>
      </c>
      <c r="P230" s="760">
        <f>SQRT((G230^2)+((GlobalWarmingPotentials!$B$11*J230)^2)+((GlobalWarmingPotentials!$C$11*M230)^2))</f>
        <v>30.090469243920349</v>
      </c>
      <c r="Q230" s="30"/>
    </row>
    <row r="231" spans="1:17" x14ac:dyDescent="0.25">
      <c r="A231" t="str">
        <f>'Pre-TreatHydrolysis'!A39</f>
        <v>Hot Nutrient Input</v>
      </c>
      <c r="B231" s="732">
        <f>(AllocationMass!$F$16/100)*'Pre-TreatHydrolysis'!J39*(Unitflowchart!$S$312/Unitflowchart!$S$383)</f>
        <v>49.497476866116742</v>
      </c>
      <c r="C231" s="26">
        <f t="shared" si="42"/>
        <v>0.38238578892278341</v>
      </c>
      <c r="D231" s="358">
        <f>(AllocationMass!$F$16/100)*'Pre-TreatHydrolysis'!K39*(Unitflowchart!$S$312/Unitflowchart!$S$383)</f>
        <v>7.439993417143012</v>
      </c>
      <c r="E231" s="732">
        <f>(AllocationMass!$F$16/100)*'Pre-TreatHydrolysis'!P39*(Unitflowchart!$S$312/Unitflowchart!$S$383)</f>
        <v>5.5338794011807533</v>
      </c>
      <c r="F231" s="26">
        <f t="shared" si="43"/>
        <v>0.68796688735883793</v>
      </c>
      <c r="G231" s="358">
        <f>(AllocationMass!$F$16/100)*'Pre-TreatHydrolysis'!Q39*(Unitflowchart!$S$312/Unitflowchart!$S$383)</f>
        <v>0.83008191017711308</v>
      </c>
      <c r="H231" s="749">
        <f>(AllocationMass!$F$16/100)*'Pre-TreatHydrolysis'!V39*(Unitflowchart!$S$312/Unitflowchart!$S$383)</f>
        <v>0</v>
      </c>
      <c r="I231" s="26">
        <f t="shared" si="44"/>
        <v>0</v>
      </c>
      <c r="J231" s="752">
        <f>(AllocationMass!$F$16/100)*'Pre-TreatHydrolysis'!W39*(Unitflowchart!$S$312/Unitflowchart!$S$383)</f>
        <v>0</v>
      </c>
      <c r="K231" s="749">
        <f>(AllocationMass!$F$16/100)*'Pre-TreatHydrolysis'!AB39*(Unitflowchart!$S$312/Unitflowchart!$S$383)</f>
        <v>0</v>
      </c>
      <c r="L231" s="26">
        <f t="shared" si="45"/>
        <v>0</v>
      </c>
      <c r="M231" s="752">
        <f>(AllocationMass!$F$16/100)*'Pre-TreatHydrolysis'!AC39*(Unitflowchart!$S$312/Unitflowchart!$S$383)</f>
        <v>0</v>
      </c>
      <c r="N231" s="727">
        <f>E231+(GlobalWarmingPotentials!$B$11*H231)+(GlobalWarmingPotentials!$C$11*K231)</f>
        <v>5.5338794011807533</v>
      </c>
      <c r="O231" s="26">
        <f t="shared" si="46"/>
        <v>0.62083938875324496</v>
      </c>
      <c r="P231" s="760">
        <f>SQRT((G231^2)+((GlobalWarmingPotentials!$B$11*J231)^2)+((GlobalWarmingPotentials!$C$11*M231)^2))</f>
        <v>0.83008191017711308</v>
      </c>
      <c r="Q231" s="30"/>
    </row>
    <row r="232" spans="1:17" x14ac:dyDescent="0.25">
      <c r="A232" t="str">
        <f>'Pre-TreatHydrolysis'!A40</f>
        <v>Sulphur Dioxide Input</v>
      </c>
      <c r="B232" s="732">
        <f>(AllocationMass!$F$16/100)*'Pre-TreatHydrolysis'!J40*(Unitflowchart!$S$312/Unitflowchart!$S$383)</f>
        <v>8.4545379740261506</v>
      </c>
      <c r="C232" s="26">
        <f t="shared" si="42"/>
        <v>6.5314342828425728E-2</v>
      </c>
      <c r="D232" s="358">
        <f>(AllocationMass!$F$16/100)*'Pre-TreatHydrolysis'!K40*(Unitflowchart!$S$312/Unitflowchart!$S$383)</f>
        <v>2.3057830838253137</v>
      </c>
      <c r="E232" s="732">
        <f>(AllocationMass!$F$16/100)*'Pre-TreatHydrolysis'!P40*(Unitflowchart!$S$312/Unitflowchart!$S$383)</f>
        <v>0.68404898153484306</v>
      </c>
      <c r="F232" s="26">
        <f t="shared" si="43"/>
        <v>8.5040351354078586E-2</v>
      </c>
      <c r="G232" s="358">
        <f>(AllocationMass!$F$16/100)*'Pre-TreatHydrolysis'!Q40*(Unitflowchart!$S$312/Unitflowchart!$S$383)</f>
        <v>0.18446264670602511</v>
      </c>
      <c r="H232" s="749">
        <f>(AllocationMass!$F$16/100)*'Pre-TreatHydrolysis'!V40*(Unitflowchart!$S$312/Unitflowchart!$S$383)</f>
        <v>1.9214859031877617E-5</v>
      </c>
      <c r="I232" s="26">
        <f t="shared" si="44"/>
        <v>1.9191580425756173E-3</v>
      </c>
      <c r="J232" s="752">
        <f>(AllocationMass!$F$16/100)*'Pre-TreatHydrolysis'!W40*(Unitflowchart!$S$312/Unitflowchart!$S$383)</f>
        <v>5.3801605289257322E-6</v>
      </c>
      <c r="K232" s="749">
        <f>(AllocationMass!$F$16/100)*'Pre-TreatHydrolysis'!AB40*(Unitflowchart!$S$312/Unitflowchart!$S$383)</f>
        <v>5.072722784415691E-6</v>
      </c>
      <c r="L232" s="26">
        <f t="shared" si="45"/>
        <v>2.3481565354369557E-3</v>
      </c>
      <c r="M232" s="752">
        <f>(AllocationMass!$F$16/100)*'Pre-TreatHydrolysis'!AC40*(Unitflowchart!$S$312/Unitflowchart!$S$383)</f>
        <v>1.3834698502951883E-6</v>
      </c>
      <c r="N232" s="727">
        <f>E232+(GlobalWarmingPotentials!$B$11*H232)+(GlobalWarmingPotentials!$C$11*K232)</f>
        <v>0.68599244923676328</v>
      </c>
      <c r="O232" s="26">
        <f t="shared" si="46"/>
        <v>7.6960682009554082E-2</v>
      </c>
      <c r="P232" s="760">
        <f>SQRT((G232^2)+((GlobalWarmingPotentials!$B$11*J232)^2)+((GlobalWarmingPotentials!$C$11*M232)^2))</f>
        <v>0.18446314276390885</v>
      </c>
      <c r="Q232" s="30"/>
    </row>
    <row r="233" spans="1:17" x14ac:dyDescent="0.25">
      <c r="B233" s="728"/>
      <c r="D233" s="735"/>
      <c r="E233" s="728"/>
      <c r="G233" s="735"/>
      <c r="H233" s="31"/>
      <c r="J233" s="724"/>
      <c r="K233" s="31"/>
      <c r="M233" s="724"/>
      <c r="N233" s="728"/>
      <c r="P233" s="735"/>
      <c r="Q233" s="30"/>
    </row>
    <row r="234" spans="1:17" x14ac:dyDescent="0.25">
      <c r="A234" s="805" t="s">
        <v>1812</v>
      </c>
      <c r="B234" s="730">
        <f>(AllocationMass!$F$16/100)*'Pre-TreatHydrolysis'!J42*(Unitflowchart!$S$312/Unitflowchart!$S$383)</f>
        <v>8239.0610076539524</v>
      </c>
      <c r="C234" s="15">
        <f>(B234/B$386)*100</f>
        <v>63.649705861095299</v>
      </c>
      <c r="D234" s="740">
        <f>(AllocationMass!$F$16/100)*'Pre-TreatHydrolysis'!K42*(Unitflowchart!$S$312/Unitflowchart!$S$383)</f>
        <v>786.7316995671614</v>
      </c>
      <c r="E234" s="730">
        <f>(AllocationMass!$F$16/100)*'Pre-TreatHydrolysis'!P42*(Unitflowchart!$S$312/Unitflowchart!$S$383)</f>
        <v>520.95369617105189</v>
      </c>
      <c r="F234" s="15">
        <f>(E234/E$386)*100</f>
        <v>64.764492832353653</v>
      </c>
      <c r="G234" s="740">
        <f>(AllocationMass!$F$16/100)*'Pre-TreatHydrolysis'!Q42*(Unitflowchart!$S$312/Unitflowchart!$S$383)</f>
        <v>49.43723316863327</v>
      </c>
      <c r="H234" s="215">
        <f>(AllocationMass!$F$16/100)*'Pre-TreatHydrolysis'!V42*(Unitflowchart!$S$312/Unitflowchart!$S$383)</f>
        <v>0.75234320210030403</v>
      </c>
      <c r="I234" s="15">
        <f>(H234/H$386)*100</f>
        <v>75.143174596935964</v>
      </c>
      <c r="J234" s="216">
        <f>(AllocationMass!$F$16/100)*'Pre-TreatHydrolysis'!W42*(Unitflowchart!$S$312/Unitflowchart!$S$383)</f>
        <v>7.618212820986249E-2</v>
      </c>
      <c r="K234" s="215">
        <f>(AllocationMass!$F$16/100)*'Pre-TreatHydrolysis'!AB42*(Unitflowchart!$S$312/Unitflowchart!$S$383)</f>
        <v>0.13788997882230464</v>
      </c>
      <c r="L234" s="15">
        <f>(K234/K$386)*100</f>
        <v>63.829085227678952</v>
      </c>
      <c r="M234" s="216">
        <f>(AllocationMass!$F$16/100)*'Pre-TreatHydrolysis'!AC42*(Unitflowchart!$S$312/Unitflowchart!$S$383)</f>
        <v>6.8510056028064849E-4</v>
      </c>
      <c r="N234" s="730">
        <f>E234+(GlobalWarmingPotentials!$B$11*H234)+(GlobalWarmingPotentials!$C$11*K234)</f>
        <v>579.07302355076104</v>
      </c>
      <c r="O234" s="15">
        <f>(N234/N$386)*100</f>
        <v>64.965518024848848</v>
      </c>
      <c r="P234" s="761">
        <f>SQRT((G234^2)+((GlobalWarmingPotentials!$B$11*J234)^2)+((GlobalWarmingPotentials!$C$11*M234)^2))</f>
        <v>49.468690231007074</v>
      </c>
      <c r="Q234" s="30"/>
    </row>
    <row r="235" spans="1:17" x14ac:dyDescent="0.25">
      <c r="B235" s="733"/>
      <c r="D235" s="735"/>
      <c r="E235" s="733"/>
      <c r="G235" s="735"/>
      <c r="H235" s="750"/>
      <c r="J235" s="724"/>
      <c r="K235" s="750"/>
      <c r="M235" s="724"/>
      <c r="N235" s="733"/>
      <c r="P235" s="735"/>
      <c r="Q235" s="30"/>
    </row>
    <row r="236" spans="1:17" x14ac:dyDescent="0.25">
      <c r="A236" s="2" t="s">
        <v>282</v>
      </c>
      <c r="B236" s="728"/>
      <c r="D236" s="735"/>
      <c r="E236" s="728"/>
      <c r="G236" s="735"/>
      <c r="H236" s="31"/>
      <c r="J236" s="724"/>
      <c r="K236" s="31"/>
      <c r="M236" s="724"/>
      <c r="N236" s="728"/>
      <c r="P236" s="735"/>
      <c r="Q236" s="30"/>
    </row>
    <row r="237" spans="1:17" x14ac:dyDescent="0.25">
      <c r="B237" s="728"/>
      <c r="D237" s="735"/>
      <c r="E237" s="728"/>
      <c r="G237" s="735"/>
      <c r="H237" s="31"/>
      <c r="J237" s="724"/>
      <c r="K237" s="31"/>
      <c r="M237" s="724"/>
      <c r="N237" s="728"/>
      <c r="P237" s="735"/>
      <c r="Q237" s="30"/>
    </row>
    <row r="238" spans="1:17" x14ac:dyDescent="0.25">
      <c r="A238" t="str">
        <f>Ferment!A19</f>
        <v>Heat Input</v>
      </c>
      <c r="B238" s="732">
        <f>(AllocationMass!$F$24/100)*Ferment!J19*Unitflowchart!$S$312/Unitflowchart!$S$383</f>
        <v>0</v>
      </c>
      <c r="C238" s="26">
        <f>(B238/B$386)*100</f>
        <v>0</v>
      </c>
      <c r="D238" s="358">
        <f>(AllocationMass!$F$24/100)*Ferment!K19*Unitflowchart!$S$312/Unitflowchart!$S$383</f>
        <v>0</v>
      </c>
      <c r="E238" s="732">
        <f>(AllocationMass!$F$24/100)*Ferment!P19*Unitflowchart!$S$312/Unitflowchart!$S$383</f>
        <v>0</v>
      </c>
      <c r="F238" s="26">
        <f>(E238/E$386)*100</f>
        <v>0</v>
      </c>
      <c r="G238" s="358">
        <f>(AllocationMass!$F$24/100)*Ferment!Q19*Unitflowchart!$S$312/Unitflowchart!$S$383</f>
        <v>0</v>
      </c>
      <c r="H238" s="749">
        <f>(AllocationMass!$F$24/100)*Ferment!V19*Unitflowchart!$S$312/Unitflowchart!$S$383</f>
        <v>0</v>
      </c>
      <c r="I238" s="26">
        <f>(H238/H$386)*100</f>
        <v>0</v>
      </c>
      <c r="J238" s="752">
        <f>(AllocationMass!$F$24/100)*Ferment!W19*Unitflowchart!$S$312/Unitflowchart!$S$383</f>
        <v>0</v>
      </c>
      <c r="K238" s="749">
        <f>(AllocationMass!$F$24/100)*Ferment!AB19*Unitflowchart!$S$312/Unitflowchart!$S$383</f>
        <v>0</v>
      </c>
      <c r="L238" s="26">
        <f>(K238/K$386)*100</f>
        <v>0</v>
      </c>
      <c r="M238" s="752">
        <f>(AllocationMass!$F$24/100)*Ferment!AC19*Unitflowchart!$S$312/Unitflowchart!$S$383</f>
        <v>0</v>
      </c>
      <c r="N238" s="727">
        <f>E238+(GlobalWarmingPotentials!$B$11*H238)+(GlobalWarmingPotentials!$C$11*K238)</f>
        <v>0</v>
      </c>
      <c r="O238" s="26">
        <f>(N238/N$386)*100</f>
        <v>0</v>
      </c>
      <c r="P238" s="760">
        <f>SQRT((G238^2)+((GlobalWarmingPotentials!$B$11*J238)^2)+((GlobalWarmingPotentials!$C$11*M238)^2))</f>
        <v>0</v>
      </c>
      <c r="Q238" s="30"/>
    </row>
    <row r="239" spans="1:17" x14ac:dyDescent="0.25">
      <c r="A239" t="str">
        <f>Ferment!A20</f>
        <v>Electricity Input</v>
      </c>
      <c r="B239" s="732">
        <f>(AllocationMass!$F$24/100)*Ferment!J20*Unitflowchart!$S$312/Unitflowchart!$S$383</f>
        <v>0</v>
      </c>
      <c r="C239" s="26">
        <f>(B239/B$386)*100</f>
        <v>0</v>
      </c>
      <c r="D239" s="358">
        <f>(AllocationMass!$F$24/100)*Ferment!K20*Unitflowchart!$S$312/Unitflowchart!$S$383</f>
        <v>0</v>
      </c>
      <c r="E239" s="732">
        <f>(AllocationMass!$F$24/100)*Ferment!P20*Unitflowchart!$S$312/Unitflowchart!$S$383</f>
        <v>0</v>
      </c>
      <c r="F239" s="26">
        <f>(E239/E$386)*100</f>
        <v>0</v>
      </c>
      <c r="G239" s="358">
        <f>(AllocationMass!$F$24/100)*Ferment!Q20*Unitflowchart!$S$312/Unitflowchart!$S$383</f>
        <v>0</v>
      </c>
      <c r="H239" s="749">
        <f>(AllocationMass!$F$24/100)*Ferment!V20*Unitflowchart!$S$312/Unitflowchart!$S$383</f>
        <v>3.3882352941176484E-4</v>
      </c>
      <c r="I239" s="26">
        <f>(H239/H$386)*100</f>
        <v>3.3841304815490171E-2</v>
      </c>
      <c r="J239" s="752">
        <f>(AllocationMass!$F$24/100)*Ferment!W20*Unitflowchart!$S$312/Unitflowchart!$S$383</f>
        <v>0</v>
      </c>
      <c r="K239" s="749">
        <f>(AllocationMass!$F$24/100)*Ferment!AB20*Unitflowchart!$S$312/Unitflowchart!$S$383</f>
        <v>1.0164705882352942E-4</v>
      </c>
      <c r="L239" s="26">
        <f>(K239/K$386)*100</f>
        <v>4.7052286440270819E-2</v>
      </c>
      <c r="M239" s="752">
        <f>(AllocationMass!$F$24/100)*Ferment!AC20*Unitflowchart!$S$312/Unitflowchart!$S$383</f>
        <v>0</v>
      </c>
      <c r="N239" s="727">
        <f>E239+(GlobalWarmingPotentials!$B$11*H239)+(GlobalWarmingPotentials!$C$11*K239)</f>
        <v>3.78804705882353E-2</v>
      </c>
      <c r="O239" s="26">
        <f>(N239/N$386)*100</f>
        <v>4.249765219073505E-3</v>
      </c>
      <c r="P239" s="760">
        <f>SQRT((G239^2)+((GlobalWarmingPotentials!$B$11*J239)^2)+((GlobalWarmingPotentials!$C$11*M239)^2))</f>
        <v>0</v>
      </c>
      <c r="Q239" s="30"/>
    </row>
    <row r="240" spans="1:17" x14ac:dyDescent="0.25">
      <c r="B240" s="728"/>
      <c r="D240" s="735"/>
      <c r="E240" s="728"/>
      <c r="G240" s="735"/>
      <c r="H240" s="31"/>
      <c r="J240" s="724"/>
      <c r="K240" s="31"/>
      <c r="M240" s="724"/>
      <c r="N240" s="728"/>
      <c r="P240" s="735"/>
      <c r="Q240" s="30"/>
    </row>
    <row r="241" spans="1:17" x14ac:dyDescent="0.25">
      <c r="A241" s="218" t="s">
        <v>913</v>
      </c>
      <c r="B241" s="730">
        <f>(AllocationMass!$F$24/100)*Ferment!J22*Unitflowchart!$S$312/Unitflowchart!$S$383</f>
        <v>0</v>
      </c>
      <c r="C241" s="15">
        <f>(B241/B$386)*100</f>
        <v>0</v>
      </c>
      <c r="D241" s="740">
        <f>(AllocationMass!$F$24/100)*Ferment!K22*Unitflowchart!$S$312/Unitflowchart!$S$383</f>
        <v>0</v>
      </c>
      <c r="E241" s="730">
        <f>(AllocationMass!$F$24/100)*Ferment!P22*Unitflowchart!$S$312/Unitflowchart!$S$383</f>
        <v>0</v>
      </c>
      <c r="F241" s="15">
        <f>(E241/E$386)*100</f>
        <v>0</v>
      </c>
      <c r="G241" s="740">
        <f>(AllocationMass!$F$24/100)*Ferment!Q22*Unitflowchart!$S$312/Unitflowchart!$S$383</f>
        <v>0</v>
      </c>
      <c r="H241" s="215">
        <f>(AllocationMass!$F$24/100)*Ferment!V22*Unitflowchart!$S$312/Unitflowchart!$S$383</f>
        <v>3.3882352941176484E-4</v>
      </c>
      <c r="I241" s="15">
        <f>(H241/H$386)*100</f>
        <v>3.3841304815490171E-2</v>
      </c>
      <c r="J241" s="216">
        <f>(AllocationMass!$F$24/100)*Ferment!W22*Unitflowchart!$S$312/Unitflowchart!$S$383</f>
        <v>0</v>
      </c>
      <c r="K241" s="215">
        <f>(AllocationMass!$F$24/100)*Ferment!AB22*Unitflowchart!$S$312/Unitflowchart!$S$383</f>
        <v>1.0164705882352942E-4</v>
      </c>
      <c r="L241" s="15">
        <f>(K241/K$386)*100</f>
        <v>4.7052286440270819E-2</v>
      </c>
      <c r="M241" s="216">
        <f>(AllocationMass!$F$24/100)*Ferment!AC22*Unitflowchart!$S$312/Unitflowchart!$S$383</f>
        <v>0</v>
      </c>
      <c r="N241" s="730">
        <f>E241+(GlobalWarmingPotentials!$B$11*H241)+(GlobalWarmingPotentials!$C$11*K241)</f>
        <v>3.78804705882353E-2</v>
      </c>
      <c r="O241" s="15">
        <f>(N241/N$386)*100</f>
        <v>4.249765219073505E-3</v>
      </c>
      <c r="P241" s="759">
        <f>SQRT((G241^2)+((GlobalWarmingPotentials!$B$11*J241)^2)+((GlobalWarmingPotentials!$C$11*M241)^2))</f>
        <v>0</v>
      </c>
    </row>
    <row r="242" spans="1:17" x14ac:dyDescent="0.25">
      <c r="B242" s="728"/>
      <c r="D242" s="735"/>
      <c r="E242" s="733"/>
      <c r="G242" s="735"/>
      <c r="H242" s="750"/>
      <c r="J242" s="724"/>
      <c r="K242" s="750"/>
      <c r="M242" s="724"/>
      <c r="N242" s="733"/>
      <c r="P242" s="735"/>
      <c r="Q242" s="30"/>
    </row>
    <row r="243" spans="1:17" x14ac:dyDescent="0.25">
      <c r="A243" s="2" t="s">
        <v>1716</v>
      </c>
      <c r="B243" s="728"/>
      <c r="D243" s="735"/>
      <c r="E243" s="728"/>
      <c r="G243" s="735"/>
      <c r="H243" s="31"/>
      <c r="J243" s="724"/>
      <c r="K243" s="31"/>
      <c r="M243" s="724"/>
      <c r="N243" s="728"/>
      <c r="P243" s="735"/>
      <c r="Q243" s="30"/>
    </row>
    <row r="244" spans="1:17" x14ac:dyDescent="0.25">
      <c r="B244" s="728"/>
      <c r="D244" s="735"/>
      <c r="E244" s="728"/>
      <c r="G244" s="735"/>
      <c r="H244" s="31"/>
      <c r="J244" s="724"/>
      <c r="K244" s="31"/>
      <c r="M244" s="724"/>
      <c r="N244" s="728"/>
      <c r="P244" s="735"/>
      <c r="Q244" s="30"/>
    </row>
    <row r="245" spans="1:17" x14ac:dyDescent="0.25">
      <c r="A245" t="str">
        <f>EthanolRecovery!A19</f>
        <v>Heat Input</v>
      </c>
      <c r="B245" s="732">
        <f>(AllocationMass!$F$29/100)*EthanolRecovery!J19*(Unitflowchart!$S$312/Unitflowchart!$S$383)</f>
        <v>0</v>
      </c>
      <c r="C245" s="26">
        <f>(B245/B$386)*100</f>
        <v>0</v>
      </c>
      <c r="D245" s="358">
        <f>(AllocationMass!$F$29/100)*EthanolRecovery!K19*(Unitflowchart!$S$312/Unitflowchart!$S$383)</f>
        <v>0</v>
      </c>
      <c r="E245" s="732">
        <f>(AllocationMass!$F$29/100)*EthanolRecovery!P19*(Unitflowchart!$S$312/Unitflowchart!$S$383)</f>
        <v>0</v>
      </c>
      <c r="F245" s="26">
        <f>(E245/E$386)*100</f>
        <v>0</v>
      </c>
      <c r="G245" s="358">
        <f>(AllocationMass!$F$29/100)*EthanolRecovery!Q19*(Unitflowchart!$S$312/Unitflowchart!$S$383)</f>
        <v>0</v>
      </c>
      <c r="H245" s="749">
        <f>(AllocationMass!$F$29/100)*EthanolRecovery!V19*(Unitflowchart!$S$312/Unitflowchart!$S$383)</f>
        <v>2.9162823529411769E-2</v>
      </c>
      <c r="I245" s="26">
        <f>(H245/H$386)*100</f>
        <v>2.9127493065565844</v>
      </c>
      <c r="J245" s="752">
        <f>(AllocationMass!$F$29/100)*EthanolRecovery!W19*(Unitflowchart!$S$312/Unitflowchart!$S$383)</f>
        <v>0</v>
      </c>
      <c r="K245" s="749">
        <f>(AllocationMass!$F$29/100)*EthanolRecovery!AB19*(Unitflowchart!$S$312/Unitflowchart!$S$383)</f>
        <v>8.7488470588235299E-3</v>
      </c>
      <c r="L245" s="26">
        <f>(K245/K$386)*100</f>
        <v>4.0498295041528101</v>
      </c>
      <c r="M245" s="752">
        <f>(AllocationMass!$F$29/100)*EthanolRecovery!AC19*(Unitflowchart!$S$312/Unitflowchart!$S$383)</f>
        <v>0</v>
      </c>
      <c r="N245" s="727">
        <f>E245+(GlobalWarmingPotentials!$B$11*H245)+(GlobalWarmingPotentials!$C$11*K245)</f>
        <v>3.2604036705882353</v>
      </c>
      <c r="O245" s="26">
        <f>(N245/N$386)*100</f>
        <v>0.36578083387667243</v>
      </c>
      <c r="P245" s="760">
        <f>SQRT((G245^2)+((GlobalWarmingPotentials!$B$11*J245)^2)+((GlobalWarmingPotentials!$C$11*M245)^2))</f>
        <v>0</v>
      </c>
      <c r="Q245" s="30"/>
    </row>
    <row r="246" spans="1:17" x14ac:dyDescent="0.25">
      <c r="A246" t="str">
        <f>EthanolRecovery!A20</f>
        <v>Electricity Input</v>
      </c>
      <c r="B246" s="732">
        <f>(AllocationMass!$F$29/100)*EthanolRecovery!J20*(Unitflowchart!$S$312/Unitflowchart!$S$383)</f>
        <v>0</v>
      </c>
      <c r="C246" s="26">
        <f>(B246/B$386)*100</f>
        <v>0</v>
      </c>
      <c r="D246" s="358">
        <f>(AllocationMass!$F$29/100)*EthanolRecovery!K20*(Unitflowchart!$S$312/Unitflowchart!$S$383)</f>
        <v>0</v>
      </c>
      <c r="E246" s="732">
        <f>(AllocationMass!$F$29/100)*EthanolRecovery!P20*(Unitflowchart!$S$312/Unitflowchart!$S$383)</f>
        <v>0</v>
      </c>
      <c r="F246" s="26">
        <f>(E246/E$386)*100</f>
        <v>0</v>
      </c>
      <c r="G246" s="358">
        <f>(AllocationMass!$F$29/100)*EthanolRecovery!Q20*(Unitflowchart!$S$312/Unitflowchart!$S$383)</f>
        <v>0</v>
      </c>
      <c r="H246" s="749">
        <f>(AllocationMass!$F$29/100)*EthanolRecovery!V20*(Unitflowchart!$S$312/Unitflowchart!$S$383)</f>
        <v>2.6371764705882361E-3</v>
      </c>
      <c r="I246" s="26">
        <f>(H246/H$386)*100</f>
        <v>0.26339815581389847</v>
      </c>
      <c r="J246" s="752">
        <f>(AllocationMass!$F$29/100)*EthanolRecovery!W20*(Unitflowchart!$S$312/Unitflowchart!$S$383)</f>
        <v>0</v>
      </c>
      <c r="K246" s="749">
        <f>(AllocationMass!$F$29/100)*EthanolRecovery!AB20*(Unitflowchart!$S$312/Unitflowchart!$S$383)</f>
        <v>7.9115294117647068E-4</v>
      </c>
      <c r="L246" s="26">
        <f>(K246/K$386)*100</f>
        <v>0.36622362946010789</v>
      </c>
      <c r="M246" s="752">
        <f>(AllocationMass!$F$29/100)*EthanolRecovery!AC20*(Unitflowchart!$S$312/Unitflowchart!$S$383)</f>
        <v>0</v>
      </c>
      <c r="N246" s="727">
        <f>E246+(GlobalWarmingPotentials!$B$11*H246)+(GlobalWarmingPotentials!$C$11*K246)</f>
        <v>0.29483632941176474</v>
      </c>
      <c r="O246" s="26">
        <f>(N246/N$386)*100</f>
        <v>3.3077339288455444E-2</v>
      </c>
      <c r="P246" s="760">
        <f>SQRT((G246^2)+((GlobalWarmingPotentials!$B$11*J246)^2)+((GlobalWarmingPotentials!$C$11*M246)^2))</f>
        <v>0</v>
      </c>
      <c r="Q246" s="30"/>
    </row>
    <row r="247" spans="1:17" x14ac:dyDescent="0.25">
      <c r="B247" s="728"/>
      <c r="D247" s="735"/>
      <c r="E247" s="728"/>
      <c r="G247" s="735"/>
      <c r="H247" s="31"/>
      <c r="J247" s="724"/>
      <c r="K247" s="31"/>
      <c r="M247" s="724"/>
      <c r="N247" s="728"/>
      <c r="P247" s="735"/>
      <c r="Q247" s="30"/>
    </row>
    <row r="248" spans="1:17" x14ac:dyDescent="0.25">
      <c r="A248" s="218" t="s">
        <v>1825</v>
      </c>
      <c r="B248" s="730">
        <f>(AllocationMass!$F$29/100)*EthanolRecovery!J22*(Unitflowchart!$S$312/Unitflowchart!$S$383)</f>
        <v>0</v>
      </c>
      <c r="C248" s="15">
        <f>(B248/B$386)*100</f>
        <v>0</v>
      </c>
      <c r="D248" s="740">
        <f>(AllocationMass!$F$29/100)*EthanolRecovery!K22*(Unitflowchart!$S$312/Unitflowchart!$S$383)</f>
        <v>0</v>
      </c>
      <c r="E248" s="730">
        <f>(AllocationMass!$F$29/100)*EthanolRecovery!P22*(Unitflowchart!$S$312/Unitflowchart!$S$383)</f>
        <v>0</v>
      </c>
      <c r="F248" s="15">
        <f>(E248/E$386)*100</f>
        <v>0</v>
      </c>
      <c r="G248" s="740">
        <f>(AllocationMass!$F$29/100)*EthanolRecovery!Q22*(Unitflowchart!$S$312/Unitflowchart!$S$383)</f>
        <v>0</v>
      </c>
      <c r="H248" s="215">
        <f>(AllocationMass!$F$29/100)*EthanolRecovery!V22*(Unitflowchart!$S$312/Unitflowchart!$S$383)</f>
        <v>3.1800000000000002E-2</v>
      </c>
      <c r="I248" s="15">
        <f>(H248/H$386)*100</f>
        <v>3.1761474623704831</v>
      </c>
      <c r="J248" s="216">
        <f>(AllocationMass!$F$29/100)*EthanolRecovery!W22*(Unitflowchart!$S$312/Unitflowchart!$S$383)</f>
        <v>0</v>
      </c>
      <c r="K248" s="215">
        <f>(AllocationMass!$F$29/100)*EthanolRecovery!AB22*(Unitflowchart!$S$312/Unitflowchart!$S$383)</f>
        <v>9.5399999999999999E-3</v>
      </c>
      <c r="L248" s="15">
        <f>(K248/K$386)*100</f>
        <v>4.416053133612917</v>
      </c>
      <c r="M248" s="216">
        <f>(AllocationMass!$F$29/100)*EthanolRecovery!AC22*(Unitflowchart!$S$312/Unitflowchart!$S$383)</f>
        <v>0</v>
      </c>
      <c r="N248" s="730">
        <f>E248+(GlobalWarmingPotentials!$B$11*H248)+(GlobalWarmingPotentials!$C$11*K248)</f>
        <v>3.5552400000000004</v>
      </c>
      <c r="O248" s="15">
        <f>(N248/N$386)*100</f>
        <v>0.39885817316512795</v>
      </c>
      <c r="P248" s="759">
        <f>SQRT((G248^2)+((GlobalWarmingPotentials!$B$11*J248)^2)+((GlobalWarmingPotentials!$C$11*M248)^2))</f>
        <v>0</v>
      </c>
    </row>
    <row r="249" spans="1:17" x14ac:dyDescent="0.25">
      <c r="B249" s="733"/>
      <c r="D249" s="735"/>
      <c r="E249" s="733"/>
      <c r="G249" s="735"/>
      <c r="H249" s="750"/>
      <c r="J249" s="724"/>
      <c r="K249" s="750"/>
      <c r="M249" s="724"/>
      <c r="N249" s="733"/>
      <c r="P249" s="735"/>
      <c r="Q249" s="30"/>
    </row>
    <row r="250" spans="1:17" x14ac:dyDescent="0.25">
      <c r="A250" s="2" t="s">
        <v>1721</v>
      </c>
      <c r="B250" s="728"/>
      <c r="D250" s="735"/>
      <c r="E250" s="728"/>
      <c r="G250" s="735"/>
      <c r="H250" s="31"/>
      <c r="J250" s="724"/>
      <c r="K250" s="31"/>
      <c r="M250" s="724"/>
      <c r="N250" s="728"/>
      <c r="P250" s="735"/>
      <c r="Q250" s="30"/>
    </row>
    <row r="251" spans="1:17" x14ac:dyDescent="0.25">
      <c r="B251" s="728"/>
      <c r="D251" s="735"/>
      <c r="E251" s="728"/>
      <c r="G251" s="735"/>
      <c r="H251" s="31"/>
      <c r="J251" s="724"/>
      <c r="K251" s="31"/>
      <c r="M251" s="724"/>
      <c r="N251" s="728"/>
      <c r="P251" s="735"/>
      <c r="Q251" s="30"/>
    </row>
    <row r="252" spans="1:17" x14ac:dyDescent="0.25">
      <c r="A252" t="str">
        <f>WasteSolidFilter!A19</f>
        <v>Heat Input</v>
      </c>
      <c r="B252" s="732">
        <f>(AllocationMass!$F$33/100)*WasteSolidFilter!J19*(Unitflowchart!$S$312/Unitflowchart!$S$383)</f>
        <v>0</v>
      </c>
      <c r="C252" s="26">
        <f>(B252/B$386)*100</f>
        <v>0</v>
      </c>
      <c r="D252" s="358">
        <f>(AllocationMass!$F$33/100)*WasteSolidFilter!K19*(Unitflowchart!$S$312/Unitflowchart!$S$383)</f>
        <v>0</v>
      </c>
      <c r="E252" s="732">
        <f>(AllocationMass!$F$33/100)*WasteSolidFilter!P19*(Unitflowchart!$S$312/Unitflowchart!$S$383)</f>
        <v>0</v>
      </c>
      <c r="F252" s="26">
        <f>(E252/E$386)*100</f>
        <v>0</v>
      </c>
      <c r="G252" s="358">
        <f>(AllocationMass!$F$33/100)*WasteSolidFilter!Q19*(Unitflowchart!$S$312/Unitflowchart!$S$383)</f>
        <v>0</v>
      </c>
      <c r="H252" s="749">
        <f>(AllocationMass!$F$33/100)*WasteSolidFilter!V19*(Unitflowchart!$S$312/Unitflowchart!$S$383)</f>
        <v>0</v>
      </c>
      <c r="I252" s="26">
        <f>(H252/H$386)*100</f>
        <v>0</v>
      </c>
      <c r="J252" s="752">
        <f>(AllocationMass!$F$33/100)*WasteSolidFilter!W19*(Unitflowchart!$S$312/Unitflowchart!$S$383)</f>
        <v>0</v>
      </c>
      <c r="K252" s="749">
        <f>(AllocationMass!$F$33/100)*WasteSolidFilter!AB19*(Unitflowchart!$S$312/Unitflowchart!$S$383)</f>
        <v>0</v>
      </c>
      <c r="L252" s="26">
        <f>(K252/K$386)*100</f>
        <v>0</v>
      </c>
      <c r="M252" s="752">
        <f>(AllocationMass!$F$33/100)*WasteSolidFilter!AC19*(Unitflowchart!$S$312/Unitflowchart!$S$383)</f>
        <v>0</v>
      </c>
      <c r="N252" s="727">
        <f>E252+(GlobalWarmingPotentials!$B$11*H252)+(GlobalWarmingPotentials!$C$11*K252)</f>
        <v>0</v>
      </c>
      <c r="O252" s="26">
        <f>(N252/N$386)*100</f>
        <v>0</v>
      </c>
      <c r="P252" s="760">
        <f>SQRT((G252^2)+((GlobalWarmingPotentials!$B$11*J252)^2)+((GlobalWarmingPotentials!$C$11*M252)^2))</f>
        <v>0</v>
      </c>
      <c r="Q252" s="30"/>
    </row>
    <row r="253" spans="1:17" x14ac:dyDescent="0.25">
      <c r="A253" t="str">
        <f>WasteSolidFilter!A20</f>
        <v>Electricity Input</v>
      </c>
      <c r="B253" s="732">
        <f>(AllocationMass!$F$33/100)*WasteSolidFilter!J20*(Unitflowchart!$S$312/Unitflowchart!$S$383)</f>
        <v>0</v>
      </c>
      <c r="C253" s="26">
        <f>(B253/B$386)*100</f>
        <v>0</v>
      </c>
      <c r="D253" s="358">
        <f>(AllocationMass!$F$33/100)*WasteSolidFilter!K20*(Unitflowchart!$S$312/Unitflowchart!$S$383)</f>
        <v>0</v>
      </c>
      <c r="E253" s="732">
        <f>(AllocationMass!$F$33/100)*WasteSolidFilter!P20*(Unitflowchart!$S$312/Unitflowchart!$S$383)</f>
        <v>0</v>
      </c>
      <c r="F253" s="26">
        <f>(E253/E$386)*100</f>
        <v>0</v>
      </c>
      <c r="G253" s="358">
        <f>(AllocationMass!$F$33/100)*WasteSolidFilter!Q20*(Unitflowchart!$S$312/Unitflowchart!$S$383)</f>
        <v>0</v>
      </c>
      <c r="H253" s="749">
        <f>(AllocationMass!$F$33/100)*WasteSolidFilter!V20*(Unitflowchart!$S$312/Unitflowchart!$S$383)</f>
        <v>2.5182405314136485E-3</v>
      </c>
      <c r="I253" s="26">
        <f>(H253/H$386)*100</f>
        <v>0.25151897086440106</v>
      </c>
      <c r="J253" s="752">
        <f>(AllocationMass!$F$33/100)*WasteSolidFilter!W20*(Unitflowchart!$S$312/Unitflowchart!$S$383)</f>
        <v>0</v>
      </c>
      <c r="K253" s="749">
        <f>(AllocationMass!$F$33/100)*WasteSolidFilter!AB20*(Unitflowchart!$S$312/Unitflowchart!$S$383)</f>
        <v>7.5547215942409446E-4</v>
      </c>
      <c r="L253" s="26">
        <f>(K253/K$386)*100</f>
        <v>0.34970704370881445</v>
      </c>
      <c r="M253" s="752">
        <f>(AllocationMass!$F$33/100)*WasteSolidFilter!AC20*(Unitflowchart!$S$312/Unitflowchart!$S$383)</f>
        <v>0</v>
      </c>
      <c r="N253" s="727">
        <f>E253+(GlobalWarmingPotentials!$B$11*H253)+(GlobalWarmingPotentials!$C$11*K253)</f>
        <v>0.28153929141204587</v>
      </c>
      <c r="O253" s="26">
        <f>(N253/N$386)*100</f>
        <v>3.158556031289398E-2</v>
      </c>
      <c r="P253" s="760">
        <f>SQRT((G253^2)+((GlobalWarmingPotentials!$B$11*J253)^2)+((GlobalWarmingPotentials!$C$11*M253)^2))</f>
        <v>0</v>
      </c>
      <c r="Q253" s="30"/>
    </row>
    <row r="254" spans="1:17" x14ac:dyDescent="0.25">
      <c r="B254" s="728"/>
      <c r="D254" s="735"/>
      <c r="E254" s="728"/>
      <c r="G254" s="735"/>
      <c r="H254" s="31"/>
      <c r="J254" s="724"/>
      <c r="K254" s="31"/>
      <c r="M254" s="724"/>
      <c r="N254" s="728"/>
      <c r="P254" s="735"/>
      <c r="Q254" s="30"/>
    </row>
    <row r="255" spans="1:17" x14ac:dyDescent="0.25">
      <c r="A255" s="218" t="s">
        <v>1826</v>
      </c>
      <c r="B255" s="730">
        <f>(AllocationMass!$F$33/100)*WasteSolidFilter!J22*(Unitflowchart!$S$312/Unitflowchart!$S$383)</f>
        <v>0</v>
      </c>
      <c r="C255" s="15">
        <f>(B255/B$386)*100</f>
        <v>0</v>
      </c>
      <c r="D255" s="740">
        <f>(AllocationMass!$F$33/100)*WasteSolidFilter!K22*(Unitflowchart!$S$312/Unitflowchart!$S$383)</f>
        <v>0</v>
      </c>
      <c r="E255" s="730">
        <f>(AllocationMass!$F$33/100)*WasteSolidFilter!P22*(Unitflowchart!$S$312/Unitflowchart!$S$383)</f>
        <v>0</v>
      </c>
      <c r="F255" s="15">
        <f>(E255/E$386)*100</f>
        <v>0</v>
      </c>
      <c r="G255" s="740">
        <f>(AllocationMass!$F$33/100)*WasteSolidFilter!Q22*(Unitflowchart!$S$312/Unitflowchart!$S$383)</f>
        <v>0</v>
      </c>
      <c r="H255" s="215">
        <f>(AllocationMass!$F$33/100)*WasteSolidFilter!V22*(Unitflowchart!$S$312/Unitflowchart!$S$383)</f>
        <v>2.5182405314136485E-3</v>
      </c>
      <c r="I255" s="15">
        <f>(H255/H$386)*100</f>
        <v>0.25151897086440106</v>
      </c>
      <c r="J255" s="216">
        <f>(AllocationMass!$F$33/100)*WasteSolidFilter!W22*(Unitflowchart!$S$312/Unitflowchart!$S$383)</f>
        <v>0</v>
      </c>
      <c r="K255" s="215">
        <f>(AllocationMass!$F$33/100)*WasteSolidFilter!AB22*(Unitflowchart!$S$312/Unitflowchart!$S$383)</f>
        <v>7.5547215942409446E-4</v>
      </c>
      <c r="L255" s="15">
        <f>(K255/K$386)*100</f>
        <v>0.34970704370881445</v>
      </c>
      <c r="M255" s="216">
        <f>(AllocationMass!$F$33/100)*WasteSolidFilter!AC22*(Unitflowchart!$S$312/Unitflowchart!$S$383)</f>
        <v>0</v>
      </c>
      <c r="N255" s="730">
        <f>E255+(GlobalWarmingPotentials!$B$11*H255)+(GlobalWarmingPotentials!$C$11*K255)</f>
        <v>0.28153929141204587</v>
      </c>
      <c r="O255" s="15">
        <f>(N255/N$386)*100</f>
        <v>3.158556031289398E-2</v>
      </c>
      <c r="P255" s="761">
        <f>SQRT((G255^2)+((GlobalWarmingPotentials!$B$11*J255)^2)+((GlobalWarmingPotentials!$C$11*M255)^2))</f>
        <v>0</v>
      </c>
      <c r="Q255" s="30"/>
    </row>
    <row r="256" spans="1:17" x14ac:dyDescent="0.25">
      <c r="B256" s="733"/>
      <c r="D256" s="735"/>
      <c r="E256" s="733"/>
      <c r="G256" s="735"/>
      <c r="H256" s="750"/>
      <c r="J256" s="724"/>
      <c r="K256" s="750"/>
      <c r="M256" s="724"/>
      <c r="N256" s="733"/>
      <c r="P256" s="735"/>
      <c r="Q256" s="30"/>
    </row>
    <row r="257" spans="1:17" x14ac:dyDescent="0.25">
      <c r="A257" s="2" t="s">
        <v>905</v>
      </c>
      <c r="B257" s="728"/>
      <c r="D257" s="735"/>
      <c r="E257" s="728"/>
      <c r="G257" s="735"/>
      <c r="H257" s="31"/>
      <c r="J257" s="724"/>
      <c r="K257" s="31"/>
      <c r="M257" s="724"/>
      <c r="N257" s="728"/>
      <c r="P257" s="735"/>
      <c r="Q257" s="30"/>
    </row>
    <row r="258" spans="1:17" x14ac:dyDescent="0.25">
      <c r="B258" s="728"/>
      <c r="D258" s="735"/>
      <c r="E258" s="728"/>
      <c r="G258" s="735"/>
      <c r="H258" s="31"/>
      <c r="J258" s="724"/>
      <c r="K258" s="31"/>
      <c r="M258" s="724"/>
      <c r="N258" s="728"/>
      <c r="P258" s="735"/>
      <c r="Q258" s="30"/>
    </row>
    <row r="259" spans="1:17" x14ac:dyDescent="0.25">
      <c r="A259" t="str">
        <f>AnaerobicDigestion!A19</f>
        <v>Electricity Input</v>
      </c>
      <c r="B259" s="732">
        <f>(AllocationMass!$F$33/100)*AnaerobicDigestion!J19*(Unitflowchart!$S$312/Unitflowchart!$S$383)</f>
        <v>0</v>
      </c>
      <c r="C259" s="26">
        <f>(B259/B$386)*100</f>
        <v>0</v>
      </c>
      <c r="D259" s="358">
        <f>(AllocationMass!$F$33/100)*AnaerobicDigestion!K19*(Unitflowchart!$S$312/Unitflowchart!$S$383)</f>
        <v>0</v>
      </c>
      <c r="E259" s="732">
        <f>(AllocationMass!$F$33/100)*AnaerobicDigestion!P19*(Unitflowchart!$S$312/Unitflowchart!$S$383)</f>
        <v>0</v>
      </c>
      <c r="F259" s="26">
        <f>(E259/E$386)*100</f>
        <v>0</v>
      </c>
      <c r="G259" s="358">
        <f>(AllocationMass!$F$33/100)*AnaerobicDigestion!Q19*(Unitflowchart!$S$312/Unitflowchart!$S$383)</f>
        <v>0</v>
      </c>
      <c r="H259" s="749">
        <f>(AllocationMass!$F$33/100)*AnaerobicDigestion!V19*(Unitflowchart!$S$312/Unitflowchart!$S$383)</f>
        <v>6.3176470588235294E-3</v>
      </c>
      <c r="I259" s="26">
        <f>(H259/H$386)*100</f>
        <v>0.6309993293721603</v>
      </c>
      <c r="J259" s="752">
        <f>(AllocationMass!$F$33/100)*AnaerobicDigestion!W19*(Unitflowchart!$S$312/Unitflowchart!$S$383)</f>
        <v>0</v>
      </c>
      <c r="K259" s="749">
        <f>(AllocationMass!$F$33/100)*AnaerobicDigestion!AB19*(Unitflowchart!$S$312/Unitflowchart!$S$383)</f>
        <v>1.8952941176470584E-3</v>
      </c>
      <c r="L259" s="26">
        <f>(K259/K$386)*100</f>
        <v>0.87732909091754929</v>
      </c>
      <c r="M259" s="752">
        <f>(AllocationMass!$F$33/100)*AnaerobicDigestion!AC19*(Unitflowchart!$S$312/Unitflowchart!$S$383)</f>
        <v>0</v>
      </c>
      <c r="N259" s="727">
        <f>E259+(GlobalWarmingPotentials!$B$11*H259)+(GlobalWarmingPotentials!$C$11*K259)</f>
        <v>0.70631294117647048</v>
      </c>
      <c r="O259" s="26">
        <f>(N259/N$386)*100</f>
        <v>7.9240413980641369E-2</v>
      </c>
      <c r="P259" s="760">
        <f>SQRT((G259^2)+((GlobalWarmingPotentials!$B$11*J259)^2)+((GlobalWarmingPotentials!$C$11*M259)^2))</f>
        <v>0</v>
      </c>
      <c r="Q259" s="30"/>
    </row>
    <row r="260" spans="1:17" x14ac:dyDescent="0.25">
      <c r="A260" t="str">
        <f>AnaerobicDigestion!A20</f>
        <v>Caustic Soda Input</v>
      </c>
      <c r="B260" s="732">
        <f>(AllocationMass!$F$33/100)*AnaerobicDigestion!J20*(Unitflowchart!$S$312/Unitflowchart!$S$383)</f>
        <v>1274.9999999999998</v>
      </c>
      <c r="C260" s="26">
        <f>(B260/B$386)*100</f>
        <v>9.8498329964429594</v>
      </c>
      <c r="D260" s="358">
        <f>(AllocationMass!$F$33/100)*AnaerobicDigestion!K20*(Unitflowchart!$S$312/Unitflowchart!$S$383)</f>
        <v>191.24999999999997</v>
      </c>
      <c r="E260" s="732">
        <f>(AllocationMass!$F$33/100)*AnaerobicDigestion!P20*(Unitflowchart!$S$312/Unitflowchart!$S$383)</f>
        <v>71.400000000000006</v>
      </c>
      <c r="F260" s="26">
        <f>(E260/E$386)*100</f>
        <v>8.8763834909268571</v>
      </c>
      <c r="G260" s="358">
        <f>(AllocationMass!$F$33/100)*AnaerobicDigestion!Q20*(Unitflowchart!$S$312/Unitflowchart!$S$383)</f>
        <v>10.8375</v>
      </c>
      <c r="H260" s="749">
        <f>(AllocationMass!$F$33/100)*AnaerobicDigestion!V20*(Unitflowchart!$S$312/Unitflowchart!$S$383)</f>
        <v>0.20718749999999997</v>
      </c>
      <c r="I260" s="26">
        <f>(H260/H$386)*100</f>
        <v>20.693649445279377</v>
      </c>
      <c r="J260" s="752">
        <f>(AllocationMass!$F$33/100)*AnaerobicDigestion!W20*(Unitflowchart!$S$312/Unitflowchart!$S$383)</f>
        <v>3.1237499999999994E-2</v>
      </c>
      <c r="K260" s="749">
        <f>(AllocationMass!$F$33/100)*AnaerobicDigestion!AB20*(Unitflowchart!$S$312/Unitflowchart!$S$383)</f>
        <v>0</v>
      </c>
      <c r="L260" s="26">
        <f>(K260/K$386)*100</f>
        <v>0</v>
      </c>
      <c r="M260" s="752">
        <f>(AllocationMass!$F$33/100)*AnaerobicDigestion!AC20*(Unitflowchart!$S$312/Unitflowchart!$S$383)</f>
        <v>0</v>
      </c>
      <c r="N260" s="727">
        <f>E260+(GlobalWarmingPotentials!$B$11*H260)+(GlobalWarmingPotentials!$C$11*K260)</f>
        <v>76.165312499999999</v>
      </c>
      <c r="O260" s="26">
        <f>(N260/N$386)*100</f>
        <v>8.5448963789508081</v>
      </c>
      <c r="P260" s="760">
        <f>SQRT((G260^2)+((GlobalWarmingPotentials!$B$11*J260)^2)+((GlobalWarmingPotentials!$C$11*M260)^2))</f>
        <v>10.861288809985041</v>
      </c>
      <c r="Q260" s="30"/>
    </row>
    <row r="261" spans="1:17" x14ac:dyDescent="0.25">
      <c r="B261" s="728"/>
      <c r="D261" s="735"/>
      <c r="E261" s="728"/>
      <c r="G261" s="735"/>
      <c r="H261" s="31"/>
      <c r="J261" s="724"/>
      <c r="K261" s="31"/>
      <c r="M261" s="724"/>
      <c r="N261" s="728"/>
      <c r="P261" s="739"/>
      <c r="Q261" s="30"/>
    </row>
    <row r="262" spans="1:17" x14ac:dyDescent="0.25">
      <c r="A262" s="218" t="s">
        <v>914</v>
      </c>
      <c r="B262" s="730">
        <f>(AllocationMass!$F$33/100)*AnaerobicDigestion!J22*(Unitflowchart!$S$312/Unitflowchart!$S$383)</f>
        <v>1274.9999999999998</v>
      </c>
      <c r="C262" s="15">
        <f>(B262/B$386)*100</f>
        <v>9.8498329964429594</v>
      </c>
      <c r="D262" s="740">
        <f>(AllocationMass!$F$33/100)*AnaerobicDigestion!K22*(Unitflowchart!$S$312/Unitflowchart!$S$383)</f>
        <v>191.24999999999997</v>
      </c>
      <c r="E262" s="730">
        <f>(AllocationMass!$F$33/100)*AnaerobicDigestion!P22*(Unitflowchart!$S$312/Unitflowchart!$S$383)</f>
        <v>71.400000000000006</v>
      </c>
      <c r="F262" s="15">
        <f>(E262/E$386)*100</f>
        <v>8.8763834909268571</v>
      </c>
      <c r="G262" s="740">
        <f>(AllocationMass!$F$33/100)*AnaerobicDigestion!Q22*(Unitflowchart!$S$312/Unitflowchart!$S$383)</f>
        <v>10.8375</v>
      </c>
      <c r="H262" s="215">
        <f>(AllocationMass!$F$33/100)*AnaerobicDigestion!V22*(Unitflowchart!$S$312/Unitflowchart!$S$383)</f>
        <v>0.21350514705882351</v>
      </c>
      <c r="I262" s="15">
        <f>(H262/H$386)*100</f>
        <v>21.324648774651539</v>
      </c>
      <c r="J262" s="216">
        <f>(AllocationMass!$F$33/100)*AnaerobicDigestion!W22*(Unitflowchart!$S$312/Unitflowchart!$S$383)</f>
        <v>3.1237499999999994E-2</v>
      </c>
      <c r="K262" s="215">
        <f>(AllocationMass!$F$33/100)*AnaerobicDigestion!AB22*(Unitflowchart!$S$312/Unitflowchart!$S$383)</f>
        <v>1.8952941176470584E-3</v>
      </c>
      <c r="L262" s="15">
        <f>(K262/K$386)*100</f>
        <v>0.87732909091754929</v>
      </c>
      <c r="M262" s="216">
        <f>(AllocationMass!$F$33/100)*AnaerobicDigestion!AC22*(Unitflowchart!$S$312/Unitflowchart!$S$383)</f>
        <v>0</v>
      </c>
      <c r="N262" s="730">
        <f>E262+(GlobalWarmingPotentials!$B$11*H262)+(GlobalWarmingPotentials!$C$11*K262)</f>
        <v>76.871625441176477</v>
      </c>
      <c r="O262" s="15">
        <f>(N262/N$386)*100</f>
        <v>8.6241367929314521</v>
      </c>
      <c r="P262" s="761">
        <f>SQRT((G262^2)+((GlobalWarmingPotentials!$B$11*J262)^2)+((GlobalWarmingPotentials!$C$11*M262)^2))</f>
        <v>10.861288809985041</v>
      </c>
      <c r="Q262" s="30"/>
    </row>
    <row r="263" spans="1:17" x14ac:dyDescent="0.25">
      <c r="B263" s="733"/>
      <c r="D263" s="735"/>
      <c r="E263" s="733"/>
      <c r="G263" s="735"/>
      <c r="H263" s="750"/>
      <c r="J263" s="724"/>
      <c r="K263" s="750"/>
      <c r="M263" s="724"/>
      <c r="N263" s="733"/>
      <c r="P263" s="735"/>
      <c r="Q263" s="30"/>
    </row>
    <row r="264" spans="1:17" x14ac:dyDescent="0.25">
      <c r="A264" s="2" t="s">
        <v>1719</v>
      </c>
      <c r="B264" s="728"/>
      <c r="D264" s="735"/>
      <c r="E264" s="728"/>
      <c r="G264" s="735"/>
      <c r="H264" s="31"/>
      <c r="J264" s="724"/>
      <c r="K264" s="31"/>
      <c r="M264" s="724"/>
      <c r="N264" s="728"/>
      <c r="P264" s="735"/>
      <c r="Q264" s="30"/>
    </row>
    <row r="265" spans="1:17" x14ac:dyDescent="0.25">
      <c r="B265" s="728"/>
      <c r="D265" s="735"/>
      <c r="E265" s="728"/>
      <c r="G265" s="735"/>
      <c r="H265" s="31"/>
      <c r="J265" s="724"/>
      <c r="K265" s="31"/>
      <c r="M265" s="724"/>
      <c r="N265" s="728"/>
      <c r="P265" s="735"/>
      <c r="Q265" s="30"/>
    </row>
    <row r="266" spans="1:17" x14ac:dyDescent="0.25">
      <c r="A266" t="str">
        <f>Utilities!A18</f>
        <v>Electricity Input</v>
      </c>
      <c r="B266" s="726">
        <f>(AllocationMass!$F$33/100)*Utilities!J18*(Unitflowchart!$S$312/Unitflowchart!$S$383)</f>
        <v>0</v>
      </c>
      <c r="C266" s="26">
        <f>(B266/B$386)*100</f>
        <v>0</v>
      </c>
      <c r="D266" s="744">
        <f>(AllocationMass!$F$33/100)*Utilities!K18*(Unitflowchart!$S$312/Unitflowchart!$S$383)</f>
        <v>0</v>
      </c>
      <c r="E266" s="726">
        <f>(AllocationMass!$F$33/100)*Utilities!P18*(Unitflowchart!$S$312/Unitflowchart!$S$383)</f>
        <v>0</v>
      </c>
      <c r="F266" s="25">
        <f t="shared" ref="F266:F268" si="47">(E266/E$386)*100</f>
        <v>0</v>
      </c>
      <c r="G266" s="744">
        <f>(AllocationMass!$F$33/100)*Utilities!Q18*(Unitflowchart!$S$312/Unitflowchart!$S$383)</f>
        <v>0</v>
      </c>
      <c r="H266" s="723">
        <f>(AllocationMass!$F$33/100)*Utilities!V18*(Unitflowchart!$S$312/Unitflowchart!$S$383)</f>
        <v>4.2465882352941192E-3</v>
      </c>
      <c r="I266" s="25">
        <f t="shared" ref="I266:I268" si="48">(H266/H$386)*100</f>
        <v>0.42414435368747677</v>
      </c>
      <c r="J266" s="725">
        <f>(AllocationMass!$F$33/100)*Utilities!W18*(Unitflowchart!$S$312/Unitflowchart!$S$383)</f>
        <v>0</v>
      </c>
      <c r="K266" s="723">
        <f>(AllocationMass!$F$33/100)*Utilities!AB18*(Unitflowchart!$S$312/Unitflowchart!$S$383)</f>
        <v>1.2739764705882355E-3</v>
      </c>
      <c r="L266" s="25">
        <f t="shared" ref="L266:L268" si="49">(K266/K$386)*100</f>
        <v>0.58972199005139436</v>
      </c>
      <c r="M266" s="725">
        <f>(AllocationMass!$F$33/100)*Utilities!AC18*(Unitflowchart!$S$312/Unitflowchart!$S$383)</f>
        <v>0</v>
      </c>
      <c r="N266" s="726">
        <f>E266+(GlobalWarmingPotentials!$B$11*H266)+(GlobalWarmingPotentials!$C$11*K266)</f>
        <v>0.47476856470588247</v>
      </c>
      <c r="O266" s="25">
        <f>(N266/N$386)*100</f>
        <v>5.3263724079054602E-2</v>
      </c>
      <c r="P266" s="744">
        <f>SQRT((G266^2)+((GlobalWarmingPotentials!$B$11*J266)^2)+((GlobalWarmingPotentials!$C$11*M266)^2))</f>
        <v>0</v>
      </c>
      <c r="Q266" s="30"/>
    </row>
    <row r="267" spans="1:17" x14ac:dyDescent="0.25">
      <c r="B267" s="728"/>
      <c r="D267" s="735"/>
      <c r="E267" s="728"/>
      <c r="G267" s="735"/>
      <c r="H267" s="31"/>
      <c r="J267" s="724"/>
      <c r="K267" s="31"/>
      <c r="M267" s="724"/>
      <c r="N267" s="728"/>
      <c r="P267" s="735"/>
      <c r="Q267" s="30"/>
    </row>
    <row r="268" spans="1:17" x14ac:dyDescent="0.25">
      <c r="A268" s="218" t="s">
        <v>1834</v>
      </c>
      <c r="B268" s="734">
        <f>(AllocationMass!$F$33/100)*Utilities!J20*(Unitflowchart!$S$312/Unitflowchart!$S$383)</f>
        <v>0</v>
      </c>
      <c r="C268" s="721">
        <f>(B268/B$386)*100</f>
        <v>0</v>
      </c>
      <c r="D268" s="745">
        <f>(AllocationMass!$F$33/100)*Utilities!K20*(Unitflowchart!$S$312/Unitflowchart!$S$383)</f>
        <v>0</v>
      </c>
      <c r="E268" s="734">
        <f>(AllocationMass!$F$33/100)*Utilities!P20*(Unitflowchart!$S$312/Unitflowchart!$S$383)</f>
        <v>0</v>
      </c>
      <c r="F268" s="721">
        <f t="shared" si="47"/>
        <v>0</v>
      </c>
      <c r="G268" s="745">
        <f>(AllocationMass!$F$33/100)*Utilities!Q20*(Unitflowchart!$S$312/Unitflowchart!$S$383)</f>
        <v>0</v>
      </c>
      <c r="H268" s="722">
        <f>(AllocationMass!$F$33/100)*Utilities!V20*(Unitflowchart!$S$312/Unitflowchart!$S$383)</f>
        <v>4.2465882352941192E-3</v>
      </c>
      <c r="I268" s="721">
        <f t="shared" si="48"/>
        <v>0.42414435368747677</v>
      </c>
      <c r="J268" s="720">
        <f>(AllocationMass!$F$33/100)*Utilities!W20*(Unitflowchart!$S$312/Unitflowchart!$S$383)</f>
        <v>0</v>
      </c>
      <c r="K268" s="722">
        <f>(AllocationMass!$F$33/100)*Utilities!AB20*(Unitflowchart!$S$312/Unitflowchart!$S$383)</f>
        <v>1.2739764705882355E-3</v>
      </c>
      <c r="L268" s="721">
        <f t="shared" si="49"/>
        <v>0.58972199005139436</v>
      </c>
      <c r="M268" s="720">
        <f>(AllocationMass!$F$33/100)*Utilities!AC20*(Unitflowchart!$S$312/Unitflowchart!$S$383)</f>
        <v>0</v>
      </c>
      <c r="N268" s="734">
        <f>E268+(GlobalWarmingPotentials!$B$11*H268)+(GlobalWarmingPotentials!$C$11*K268)</f>
        <v>0.47476856470588247</v>
      </c>
      <c r="O268" s="721">
        <f>(N268/N$386)*100</f>
        <v>5.3263724079054602E-2</v>
      </c>
      <c r="P268" s="743">
        <f>SQRT((G268^2)+((GlobalWarmingPotentials!$B$11*J268)^2)+((GlobalWarmingPotentials!$C$11*M268)^2))</f>
        <v>0</v>
      </c>
      <c r="Q268" s="30"/>
    </row>
    <row r="269" spans="1:17" x14ac:dyDescent="0.25">
      <c r="B269" s="728"/>
      <c r="D269" s="735"/>
      <c r="E269" s="728"/>
      <c r="G269" s="735"/>
      <c r="H269" s="31"/>
      <c r="J269" s="724"/>
      <c r="K269" s="31"/>
      <c r="M269" s="724"/>
      <c r="N269" s="728"/>
      <c r="P269" s="735"/>
      <c r="Q269" s="30"/>
    </row>
    <row r="270" spans="1:17" x14ac:dyDescent="0.25">
      <c r="A270" s="2" t="s">
        <v>906</v>
      </c>
      <c r="B270" s="728"/>
      <c r="D270" s="735"/>
      <c r="E270" s="728"/>
      <c r="G270" s="735"/>
      <c r="H270" s="31"/>
      <c r="J270" s="724"/>
      <c r="K270" s="31"/>
      <c r="M270" s="724"/>
      <c r="N270" s="728"/>
      <c r="P270" s="735"/>
      <c r="Q270" s="30"/>
    </row>
    <row r="271" spans="1:17" x14ac:dyDescent="0.25">
      <c r="B271" s="728"/>
      <c r="D271" s="735"/>
      <c r="E271" s="728"/>
      <c r="G271" s="735"/>
      <c r="H271" s="31"/>
      <c r="J271" s="724"/>
      <c r="K271" s="31"/>
      <c r="M271" s="724"/>
      <c r="N271" s="728"/>
      <c r="P271" s="735"/>
      <c r="Q271" s="30"/>
    </row>
    <row r="272" spans="1:17" x14ac:dyDescent="0.25">
      <c r="A272" t="str">
        <f>ElectricitySales!A15</f>
        <v>Electricity Credit</v>
      </c>
      <c r="B272" s="732">
        <f>Unitflowchart!$S$312*(AllocationMass!$F$33/100)/Unitflowchart!$S$383*(ElectricitySales!J15)</f>
        <v>0</v>
      </c>
      <c r="C272" s="26">
        <f>(B272/B$386)*100</f>
        <v>0</v>
      </c>
      <c r="D272" s="358">
        <f>Unitflowchart!S312*(AllocationMass!$F$33/100)/Unitflowchart!$S$383*(ElectricitySales!K15)</f>
        <v>0</v>
      </c>
      <c r="E272" s="732">
        <f>Unitflowchart!$S$312*(AllocationMass!$F$33/100)/Unitflowchart!$S$383*(ElectricitySales!P15)</f>
        <v>0</v>
      </c>
      <c r="F272" s="26">
        <f>(E272/E$386)*100</f>
        <v>0</v>
      </c>
      <c r="G272" s="358">
        <f>Unitflowchart!S312*(AllocationMass!$F$33/100)/Unitflowchart!$S$383*(ElectricitySales!Q15)</f>
        <v>0</v>
      </c>
      <c r="H272" s="749">
        <f>Unitflowchart!$S$312*(AllocationMass!$F$33/100)/Unitflowchart!$S$383*(ElectricitySales!V15)</f>
        <v>-7.4146129819083251E-2</v>
      </c>
      <c r="I272" s="26">
        <f>(H272/H$386)*100</f>
        <v>-7.4056302537570327</v>
      </c>
      <c r="J272" s="752">
        <f>Unitflowchart!S312*(AllocationMass!$F$33/100)/Unitflowchart!$S$383*(ElectricitySales!W15)</f>
        <v>0</v>
      </c>
      <c r="K272" s="749">
        <f>Unitflowchart!$S$312*(AllocationMass!$F$33/100)/Unitflowchart!$S$383*(ElectricitySales!AB15)</f>
        <v>-2.2243838945724972E-2</v>
      </c>
      <c r="L272" s="26">
        <f>(K272/K$386)*100</f>
        <v>-10.296643048202286</v>
      </c>
      <c r="M272" s="752">
        <f>Unitflowchart!S312*(AllocationMass!$F$33/100)/Unitflowchart!$S$383*(ElectricitySales!AC15)</f>
        <v>0</v>
      </c>
      <c r="N272" s="727">
        <f>E272+(GlobalWarmingPotentials!$B$11*H272)+(GlobalWarmingPotentials!$C$11*K272)</f>
        <v>-8.289537313773506</v>
      </c>
      <c r="O272" s="26">
        <f>(N272/N$386)*100</f>
        <v>-0.92999339266993564</v>
      </c>
      <c r="P272" s="760">
        <f>SQRT((G272^2)+((GlobalWarmingPotentials!$B$11*J272)^2)+((GlobalWarmingPotentials!$C$11*M272)^2))</f>
        <v>0</v>
      </c>
      <c r="Q272" s="30"/>
    </row>
    <row r="273" spans="1:17" x14ac:dyDescent="0.25">
      <c r="B273" s="728"/>
      <c r="D273" s="735"/>
      <c r="E273" s="728"/>
      <c r="G273" s="735"/>
      <c r="H273" s="31"/>
      <c r="J273" s="748"/>
      <c r="K273" s="31"/>
      <c r="M273" s="724"/>
      <c r="N273" s="728"/>
      <c r="P273" s="735"/>
      <c r="Q273" s="30"/>
    </row>
    <row r="274" spans="1:17" x14ac:dyDescent="0.25">
      <c r="A274" s="218" t="s">
        <v>915</v>
      </c>
      <c r="B274" s="730">
        <f>Unitflowchart!$S$312*(AllocationMass!$F$33/100)/Unitflowchart!$S$383*(ElectricitySales!J17)</f>
        <v>0</v>
      </c>
      <c r="C274" s="15">
        <f>(B274/B$386)*100</f>
        <v>0</v>
      </c>
      <c r="D274" s="740">
        <f>Unitflowchart!S312*(AllocationMass!$F$33/100)/Unitflowchart!$S$383*(ElectricitySales!K17)</f>
        <v>0</v>
      </c>
      <c r="E274" s="730">
        <f>Unitflowchart!$S$312*(AllocationMass!$F$33/100)/Unitflowchart!$S$383*(ElectricitySales!P17)</f>
        <v>0</v>
      </c>
      <c r="F274" s="15">
        <f>(E274/E$386)*100</f>
        <v>0</v>
      </c>
      <c r="G274" s="740">
        <f>Unitflowchart!S312*(AllocationMass!$F$33/100)/Unitflowchart!$S$383*(ElectricitySales!Q17)</f>
        <v>0</v>
      </c>
      <c r="H274" s="215">
        <f>Unitflowchart!$S$312*(AllocationMass!$F$33/100)/Unitflowchart!$S$383*(ElectricitySales!V17)</f>
        <v>-7.4146129819083251E-2</v>
      </c>
      <c r="I274" s="15">
        <f>(H274/H$386)*100</f>
        <v>-7.4056302537570327</v>
      </c>
      <c r="J274" s="216">
        <f>Unitflowchart!S312*(AllocationMass!$F$33/100)/Unitflowchart!$S$383*(ElectricitySales!W17)</f>
        <v>0</v>
      </c>
      <c r="K274" s="215">
        <f>Unitflowchart!$S$312*(AllocationMass!$F$33/100)/Unitflowchart!$S$383*(ElectricitySales!AB17)</f>
        <v>-2.2243838945724972E-2</v>
      </c>
      <c r="L274" s="15">
        <f>(K274/K$386)*100</f>
        <v>-10.296643048202286</v>
      </c>
      <c r="M274" s="216">
        <f>Unitflowchart!S312*(AllocationMass!$F$33/100)/Unitflowchart!$S$383*(ElectricitySales!AC17)</f>
        <v>0</v>
      </c>
      <c r="N274" s="730">
        <f>E274+(GlobalWarmingPotentials!$B$11*H274)+(GlobalWarmingPotentials!$C$11*K274)</f>
        <v>-8.289537313773506</v>
      </c>
      <c r="O274" s="15">
        <f>(N274/N$386)*100</f>
        <v>-0.92999339266993564</v>
      </c>
      <c r="P274" s="761">
        <f>SQRT((G274^2)+((GlobalWarmingPotentials!$B$11*J274)^2)+((GlobalWarmingPotentials!$C$11*M274)^2))</f>
        <v>0</v>
      </c>
      <c r="Q274" s="30"/>
    </row>
    <row r="275" spans="1:17" x14ac:dyDescent="0.25">
      <c r="B275" s="733"/>
      <c r="D275" s="735"/>
      <c r="E275" s="733"/>
      <c r="G275" s="735"/>
      <c r="H275" s="750"/>
      <c r="J275" s="724"/>
      <c r="K275" s="750"/>
      <c r="M275" s="724"/>
      <c r="N275" s="733"/>
      <c r="P275" s="735"/>
      <c r="Q275" s="30"/>
    </row>
    <row r="276" spans="1:17" x14ac:dyDescent="0.25">
      <c r="A276" s="387" t="s">
        <v>422</v>
      </c>
      <c r="B276" s="728"/>
      <c r="D276" s="735"/>
      <c r="E276" s="728"/>
      <c r="G276" s="735"/>
      <c r="H276" s="31"/>
      <c r="J276" s="724"/>
      <c r="K276" s="31"/>
      <c r="M276" s="724"/>
      <c r="N276" s="728"/>
      <c r="P276" s="735"/>
      <c r="Q276" s="30"/>
    </row>
    <row r="277" spans="1:17" x14ac:dyDescent="0.25">
      <c r="B277" s="728"/>
      <c r="D277" s="735"/>
      <c r="E277" s="728"/>
      <c r="G277" s="735"/>
      <c r="H277" s="31"/>
      <c r="J277" s="724"/>
      <c r="K277" s="31"/>
      <c r="M277" s="724"/>
      <c r="N277" s="728"/>
      <c r="P277" s="735"/>
      <c r="Q277" s="30"/>
    </row>
    <row r="278" spans="1:17" x14ac:dyDescent="0.25">
      <c r="A278" t="str">
        <f>RoadTransportEthanolStage1!A42</f>
        <v xml:space="preserve"> - Diesel Fuel</v>
      </c>
      <c r="B278" s="732">
        <f>(Unitflowchart!$S$320/Unitflowchart!$S$383)*RoadTransportEthanolStage1!J42*Unitflowchart!$S$329</f>
        <v>517.88672232212184</v>
      </c>
      <c r="C278" s="26">
        <f>(B278/B$386)*100</f>
        <v>4.0008609615279447</v>
      </c>
      <c r="D278" s="491">
        <f>(Unitflowchart!$S$320/Unitflowchart!$S$383)*RoadTransportEthanolStage1!K42*Unitflowchart!$S$329</f>
        <v>24.34067594913973</v>
      </c>
      <c r="E278" s="732">
        <f>(Unitflowchart!$S$320/Unitflowchart!$S$383)*RoadTransportEthanolStage1!P42*Unitflowchart!$S$329</f>
        <v>37.164284826471004</v>
      </c>
      <c r="F278" s="26">
        <f>(E278/E$386)*100</f>
        <v>4.6202303121259201</v>
      </c>
      <c r="G278" s="358">
        <f>(Unitflowchart!$S$320/Unitflowchart!$S$383)*RoadTransportEthanolStage1!Q42*Unitflowchart!$S$329</f>
        <v>1.7467213868441371</v>
      </c>
      <c r="H278" s="749">
        <f>(Unitflowchart!$S$320/Unitflowchart!$S$383)*RoadTransportEthanolStage1!V42*Unitflowchart!$S$329</f>
        <v>7.7224487951108563E-3</v>
      </c>
      <c r="I278" s="26">
        <f>(H278/H$386)*100</f>
        <v>0.77130931270054526</v>
      </c>
      <c r="J278" s="752">
        <f>(Unitflowchart!$S$320/Unitflowchart!$S$383)*RoadTransportEthanolStage1!W42*Unitflowchart!$S$329</f>
        <v>3.6295509337021026E-4</v>
      </c>
      <c r="K278" s="749">
        <f>(Unitflowchart!$S$320/Unitflowchart!$S$383)*RoadTransportEthanolStage1!AB42*Unitflowchart!$S$329</f>
        <v>1.0039183433644116E-2</v>
      </c>
      <c r="L278" s="26">
        <f>(K278/K$386)*100</f>
        <v>4.6471244718091178</v>
      </c>
      <c r="M278" s="752">
        <f>(Unitflowchart!$S$320/Unitflowchart!$S$383)*RoadTransportEthanolStage1!AC42*Unitflowchart!$S$329</f>
        <v>4.7184162138127345E-4</v>
      </c>
      <c r="N278" s="727">
        <f>E278+(GlobalWarmingPotentials!$B$11*H278)+(GlobalWarmingPotentials!$C$11*K278)</f>
        <v>40.313499445117209</v>
      </c>
      <c r="O278" s="26">
        <f>(N278/N$386)*100</f>
        <v>4.522723850590352</v>
      </c>
      <c r="P278" s="760">
        <f>SQRT((G278^2)+((GlobalWarmingPotentials!$B$11*J278)^2)+((GlobalWarmingPotentials!$C$11*M278)^2))</f>
        <v>1.7523160780917761</v>
      </c>
      <c r="Q278" s="30"/>
    </row>
    <row r="279" spans="1:17" x14ac:dyDescent="0.25">
      <c r="A279" t="str">
        <f>RoadTransportEthanolStage1!A43</f>
        <v xml:space="preserve"> - Vehicle </v>
      </c>
      <c r="B279" s="732">
        <f>(Unitflowchart!$S$320/Unitflowchart!$S$383)*RoadTransportEthanolStage1!J43*Unitflowchart!$S$329</f>
        <v>0</v>
      </c>
      <c r="C279" s="26">
        <f t="shared" ref="C279:C282" si="50">(B279/B$386)*100</f>
        <v>0</v>
      </c>
      <c r="D279" s="491">
        <f>(Unitflowchart!$S$320/Unitflowchart!$S$383)*RoadTransportEthanolStage1!K43*Unitflowchart!$S$329</f>
        <v>0</v>
      </c>
      <c r="E279" s="732">
        <f>(Unitflowchart!$S$320/Unitflowchart!$S$383)*RoadTransportEthanolStage1!P43*Unitflowchart!$S$329</f>
        <v>0</v>
      </c>
      <c r="F279" s="26">
        <f t="shared" ref="F279:F282" si="51">(E279/E$386)*100</f>
        <v>0</v>
      </c>
      <c r="G279" s="358">
        <f>(Unitflowchart!$S$320/Unitflowchart!$S$383)*RoadTransportEthanolStage1!Q43*Unitflowchart!$S$329</f>
        <v>0</v>
      </c>
      <c r="H279" s="749">
        <f>(Unitflowchart!$S$320/Unitflowchart!$S$383)*RoadTransportEthanolStage1!V43*Unitflowchart!$S$329</f>
        <v>0</v>
      </c>
      <c r="I279" s="26">
        <f t="shared" ref="I279:I282" si="52">(H279/H$386)*100</f>
        <v>0</v>
      </c>
      <c r="J279" s="752">
        <f>(Unitflowchart!$S$320/Unitflowchart!$S$383)*RoadTransportEthanolStage1!W43*Unitflowchart!$S$329</f>
        <v>0</v>
      </c>
      <c r="K279" s="749">
        <f>(Unitflowchart!$S$320/Unitflowchart!$S$383)*RoadTransportEthanolStage1!AB43*Unitflowchart!$S$329</f>
        <v>0</v>
      </c>
      <c r="L279" s="26">
        <f t="shared" ref="L279:L282" si="53">(K279/K$386)*100</f>
        <v>0</v>
      </c>
      <c r="M279" s="752">
        <f>(Unitflowchart!$S$320/Unitflowchart!$S$383)*RoadTransportEthanolStage1!AC43*Unitflowchart!$S$329</f>
        <v>0</v>
      </c>
      <c r="N279" s="727">
        <f>E279+(GlobalWarmingPotentials!$B$11*H279)+(GlobalWarmingPotentials!$C$11*K279)</f>
        <v>0</v>
      </c>
      <c r="O279" s="26">
        <f>(N279/N$386)*100</f>
        <v>0</v>
      </c>
      <c r="P279" s="760">
        <f>SQRT((G279^2)+((GlobalWarmingPotentials!$B$11*J279)^2)+((GlobalWarmingPotentials!$C$11*M279)^2))</f>
        <v>0</v>
      </c>
      <c r="Q279" s="30"/>
    </row>
    <row r="280" spans="1:17" x14ac:dyDescent="0.25">
      <c r="A280" t="str">
        <f>RoadTransportEthanolStage1!A44</f>
        <v xml:space="preserve"> - Maintenance</v>
      </c>
      <c r="B280" s="732">
        <f>(Unitflowchart!$S$320/Unitflowchart!$S$383)*RoadTransportEthanolStage1!J44*Unitflowchart!$S$329</f>
        <v>0</v>
      </c>
      <c r="C280" s="26">
        <f t="shared" si="50"/>
        <v>0</v>
      </c>
      <c r="D280" s="491">
        <f>(Unitflowchart!$S$320/Unitflowchart!$S$383)*RoadTransportEthanolStage1!K44*Unitflowchart!$S$329</f>
        <v>0</v>
      </c>
      <c r="E280" s="732">
        <f>(Unitflowchart!$S$320/Unitflowchart!$S$383)*RoadTransportEthanolStage1!P44*Unitflowchart!$S$329</f>
        <v>0</v>
      </c>
      <c r="F280" s="26">
        <f t="shared" si="51"/>
        <v>0</v>
      </c>
      <c r="G280" s="358">
        <f>(Unitflowchart!$S$320/Unitflowchart!$S$383)*RoadTransportEthanolStage1!Q44*Unitflowchart!$S$329</f>
        <v>0</v>
      </c>
      <c r="H280" s="749">
        <f>(Unitflowchart!$S$320/Unitflowchart!$S$383)*RoadTransportEthanolStage1!V44*Unitflowchart!$S$329</f>
        <v>0</v>
      </c>
      <c r="I280" s="26">
        <f t="shared" si="52"/>
        <v>0</v>
      </c>
      <c r="J280" s="752">
        <f>(Unitflowchart!$S$320/Unitflowchart!$S$383)*RoadTransportEthanolStage1!W44*Unitflowchart!$S$329</f>
        <v>0</v>
      </c>
      <c r="K280" s="749">
        <f>(Unitflowchart!$S$320/Unitflowchart!$S$383)*RoadTransportEthanolStage1!AB44*Unitflowchart!$S$329</f>
        <v>0</v>
      </c>
      <c r="L280" s="26">
        <f t="shared" si="53"/>
        <v>0</v>
      </c>
      <c r="M280" s="752">
        <f>(Unitflowchart!$S$320/Unitflowchart!$S$383)*RoadTransportEthanolStage1!AC44*Unitflowchart!$S$329</f>
        <v>0</v>
      </c>
      <c r="N280" s="727">
        <f>E280+(GlobalWarmingPotentials!$B$11*H280)+(GlobalWarmingPotentials!$C$11*K280)</f>
        <v>0</v>
      </c>
      <c r="O280" s="26">
        <f>(N280/N$386)*100</f>
        <v>0</v>
      </c>
      <c r="P280" s="760">
        <f>SQRT((G280^2)+((GlobalWarmingPotentials!$B$11*J280)^2)+((GlobalWarmingPotentials!$C$11*M280)^2))</f>
        <v>0</v>
      </c>
      <c r="Q280" s="30"/>
    </row>
    <row r="281" spans="1:17" s="43" customFormat="1" x14ac:dyDescent="0.25">
      <c r="B281" s="766"/>
      <c r="C281" s="992"/>
      <c r="D281" s="779"/>
      <c r="E281" s="766"/>
      <c r="F281" s="992"/>
      <c r="G281" s="827"/>
      <c r="H281" s="783"/>
      <c r="I281" s="992"/>
      <c r="J281" s="828"/>
      <c r="K281" s="783"/>
      <c r="L281" s="992"/>
      <c r="M281" s="828"/>
      <c r="N281" s="1064"/>
      <c r="O281" s="1060"/>
      <c r="P281" s="1065"/>
      <c r="Q281" s="852"/>
    </row>
    <row r="282" spans="1:17" x14ac:dyDescent="0.25">
      <c r="A282" s="218" t="s">
        <v>866</v>
      </c>
      <c r="B282" s="1002">
        <f>(Unitflowchart!$S$320/Unitflowchart!$S$383)*RoadTransportEthanolStage1!J46*Unitflowchart!$S$329</f>
        <v>517.88672232212184</v>
      </c>
      <c r="C282" s="993">
        <f t="shared" si="50"/>
        <v>4.0008609615279447</v>
      </c>
      <c r="D282" s="1003">
        <f>(Unitflowchart!$S$320/Unitflowchart!$S$383)*RoadTransportEthanolStage1!K46*Unitflowchart!$S$329</f>
        <v>24.34067594913973</v>
      </c>
      <c r="E282" s="1002">
        <f>(Unitflowchart!$S$320/Unitflowchart!$S$383)*RoadTransportEthanolStage1!P46*Unitflowchart!$S$329</f>
        <v>37.164284826471004</v>
      </c>
      <c r="F282" s="993">
        <f t="shared" si="51"/>
        <v>4.6202303121259201</v>
      </c>
      <c r="G282" s="1007">
        <f>(Unitflowchart!$S$320/Unitflowchart!$S$383)*RoadTransportEthanolStage1!Q46*Unitflowchart!$S$329</f>
        <v>1.7467213868441371</v>
      </c>
      <c r="H282" s="1004">
        <f>(Unitflowchart!$S$320/Unitflowchart!$S$383)*RoadTransportEthanolStage1!V46*Unitflowchart!$S$329</f>
        <v>7.7224487951108563E-3</v>
      </c>
      <c r="I282" s="993">
        <f t="shared" si="52"/>
        <v>0.77130931270054526</v>
      </c>
      <c r="J282" s="1008">
        <f>(Unitflowchart!$S$320/Unitflowchart!$S$383)*RoadTransportEthanolStage1!W46*Unitflowchart!$S$329</f>
        <v>3.6295509337021026E-4</v>
      </c>
      <c r="K282" s="1004">
        <f>(Unitflowchart!$S$320/Unitflowchart!$S$383)*RoadTransportEthanolStage1!AB46*Unitflowchart!$S$329</f>
        <v>1.0039183433644116E-2</v>
      </c>
      <c r="L282" s="993">
        <f t="shared" si="53"/>
        <v>4.6471244718091178</v>
      </c>
      <c r="M282" s="1005">
        <f>(Unitflowchart!$S$320/Unitflowchart!$S$383)*RoadTransportEthanolStage1!AC46*Unitflowchart!$S$329</f>
        <v>4.7184162138127345E-4</v>
      </c>
      <c r="N282" s="730">
        <f>E282+(GlobalWarmingPotentials!$B$11*H282)+(GlobalWarmingPotentials!$C$11*K282)</f>
        <v>40.313499445117209</v>
      </c>
      <c r="O282" s="15">
        <f>(N282/N$386)*100</f>
        <v>4.522723850590352</v>
      </c>
      <c r="P282" s="761">
        <f>SQRT((G282^2)+((GlobalWarmingPotentials!$B$11*J282)^2)+((GlobalWarmingPotentials!$C$11*M282)^2))</f>
        <v>1.7523160780917761</v>
      </c>
      <c r="Q282" s="30"/>
    </row>
    <row r="283" spans="1:17" x14ac:dyDescent="0.25">
      <c r="B283" s="728"/>
      <c r="D283" s="735"/>
      <c r="E283" s="728"/>
      <c r="G283" s="735"/>
      <c r="H283" s="31"/>
      <c r="J283" s="724"/>
      <c r="K283" s="31"/>
      <c r="M283" s="724"/>
      <c r="N283" s="733"/>
      <c r="P283" s="735"/>
      <c r="Q283" s="30"/>
    </row>
    <row r="284" spans="1:17" x14ac:dyDescent="0.25">
      <c r="A284" s="387" t="s">
        <v>917</v>
      </c>
      <c r="B284" s="728"/>
      <c r="D284" s="735"/>
      <c r="E284" s="728"/>
      <c r="G284" s="735"/>
      <c r="H284" s="31"/>
      <c r="J284" s="724"/>
      <c r="K284" s="31"/>
      <c r="M284" s="724"/>
      <c r="N284" s="728"/>
      <c r="P284" s="735"/>
      <c r="Q284" s="30"/>
    </row>
    <row r="285" spans="1:17" x14ac:dyDescent="0.25">
      <c r="B285" s="728"/>
      <c r="D285" s="735"/>
      <c r="E285" s="728"/>
      <c r="G285" s="735"/>
      <c r="H285" s="31"/>
      <c r="J285" s="724"/>
      <c r="K285" s="31"/>
      <c r="M285" s="724"/>
      <c r="N285" s="728"/>
      <c r="P285" s="735"/>
      <c r="Q285" s="30"/>
    </row>
    <row r="286" spans="1:17" x14ac:dyDescent="0.25">
      <c r="A286" t="str">
        <f>RailTransport!A11</f>
        <v xml:space="preserve"> - Gas Oil</v>
      </c>
      <c r="B286" s="726">
        <f>(Unitflowchart!$S$320/Unitflowchart!$S$383)*RailTransport!J11*Unitflowchart!$S$331</f>
        <v>0</v>
      </c>
      <c r="C286" s="25">
        <f>(B286/B$386)*100</f>
        <v>0</v>
      </c>
      <c r="D286" s="744">
        <f>(Unitflowchart!$S$320/Unitflowchart!$S$383)*RailTransport!K11*Unitflowchart!$S$331</f>
        <v>0</v>
      </c>
      <c r="E286" s="726">
        <f>(Unitflowchart!$S$320/Unitflowchart!$S$383)*RailTransport!P11*Unitflowchart!$S$331</f>
        <v>0</v>
      </c>
      <c r="F286" s="25">
        <f>(E286/E$386)*100</f>
        <v>0</v>
      </c>
      <c r="G286" s="744">
        <f>(Unitflowchart!$S$320/Unitflowchart!$S$383)*RailTransport!Q11*Unitflowchart!$S$331</f>
        <v>0</v>
      </c>
      <c r="H286" s="723">
        <f>(Unitflowchart!$S$320/Unitflowchart!$S$383)*RailTransport!V11*Unitflowchart!$S$331</f>
        <v>0</v>
      </c>
      <c r="I286" s="25">
        <f>(H286/H$386)*100</f>
        <v>0</v>
      </c>
      <c r="J286" s="725">
        <f>(Unitflowchart!$S$320/Unitflowchart!$S$383)*RailTransport!W11*Unitflowchart!$S$331</f>
        <v>0</v>
      </c>
      <c r="K286" s="723">
        <f>(Unitflowchart!$S$320/Unitflowchart!$S$383)*RailTransport!AB11*Unitflowchart!$S$331</f>
        <v>0</v>
      </c>
      <c r="L286" s="25">
        <f>(K286/K$386)*100</f>
        <v>0</v>
      </c>
      <c r="M286" s="725">
        <f>(Unitflowchart!$S$320/Unitflowchart!$S$383)*RailTransport!AC11*Unitflowchart!$S$331</f>
        <v>0</v>
      </c>
      <c r="N286" s="726">
        <f>E286+(GlobalWarmingPotentials!$B$11*H286)+(GlobalWarmingPotentials!$C$11*K286)</f>
        <v>0</v>
      </c>
      <c r="O286" s="25">
        <f>(N286/N$386)*100</f>
        <v>0</v>
      </c>
      <c r="P286" s="744">
        <f>SQRT((G286^2)+((GlobalWarmingPotentials!$B$11*J286)^2)+((GlobalWarmingPotentials!$C$11*M286)^2))</f>
        <v>0</v>
      </c>
      <c r="Q286" s="30"/>
    </row>
    <row r="287" spans="1:17" x14ac:dyDescent="0.25">
      <c r="A287" t="str">
        <f>RailTransport!A12</f>
        <v xml:space="preserve"> - Capital Equipment</v>
      </c>
      <c r="B287" s="726">
        <f>(Unitflowchart!$S$320/Unitflowchart!$S$383)*RailTransport!J12*Unitflowchart!$S$331</f>
        <v>0</v>
      </c>
      <c r="C287" s="25">
        <f>(B287/B$386)*100</f>
        <v>0</v>
      </c>
      <c r="D287" s="744">
        <f>(Unitflowchart!$S$320/Unitflowchart!$S$383)*RailTransport!K12*Unitflowchart!$S$331</f>
        <v>0</v>
      </c>
      <c r="E287" s="726">
        <f>(Unitflowchart!$S$320/Unitflowchart!$S$383)*RailTransport!P12*Unitflowchart!$S$331</f>
        <v>0</v>
      </c>
      <c r="F287" s="25">
        <f>(E287/E$386)*100</f>
        <v>0</v>
      </c>
      <c r="G287" s="744">
        <f>(Unitflowchart!$S$320/Unitflowchart!$S$383)*RailTransport!Q12*Unitflowchart!$S$331</f>
        <v>0</v>
      </c>
      <c r="H287" s="723">
        <f>(Unitflowchart!$S$320/Unitflowchart!$S$383)*RailTransport!V12*Unitflowchart!$S$331</f>
        <v>0</v>
      </c>
      <c r="I287" s="25">
        <f>(H287/H$386)*100</f>
        <v>0</v>
      </c>
      <c r="J287" s="725">
        <f>(Unitflowchart!$S$320/Unitflowchart!$S$383)*RailTransport!W12*Unitflowchart!$S$331</f>
        <v>0</v>
      </c>
      <c r="K287" s="723">
        <f>(Unitflowchart!$S$320/Unitflowchart!$S$383)*RailTransport!AB12*Unitflowchart!$S$331</f>
        <v>0</v>
      </c>
      <c r="L287" s="25">
        <f>(K287/K$386)*100</f>
        <v>0</v>
      </c>
      <c r="M287" s="725">
        <f>(Unitflowchart!$S$320/Unitflowchart!$S$383)*RailTransport!AC12*Unitflowchart!$S$331</f>
        <v>0</v>
      </c>
      <c r="N287" s="726">
        <f>E287+(GlobalWarmingPotentials!$B$11*H287)+(GlobalWarmingPotentials!$C$11*K287)</f>
        <v>0</v>
      </c>
      <c r="O287" s="25">
        <f>(N287/N$386)*100</f>
        <v>0</v>
      </c>
      <c r="P287" s="744">
        <f>SQRT((G287^2)+((GlobalWarmingPotentials!$B$11*J287)^2)+((GlobalWarmingPotentials!$C$11*M287)^2))</f>
        <v>0</v>
      </c>
      <c r="Q287" s="30"/>
    </row>
    <row r="288" spans="1:17" x14ac:dyDescent="0.25">
      <c r="A288" t="str">
        <f>RailTransport!A13</f>
        <v xml:space="preserve"> - Maintenance</v>
      </c>
      <c r="B288" s="726">
        <f>(Unitflowchart!$S$320/Unitflowchart!$S$383)*RailTransport!J13*Unitflowchart!$S$331</f>
        <v>0</v>
      </c>
      <c r="C288" s="25">
        <f>(B288/B$386)*100</f>
        <v>0</v>
      </c>
      <c r="D288" s="744">
        <f>(Unitflowchart!$S$320/Unitflowchart!$S$383)*RailTransport!K13*Unitflowchart!$S$331</f>
        <v>0</v>
      </c>
      <c r="E288" s="726">
        <f>(Unitflowchart!$S$320/Unitflowchart!$S$383)*RailTransport!P13*Unitflowchart!$S$331</f>
        <v>0</v>
      </c>
      <c r="F288" s="25">
        <f>(E288/E$386)*100</f>
        <v>0</v>
      </c>
      <c r="G288" s="744">
        <f>(Unitflowchart!$S$320/Unitflowchart!$S$383)*RailTransport!Q13*Unitflowchart!$S$331</f>
        <v>0</v>
      </c>
      <c r="H288" s="723">
        <f>(Unitflowchart!$S$320/Unitflowchart!$S$383)*RailTransport!V13*Unitflowchart!$S$331</f>
        <v>0</v>
      </c>
      <c r="I288" s="25">
        <f>(H288/H$386)*100</f>
        <v>0</v>
      </c>
      <c r="J288" s="725">
        <f>(Unitflowchart!$S$320/Unitflowchart!$S$383)*RailTransport!W13*Unitflowchart!$S$331</f>
        <v>0</v>
      </c>
      <c r="K288" s="723">
        <f>(Unitflowchart!$S$320/Unitflowchart!$S$383)*RailTransport!AB13*Unitflowchart!$S$331</f>
        <v>0</v>
      </c>
      <c r="L288" s="25">
        <f>(K288/K$386)*100</f>
        <v>0</v>
      </c>
      <c r="M288" s="725">
        <f>(Unitflowchart!$S$320/Unitflowchart!$S$383)*RailTransport!AC13*Unitflowchart!$S$331</f>
        <v>0</v>
      </c>
      <c r="N288" s="726">
        <f>E288+(GlobalWarmingPotentials!$B$11*H288)+(GlobalWarmingPotentials!$C$11*K288)</f>
        <v>0</v>
      </c>
      <c r="O288" s="25">
        <f>(N288/N$386)*100</f>
        <v>0</v>
      </c>
      <c r="P288" s="744">
        <f>SQRT((G288^2)+((GlobalWarmingPotentials!$B$11*J288)^2)+((GlobalWarmingPotentials!$C$11*M288)^2))</f>
        <v>0</v>
      </c>
      <c r="Q288" s="30"/>
    </row>
    <row r="289" spans="1:17" x14ac:dyDescent="0.25">
      <c r="B289" s="728"/>
      <c r="C289" s="25"/>
      <c r="D289" s="735"/>
      <c r="E289" s="728"/>
      <c r="F289" s="25"/>
      <c r="G289" s="735"/>
      <c r="H289" s="31"/>
      <c r="I289" s="25"/>
      <c r="J289" s="724"/>
      <c r="K289" s="31"/>
      <c r="L289" s="25"/>
      <c r="M289" s="724"/>
      <c r="N289" s="728"/>
      <c r="O289" s="25"/>
      <c r="P289" s="735"/>
      <c r="Q289" s="30"/>
    </row>
    <row r="290" spans="1:17" x14ac:dyDescent="0.25">
      <c r="A290" s="218" t="s">
        <v>867</v>
      </c>
      <c r="B290" s="734">
        <f>(Unitflowchart!$S$320/Unitflowchart!$S$383)*RailTransport!J15*Unitflowchart!$S$331</f>
        <v>0</v>
      </c>
      <c r="C290" s="721">
        <f>(B290/B$386)*100</f>
        <v>0</v>
      </c>
      <c r="D290" s="745">
        <f>(Unitflowchart!$S$320/Unitflowchart!$S$383)*RailTransport!K15*Unitflowchart!$S$331</f>
        <v>0</v>
      </c>
      <c r="E290" s="734">
        <f>(Unitflowchart!$S$320/Unitflowchart!$S$383)*RailTransport!P15*Unitflowchart!$S$331</f>
        <v>0</v>
      </c>
      <c r="F290" s="721">
        <f>(E290/E$386)*100</f>
        <v>0</v>
      </c>
      <c r="G290" s="745">
        <f>(Unitflowchart!$S$320/Unitflowchart!$S$383)*RailTransport!Q15*Unitflowchart!$S$331</f>
        <v>0</v>
      </c>
      <c r="H290" s="722">
        <f>(Unitflowchart!$S$320/Unitflowchart!$S$383)*RailTransport!V15*Unitflowchart!$S$331</f>
        <v>0</v>
      </c>
      <c r="I290" s="721">
        <f>(H290/H$386)*100</f>
        <v>0</v>
      </c>
      <c r="J290" s="720">
        <f>(Unitflowchart!$S$320/Unitflowchart!$S$383)*RailTransport!W15*Unitflowchart!$S$331</f>
        <v>0</v>
      </c>
      <c r="K290" s="722">
        <f>(Unitflowchart!$S$320/Unitflowchart!$S$383)*RailTransport!AB15*Unitflowchart!$S$331</f>
        <v>0</v>
      </c>
      <c r="L290" s="721">
        <f>(K290/K$386)*100</f>
        <v>0</v>
      </c>
      <c r="M290" s="720">
        <f>(Unitflowchart!$S$320/Unitflowchart!$S$383)*RailTransport!AC15*Unitflowchart!$S$331</f>
        <v>0</v>
      </c>
      <c r="N290" s="734">
        <f>E290+(GlobalWarmingPotentials!$B$11*H290)+(GlobalWarmingPotentials!$C$11*K290)</f>
        <v>0</v>
      </c>
      <c r="O290" s="721">
        <f>(N290/N$386)*100</f>
        <v>0</v>
      </c>
      <c r="P290" s="743">
        <f>SQRT((G290^2)+((GlobalWarmingPotentials!$B$11*J290)^2)+((GlobalWarmingPotentials!$C$11*M290)^2))</f>
        <v>0</v>
      </c>
      <c r="Q290" s="30"/>
    </row>
    <row r="291" spans="1:17" x14ac:dyDescent="0.25">
      <c r="B291" s="728"/>
      <c r="C291" s="25"/>
      <c r="D291" s="735"/>
      <c r="E291" s="728"/>
      <c r="F291" s="25"/>
      <c r="G291" s="735"/>
      <c r="H291" s="31"/>
      <c r="I291" s="25"/>
      <c r="J291" s="724"/>
      <c r="K291" s="31"/>
      <c r="L291" s="25"/>
      <c r="M291" s="724"/>
      <c r="N291" s="728"/>
      <c r="O291" s="25"/>
      <c r="P291" s="735"/>
      <c r="Q291" s="30"/>
    </row>
    <row r="292" spans="1:17" x14ac:dyDescent="0.25">
      <c r="A292" s="387" t="s">
        <v>918</v>
      </c>
      <c r="B292" s="728"/>
      <c r="C292" s="25"/>
      <c r="D292" s="735"/>
      <c r="E292" s="728"/>
      <c r="F292" s="25"/>
      <c r="G292" s="735"/>
      <c r="H292" s="31"/>
      <c r="I292" s="25"/>
      <c r="J292" s="724"/>
      <c r="K292" s="31"/>
      <c r="L292" s="25"/>
      <c r="M292" s="724"/>
      <c r="N292" s="728"/>
      <c r="O292" s="25"/>
      <c r="P292" s="735"/>
      <c r="Q292" s="30"/>
    </row>
    <row r="293" spans="1:17" x14ac:dyDescent="0.25">
      <c r="B293" s="728"/>
      <c r="C293" s="25"/>
      <c r="D293" s="735"/>
      <c r="E293" s="728"/>
      <c r="F293" s="25"/>
      <c r="G293" s="735"/>
      <c r="H293" s="31"/>
      <c r="I293" s="25"/>
      <c r="J293" s="724"/>
      <c r="K293" s="31"/>
      <c r="L293" s="25"/>
      <c r="M293" s="724"/>
      <c r="N293" s="728"/>
      <c r="O293" s="25"/>
      <c r="P293" s="735"/>
      <c r="Q293" s="30"/>
    </row>
    <row r="294" spans="1:17" x14ac:dyDescent="0.25">
      <c r="A294" t="str">
        <f>BargeTransport!A11</f>
        <v xml:space="preserve"> - Marine Diesel</v>
      </c>
      <c r="B294" s="726">
        <f>(Unitflowchart!$S$320/Unitflowchart!$S$383)*BargeTransport!J11*Unitflowchart!$S$333</f>
        <v>0</v>
      </c>
      <c r="C294" s="25">
        <f>(B294/B$386)*100</f>
        <v>0</v>
      </c>
      <c r="D294" s="744">
        <f>(Unitflowchart!$S$320/Unitflowchart!$S$383)*BargeTransport!K11*Unitflowchart!$S$333</f>
        <v>0</v>
      </c>
      <c r="E294" s="726">
        <f>(Unitflowchart!$S$320/Unitflowchart!$S$383)*BargeTransport!P11*Unitflowchart!$S$333</f>
        <v>0</v>
      </c>
      <c r="F294" s="25">
        <f>(E294/E$386)*100</f>
        <v>0</v>
      </c>
      <c r="G294" s="744">
        <f>(Unitflowchart!$S$320/Unitflowchart!$S$383)*BargeTransport!Q11*Unitflowchart!$S$333</f>
        <v>0</v>
      </c>
      <c r="H294" s="723">
        <f>(Unitflowchart!$S$320/Unitflowchart!$S$383)*BargeTransport!V11*Unitflowchart!$S$333</f>
        <v>0</v>
      </c>
      <c r="I294" s="25">
        <f>(H294/H$386)*100</f>
        <v>0</v>
      </c>
      <c r="J294" s="725">
        <f>(Unitflowchart!$S$320/Unitflowchart!$S$383)*BargeTransport!W11*Unitflowchart!$S$333</f>
        <v>0</v>
      </c>
      <c r="K294" s="723">
        <f>(Unitflowchart!$S$320/Unitflowchart!$S$383)*BargeTransport!AB11*Unitflowchart!$S$333</f>
        <v>0</v>
      </c>
      <c r="L294" s="25">
        <f>(K294/K$386)*100</f>
        <v>0</v>
      </c>
      <c r="M294" s="725">
        <f>(Unitflowchart!$S$320/Unitflowchart!$S$383)*BargeTransport!AC11*Unitflowchart!$S$333</f>
        <v>0</v>
      </c>
      <c r="N294" s="726">
        <f>E294+(GlobalWarmingPotentials!$B$11*H294)+(GlobalWarmingPotentials!$C$11*K294)</f>
        <v>0</v>
      </c>
      <c r="O294" s="25">
        <f>(N294/N$386)*100</f>
        <v>0</v>
      </c>
      <c r="P294" s="744">
        <f>SQRT((G294^2)+((GlobalWarmingPotentials!$B$11*J294)^2)+((GlobalWarmingPotentials!$C$11*M294)^2))</f>
        <v>0</v>
      </c>
      <c r="Q294" s="30"/>
    </row>
    <row r="295" spans="1:17" x14ac:dyDescent="0.25">
      <c r="A295" t="str">
        <f>BargeTransport!A12</f>
        <v xml:space="preserve"> - Barge Construction</v>
      </c>
      <c r="B295" s="726">
        <f>(Unitflowchart!$S$320/Unitflowchart!$S$383)*BargeTransport!J12*Unitflowchart!$S$333</f>
        <v>0</v>
      </c>
      <c r="C295" s="25">
        <f>(B295/B$386)*100</f>
        <v>0</v>
      </c>
      <c r="D295" s="744">
        <f>(Unitflowchart!$S$320/Unitflowchart!$S$383)*BargeTransport!K12*Unitflowchart!$S$333</f>
        <v>0</v>
      </c>
      <c r="E295" s="726">
        <f>(Unitflowchart!$S$320/Unitflowchart!$S$383)*BargeTransport!P12*Unitflowchart!$S$333</f>
        <v>0</v>
      </c>
      <c r="F295" s="25">
        <f>(E295/E$386)*100</f>
        <v>0</v>
      </c>
      <c r="G295" s="744">
        <f>(Unitflowchart!$S$320/Unitflowchart!$S$383)*BargeTransport!Q12*Unitflowchart!$S$333</f>
        <v>0</v>
      </c>
      <c r="H295" s="723">
        <f>(Unitflowchart!$S$320/Unitflowchart!$S$383)*BargeTransport!V12*Unitflowchart!$S$333</f>
        <v>0</v>
      </c>
      <c r="I295" s="25">
        <f>(H295/H$386)*100</f>
        <v>0</v>
      </c>
      <c r="J295" s="725">
        <f>(Unitflowchart!$S$320/Unitflowchart!$S$383)*BargeTransport!W12*Unitflowchart!$S$333</f>
        <v>0</v>
      </c>
      <c r="K295" s="723">
        <f>(Unitflowchart!$S$320/Unitflowchart!$S$383)*BargeTransport!AB12*Unitflowchart!$S$333</f>
        <v>0</v>
      </c>
      <c r="L295" s="25">
        <f>(K295/K$386)*100</f>
        <v>0</v>
      </c>
      <c r="M295" s="725">
        <f>(Unitflowchart!$S$320/Unitflowchart!$S$383)*BargeTransport!AC12*Unitflowchart!$S$333</f>
        <v>0</v>
      </c>
      <c r="N295" s="726">
        <f>E295+(GlobalWarmingPotentials!$B$11*H295)+(GlobalWarmingPotentials!$C$11*K295)</f>
        <v>0</v>
      </c>
      <c r="O295" s="25">
        <f>(N295/N$386)*100</f>
        <v>0</v>
      </c>
      <c r="P295" s="744">
        <f>SQRT((G295^2)+((GlobalWarmingPotentials!$B$11*J295)^2)+((GlobalWarmingPotentials!$C$11*M295)^2))</f>
        <v>0</v>
      </c>
      <c r="Q295" s="30"/>
    </row>
    <row r="296" spans="1:17" x14ac:dyDescent="0.25">
      <c r="A296" t="str">
        <f>BargeTransport!A13</f>
        <v xml:space="preserve"> - Barge Maintenance</v>
      </c>
      <c r="B296" s="726">
        <f>(Unitflowchart!$S$320/Unitflowchart!$S$383)*BargeTransport!J13*Unitflowchart!$S$333</f>
        <v>0</v>
      </c>
      <c r="C296" s="25">
        <f>(B296/B$386)*100</f>
        <v>0</v>
      </c>
      <c r="D296" s="744">
        <f>(Unitflowchart!$S$320/Unitflowchart!$S$383)*BargeTransport!K13*Unitflowchart!$S$333</f>
        <v>0</v>
      </c>
      <c r="E296" s="726">
        <f>(Unitflowchart!$S$320/Unitflowchart!$S$383)*BargeTransport!P13*Unitflowchart!$S$333</f>
        <v>0</v>
      </c>
      <c r="F296" s="25">
        <f>(E296/E$386)*100</f>
        <v>0</v>
      </c>
      <c r="G296" s="744">
        <f>(Unitflowchart!$S$320/Unitflowchart!$S$383)*BargeTransport!Q13*Unitflowchart!$S$333</f>
        <v>0</v>
      </c>
      <c r="H296" s="723">
        <f>(Unitflowchart!$S$320/Unitflowchart!$S$383)*BargeTransport!V13*Unitflowchart!$S$333</f>
        <v>0</v>
      </c>
      <c r="I296" s="25">
        <f>(H296/H$386)*100</f>
        <v>0</v>
      </c>
      <c r="J296" s="725">
        <f>(Unitflowchart!$S$320/Unitflowchart!$S$383)*BargeTransport!W13*Unitflowchart!$S$333</f>
        <v>0</v>
      </c>
      <c r="K296" s="723">
        <f>(Unitflowchart!$S$320/Unitflowchart!$S$383)*BargeTransport!AB13*Unitflowchart!$S$333</f>
        <v>0</v>
      </c>
      <c r="L296" s="25">
        <f>(K296/K$386)*100</f>
        <v>0</v>
      </c>
      <c r="M296" s="725">
        <f>(Unitflowchart!$S$320/Unitflowchart!$S$383)*BargeTransport!AC13*Unitflowchart!$S$333</f>
        <v>0</v>
      </c>
      <c r="N296" s="726">
        <f>E296+(GlobalWarmingPotentials!$B$11*H296)+(GlobalWarmingPotentials!$C$11*K296)</f>
        <v>0</v>
      </c>
      <c r="O296" s="25">
        <f>(N296/N$386)*100</f>
        <v>0</v>
      </c>
      <c r="P296" s="744">
        <f>SQRT((G296^2)+((GlobalWarmingPotentials!$B$11*J296)^2)+((GlobalWarmingPotentials!$C$11*M296)^2))</f>
        <v>0</v>
      </c>
      <c r="Q296" s="30"/>
    </row>
    <row r="297" spans="1:17" x14ac:dyDescent="0.25">
      <c r="B297" s="728"/>
      <c r="C297" s="25"/>
      <c r="D297" s="735"/>
      <c r="E297" s="728"/>
      <c r="F297" s="25"/>
      <c r="G297" s="735"/>
      <c r="H297" s="31"/>
      <c r="I297" s="25"/>
      <c r="J297" s="724"/>
      <c r="K297" s="31"/>
      <c r="L297" s="25"/>
      <c r="M297" s="724"/>
      <c r="N297" s="728"/>
      <c r="O297" s="25"/>
      <c r="P297" s="735"/>
      <c r="Q297" s="30"/>
    </row>
    <row r="298" spans="1:17" x14ac:dyDescent="0.25">
      <c r="A298" s="218" t="s">
        <v>871</v>
      </c>
      <c r="B298" s="734">
        <f>(Unitflowchart!$S$320/Unitflowchart!$S$383)*BargeTransport!J15*Unitflowchart!$S$333</f>
        <v>0</v>
      </c>
      <c r="C298" s="721">
        <f>(B298/B$386)*100</f>
        <v>0</v>
      </c>
      <c r="D298" s="745">
        <f>(Unitflowchart!$S$320/Unitflowchart!$S$383)*BargeTransport!K15*Unitflowchart!$S$333</f>
        <v>0</v>
      </c>
      <c r="E298" s="734">
        <f>(Unitflowchart!$S$320/Unitflowchart!$S$383)*BargeTransport!P15*Unitflowchart!$S$333</f>
        <v>0</v>
      </c>
      <c r="F298" s="721">
        <f>(E298/E$386)*100</f>
        <v>0</v>
      </c>
      <c r="G298" s="745">
        <f>(Unitflowchart!$S$320/Unitflowchart!$S$383)*BargeTransport!Q15*Unitflowchart!$S$333</f>
        <v>0</v>
      </c>
      <c r="H298" s="722">
        <f>(Unitflowchart!$S$320/Unitflowchart!$S$383)*BargeTransport!V15*Unitflowchart!$S$333</f>
        <v>0</v>
      </c>
      <c r="I298" s="721">
        <f>(H298/H$386)*100</f>
        <v>0</v>
      </c>
      <c r="J298" s="720">
        <f>(Unitflowchart!$S$320/Unitflowchart!$S$383)*BargeTransport!W15*Unitflowchart!$S$333</f>
        <v>0</v>
      </c>
      <c r="K298" s="722">
        <f>(Unitflowchart!$S$320/Unitflowchart!$S$383)*BargeTransport!AB15*Unitflowchart!$S$333</f>
        <v>0</v>
      </c>
      <c r="L298" s="721">
        <f>(K298/K$386)*100</f>
        <v>0</v>
      </c>
      <c r="M298" s="720">
        <f>(Unitflowchart!$S$320/Unitflowchart!$S$383)*BargeTransport!AC15*Unitflowchart!$S$333</f>
        <v>0</v>
      </c>
      <c r="N298" s="734">
        <f>E298+(GlobalWarmingPotentials!$B$11*H298)+(GlobalWarmingPotentials!$C$11*K298)</f>
        <v>0</v>
      </c>
      <c r="O298" s="721">
        <f>(N298/N$386)*100</f>
        <v>0</v>
      </c>
      <c r="P298" s="743">
        <f>SQRT((G298^2)+((GlobalWarmingPotentials!$B$11*J298)^2)+((GlobalWarmingPotentials!$C$11*M298)^2))</f>
        <v>0</v>
      </c>
      <c r="Q298" s="30"/>
    </row>
    <row r="299" spans="1:17" x14ac:dyDescent="0.25">
      <c r="B299" s="728"/>
      <c r="C299" s="25"/>
      <c r="D299" s="735"/>
      <c r="E299" s="728"/>
      <c r="F299" s="25"/>
      <c r="G299" s="735"/>
      <c r="H299" s="31"/>
      <c r="I299" s="25"/>
      <c r="J299" s="724"/>
      <c r="K299" s="31"/>
      <c r="L299" s="25"/>
      <c r="M299" s="724"/>
      <c r="N299" s="728"/>
      <c r="O299" s="25"/>
      <c r="P299" s="735"/>
      <c r="Q299" s="30"/>
    </row>
    <row r="300" spans="1:17" x14ac:dyDescent="0.25">
      <c r="A300" s="387" t="s">
        <v>919</v>
      </c>
      <c r="B300" s="728"/>
      <c r="C300" s="25"/>
      <c r="D300" s="735"/>
      <c r="E300" s="728"/>
      <c r="F300" s="25"/>
      <c r="G300" s="735"/>
      <c r="H300" s="31"/>
      <c r="I300" s="25"/>
      <c r="J300" s="724"/>
      <c r="K300" s="31"/>
      <c r="L300" s="25"/>
      <c r="M300" s="724"/>
      <c r="N300" s="728"/>
      <c r="O300" s="25"/>
      <c r="P300" s="735"/>
      <c r="Q300" s="30"/>
    </row>
    <row r="301" spans="1:17" x14ac:dyDescent="0.25">
      <c r="B301" s="728"/>
      <c r="C301" s="25"/>
      <c r="D301" s="735"/>
      <c r="E301" s="728"/>
      <c r="F301" s="25"/>
      <c r="G301" s="735"/>
      <c r="H301" s="31"/>
      <c r="I301" s="25"/>
      <c r="J301" s="724"/>
      <c r="K301" s="31"/>
      <c r="L301" s="25"/>
      <c r="M301" s="724"/>
      <c r="N301" s="728"/>
      <c r="O301" s="25"/>
      <c r="P301" s="735"/>
      <c r="Q301" s="30"/>
    </row>
    <row r="302" spans="1:17" x14ac:dyDescent="0.25">
      <c r="A302" t="str">
        <f>ShipTransport!A11</f>
        <v xml:space="preserve"> - Marine Diesel</v>
      </c>
      <c r="B302" s="726">
        <f>(Unitflowchart!$S$320/Unitflowchart!$S$383)*ShipTransport!J11*Unitflowchart!$S$335</f>
        <v>0</v>
      </c>
      <c r="C302" s="25">
        <f>(B302/B$386)*100</f>
        <v>0</v>
      </c>
      <c r="D302" s="744">
        <f>(Unitflowchart!$S$320/Unitflowchart!$S$383)*ShipTransport!K11*Unitflowchart!$S$335</f>
        <v>0</v>
      </c>
      <c r="E302" s="726">
        <f>(Unitflowchart!$S$320/Unitflowchart!$S$383)*ShipTransport!P11*Unitflowchart!$S$335</f>
        <v>0</v>
      </c>
      <c r="F302" s="25">
        <f>(E302/E$386)*100</f>
        <v>0</v>
      </c>
      <c r="G302" s="744">
        <f>(Unitflowchart!$S$320/Unitflowchart!$S$383)*ShipTransport!Q11*Unitflowchart!$S$335</f>
        <v>0</v>
      </c>
      <c r="H302" s="723">
        <f>(Unitflowchart!$S$320/Unitflowchart!$S$383)*ShipTransport!V11*Unitflowchart!$S$335</f>
        <v>0</v>
      </c>
      <c r="I302" s="25">
        <f>(H302/H$386)*100</f>
        <v>0</v>
      </c>
      <c r="J302" s="725">
        <f>(Unitflowchart!$S$320/Unitflowchart!$S$383)*ShipTransport!W11*Unitflowchart!$S$335</f>
        <v>0</v>
      </c>
      <c r="K302" s="723">
        <f>(Unitflowchart!$S$320/Unitflowchart!$S$383)*ShipTransport!AB11*Unitflowchart!$S$335</f>
        <v>0</v>
      </c>
      <c r="L302" s="25">
        <f>(K302/K$386)*100</f>
        <v>0</v>
      </c>
      <c r="M302" s="725">
        <f>(Unitflowchart!$S$320/Unitflowchart!$S$383)*ShipTransport!AC11*Unitflowchart!$S$335</f>
        <v>0</v>
      </c>
      <c r="N302" s="726">
        <f>E302+(GlobalWarmingPotentials!$B$11*H302)+(GlobalWarmingPotentials!$C$11*K302)</f>
        <v>0</v>
      </c>
      <c r="O302" s="25">
        <f>(N302/N$386)*100</f>
        <v>0</v>
      </c>
      <c r="P302" s="744">
        <f>SQRT((G302^2)+((GlobalWarmingPotentials!$B$11*J302)^2)+((GlobalWarmingPotentials!$C$11*M302)^2))</f>
        <v>0</v>
      </c>
      <c r="Q302" s="30"/>
    </row>
    <row r="303" spans="1:17" x14ac:dyDescent="0.25">
      <c r="A303" t="str">
        <f>ShipTransport!A12</f>
        <v xml:space="preserve"> - Ship Construction</v>
      </c>
      <c r="B303" s="726">
        <f>(Unitflowchart!$S$320/Unitflowchart!$S$383)*ShipTransport!J12*Unitflowchart!$S$335</f>
        <v>0</v>
      </c>
      <c r="C303" s="25">
        <f>(B303/B$386)*100</f>
        <v>0</v>
      </c>
      <c r="D303" s="744">
        <f>(Unitflowchart!$S$320/Unitflowchart!$S$383)*ShipTransport!K12*Unitflowchart!$S$335</f>
        <v>0</v>
      </c>
      <c r="E303" s="726">
        <f>(Unitflowchart!$S$320/Unitflowchart!$S$383)*ShipTransport!P12*Unitflowchart!$S$335</f>
        <v>0</v>
      </c>
      <c r="F303" s="25">
        <f>(E303/E$386)*100</f>
        <v>0</v>
      </c>
      <c r="G303" s="744">
        <f>(Unitflowchart!$S$320/Unitflowchart!$S$383)*ShipTransport!Q12*Unitflowchart!$S$335</f>
        <v>0</v>
      </c>
      <c r="H303" s="723">
        <f>(Unitflowchart!$S$320/Unitflowchart!$S$383)*ShipTransport!V12*Unitflowchart!$S$335</f>
        <v>0</v>
      </c>
      <c r="I303" s="25">
        <f>(H303/H$386)*100</f>
        <v>0</v>
      </c>
      <c r="J303" s="725">
        <f>(Unitflowchart!$S$320/Unitflowchart!$S$383)*ShipTransport!W12*Unitflowchart!$S$335</f>
        <v>0</v>
      </c>
      <c r="K303" s="723">
        <f>(Unitflowchart!$S$320/Unitflowchart!$S$383)*ShipTransport!AB12*Unitflowchart!$S$335</f>
        <v>0</v>
      </c>
      <c r="L303" s="25">
        <f>(K303/K$386)*100</f>
        <v>0</v>
      </c>
      <c r="M303" s="725">
        <f>(Unitflowchart!$S$320/Unitflowchart!$S$383)*ShipTransport!AC12*Unitflowchart!$S$335</f>
        <v>0</v>
      </c>
      <c r="N303" s="726">
        <f>E303+(GlobalWarmingPotentials!$B$11*H303)+(GlobalWarmingPotentials!$C$11*K303)</f>
        <v>0</v>
      </c>
      <c r="O303" s="25">
        <f>(N303/N$386)*100</f>
        <v>0</v>
      </c>
      <c r="P303" s="744">
        <f>SQRT((G303^2)+((GlobalWarmingPotentials!$B$11*J303)^2)+((GlobalWarmingPotentials!$C$11*M303)^2))</f>
        <v>0</v>
      </c>
      <c r="Q303" s="30"/>
    </row>
    <row r="304" spans="1:17" x14ac:dyDescent="0.25">
      <c r="A304" t="str">
        <f>ShipTransport!A13</f>
        <v xml:space="preserve"> - Ship Maintenance</v>
      </c>
      <c r="B304" s="726">
        <f>(Unitflowchart!$S$320/Unitflowchart!$S$383)*ShipTransport!J13*Unitflowchart!$S$335</f>
        <v>0</v>
      </c>
      <c r="C304" s="25">
        <f>(B304/B$386)*100</f>
        <v>0</v>
      </c>
      <c r="D304" s="744">
        <f>(Unitflowchart!$S$320/Unitflowchart!$S$383)*ShipTransport!K13*Unitflowchart!$S$335</f>
        <v>0</v>
      </c>
      <c r="E304" s="726">
        <f>(Unitflowchart!$S$320/Unitflowchart!$S$383)*ShipTransport!P13*Unitflowchart!$S$335</f>
        <v>0</v>
      </c>
      <c r="F304" s="25">
        <f>(E304/E$386)*100</f>
        <v>0</v>
      </c>
      <c r="G304" s="744">
        <f>(Unitflowchart!$S$320/Unitflowchart!$S$383)*ShipTransport!Q13*Unitflowchart!$S$335</f>
        <v>0</v>
      </c>
      <c r="H304" s="723">
        <f>(Unitflowchart!$S$320/Unitflowchart!$S$383)*ShipTransport!V13*Unitflowchart!$S$335</f>
        <v>0</v>
      </c>
      <c r="I304" s="25">
        <f>(H304/H$386)*100</f>
        <v>0</v>
      </c>
      <c r="J304" s="725">
        <f>(Unitflowchart!$S$320/Unitflowchart!$S$383)*ShipTransport!W13*Unitflowchart!$S$335</f>
        <v>0</v>
      </c>
      <c r="K304" s="723">
        <f>(Unitflowchart!$S$320/Unitflowchart!$S$383)*ShipTransport!AB13*Unitflowchart!$S$335</f>
        <v>0</v>
      </c>
      <c r="L304" s="25">
        <f>(K304/K$386)*100</f>
        <v>0</v>
      </c>
      <c r="M304" s="725">
        <f>(Unitflowchart!$S$320/Unitflowchart!$S$383)*ShipTransport!AC13*Unitflowchart!$S$335</f>
        <v>0</v>
      </c>
      <c r="N304" s="726">
        <f>E304+(GlobalWarmingPotentials!$B$11*H304)+(GlobalWarmingPotentials!$C$11*K304)</f>
        <v>0</v>
      </c>
      <c r="O304" s="25">
        <f>(N304/N$386)*100</f>
        <v>0</v>
      </c>
      <c r="P304" s="744">
        <f>SQRT((G304^2)+((GlobalWarmingPotentials!$B$11*J304)^2)+((GlobalWarmingPotentials!$C$11*M304)^2))</f>
        <v>0</v>
      </c>
      <c r="Q304" s="30"/>
    </row>
    <row r="305" spans="1:17" x14ac:dyDescent="0.25">
      <c r="B305" s="728"/>
      <c r="C305" s="25"/>
      <c r="D305" s="735"/>
      <c r="E305" s="728"/>
      <c r="F305" s="25"/>
      <c r="G305" s="735"/>
      <c r="H305" s="31"/>
      <c r="I305" s="25"/>
      <c r="J305" s="724"/>
      <c r="K305" s="31"/>
      <c r="L305" s="25"/>
      <c r="M305" s="724"/>
      <c r="N305" s="728"/>
      <c r="O305" s="25"/>
      <c r="P305" s="735"/>
      <c r="Q305" s="30"/>
    </row>
    <row r="306" spans="1:17" x14ac:dyDescent="0.25">
      <c r="A306" s="218" t="s">
        <v>873</v>
      </c>
      <c r="B306" s="734">
        <f>(Unitflowchart!$S$320/Unitflowchart!$S$383)*ShipTransport!J15*Unitflowchart!$S$335</f>
        <v>0</v>
      </c>
      <c r="C306" s="721">
        <f>(B306/B$386)*100</f>
        <v>0</v>
      </c>
      <c r="D306" s="745">
        <f>(Unitflowchart!$S$320/Unitflowchart!$S$383)*ShipTransport!K15*Unitflowchart!$S$335</f>
        <v>0</v>
      </c>
      <c r="E306" s="734">
        <f>(Unitflowchart!$S$320/Unitflowchart!$S$383)*ShipTransport!P15*Unitflowchart!$S$335</f>
        <v>0</v>
      </c>
      <c r="F306" s="721">
        <f>(E306/E$386)*100</f>
        <v>0</v>
      </c>
      <c r="G306" s="745">
        <f>(Unitflowchart!$S$320/Unitflowchart!$S$383)*ShipTransport!Q15*Unitflowchart!$S$335</f>
        <v>0</v>
      </c>
      <c r="H306" s="722">
        <f>(Unitflowchart!$S$320/Unitflowchart!$S$383)*ShipTransport!V15*Unitflowchart!$S$335</f>
        <v>0</v>
      </c>
      <c r="I306" s="721">
        <f>(H306/H$386)*100</f>
        <v>0</v>
      </c>
      <c r="J306" s="720">
        <f>(Unitflowchart!$S$320/Unitflowchart!$S$383)*ShipTransport!W15*Unitflowchart!$S$335</f>
        <v>0</v>
      </c>
      <c r="K306" s="722">
        <f>(Unitflowchart!$S$320/Unitflowchart!$S$383)*ShipTransport!AB15*Unitflowchart!$S$335</f>
        <v>0</v>
      </c>
      <c r="L306" s="721">
        <f>(K306/K$386)*100</f>
        <v>0</v>
      </c>
      <c r="M306" s="720">
        <f>(Unitflowchart!$S$320/Unitflowchart!$S$383)*ShipTransport!AC15*Unitflowchart!$S$335</f>
        <v>0</v>
      </c>
      <c r="N306" s="734">
        <f>E306+(GlobalWarmingPotentials!$B$11*H306)+(GlobalWarmingPotentials!$C$11*K306)</f>
        <v>0</v>
      </c>
      <c r="O306" s="721">
        <f>(N306/N$386)*100</f>
        <v>0</v>
      </c>
      <c r="P306" s="743">
        <f>SQRT((G306^2)+((GlobalWarmingPotentials!$B$11*J306)^2)+((GlobalWarmingPotentials!$C$11*M306)^2))</f>
        <v>0</v>
      </c>
      <c r="Q306" s="30"/>
    </row>
    <row r="307" spans="1:17" x14ac:dyDescent="0.25">
      <c r="B307" s="728"/>
      <c r="D307" s="735"/>
      <c r="E307" s="728"/>
      <c r="F307" s="25"/>
      <c r="G307" s="735"/>
      <c r="H307" s="31"/>
      <c r="I307" s="25"/>
      <c r="J307" s="724"/>
      <c r="K307" s="31"/>
      <c r="L307" s="25"/>
      <c r="M307" s="724"/>
      <c r="N307" s="728"/>
      <c r="O307" s="25"/>
      <c r="P307" s="735"/>
      <c r="Q307" s="30"/>
    </row>
    <row r="308" spans="1:17" x14ac:dyDescent="0.25">
      <c r="A308" s="715" t="s">
        <v>910</v>
      </c>
      <c r="B308" s="734">
        <f>B282+B290+B298+B306</f>
        <v>517.88672232212184</v>
      </c>
      <c r="C308" s="721">
        <f>(B308/B$386)*100</f>
        <v>4.0008609615279447</v>
      </c>
      <c r="D308" s="745">
        <f>SQRT((D282^2)+(D290^2)+(D298^2)+(D306^2))</f>
        <v>24.34067594913973</v>
      </c>
      <c r="E308" s="734">
        <f t="shared" ref="E308" si="54">E282+E290+E298+E306</f>
        <v>37.164284826471004</v>
      </c>
      <c r="F308" s="721">
        <f t="shared" ref="F308" si="55">(E308/E$386)*100</f>
        <v>4.6202303121259201</v>
      </c>
      <c r="G308" s="745">
        <f t="shared" ref="G308" si="56">SQRT((G282^2)+(G290^2)+(G298^2)+(G306^2))</f>
        <v>1.7467213868441371</v>
      </c>
      <c r="H308" s="722">
        <f t="shared" ref="H308" si="57">H282+H290+H298+H306</f>
        <v>7.7224487951108563E-3</v>
      </c>
      <c r="I308" s="721">
        <f t="shared" ref="I308" si="58">(H308/H$386)*100</f>
        <v>0.77130931270054526</v>
      </c>
      <c r="J308" s="720">
        <f t="shared" ref="J308" si="59">SQRT((J282^2)+(J290^2)+(J298^2)+(J306^2))</f>
        <v>3.6295509337021026E-4</v>
      </c>
      <c r="K308" s="722">
        <f t="shared" ref="K308" si="60">K282+K290+K298+K306</f>
        <v>1.0039183433644116E-2</v>
      </c>
      <c r="L308" s="721">
        <f t="shared" ref="L308" si="61">(K308/K$386)*100</f>
        <v>4.6471244718091178</v>
      </c>
      <c r="M308" s="720">
        <f t="shared" ref="M308" si="62">SQRT((M282^2)+(M290^2)+(M298^2)+(M306^2))</f>
        <v>4.7184162138127345E-4</v>
      </c>
      <c r="N308" s="734">
        <f t="shared" ref="N308" si="63">N282+N290+N298+N306</f>
        <v>40.313499445117209</v>
      </c>
      <c r="O308" s="721">
        <f t="shared" ref="O308" si="64">(N308/N$386)*100</f>
        <v>4.522723850590352</v>
      </c>
      <c r="P308" s="743">
        <f t="shared" ref="P308" si="65">SQRT((P282^2)+(P290^2)+(P298^2)+(P306^2))</f>
        <v>1.7523160780917761</v>
      </c>
      <c r="Q308" s="30"/>
    </row>
    <row r="309" spans="1:17" x14ac:dyDescent="0.25">
      <c r="B309" s="728"/>
      <c r="D309" s="735"/>
      <c r="E309" s="728"/>
      <c r="G309" s="735"/>
      <c r="H309" s="31"/>
      <c r="J309" s="724"/>
      <c r="K309" s="31"/>
      <c r="M309" s="724"/>
      <c r="N309" s="728"/>
      <c r="P309" s="735"/>
      <c r="Q309" s="30"/>
    </row>
    <row r="310" spans="1:17" x14ac:dyDescent="0.25">
      <c r="A310" s="387" t="s">
        <v>423</v>
      </c>
      <c r="B310" s="728"/>
      <c r="D310" s="735"/>
      <c r="E310" s="728"/>
      <c r="G310" s="735"/>
      <c r="H310" s="31"/>
      <c r="J310" s="724"/>
      <c r="K310" s="31"/>
      <c r="M310" s="724"/>
      <c r="N310" s="728"/>
      <c r="P310" s="735"/>
      <c r="Q310" s="30"/>
    </row>
    <row r="311" spans="1:17" x14ac:dyDescent="0.25">
      <c r="B311" s="728"/>
      <c r="D311" s="735"/>
      <c r="E311" s="728"/>
      <c r="G311" s="735"/>
      <c r="H311" s="31"/>
      <c r="J311" s="724"/>
      <c r="K311" s="31"/>
      <c r="M311" s="724"/>
      <c r="N311" s="728"/>
      <c r="P311" s="735"/>
      <c r="Q311" s="30"/>
    </row>
    <row r="312" spans="1:17" x14ac:dyDescent="0.25">
      <c r="A312" t="str">
        <f>RoadTransportEthanolStage2!A42</f>
        <v xml:space="preserve"> - Diesel Fuel</v>
      </c>
      <c r="B312" s="732">
        <f>(Unitflowchart!$S$341/Unitflowchart!$S$383)*RoadTransportEthanolStage2!J42*Unitflowchart!$S$350</f>
        <v>0</v>
      </c>
      <c r="C312" s="26">
        <f>(B312/B$386)*100</f>
        <v>0</v>
      </c>
      <c r="D312" s="491">
        <f>(Unitflowchart!$S$341/Unitflowchart!$S$383)*RoadTransportEthanolStage2!K42*Unitflowchart!$S$350</f>
        <v>0</v>
      </c>
      <c r="E312" s="732">
        <f>(Unitflowchart!$S$341/Unitflowchart!$S$383)*RoadTransportEthanolStage2!P42*Unitflowchart!$S$350</f>
        <v>0</v>
      </c>
      <c r="F312" s="26">
        <f>(E312/E$386)*100</f>
        <v>0</v>
      </c>
      <c r="G312" s="491">
        <f>(Unitflowchart!$S$341/Unitflowchart!$S$383)*RoadTransportEthanolStage2!Q42*Unitflowchart!$S$350</f>
        <v>0</v>
      </c>
      <c r="H312" s="749">
        <f>(Unitflowchart!$S$341/Unitflowchart!$S$383)*RoadTransportEthanolStage2!V42*Unitflowchart!$S$350</f>
        <v>0</v>
      </c>
      <c r="I312" s="26">
        <f>(H312/H$386)*100</f>
        <v>0</v>
      </c>
      <c r="J312" s="752">
        <f>(Unitflowchart!$S$341/Unitflowchart!$S$383)*RoadTransportEthanolStage2!W42*Unitflowchart!$S$350</f>
        <v>0</v>
      </c>
      <c r="K312" s="749">
        <f>(Unitflowchart!$S$341/Unitflowchart!$S$383)*RoadTransportEthanolStage2!AB42*Unitflowchart!$S$350</f>
        <v>0</v>
      </c>
      <c r="L312" s="26">
        <f>(K312/K$386)*100</f>
        <v>0</v>
      </c>
      <c r="M312" s="751">
        <f>(Unitflowchart!$S$341/Unitflowchart!$S$383)*RoadTransportEthanolStage2!AC42*Unitflowchart!$S$350</f>
        <v>0</v>
      </c>
      <c r="N312" s="727">
        <f>E312+(GlobalWarmingPotentials!$B$11*H312)+(GlobalWarmingPotentials!$C$11*K312)</f>
        <v>0</v>
      </c>
      <c r="O312" s="26">
        <f>(N312/N$386)*100</f>
        <v>0</v>
      </c>
      <c r="P312" s="760">
        <f>SQRT((G312^2)+((GlobalWarmingPotentials!$B$11*J312)^2)+((GlobalWarmingPotentials!$C$11*M312)^2))</f>
        <v>0</v>
      </c>
      <c r="Q312" s="30"/>
    </row>
    <row r="313" spans="1:17" x14ac:dyDescent="0.25">
      <c r="A313" t="str">
        <f>RoadTransportEthanolStage2!A43</f>
        <v xml:space="preserve"> - Vehicle </v>
      </c>
      <c r="B313" s="732">
        <f>(Unitflowchart!$S$341/Unitflowchart!$S$383)*RoadTransportEthanolStage2!J43*Unitflowchart!$S$350</f>
        <v>0</v>
      </c>
      <c r="C313" s="26">
        <f t="shared" ref="C313:C316" si="66">(B313/B$386)*100</f>
        <v>0</v>
      </c>
      <c r="D313" s="491">
        <f>(Unitflowchart!$S$341/Unitflowchart!$S$383)*RoadTransportEthanolStage2!K43*Unitflowchart!$S$350</f>
        <v>0</v>
      </c>
      <c r="E313" s="732">
        <f>(Unitflowchart!$S$341/Unitflowchart!$S$383)*RoadTransportEthanolStage2!P43*Unitflowchart!$S$350</f>
        <v>0</v>
      </c>
      <c r="F313" s="26">
        <f t="shared" ref="F313:F316" si="67">(E313/E$386)*100</f>
        <v>0</v>
      </c>
      <c r="G313" s="491">
        <f>(Unitflowchart!$S$341/Unitflowchart!$S$383)*RoadTransportEthanolStage2!Q43*Unitflowchart!$S$350</f>
        <v>0</v>
      </c>
      <c r="H313" s="749">
        <f>(Unitflowchart!$S$341/Unitflowchart!$S$383)*RoadTransportEthanolStage2!V43*Unitflowchart!$S$350</f>
        <v>0</v>
      </c>
      <c r="I313" s="26">
        <f t="shared" ref="I313:I316" si="68">(H313/H$386)*100</f>
        <v>0</v>
      </c>
      <c r="J313" s="752">
        <f>(Unitflowchart!$S$341/Unitflowchart!$S$383)*RoadTransportEthanolStage2!W43*Unitflowchart!$S$350</f>
        <v>0</v>
      </c>
      <c r="K313" s="749">
        <f>(Unitflowchart!$S$341/Unitflowchart!$S$383)*RoadTransportEthanolStage2!AB43*Unitflowchart!$S$350</f>
        <v>0</v>
      </c>
      <c r="L313" s="26">
        <f t="shared" ref="L313:L316" si="69">(K313/K$386)*100</f>
        <v>0</v>
      </c>
      <c r="M313" s="751">
        <f>(Unitflowchart!$S$341/Unitflowchart!$S$383)*RoadTransportEthanolStage2!AC43*Unitflowchart!$S$350</f>
        <v>0</v>
      </c>
      <c r="N313" s="727">
        <f>E313+(GlobalWarmingPotentials!$B$11*H313)+(GlobalWarmingPotentials!$C$11*K313)</f>
        <v>0</v>
      </c>
      <c r="O313" s="26">
        <f>(N313/N$386)*100</f>
        <v>0</v>
      </c>
      <c r="P313" s="760">
        <f>SQRT((G313^2)+((GlobalWarmingPotentials!$B$11*J313)^2)+((GlobalWarmingPotentials!$C$11*M313)^2))</f>
        <v>0</v>
      </c>
      <c r="Q313" s="30"/>
    </row>
    <row r="314" spans="1:17" x14ac:dyDescent="0.25">
      <c r="A314" t="str">
        <f>RoadTransportEthanolStage2!A44</f>
        <v xml:space="preserve"> - Maintenance</v>
      </c>
      <c r="B314" s="732">
        <f>(Unitflowchart!$S$341/Unitflowchart!$S$383)*RoadTransportEthanolStage2!J44*Unitflowchart!$S$350</f>
        <v>0</v>
      </c>
      <c r="C314" s="26">
        <f t="shared" si="66"/>
        <v>0</v>
      </c>
      <c r="D314" s="491">
        <f>(Unitflowchart!$S$341/Unitflowchart!$S$383)*RoadTransportEthanolStage2!K44*Unitflowchart!$S$350</f>
        <v>0</v>
      </c>
      <c r="E314" s="732">
        <f>(Unitflowchart!$S$341/Unitflowchart!$S$383)*RoadTransportEthanolStage2!P44*Unitflowchart!$S$350</f>
        <v>0</v>
      </c>
      <c r="F314" s="26">
        <f t="shared" si="67"/>
        <v>0</v>
      </c>
      <c r="G314" s="491">
        <f>(Unitflowchart!$S$341/Unitflowchart!$S$383)*RoadTransportEthanolStage2!Q44*Unitflowchart!$S$350</f>
        <v>0</v>
      </c>
      <c r="H314" s="749">
        <f>(Unitflowchart!$S$341/Unitflowchart!$S$383)*RoadTransportEthanolStage2!V44*Unitflowchart!$S$350</f>
        <v>0</v>
      </c>
      <c r="I314" s="26">
        <f t="shared" si="68"/>
        <v>0</v>
      </c>
      <c r="J314" s="752">
        <f>(Unitflowchart!$S$341/Unitflowchart!$S$383)*RoadTransportEthanolStage2!W44*Unitflowchart!$S$350</f>
        <v>0</v>
      </c>
      <c r="K314" s="749">
        <f>(Unitflowchart!$S$341/Unitflowchart!$S$383)*RoadTransportEthanolStage2!AB44*Unitflowchart!$S$350</f>
        <v>0</v>
      </c>
      <c r="L314" s="26">
        <f t="shared" si="69"/>
        <v>0</v>
      </c>
      <c r="M314" s="751">
        <f>(Unitflowchart!$S$341/Unitflowchart!$S$383)*RoadTransportEthanolStage2!AC44*Unitflowchart!$S$350</f>
        <v>0</v>
      </c>
      <c r="N314" s="727">
        <f>E314+(GlobalWarmingPotentials!$B$11*H314)+(GlobalWarmingPotentials!$C$11*K314)</f>
        <v>0</v>
      </c>
      <c r="O314" s="26">
        <f>(N314/N$386)*100</f>
        <v>0</v>
      </c>
      <c r="P314" s="760">
        <f>SQRT((G314^2)+((GlobalWarmingPotentials!$B$11*J314)^2)+((GlobalWarmingPotentials!$C$11*M314)^2))</f>
        <v>0</v>
      </c>
      <c r="Q314" s="30"/>
    </row>
    <row r="315" spans="1:17" s="43" customFormat="1" x14ac:dyDescent="0.25">
      <c r="B315" s="766"/>
      <c r="C315" s="992"/>
      <c r="D315" s="779"/>
      <c r="E315" s="766"/>
      <c r="F315" s="992"/>
      <c r="G315" s="779"/>
      <c r="H315" s="783"/>
      <c r="I315" s="992"/>
      <c r="J315" s="828"/>
      <c r="K315" s="783"/>
      <c r="L315" s="992"/>
      <c r="M315" s="784"/>
      <c r="N315" s="729"/>
      <c r="O315" s="1060"/>
      <c r="P315" s="213"/>
      <c r="Q315" s="852"/>
    </row>
    <row r="316" spans="1:17" x14ac:dyDescent="0.25">
      <c r="A316" s="218" t="s">
        <v>868</v>
      </c>
      <c r="B316" s="1002">
        <f>(Unitflowchart!$S$341/Unitflowchart!$S$383)*RoadTransportEthanolStage2!J46*Unitflowchart!$S$350</f>
        <v>0</v>
      </c>
      <c r="C316" s="993">
        <f t="shared" si="66"/>
        <v>0</v>
      </c>
      <c r="D316" s="1003">
        <f>(Unitflowchart!$S$341/Unitflowchart!$S$383)*RoadTransportEthanolStage2!K46*Unitflowchart!$S$350</f>
        <v>0</v>
      </c>
      <c r="E316" s="1002">
        <f>(Unitflowchart!$S$341/Unitflowchart!$S$383)*RoadTransportEthanolStage2!P46*Unitflowchart!$S$350</f>
        <v>0</v>
      </c>
      <c r="F316" s="993">
        <f t="shared" si="67"/>
        <v>0</v>
      </c>
      <c r="G316" s="1003">
        <f>(Unitflowchart!$S$341/Unitflowchart!$S$383)*RoadTransportEthanolStage2!Q46*Unitflowchart!$S$350</f>
        <v>0</v>
      </c>
      <c r="H316" s="1004">
        <f>(Unitflowchart!$S$341/Unitflowchart!$S$383)*RoadTransportEthanolStage2!V46*Unitflowchart!$S$350</f>
        <v>0</v>
      </c>
      <c r="I316" s="993">
        <f t="shared" si="68"/>
        <v>0</v>
      </c>
      <c r="J316" s="1008">
        <f>(Unitflowchart!$S$341/Unitflowchart!$S$383)*RoadTransportEthanolStage2!W46*Unitflowchart!$S$350</f>
        <v>0</v>
      </c>
      <c r="K316" s="1004">
        <f>(Unitflowchart!$S$341/Unitflowchart!$S$383)*RoadTransportEthanolStage2!AB46*Unitflowchart!$S$350</f>
        <v>0</v>
      </c>
      <c r="L316" s="993">
        <f t="shared" si="69"/>
        <v>0</v>
      </c>
      <c r="M316" s="1005">
        <f>(Unitflowchart!$S$341/Unitflowchart!$S$383)*RoadTransportEthanolStage2!AC46*Unitflowchart!$S$350</f>
        <v>0</v>
      </c>
      <c r="N316" s="730">
        <f>E316+(GlobalWarmingPotentials!$B$11*H316)+(GlobalWarmingPotentials!$C$11*K316)</f>
        <v>0</v>
      </c>
      <c r="O316" s="15">
        <f>(N316/N$386)*100</f>
        <v>0</v>
      </c>
      <c r="P316" s="761">
        <f>SQRT((G316^2)+((GlobalWarmingPotentials!$B$11*J316)^2)+((GlobalWarmingPotentials!$C$11*M316)^2))</f>
        <v>0</v>
      </c>
      <c r="Q316" s="30"/>
    </row>
    <row r="317" spans="1:17" x14ac:dyDescent="0.25">
      <c r="B317" s="728"/>
      <c r="D317" s="735"/>
      <c r="E317" s="728"/>
      <c r="G317" s="735"/>
      <c r="H317" s="31"/>
      <c r="J317" s="724"/>
      <c r="K317" s="31"/>
      <c r="M317" s="724"/>
      <c r="N317" s="733"/>
      <c r="P317" s="735"/>
      <c r="Q317" s="30"/>
    </row>
    <row r="318" spans="1:17" x14ac:dyDescent="0.25">
      <c r="A318" s="387" t="s">
        <v>921</v>
      </c>
      <c r="B318" s="728"/>
      <c r="D318" s="735"/>
      <c r="E318" s="728"/>
      <c r="G318" s="735"/>
      <c r="H318" s="31"/>
      <c r="J318" s="724"/>
      <c r="K318" s="31"/>
      <c r="M318" s="724"/>
      <c r="N318" s="728"/>
      <c r="P318" s="735"/>
      <c r="Q318" s="30"/>
    </row>
    <row r="319" spans="1:17" x14ac:dyDescent="0.25">
      <c r="B319" s="728"/>
      <c r="D319" s="735"/>
      <c r="E319" s="728"/>
      <c r="G319" s="735"/>
      <c r="H319" s="31"/>
      <c r="J319" s="724"/>
      <c r="K319" s="31"/>
      <c r="M319" s="724"/>
      <c r="N319" s="728"/>
      <c r="P319" s="735"/>
      <c r="Q319" s="30"/>
    </row>
    <row r="320" spans="1:17" x14ac:dyDescent="0.25">
      <c r="A320" t="str">
        <f>RailTransport!A11</f>
        <v xml:space="preserve"> - Gas Oil</v>
      </c>
      <c r="B320" s="726">
        <f>(Unitflowchart!$S$341/Unitflowchart!$S$383)*RailTransport!J11*Unitflowchart!$S$352</f>
        <v>0</v>
      </c>
      <c r="C320" s="25">
        <f>(B320/B$386)*100</f>
        <v>0</v>
      </c>
      <c r="D320" s="744">
        <f>(Unitflowchart!$S$341/Unitflowchart!$S$383)*RailTransport!K11*Unitflowchart!$S$352</f>
        <v>0</v>
      </c>
      <c r="E320" s="726">
        <f>(Unitflowchart!$S$341/Unitflowchart!$S$383)*RailTransport!P11*Unitflowchart!$S$352</f>
        <v>0</v>
      </c>
      <c r="F320" s="25">
        <f>(E320/E$386)*100</f>
        <v>0</v>
      </c>
      <c r="G320" s="744">
        <f>(Unitflowchart!$S$341/Unitflowchart!$S$383)*RailTransport!Q11*Unitflowchart!$S$352</f>
        <v>0</v>
      </c>
      <c r="H320" s="723">
        <f>(Unitflowchart!$S$341/Unitflowchart!$S$383)*RailTransport!V11*Unitflowchart!$S$352</f>
        <v>0</v>
      </c>
      <c r="I320" s="25">
        <f>(H320/H$386)*100</f>
        <v>0</v>
      </c>
      <c r="J320" s="725">
        <f>(Unitflowchart!$S$341/Unitflowchart!$S$383)*RailTransport!W11*Unitflowchart!$S$352</f>
        <v>0</v>
      </c>
      <c r="K320" s="723">
        <f>(Unitflowchart!$S$341/Unitflowchart!$S$383)*RailTransport!AB11*Unitflowchart!$S$352</f>
        <v>0</v>
      </c>
      <c r="L320" s="25">
        <f>(K320/K$386)*100</f>
        <v>0</v>
      </c>
      <c r="M320" s="725">
        <f>(Unitflowchart!$S$341/Unitflowchart!$S$383)*RailTransport!AC11*Unitflowchart!$S$352</f>
        <v>0</v>
      </c>
      <c r="N320" s="726">
        <f>E320+(GlobalWarmingPotentials!$B$11*H320)+(GlobalWarmingPotentials!$C$11*K320)</f>
        <v>0</v>
      </c>
      <c r="O320" s="25">
        <f>(N320/N$386)*100</f>
        <v>0</v>
      </c>
      <c r="P320" s="744">
        <f>SQRT((G320^2)+((GlobalWarmingPotentials!$B$11*J320)^2)+((GlobalWarmingPotentials!$C$11*M320)^2))</f>
        <v>0</v>
      </c>
      <c r="Q320" s="30"/>
    </row>
    <row r="321" spans="1:17" x14ac:dyDescent="0.25">
      <c r="A321" t="str">
        <f>RailTransport!A12</f>
        <v xml:space="preserve"> - Capital Equipment</v>
      </c>
      <c r="B321" s="726">
        <f>(Unitflowchart!$S$341/Unitflowchart!$S$383)*RailTransport!J12*Unitflowchart!$S$352</f>
        <v>0</v>
      </c>
      <c r="C321" s="25">
        <f>(B321/B$386)*100</f>
        <v>0</v>
      </c>
      <c r="D321" s="744">
        <f>(Unitflowchart!$S$341/Unitflowchart!$S$383)*RailTransport!K12*Unitflowchart!$S$352</f>
        <v>0</v>
      </c>
      <c r="E321" s="726">
        <f>(Unitflowchart!$S$341/Unitflowchart!$S$383)*RailTransport!P12*Unitflowchart!$S$352</f>
        <v>0</v>
      </c>
      <c r="F321" s="25">
        <f>(E321/E$386)*100</f>
        <v>0</v>
      </c>
      <c r="G321" s="744">
        <f>(Unitflowchart!$S$341/Unitflowchart!$S$383)*RailTransport!Q12*Unitflowchart!$S$352</f>
        <v>0</v>
      </c>
      <c r="H321" s="723">
        <f>(Unitflowchart!$S$341/Unitflowchart!$S$383)*RailTransport!V12*Unitflowchart!$S$352</f>
        <v>0</v>
      </c>
      <c r="I321" s="25">
        <f>(H321/H$386)*100</f>
        <v>0</v>
      </c>
      <c r="J321" s="725">
        <f>(Unitflowchart!$S$341/Unitflowchart!$S$383)*RailTransport!W12*Unitflowchart!$S$352</f>
        <v>0</v>
      </c>
      <c r="K321" s="723">
        <f>(Unitflowchart!$S$341/Unitflowchart!$S$383)*RailTransport!AB12*Unitflowchart!$S$352</f>
        <v>0</v>
      </c>
      <c r="L321" s="25">
        <f>(K321/K$386)*100</f>
        <v>0</v>
      </c>
      <c r="M321" s="725">
        <f>(Unitflowchart!$S$341/Unitflowchart!$S$383)*RailTransport!AC12*Unitflowchart!$S$352</f>
        <v>0</v>
      </c>
      <c r="N321" s="726">
        <f>E321+(GlobalWarmingPotentials!$B$11*H321)+(GlobalWarmingPotentials!$C$11*K321)</f>
        <v>0</v>
      </c>
      <c r="O321" s="25">
        <f>(N321/N$386)*100</f>
        <v>0</v>
      </c>
      <c r="P321" s="744">
        <f>SQRT((G321^2)+((GlobalWarmingPotentials!$B$11*J321)^2)+((GlobalWarmingPotentials!$C$11*M321)^2))</f>
        <v>0</v>
      </c>
      <c r="Q321" s="30"/>
    </row>
    <row r="322" spans="1:17" x14ac:dyDescent="0.25">
      <c r="A322" t="str">
        <f>RailTransport!A13</f>
        <v xml:space="preserve"> - Maintenance</v>
      </c>
      <c r="B322" s="726">
        <f>(Unitflowchart!$S$341/Unitflowchart!$S$383)*RailTransport!J13*Unitflowchart!$S$352</f>
        <v>0</v>
      </c>
      <c r="C322" s="25">
        <f>(B322/B$386)*100</f>
        <v>0</v>
      </c>
      <c r="D322" s="744">
        <f>(Unitflowchart!$S$341/Unitflowchart!$S$383)*RailTransport!K13*Unitflowchart!$S$352</f>
        <v>0</v>
      </c>
      <c r="E322" s="726">
        <f>(Unitflowchart!$S$341/Unitflowchart!$S$383)*RailTransport!P13*Unitflowchart!$S$352</f>
        <v>0</v>
      </c>
      <c r="F322" s="25">
        <f>(E322/E$386)*100</f>
        <v>0</v>
      </c>
      <c r="G322" s="744">
        <f>(Unitflowchart!$S$341/Unitflowchart!$S$383)*RailTransport!Q13*Unitflowchart!$S$352</f>
        <v>0</v>
      </c>
      <c r="H322" s="723">
        <f>(Unitflowchart!$S$341/Unitflowchart!$S$383)*RailTransport!V13*Unitflowchart!$S$352</f>
        <v>0</v>
      </c>
      <c r="I322" s="25">
        <f>(H322/H$386)*100</f>
        <v>0</v>
      </c>
      <c r="J322" s="725">
        <f>(Unitflowchart!$S$341/Unitflowchart!$S$383)*RailTransport!W13*Unitflowchart!$S$352</f>
        <v>0</v>
      </c>
      <c r="K322" s="723">
        <f>(Unitflowchart!$S$341/Unitflowchart!$S$383)*RailTransport!AB13*Unitflowchart!$S$352</f>
        <v>0</v>
      </c>
      <c r="L322" s="25">
        <f>(K322/K$386)*100</f>
        <v>0</v>
      </c>
      <c r="M322" s="725">
        <f>(Unitflowchart!$S$341/Unitflowchart!$S$383)*RailTransport!AC13*Unitflowchart!$S$352</f>
        <v>0</v>
      </c>
      <c r="N322" s="726">
        <f>E322+(GlobalWarmingPotentials!$B$11*H322)+(GlobalWarmingPotentials!$C$11*K322)</f>
        <v>0</v>
      </c>
      <c r="O322" s="25">
        <f>(N322/N$386)*100</f>
        <v>0</v>
      </c>
      <c r="P322" s="744">
        <f>SQRT((G322^2)+((GlobalWarmingPotentials!$B$11*J322)^2)+((GlobalWarmingPotentials!$C$11*M322)^2))</f>
        <v>0</v>
      </c>
      <c r="Q322" s="30"/>
    </row>
    <row r="323" spans="1:17" x14ac:dyDescent="0.25">
      <c r="B323" s="728"/>
      <c r="C323" s="25"/>
      <c r="D323" s="735"/>
      <c r="E323" s="728"/>
      <c r="F323" s="25"/>
      <c r="G323" s="735"/>
      <c r="H323" s="31"/>
      <c r="I323" s="25"/>
      <c r="J323" s="724"/>
      <c r="K323" s="31"/>
      <c r="L323" s="25"/>
      <c r="M323" s="724"/>
      <c r="N323" s="728"/>
      <c r="O323" s="25"/>
      <c r="P323" s="735"/>
      <c r="Q323" s="30"/>
    </row>
    <row r="324" spans="1:17" x14ac:dyDescent="0.25">
      <c r="A324" s="218" t="s">
        <v>891</v>
      </c>
      <c r="B324" s="734">
        <f>(Unitflowchart!$S$341/Unitflowchart!$S$383)*RailTransport!J15*Unitflowchart!$S$352</f>
        <v>0</v>
      </c>
      <c r="C324" s="721">
        <f>(B324/B$386)*100</f>
        <v>0</v>
      </c>
      <c r="D324" s="745">
        <f>(Unitflowchart!$S$341/Unitflowchart!$S$383)*RailTransport!K15*Unitflowchart!$S$352</f>
        <v>0</v>
      </c>
      <c r="E324" s="734">
        <f>(Unitflowchart!$S$341/Unitflowchart!$S$383)*RailTransport!P15*Unitflowchart!$S$352</f>
        <v>0</v>
      </c>
      <c r="F324" s="721">
        <f>(E324/E$386)*100</f>
        <v>0</v>
      </c>
      <c r="G324" s="745">
        <f>(Unitflowchart!$S$341/Unitflowchart!$S$383)*RailTransport!Q15*Unitflowchart!$S$352</f>
        <v>0</v>
      </c>
      <c r="H324" s="722">
        <f>(Unitflowchart!$S$341/Unitflowchart!$S$383)*RailTransport!V15*Unitflowchart!$S$352</f>
        <v>0</v>
      </c>
      <c r="I324" s="721">
        <f>(H324/H$386)*100</f>
        <v>0</v>
      </c>
      <c r="J324" s="720">
        <f>(Unitflowchart!$S$341/Unitflowchart!$S$383)*RailTransport!W15*Unitflowchart!$S$352</f>
        <v>0</v>
      </c>
      <c r="K324" s="722">
        <f>(Unitflowchart!$S$341/Unitflowchart!$S$383)*RailTransport!AB15*Unitflowchart!$S$352</f>
        <v>0</v>
      </c>
      <c r="L324" s="721">
        <f>(K324/K$386)*100</f>
        <v>0</v>
      </c>
      <c r="M324" s="720">
        <f>(Unitflowchart!$S$341/Unitflowchart!$S$383)*RailTransport!AC15*Unitflowchart!$S$352</f>
        <v>0</v>
      </c>
      <c r="N324" s="734">
        <f>E324+(GlobalWarmingPotentials!$B$11*H324)+(GlobalWarmingPotentials!$C$11*K324)</f>
        <v>0</v>
      </c>
      <c r="O324" s="721">
        <f>(N324/N$386)*100</f>
        <v>0</v>
      </c>
      <c r="P324" s="743">
        <f>SQRT((G324^2)+((GlobalWarmingPotentials!$B$11*J324)^2)+((GlobalWarmingPotentials!$C$11*M324)^2))</f>
        <v>0</v>
      </c>
      <c r="Q324" s="30"/>
    </row>
    <row r="325" spans="1:17" x14ac:dyDescent="0.25">
      <c r="B325" s="728"/>
      <c r="D325" s="735"/>
      <c r="E325" s="728"/>
      <c r="G325" s="735"/>
      <c r="H325" s="31"/>
      <c r="J325" s="724"/>
      <c r="K325" s="31"/>
      <c r="M325" s="724"/>
      <c r="N325" s="728"/>
      <c r="P325" s="735"/>
      <c r="Q325" s="30"/>
    </row>
    <row r="326" spans="1:17" x14ac:dyDescent="0.25">
      <c r="A326" s="387" t="s">
        <v>922</v>
      </c>
      <c r="B326" s="728"/>
      <c r="D326" s="735"/>
      <c r="E326" s="728"/>
      <c r="G326" s="735"/>
      <c r="H326" s="31"/>
      <c r="J326" s="724"/>
      <c r="K326" s="31"/>
      <c r="M326" s="724"/>
      <c r="N326" s="728"/>
      <c r="P326" s="735"/>
      <c r="Q326" s="30"/>
    </row>
    <row r="327" spans="1:17" x14ac:dyDescent="0.25">
      <c r="B327" s="728"/>
      <c r="D327" s="735"/>
      <c r="E327" s="728"/>
      <c r="G327" s="735"/>
      <c r="H327" s="31"/>
      <c r="J327" s="724"/>
      <c r="K327" s="31"/>
      <c r="M327" s="724"/>
      <c r="N327" s="728"/>
      <c r="P327" s="735"/>
      <c r="Q327" s="30"/>
    </row>
    <row r="328" spans="1:17" x14ac:dyDescent="0.25">
      <c r="A328" t="str">
        <f>BargeTransport!A11</f>
        <v xml:space="preserve"> - Marine Diesel</v>
      </c>
      <c r="B328" s="726">
        <f>(Unitflowchart!$S$341/Unitflowchart!$S$383)*BargeTransport!J11*Unitflowchart!$S$354</f>
        <v>0</v>
      </c>
      <c r="C328" s="25">
        <f>(B328/B$386)*100</f>
        <v>0</v>
      </c>
      <c r="D328" s="744">
        <f>(Unitflowchart!$S$341/Unitflowchart!$S$383)*BargeTransport!K11*Unitflowchart!$S$354</f>
        <v>0</v>
      </c>
      <c r="E328" s="726">
        <f>(Unitflowchart!$S$341/Unitflowchart!$S$383)*BargeTransport!P11*Unitflowchart!$S$354</f>
        <v>0</v>
      </c>
      <c r="F328" s="25">
        <f>(E328/E$386)*100</f>
        <v>0</v>
      </c>
      <c r="G328" s="744">
        <f>(Unitflowchart!$S$341/Unitflowchart!$S$383)*BargeTransport!Q11*Unitflowchart!$S$354</f>
        <v>0</v>
      </c>
      <c r="H328" s="723">
        <f>(Unitflowchart!$S$341/Unitflowchart!$S$383)*BargeTransport!V11*Unitflowchart!$S$354</f>
        <v>0</v>
      </c>
      <c r="I328" s="25">
        <f>(H328/H$386)*100</f>
        <v>0</v>
      </c>
      <c r="J328" s="725">
        <f>(Unitflowchart!$S$341/Unitflowchart!$S$383)*BargeTransport!W11*Unitflowchart!$S$354</f>
        <v>0</v>
      </c>
      <c r="K328" s="723">
        <f>(Unitflowchart!$S$341/Unitflowchart!$S$383)*BargeTransport!AB11*Unitflowchart!$S$354</f>
        <v>0</v>
      </c>
      <c r="L328" s="25">
        <f>(K328/K$386)*100</f>
        <v>0</v>
      </c>
      <c r="M328" s="725">
        <f>(Unitflowchart!$S$341/Unitflowchart!$S$383)*BargeTransport!AC11*Unitflowchart!$S$354</f>
        <v>0</v>
      </c>
      <c r="N328" s="726">
        <f>E328+(GlobalWarmingPotentials!$B$11*H328)+(GlobalWarmingPotentials!$C$11*K328)</f>
        <v>0</v>
      </c>
      <c r="O328" s="25">
        <f>(N328/N$386)*100</f>
        <v>0</v>
      </c>
      <c r="P328" s="744">
        <f>SQRT((G328^2)+((GlobalWarmingPotentials!$B$11*J328)^2)+((GlobalWarmingPotentials!$C$11*M328)^2))</f>
        <v>0</v>
      </c>
      <c r="Q328" s="30"/>
    </row>
    <row r="329" spans="1:17" x14ac:dyDescent="0.25">
      <c r="A329" t="str">
        <f>BargeTransport!A12</f>
        <v xml:space="preserve"> - Barge Construction</v>
      </c>
      <c r="B329" s="726">
        <f>(Unitflowchart!$S$341/Unitflowchart!$S$383)*BargeTransport!J12*Unitflowchart!$S$354</f>
        <v>0</v>
      </c>
      <c r="C329" s="25">
        <f>(B329/B$386)*100</f>
        <v>0</v>
      </c>
      <c r="D329" s="744">
        <f>(Unitflowchart!$S$341/Unitflowchart!$S$383)*BargeTransport!K12*Unitflowchart!$S$354</f>
        <v>0</v>
      </c>
      <c r="E329" s="726">
        <f>(Unitflowchart!$S$341/Unitflowchart!$S$383)*BargeTransport!P12*Unitflowchart!$S$354</f>
        <v>0</v>
      </c>
      <c r="F329" s="25">
        <f>(E329/E$386)*100</f>
        <v>0</v>
      </c>
      <c r="G329" s="744">
        <f>(Unitflowchart!$S$341/Unitflowchart!$S$383)*BargeTransport!Q12*Unitflowchart!$S$354</f>
        <v>0</v>
      </c>
      <c r="H329" s="723">
        <f>(Unitflowchart!$S$341/Unitflowchart!$S$383)*BargeTransport!V12*Unitflowchart!$S$354</f>
        <v>0</v>
      </c>
      <c r="I329" s="25">
        <f>(H329/H$386)*100</f>
        <v>0</v>
      </c>
      <c r="J329" s="725">
        <f>(Unitflowchart!$S$341/Unitflowchart!$S$383)*BargeTransport!W12*Unitflowchart!$S$354</f>
        <v>0</v>
      </c>
      <c r="K329" s="723">
        <f>(Unitflowchart!$S$341/Unitflowchart!$S$383)*BargeTransport!AB12*Unitflowchart!$S$354</f>
        <v>0</v>
      </c>
      <c r="L329" s="25">
        <f>(K329/K$386)*100</f>
        <v>0</v>
      </c>
      <c r="M329" s="725">
        <f>(Unitflowchart!$S$341/Unitflowchart!$S$383)*BargeTransport!AC12*Unitflowchart!$S$354</f>
        <v>0</v>
      </c>
      <c r="N329" s="726">
        <f>E329+(GlobalWarmingPotentials!$B$11*H329)+(GlobalWarmingPotentials!$C$11*K329)</f>
        <v>0</v>
      </c>
      <c r="O329" s="25">
        <f>(N329/N$386)*100</f>
        <v>0</v>
      </c>
      <c r="P329" s="744">
        <f>SQRT((G329^2)+((GlobalWarmingPotentials!$B$11*J329)^2)+((GlobalWarmingPotentials!$C$11*M329)^2))</f>
        <v>0</v>
      </c>
      <c r="Q329" s="30"/>
    </row>
    <row r="330" spans="1:17" x14ac:dyDescent="0.25">
      <c r="A330" t="str">
        <f>BargeTransport!A13</f>
        <v xml:space="preserve"> - Barge Maintenance</v>
      </c>
      <c r="B330" s="726">
        <f>(Unitflowchart!$S$341/Unitflowchart!$S$383)*BargeTransport!J13*Unitflowchart!$S$354</f>
        <v>0</v>
      </c>
      <c r="C330" s="25">
        <f>(B330/B$386)*100</f>
        <v>0</v>
      </c>
      <c r="D330" s="744">
        <f>(Unitflowchart!$S$341/Unitflowchart!$S$383)*BargeTransport!K13*Unitflowchart!$S$354</f>
        <v>0</v>
      </c>
      <c r="E330" s="726">
        <f>(Unitflowchart!$S$341/Unitflowchart!$S$383)*BargeTransport!P13*Unitflowchart!$S$354</f>
        <v>0</v>
      </c>
      <c r="F330" s="25">
        <f>(E330/E$386)*100</f>
        <v>0</v>
      </c>
      <c r="G330" s="744">
        <f>(Unitflowchart!$S$341/Unitflowchart!$S$383)*BargeTransport!Q13*Unitflowchart!$S$354</f>
        <v>0</v>
      </c>
      <c r="H330" s="723">
        <f>(Unitflowchart!$S$341/Unitflowchart!$S$383)*BargeTransport!V13*Unitflowchart!$S$354</f>
        <v>0</v>
      </c>
      <c r="I330" s="25">
        <f>(H330/H$386)*100</f>
        <v>0</v>
      </c>
      <c r="J330" s="725">
        <f>(Unitflowchart!$S$341/Unitflowchart!$S$383)*BargeTransport!W13*Unitflowchart!$S$354</f>
        <v>0</v>
      </c>
      <c r="K330" s="723">
        <f>(Unitflowchart!$S$341/Unitflowchart!$S$383)*BargeTransport!AB13*Unitflowchart!$S$354</f>
        <v>0</v>
      </c>
      <c r="L330" s="25">
        <f>(K330/K$386)*100</f>
        <v>0</v>
      </c>
      <c r="M330" s="725">
        <f>(Unitflowchart!$S$341/Unitflowchart!$S$383)*BargeTransport!AC13*Unitflowchart!$S$354</f>
        <v>0</v>
      </c>
      <c r="N330" s="726">
        <f>E330+(GlobalWarmingPotentials!$B$11*H330)+(GlobalWarmingPotentials!$C$11*K330)</f>
        <v>0</v>
      </c>
      <c r="O330" s="25">
        <f>(N330/N$386)*100</f>
        <v>0</v>
      </c>
      <c r="P330" s="744">
        <f>SQRT((G330^2)+((GlobalWarmingPotentials!$B$11*J330)^2)+((GlobalWarmingPotentials!$C$11*M330)^2))</f>
        <v>0</v>
      </c>
      <c r="Q330" s="30"/>
    </row>
    <row r="331" spans="1:17" x14ac:dyDescent="0.25">
      <c r="B331" s="728"/>
      <c r="C331" s="25"/>
      <c r="D331" s="735"/>
      <c r="E331" s="728"/>
      <c r="F331" s="25"/>
      <c r="G331" s="735"/>
      <c r="H331" s="31"/>
      <c r="I331" s="25"/>
      <c r="J331" s="724"/>
      <c r="K331" s="31"/>
      <c r="L331" s="25"/>
      <c r="M331" s="724"/>
      <c r="N331" s="728"/>
      <c r="O331" s="25"/>
      <c r="P331" s="735"/>
      <c r="Q331" s="30"/>
    </row>
    <row r="332" spans="1:17" x14ac:dyDescent="0.25">
      <c r="A332" s="218" t="s">
        <v>893</v>
      </c>
      <c r="B332" s="734">
        <f>(Unitflowchart!$S$341/Unitflowchart!$S$383)*BargeTransport!J15*Unitflowchart!$S$354</f>
        <v>0</v>
      </c>
      <c r="C332" s="721">
        <f>(B332/B$386)*100</f>
        <v>0</v>
      </c>
      <c r="D332" s="745">
        <f>(Unitflowchart!$S$341/Unitflowchart!$S$383)*BargeTransport!K15*Unitflowchart!$S$354</f>
        <v>0</v>
      </c>
      <c r="E332" s="734">
        <f>(Unitflowchart!$S$341/Unitflowchart!$S$383)*BargeTransport!P15*Unitflowchart!$S$354</f>
        <v>0</v>
      </c>
      <c r="F332" s="721">
        <f>(E332/E$386)*100</f>
        <v>0</v>
      </c>
      <c r="G332" s="745">
        <f>(Unitflowchart!$S$341/Unitflowchart!$S$383)*BargeTransport!Q15*Unitflowchart!$S$354</f>
        <v>0</v>
      </c>
      <c r="H332" s="722">
        <f>(Unitflowchart!$S$341/Unitflowchart!$S$383)*BargeTransport!V15*Unitflowchart!$S$354</f>
        <v>0</v>
      </c>
      <c r="I332" s="721">
        <f>(H332/H$386)*100</f>
        <v>0</v>
      </c>
      <c r="J332" s="720">
        <f>(Unitflowchart!$S$341/Unitflowchart!$S$383)*BargeTransport!W15*Unitflowchart!$S$354</f>
        <v>0</v>
      </c>
      <c r="K332" s="722">
        <f>(Unitflowchart!$S$341/Unitflowchart!$S$383)*BargeTransport!AB15*Unitflowchart!$S$354</f>
        <v>0</v>
      </c>
      <c r="L332" s="721">
        <f>(K332/K$386)*100</f>
        <v>0</v>
      </c>
      <c r="M332" s="720">
        <f>(Unitflowchart!$S$341/Unitflowchart!$S$383)*BargeTransport!AC15*Unitflowchart!$S$354</f>
        <v>0</v>
      </c>
      <c r="N332" s="734">
        <f>E332+(GlobalWarmingPotentials!$B$11*H332)+(GlobalWarmingPotentials!$C$11*K332)</f>
        <v>0</v>
      </c>
      <c r="O332" s="721">
        <f>(N332/N$386)*100</f>
        <v>0</v>
      </c>
      <c r="P332" s="743">
        <f>SQRT((G332^2)+((GlobalWarmingPotentials!$B$11*J332)^2)+((GlobalWarmingPotentials!$C$11*M332)^2))</f>
        <v>0</v>
      </c>
      <c r="Q332" s="30"/>
    </row>
    <row r="333" spans="1:17" x14ac:dyDescent="0.25">
      <c r="B333" s="728"/>
      <c r="D333" s="735"/>
      <c r="E333" s="728"/>
      <c r="G333" s="735"/>
      <c r="H333" s="31"/>
      <c r="J333" s="724"/>
      <c r="K333" s="31"/>
      <c r="M333" s="724"/>
      <c r="N333" s="728"/>
      <c r="P333" s="735"/>
      <c r="Q333" s="30"/>
    </row>
    <row r="334" spans="1:17" x14ac:dyDescent="0.25">
      <c r="A334" s="387" t="s">
        <v>923</v>
      </c>
      <c r="B334" s="728"/>
      <c r="D334" s="735"/>
      <c r="E334" s="728"/>
      <c r="G334" s="735"/>
      <c r="H334" s="31"/>
      <c r="J334" s="724"/>
      <c r="K334" s="31"/>
      <c r="M334" s="724"/>
      <c r="N334" s="728"/>
      <c r="P334" s="735"/>
      <c r="Q334" s="30"/>
    </row>
    <row r="335" spans="1:17" x14ac:dyDescent="0.25">
      <c r="B335" s="728"/>
      <c r="D335" s="735"/>
      <c r="E335" s="728"/>
      <c r="G335" s="735"/>
      <c r="H335" s="31"/>
      <c r="J335" s="724"/>
      <c r="K335" s="31"/>
      <c r="M335" s="724"/>
      <c r="N335" s="728"/>
      <c r="P335" s="735"/>
      <c r="Q335" s="30"/>
    </row>
    <row r="336" spans="1:17" x14ac:dyDescent="0.25">
      <c r="A336" t="str">
        <f>ShipTransport!A11</f>
        <v xml:space="preserve"> - Marine Diesel</v>
      </c>
      <c r="B336" s="726">
        <f>(Unitflowchart!$S$341/Unitflowchart!$S$383)*ShipTransport!J11*Unitflowchart!$S$356</f>
        <v>0</v>
      </c>
      <c r="C336" s="25">
        <f>(B336/B$386)*100</f>
        <v>0</v>
      </c>
      <c r="D336" s="744">
        <f>(Unitflowchart!$S$341/Unitflowchart!$S$383)*ShipTransport!K11*Unitflowchart!$S$356</f>
        <v>0</v>
      </c>
      <c r="E336" s="726">
        <f>(Unitflowchart!$S$341/Unitflowchart!$S$383)*ShipTransport!P11*Unitflowchart!$S$356</f>
        <v>0</v>
      </c>
      <c r="F336" s="25">
        <f>(E336/E$386)*100</f>
        <v>0</v>
      </c>
      <c r="G336" s="744">
        <f>(Unitflowchart!$S$341/Unitflowchart!$S$383)*ShipTransport!Q11*Unitflowchart!$S$356</f>
        <v>0</v>
      </c>
      <c r="H336" s="723">
        <f>(Unitflowchart!$S$341/Unitflowchart!$S$383)*ShipTransport!V11*Unitflowchart!$S$356</f>
        <v>0</v>
      </c>
      <c r="I336" s="25">
        <f>(H336/H$386)*100</f>
        <v>0</v>
      </c>
      <c r="J336" s="725">
        <f>(Unitflowchart!$S$341/Unitflowchart!$S$383)*ShipTransport!W11*Unitflowchart!$S$356</f>
        <v>0</v>
      </c>
      <c r="K336" s="723">
        <f>(Unitflowchart!$S$341/Unitflowchart!$S$383)*ShipTransport!AB11*Unitflowchart!$S$356</f>
        <v>0</v>
      </c>
      <c r="L336" s="25">
        <f>(K336/K$386)*100</f>
        <v>0</v>
      </c>
      <c r="M336" s="725">
        <f>(Unitflowchart!$S$341/Unitflowchart!$S$383)*ShipTransport!AC19*Unitflowchart!$S$354</f>
        <v>0</v>
      </c>
      <c r="N336" s="726">
        <f>E336+(GlobalWarmingPotentials!$B$11*H336)+(GlobalWarmingPotentials!$C$11*K336)</f>
        <v>0</v>
      </c>
      <c r="O336" s="25">
        <f>(N336/N$386)*100</f>
        <v>0</v>
      </c>
      <c r="P336" s="744">
        <f>SQRT((G336^2)+((GlobalWarmingPotentials!$B$11*J336)^2)+((GlobalWarmingPotentials!$C$11*M336)^2))</f>
        <v>0</v>
      </c>
      <c r="Q336" s="30"/>
    </row>
    <row r="337" spans="1:17" x14ac:dyDescent="0.25">
      <c r="A337" t="str">
        <f>ShipTransport!A12</f>
        <v xml:space="preserve"> - Ship Construction</v>
      </c>
      <c r="B337" s="726">
        <f>(Unitflowchart!$S$341/Unitflowchart!$S$383)*ShipTransport!J12*Unitflowchart!$S$356</f>
        <v>0</v>
      </c>
      <c r="C337" s="25">
        <f t="shared" ref="C337:C338" si="70">(B337/B$386)*100</f>
        <v>0</v>
      </c>
      <c r="D337" s="744">
        <f>(Unitflowchart!$S$341/Unitflowchart!$S$383)*ShipTransport!K12*Unitflowchart!$S$356</f>
        <v>0</v>
      </c>
      <c r="E337" s="726">
        <f>(Unitflowchart!$S$341/Unitflowchart!$S$383)*ShipTransport!P12*Unitflowchart!$S$356</f>
        <v>0</v>
      </c>
      <c r="F337" s="25">
        <f t="shared" ref="F337:F338" si="71">(E337/E$386)*100</f>
        <v>0</v>
      </c>
      <c r="G337" s="744">
        <f>(Unitflowchart!$S$341/Unitflowchart!$S$383)*ShipTransport!Q12*Unitflowchart!$S$356</f>
        <v>0</v>
      </c>
      <c r="H337" s="723">
        <f>(Unitflowchart!$S$341/Unitflowchart!$S$383)*ShipTransport!V12*Unitflowchart!$S$356</f>
        <v>0</v>
      </c>
      <c r="I337" s="25">
        <f t="shared" ref="I337:I338" si="72">(H337/H$386)*100</f>
        <v>0</v>
      </c>
      <c r="J337" s="725">
        <f>(Unitflowchart!$S$341/Unitflowchart!$S$383)*ShipTransport!W12*Unitflowchart!$S$356</f>
        <v>0</v>
      </c>
      <c r="K337" s="723">
        <f>(Unitflowchart!$S$341/Unitflowchart!$S$383)*ShipTransport!AB12*Unitflowchart!$S$356</f>
        <v>0</v>
      </c>
      <c r="L337" s="25">
        <f t="shared" ref="L337:L338" si="73">(K337/K$386)*100</f>
        <v>0</v>
      </c>
      <c r="M337" s="725">
        <f>(Unitflowchart!$S$341/Unitflowchart!$S$383)*ShipTransport!AC20*Unitflowchart!$S$354</f>
        <v>0</v>
      </c>
      <c r="N337" s="726">
        <f>E337+(GlobalWarmingPotentials!$B$11*H337)+(GlobalWarmingPotentials!$C$11*K337)</f>
        <v>0</v>
      </c>
      <c r="O337" s="25">
        <f t="shared" ref="O337:O338" si="74">(N337/N$386)*100</f>
        <v>0</v>
      </c>
      <c r="P337" s="744">
        <f>SQRT((G337^2)+((GlobalWarmingPotentials!$B$11*J337)^2)+((GlobalWarmingPotentials!$C$11*M337)^2))</f>
        <v>0</v>
      </c>
      <c r="Q337" s="30"/>
    </row>
    <row r="338" spans="1:17" x14ac:dyDescent="0.25">
      <c r="A338" t="str">
        <f>ShipTransport!A13</f>
        <v xml:space="preserve"> - Ship Maintenance</v>
      </c>
      <c r="B338" s="726">
        <f>(Unitflowchart!$S$341/Unitflowchart!$S$383)*ShipTransport!J13*Unitflowchart!$S$356</f>
        <v>0</v>
      </c>
      <c r="C338" s="25">
        <f t="shared" si="70"/>
        <v>0</v>
      </c>
      <c r="D338" s="744">
        <f>(Unitflowchart!$S$341/Unitflowchart!$S$383)*ShipTransport!K13*Unitflowchart!$S$356</f>
        <v>0</v>
      </c>
      <c r="E338" s="726">
        <f>(Unitflowchart!$S$341/Unitflowchart!$S$383)*ShipTransport!P13*Unitflowchart!$S$356</f>
        <v>0</v>
      </c>
      <c r="F338" s="25">
        <f t="shared" si="71"/>
        <v>0</v>
      </c>
      <c r="G338" s="744">
        <f>(Unitflowchart!$S$341/Unitflowchart!$S$383)*ShipTransport!Q13*Unitflowchart!$S$356</f>
        <v>0</v>
      </c>
      <c r="H338" s="723">
        <f>(Unitflowchart!$S$341/Unitflowchart!$S$383)*ShipTransport!V13*Unitflowchart!$S$356</f>
        <v>0</v>
      </c>
      <c r="I338" s="25">
        <f t="shared" si="72"/>
        <v>0</v>
      </c>
      <c r="J338" s="725">
        <f>(Unitflowchart!$S$341/Unitflowchart!$S$383)*ShipTransport!W13*Unitflowchart!$S$356</f>
        <v>0</v>
      </c>
      <c r="K338" s="723">
        <f>(Unitflowchart!$S$341/Unitflowchart!$S$383)*ShipTransport!AB13*Unitflowchart!$S$356</f>
        <v>0</v>
      </c>
      <c r="L338" s="25">
        <f t="shared" si="73"/>
        <v>0</v>
      </c>
      <c r="M338" s="725">
        <f>(Unitflowchart!$S$341/Unitflowchart!$S$383)*ShipTransport!AC21*Unitflowchart!$S$354</f>
        <v>0</v>
      </c>
      <c r="N338" s="726">
        <f>E338+(GlobalWarmingPotentials!$B$11*H338)+(GlobalWarmingPotentials!$C$11*K338)</f>
        <v>0</v>
      </c>
      <c r="O338" s="25">
        <f t="shared" si="74"/>
        <v>0</v>
      </c>
      <c r="P338" s="744">
        <f>SQRT((G338^2)+((GlobalWarmingPotentials!$B$11*J338)^2)+((GlobalWarmingPotentials!$C$11*M338)^2))</f>
        <v>0</v>
      </c>
      <c r="Q338" s="30"/>
    </row>
    <row r="339" spans="1:17" x14ac:dyDescent="0.25">
      <c r="B339" s="728"/>
      <c r="D339" s="735"/>
      <c r="E339" s="728"/>
      <c r="F339" s="25"/>
      <c r="G339" s="735"/>
      <c r="H339" s="31"/>
      <c r="I339" s="25"/>
      <c r="J339" s="724"/>
      <c r="K339" s="31"/>
      <c r="L339" s="25"/>
      <c r="M339" s="724"/>
      <c r="N339" s="728"/>
      <c r="O339" s="25"/>
      <c r="P339" s="735"/>
      <c r="Q339" s="30"/>
    </row>
    <row r="340" spans="1:17" x14ac:dyDescent="0.25">
      <c r="A340" s="218" t="s">
        <v>895</v>
      </c>
      <c r="B340" s="734">
        <f>(Unitflowchart!$S$341/Unitflowchart!$S$383)*ShipTransport!J15*Unitflowchart!$S$356</f>
        <v>0</v>
      </c>
      <c r="C340" s="721">
        <f>(B340/B$386)*100</f>
        <v>0</v>
      </c>
      <c r="D340" s="745">
        <f>(Unitflowchart!$S$341/Unitflowchart!$S$383)*ShipTransport!K15*Unitflowchart!$S$356</f>
        <v>0</v>
      </c>
      <c r="E340" s="734">
        <f>(Unitflowchart!$S$341/Unitflowchart!$S$383)*ShipTransport!P15*Unitflowchart!$S$356</f>
        <v>0</v>
      </c>
      <c r="F340" s="721">
        <f>(E340/E$386)*100</f>
        <v>0</v>
      </c>
      <c r="G340" s="745">
        <f>(Unitflowchart!$S$341/Unitflowchart!$S$383)*ShipTransport!Q15*Unitflowchart!$S$356</f>
        <v>0</v>
      </c>
      <c r="H340" s="722">
        <f>(Unitflowchart!$S$341/Unitflowchart!$S$383)*ShipTransport!V15*Unitflowchart!$S$356</f>
        <v>0</v>
      </c>
      <c r="I340" s="721">
        <f>(H340/H$386)*100</f>
        <v>0</v>
      </c>
      <c r="J340" s="720">
        <f>(Unitflowchart!$S$341/Unitflowchart!$S$383)*ShipTransport!W15*Unitflowchart!$S$356</f>
        <v>0</v>
      </c>
      <c r="K340" s="722">
        <f>(Unitflowchart!$S$341/Unitflowchart!$S$383)*ShipTransport!AB15*Unitflowchart!$S$356</f>
        <v>0</v>
      </c>
      <c r="L340" s="721">
        <f>(K340/K$386)*100</f>
        <v>0</v>
      </c>
      <c r="M340" s="720">
        <f>(Unitflowchart!$S$341/Unitflowchart!$S$383)*ShipTransport!AC23*Unitflowchart!$S$354</f>
        <v>0</v>
      </c>
      <c r="N340" s="734">
        <f>E340+(GlobalWarmingPotentials!$B$11*H340)+(GlobalWarmingPotentials!$C$11*K340)</f>
        <v>0</v>
      </c>
      <c r="O340" s="721">
        <f>(N340/N$386)*100</f>
        <v>0</v>
      </c>
      <c r="P340" s="743">
        <f>SQRT((G340^2)+((GlobalWarmingPotentials!$B$11*J340)^2)+((GlobalWarmingPotentials!$C$11*M340)^2))</f>
        <v>0</v>
      </c>
      <c r="Q340" s="30"/>
    </row>
    <row r="341" spans="1:17" x14ac:dyDescent="0.25">
      <c r="B341" s="728"/>
      <c r="D341" s="735"/>
      <c r="E341" s="728"/>
      <c r="G341" s="735"/>
      <c r="H341" s="31"/>
      <c r="J341" s="724"/>
      <c r="K341" s="31"/>
      <c r="M341" s="724"/>
      <c r="N341" s="728"/>
      <c r="P341" s="735"/>
      <c r="Q341" s="30"/>
    </row>
    <row r="342" spans="1:17" x14ac:dyDescent="0.25">
      <c r="A342" s="218" t="s">
        <v>932</v>
      </c>
      <c r="B342" s="730">
        <f>B316+B324+B332+B340</f>
        <v>0</v>
      </c>
      <c r="C342" s="15">
        <f>(B342/B$386)*100</f>
        <v>0</v>
      </c>
      <c r="D342" s="740">
        <f>SQRT((D316^2)+(D324^2)+(D332^2)+(D340^2))</f>
        <v>0</v>
      </c>
      <c r="E342" s="730">
        <f t="shared" ref="E342" si="75">E316+E324+E332+E340</f>
        <v>0</v>
      </c>
      <c r="F342" s="15">
        <f t="shared" ref="F342" si="76">(E342/E$386)*100</f>
        <v>0</v>
      </c>
      <c r="G342" s="740">
        <f t="shared" ref="G342" si="77">SQRT((G316^2)+(G324^2)+(G332^2)+(G340^2))</f>
        <v>0</v>
      </c>
      <c r="H342" s="215">
        <f t="shared" ref="H342" si="78">H316+H324+H332+H340</f>
        <v>0</v>
      </c>
      <c r="I342" s="15">
        <f t="shared" ref="I342" si="79">(H342/H$386)*100</f>
        <v>0</v>
      </c>
      <c r="J342" s="216">
        <f t="shared" ref="J342" si="80">SQRT((J316^2)+(J324^2)+(J332^2)+(J340^2))</f>
        <v>0</v>
      </c>
      <c r="K342" s="215">
        <f t="shared" ref="K342" si="81">K316+K324+K332+K340</f>
        <v>0</v>
      </c>
      <c r="L342" s="15">
        <f t="shared" ref="L342" si="82">(K342/K$386)*100</f>
        <v>0</v>
      </c>
      <c r="M342" s="216">
        <f t="shared" ref="M342" si="83">SQRT((M316^2)+(M324^2)+(M332^2)+(M340^2))</f>
        <v>0</v>
      </c>
      <c r="N342" s="730">
        <f t="shared" ref="N342" si="84">N316+N324+N332+N340</f>
        <v>0</v>
      </c>
      <c r="O342" s="15">
        <f t="shared" ref="O342" si="85">(N342/N$386)*100</f>
        <v>0</v>
      </c>
      <c r="P342" s="740">
        <f t="shared" ref="P342" si="86">SQRT((P316^2)+(P324^2)+(P332^2)+(P340^2))</f>
        <v>0</v>
      </c>
      <c r="Q342" s="30"/>
    </row>
    <row r="343" spans="1:17" x14ac:dyDescent="0.25">
      <c r="B343" s="728"/>
      <c r="D343" s="735"/>
      <c r="E343" s="728"/>
      <c r="G343" s="735"/>
      <c r="H343" s="31"/>
      <c r="J343" s="724"/>
      <c r="K343" s="31"/>
      <c r="M343" s="724"/>
      <c r="N343" s="728"/>
      <c r="P343" s="735"/>
      <c r="Q343" s="30"/>
    </row>
    <row r="344" spans="1:17" x14ac:dyDescent="0.25">
      <c r="A344" s="387" t="s">
        <v>924</v>
      </c>
      <c r="B344" s="728"/>
      <c r="D344" s="735"/>
      <c r="E344" s="728"/>
      <c r="G344" s="735"/>
      <c r="H344" s="31"/>
      <c r="J344" s="724"/>
      <c r="K344" s="31"/>
      <c r="M344" s="724"/>
      <c r="N344" s="728"/>
      <c r="P344" s="735"/>
      <c r="Q344" s="30"/>
    </row>
    <row r="345" spans="1:17" x14ac:dyDescent="0.25">
      <c r="B345" s="728"/>
      <c r="D345" s="735"/>
      <c r="E345" s="728"/>
      <c r="G345" s="735"/>
      <c r="H345" s="31"/>
      <c r="J345" s="724"/>
      <c r="K345" s="31"/>
      <c r="M345" s="724"/>
      <c r="N345" s="728"/>
      <c r="P345" s="735"/>
      <c r="Q345" s="30"/>
    </row>
    <row r="346" spans="1:17" x14ac:dyDescent="0.25">
      <c r="A346" s="14" t="str">
        <f>RoadTransportEthanolStage3!A42</f>
        <v xml:space="preserve"> - Diesel Fuel</v>
      </c>
      <c r="B346" s="732">
        <f>(Unitflowchart!$S$362/Unitflowchart!$S$383)*RoadTransportEthanolStage3!J42*Unitflowchart!$S$371</f>
        <v>0</v>
      </c>
      <c r="C346" s="26">
        <f>(B346/B$386)*100</f>
        <v>0</v>
      </c>
      <c r="D346" s="491">
        <f>(Unitflowchart!$S$362/Unitflowchart!$S$383)*RoadTransportEthanolStage3!K42*Unitflowchart!$S$371</f>
        <v>0</v>
      </c>
      <c r="E346" s="732">
        <f>(Unitflowchart!$S$362/Unitflowchart!$S$383)*RoadTransportEthanolStage3!P42*Unitflowchart!$S$371</f>
        <v>0</v>
      </c>
      <c r="F346" s="26">
        <f>(E346/E$386)*100</f>
        <v>0</v>
      </c>
      <c r="G346" s="491">
        <f>(Unitflowchart!$S$362/Unitflowchart!$S$383)*RoadTransportEthanolStage3!Q42*Unitflowchart!$S$371</f>
        <v>0</v>
      </c>
      <c r="H346" s="749">
        <f>(Unitflowchart!$S$362/Unitflowchart!$S$383)*RoadTransportEthanolStage3!V42*Unitflowchart!$S$371</f>
        <v>0</v>
      </c>
      <c r="I346" s="26">
        <f>(H346/H$386)*100</f>
        <v>0</v>
      </c>
      <c r="J346" s="752">
        <f>(Unitflowchart!$S$362/Unitflowchart!$S$383)*RoadTransportEthanolStage3!W42*Unitflowchart!$S$371</f>
        <v>0</v>
      </c>
      <c r="K346" s="749">
        <f>(Unitflowchart!$S$362/Unitflowchart!$S$383)*RoadTransportEthanolStage3!AB42*Unitflowchart!$S$371</f>
        <v>0</v>
      </c>
      <c r="L346" s="26">
        <f>(K346/K$386)*100</f>
        <v>0</v>
      </c>
      <c r="M346" s="751">
        <f>(Unitflowchart!$S$362/Unitflowchart!$S$383)*RoadTransportEthanolStage3!AC42*Unitflowchart!$S$371</f>
        <v>0</v>
      </c>
      <c r="N346" s="727">
        <f>E346+(GlobalWarmingPotentials!$B$11*H346)+(GlobalWarmingPotentials!$C$11*K346)</f>
        <v>0</v>
      </c>
      <c r="O346" s="26">
        <f>(N346/N$386)*100</f>
        <v>0</v>
      </c>
      <c r="P346" s="760">
        <f>SQRT((G346^2)+((GlobalWarmingPotentials!$B$11*J346)^2)+((GlobalWarmingPotentials!$C$11*M346)^2))</f>
        <v>0</v>
      </c>
      <c r="Q346" s="30"/>
    </row>
    <row r="347" spans="1:17" x14ac:dyDescent="0.25">
      <c r="A347" s="14" t="str">
        <f>RoadTransportEthanolStage3!A43</f>
        <v xml:space="preserve"> - Vehicle</v>
      </c>
      <c r="B347" s="732">
        <f>(Unitflowchart!$S$362/Unitflowchart!$S$383)*RoadTransportEthanolStage3!J43*Unitflowchart!$S$371</f>
        <v>0</v>
      </c>
      <c r="C347" s="26">
        <f t="shared" ref="C347:C350" si="87">(B347/B$386)*100</f>
        <v>0</v>
      </c>
      <c r="D347" s="491">
        <f>(Unitflowchart!$S$362/Unitflowchart!$S$383)*RoadTransportEthanolStage3!K43*Unitflowchart!$S$371</f>
        <v>0</v>
      </c>
      <c r="E347" s="732">
        <f>(Unitflowchart!$S$362/Unitflowchart!$S$383)*RoadTransportEthanolStage3!P43*Unitflowchart!$S$371</f>
        <v>0</v>
      </c>
      <c r="F347" s="26">
        <f t="shared" ref="F347:F350" si="88">(E347/E$386)*100</f>
        <v>0</v>
      </c>
      <c r="G347" s="491">
        <f>(Unitflowchart!$S$362/Unitflowchart!$S$383)*RoadTransportEthanolStage3!Q43*Unitflowchart!$S$371</f>
        <v>0</v>
      </c>
      <c r="H347" s="749">
        <f>(Unitflowchart!$S$362/Unitflowchart!$S$383)*RoadTransportEthanolStage3!V43*Unitflowchart!$S$371</f>
        <v>0</v>
      </c>
      <c r="I347" s="26">
        <f t="shared" ref="I347:I350" si="89">(H347/H$386)*100</f>
        <v>0</v>
      </c>
      <c r="J347" s="752">
        <f>(Unitflowchart!$S$362/Unitflowchart!$S$383)*RoadTransportEthanolStage3!W43*Unitflowchart!$S$371</f>
        <v>0</v>
      </c>
      <c r="K347" s="749">
        <f>(Unitflowchart!$S$362/Unitflowchart!$S$383)*RoadTransportEthanolStage3!AB43*Unitflowchart!$S$371</f>
        <v>0</v>
      </c>
      <c r="L347" s="26">
        <f t="shared" ref="L347:L350" si="90">(K347/K$386)*100</f>
        <v>0</v>
      </c>
      <c r="M347" s="751">
        <f>(Unitflowchart!$S$362/Unitflowchart!$S$383)*RoadTransportEthanolStage3!AC43*Unitflowchart!$S$371</f>
        <v>0</v>
      </c>
      <c r="N347" s="727">
        <f>E347+(GlobalWarmingPotentials!$B$11*H347)+(GlobalWarmingPotentials!$C$11*K347)</f>
        <v>0</v>
      </c>
      <c r="O347" s="26">
        <f t="shared" ref="O347:O348" si="91">(N347/N$386)*100</f>
        <v>0</v>
      </c>
      <c r="P347" s="760">
        <f>SQRT((G347^2)+((GlobalWarmingPotentials!$B$11*J347)^2)+((GlobalWarmingPotentials!$C$11*M347)^2))</f>
        <v>0</v>
      </c>
      <c r="Q347" s="30"/>
    </row>
    <row r="348" spans="1:17" x14ac:dyDescent="0.25">
      <c r="A348" s="14" t="str">
        <f>RoadTransportEthanolStage3!A44</f>
        <v xml:space="preserve"> - Maintenance</v>
      </c>
      <c r="B348" s="732">
        <f>(Unitflowchart!$S$362/Unitflowchart!$S$383)*RoadTransportEthanolStage3!J44*Unitflowchart!$S$371</f>
        <v>0</v>
      </c>
      <c r="C348" s="26">
        <f t="shared" si="87"/>
        <v>0</v>
      </c>
      <c r="D348" s="491">
        <f>(Unitflowchart!$S$362/Unitflowchart!$S$383)*RoadTransportEthanolStage3!K44*Unitflowchart!$S$371</f>
        <v>0</v>
      </c>
      <c r="E348" s="732">
        <f>(Unitflowchart!$S$362/Unitflowchart!$S$383)*RoadTransportEthanolStage3!P44*Unitflowchart!$S$371</f>
        <v>0</v>
      </c>
      <c r="F348" s="26">
        <f t="shared" si="88"/>
        <v>0</v>
      </c>
      <c r="G348" s="491">
        <f>(Unitflowchart!$S$362/Unitflowchart!$S$383)*RoadTransportEthanolStage3!Q44*Unitflowchart!$S$371</f>
        <v>0</v>
      </c>
      <c r="H348" s="749">
        <f>(Unitflowchart!$S$362/Unitflowchart!$S$383)*RoadTransportEthanolStage3!V44*Unitflowchart!$S$371</f>
        <v>0</v>
      </c>
      <c r="I348" s="26">
        <f t="shared" si="89"/>
        <v>0</v>
      </c>
      <c r="J348" s="752">
        <f>(Unitflowchart!$S$362/Unitflowchart!$S$383)*RoadTransportEthanolStage3!W44*Unitflowchart!$S$371</f>
        <v>0</v>
      </c>
      <c r="K348" s="749">
        <f>(Unitflowchart!$S$362/Unitflowchart!$S$383)*RoadTransportEthanolStage3!AB44*Unitflowchart!$S$371</f>
        <v>0</v>
      </c>
      <c r="L348" s="26">
        <f t="shared" si="90"/>
        <v>0</v>
      </c>
      <c r="M348" s="751">
        <f>(Unitflowchart!$S$362/Unitflowchart!$S$383)*RoadTransportEthanolStage3!AC44*Unitflowchart!$S$371</f>
        <v>0</v>
      </c>
      <c r="N348" s="727">
        <f>E348+(GlobalWarmingPotentials!$B$11*H348)+(GlobalWarmingPotentials!$C$11*K348)</f>
        <v>0</v>
      </c>
      <c r="O348" s="26">
        <f t="shared" si="91"/>
        <v>0</v>
      </c>
      <c r="P348" s="760">
        <f>SQRT((G348^2)+((GlobalWarmingPotentials!$B$11*J348)^2)+((GlobalWarmingPotentials!$C$11*M348)^2))</f>
        <v>0</v>
      </c>
      <c r="Q348" s="30"/>
    </row>
    <row r="349" spans="1:17" s="43" customFormat="1" x14ac:dyDescent="0.25">
      <c r="B349" s="766"/>
      <c r="C349" s="992"/>
      <c r="D349" s="779"/>
      <c r="E349" s="766"/>
      <c r="F349" s="992"/>
      <c r="G349" s="779"/>
      <c r="H349" s="783"/>
      <c r="I349" s="992"/>
      <c r="J349" s="828"/>
      <c r="K349" s="783"/>
      <c r="L349" s="992"/>
      <c r="M349" s="784"/>
      <c r="N349" s="729"/>
      <c r="O349" s="155"/>
      <c r="P349" s="213"/>
      <c r="Q349" s="852"/>
    </row>
    <row r="350" spans="1:17" x14ac:dyDescent="0.25">
      <c r="A350" s="218" t="s">
        <v>927</v>
      </c>
      <c r="B350" s="1002">
        <f>(Unitflowchart!$S$362/Unitflowchart!$S$383)*RoadTransportEthanolStage3!J46*Unitflowchart!$S$371</f>
        <v>0</v>
      </c>
      <c r="C350" s="993">
        <f t="shared" si="87"/>
        <v>0</v>
      </c>
      <c r="D350" s="1003">
        <f>(Unitflowchart!$S$362/Unitflowchart!$S$383)*RoadTransportEthanolStage3!K46*Unitflowchart!$S$371</f>
        <v>0</v>
      </c>
      <c r="E350" s="1002">
        <f>(Unitflowchart!$S$362/Unitflowchart!$S$383)*RoadTransportEthanolStage3!P46*Unitflowchart!$S$371</f>
        <v>0</v>
      </c>
      <c r="F350" s="993">
        <f t="shared" si="88"/>
        <v>0</v>
      </c>
      <c r="G350" s="1003">
        <f>(Unitflowchart!$S$362/Unitflowchart!$S$383)*RoadTransportEthanolStage3!Q46*Unitflowchart!$S$371</f>
        <v>0</v>
      </c>
      <c r="H350" s="1004">
        <f>(Unitflowchart!$S$362/Unitflowchart!$S$383)*RoadTransportEthanolStage3!V46*Unitflowchart!$S$371</f>
        <v>0</v>
      </c>
      <c r="I350" s="993">
        <f t="shared" si="89"/>
        <v>0</v>
      </c>
      <c r="J350" s="1008">
        <f>(Unitflowchart!$S$362/Unitflowchart!$S$383)*RoadTransportEthanolStage3!W46*Unitflowchart!$S$371</f>
        <v>0</v>
      </c>
      <c r="K350" s="1004">
        <f>(Unitflowchart!$S$362/Unitflowchart!$S$383)*RoadTransportEthanolStage3!AB46*Unitflowchart!$S$371</f>
        <v>0</v>
      </c>
      <c r="L350" s="993">
        <f t="shared" si="90"/>
        <v>0</v>
      </c>
      <c r="M350" s="1005">
        <f>(Unitflowchart!$S$362/Unitflowchart!$S$383)*RoadTransportEthanolStage3!AC46*Unitflowchart!$S$371</f>
        <v>0</v>
      </c>
      <c r="N350" s="734">
        <f>E350+(GlobalWarmingPotentials!$B$11*H350)+(GlobalWarmingPotentials!$C$11*K350)</f>
        <v>0</v>
      </c>
      <c r="O350" s="218">
        <f>(N350/N$386)*100</f>
        <v>0</v>
      </c>
      <c r="P350" s="743">
        <f>SQRT((G350^2)+((GlobalWarmingPotentials!$B$11*J350)^2)+((GlobalWarmingPotentials!$C$11*M350)^2))</f>
        <v>0</v>
      </c>
      <c r="Q350" s="30"/>
    </row>
    <row r="351" spans="1:17" x14ac:dyDescent="0.25">
      <c r="B351" s="728"/>
      <c r="D351" s="735"/>
      <c r="E351" s="728"/>
      <c r="G351" s="735"/>
      <c r="H351" s="31"/>
      <c r="J351" s="724"/>
      <c r="K351" s="31"/>
      <c r="M351" s="724"/>
      <c r="N351" s="728"/>
      <c r="P351" s="735"/>
      <c r="Q351" s="30"/>
    </row>
    <row r="352" spans="1:17" x14ac:dyDescent="0.25">
      <c r="A352" s="387" t="s">
        <v>925</v>
      </c>
      <c r="B352" s="728"/>
      <c r="D352" s="735"/>
      <c r="E352" s="728"/>
      <c r="G352" s="735"/>
      <c r="H352" s="31"/>
      <c r="J352" s="724"/>
      <c r="K352" s="31"/>
      <c r="M352" s="724"/>
      <c r="N352" s="728"/>
      <c r="P352" s="735"/>
      <c r="Q352" s="30"/>
    </row>
    <row r="353" spans="1:17" x14ac:dyDescent="0.25">
      <c r="B353" s="728"/>
      <c r="D353" s="735"/>
      <c r="E353" s="728"/>
      <c r="G353" s="735"/>
      <c r="H353" s="31"/>
      <c r="J353" s="724"/>
      <c r="K353" s="31"/>
      <c r="M353" s="724"/>
      <c r="N353" s="728"/>
      <c r="P353" s="735"/>
      <c r="Q353" s="30"/>
    </row>
    <row r="354" spans="1:17" x14ac:dyDescent="0.25">
      <c r="A354" s="14" t="str">
        <f>RailTransport!A11</f>
        <v xml:space="preserve"> - Gas Oil</v>
      </c>
      <c r="B354" s="726">
        <f>(Unitflowchart!$S$362/Unitflowchart!$S$383)*RailTransport!J11*Unitflowchart!$S$373</f>
        <v>0</v>
      </c>
      <c r="C354" s="25">
        <f>(B354/B$386)*100</f>
        <v>0</v>
      </c>
      <c r="D354" s="744">
        <f>(Unitflowchart!$S$362/Unitflowchart!$S$383)*RailTransport!K11*Unitflowchart!$S$373</f>
        <v>0</v>
      </c>
      <c r="E354" s="726">
        <f>(Unitflowchart!$S$362/Unitflowchart!$S$383)*RailTransport!P11*Unitflowchart!$S$373</f>
        <v>0</v>
      </c>
      <c r="F354" s="25">
        <f>(E354/E$386)*100</f>
        <v>0</v>
      </c>
      <c r="G354" s="744">
        <f>(Unitflowchart!$S$362/Unitflowchart!$S$383)*RailTransport!Q11*Unitflowchart!$S$373</f>
        <v>0</v>
      </c>
      <c r="H354" s="723">
        <f>(Unitflowchart!$S$362/Unitflowchart!$S$383)*RailTransport!V11*Unitflowchart!$S$373</f>
        <v>0</v>
      </c>
      <c r="I354" s="25">
        <f>(H354/H$386)*100</f>
        <v>0</v>
      </c>
      <c r="J354" s="725">
        <f>(Unitflowchart!$S$362/Unitflowchart!$S$383)*RailTransport!W11*Unitflowchart!$S$373</f>
        <v>0</v>
      </c>
      <c r="K354" s="723">
        <f>(Unitflowchart!$S$362/Unitflowchart!$S$383)*RailTransport!AB11*Unitflowchart!$S$373</f>
        <v>0</v>
      </c>
      <c r="L354" s="25">
        <f>(K354/K$386)*100</f>
        <v>0</v>
      </c>
      <c r="M354" s="725">
        <f>(Unitflowchart!$S$362/Unitflowchart!$S$383)*RailTransport!AC11*Unitflowchart!$S$373</f>
        <v>0</v>
      </c>
      <c r="N354" s="726">
        <f>E354+(GlobalWarmingPotentials!$B$11*H354)+(GlobalWarmingPotentials!$C$11*K354)</f>
        <v>0</v>
      </c>
      <c r="O354" s="25">
        <f>(N354/N$386)*100</f>
        <v>0</v>
      </c>
      <c r="P354" s="744">
        <f>SQRT((G354^2)+((GlobalWarmingPotentials!$B$11*J354)^2)+((GlobalWarmingPotentials!$C$11*M354)^2))</f>
        <v>0</v>
      </c>
      <c r="Q354" s="30"/>
    </row>
    <row r="355" spans="1:17" x14ac:dyDescent="0.25">
      <c r="A355" s="14" t="str">
        <f>RailTransport!A12</f>
        <v xml:space="preserve"> - Capital Equipment</v>
      </c>
      <c r="B355" s="726">
        <f>(Unitflowchart!$S$362/Unitflowchart!$S$383)*RailTransport!J12*Unitflowchart!$S$373</f>
        <v>0</v>
      </c>
      <c r="C355" s="25">
        <f t="shared" ref="C355:C356" si="92">(B355/B$386)*100</f>
        <v>0</v>
      </c>
      <c r="D355" s="744">
        <f>(Unitflowchart!$S$362/Unitflowchart!$S$383)*RailTransport!K12*Unitflowchart!$S$373</f>
        <v>0</v>
      </c>
      <c r="E355" s="726">
        <f>(Unitflowchart!$S$362/Unitflowchart!$S$383)*RailTransport!P12*Unitflowchart!$S$373</f>
        <v>0</v>
      </c>
      <c r="F355" s="25">
        <f t="shared" ref="F355:F356" si="93">(E355/E$386)*100</f>
        <v>0</v>
      </c>
      <c r="G355" s="744">
        <f>(Unitflowchart!$S$362/Unitflowchart!$S$383)*RailTransport!Q12*Unitflowchart!$S$373</f>
        <v>0</v>
      </c>
      <c r="H355" s="723">
        <f>(Unitflowchart!$S$362/Unitflowchart!$S$383)*RailTransport!V12*Unitflowchart!$S$373</f>
        <v>0</v>
      </c>
      <c r="I355" s="25">
        <f t="shared" ref="I355:I356" si="94">(H355/H$386)*100</f>
        <v>0</v>
      </c>
      <c r="J355" s="725">
        <f>(Unitflowchart!$S$362/Unitflowchart!$S$383)*RailTransport!W12*Unitflowchart!$S$373</f>
        <v>0</v>
      </c>
      <c r="K355" s="723">
        <f>(Unitflowchart!$S$362/Unitflowchart!$S$383)*RailTransport!AB12*Unitflowchart!$S$373</f>
        <v>0</v>
      </c>
      <c r="L355" s="25">
        <f t="shared" ref="L355:L356" si="95">(K355/K$386)*100</f>
        <v>0</v>
      </c>
      <c r="M355" s="725">
        <f>(Unitflowchart!$S$362/Unitflowchart!$S$383)*RailTransport!AC12*Unitflowchart!$S$373</f>
        <v>0</v>
      </c>
      <c r="N355" s="726">
        <f>E355+(GlobalWarmingPotentials!$B$11*H355)+(GlobalWarmingPotentials!$C$11*K355)</f>
        <v>0</v>
      </c>
      <c r="O355" s="25">
        <f t="shared" ref="O355:O356" si="96">(N355/N$386)*100</f>
        <v>0</v>
      </c>
      <c r="P355" s="744">
        <f>SQRT((G355^2)+((GlobalWarmingPotentials!$B$11*J355)^2)+((GlobalWarmingPotentials!$C$11*M355)^2))</f>
        <v>0</v>
      </c>
      <c r="Q355" s="30"/>
    </row>
    <row r="356" spans="1:17" x14ac:dyDescent="0.25">
      <c r="A356" s="14" t="str">
        <f>RailTransport!A13</f>
        <v xml:space="preserve"> - Maintenance</v>
      </c>
      <c r="B356" s="726">
        <f>(Unitflowchart!$S$362/Unitflowchart!$S$383)*RailTransport!J13*Unitflowchart!$S$373</f>
        <v>0</v>
      </c>
      <c r="C356" s="25">
        <f t="shared" si="92"/>
        <v>0</v>
      </c>
      <c r="D356" s="744">
        <f>(Unitflowchart!$S$362/Unitflowchart!$S$383)*RailTransport!K13*Unitflowchart!$S$373</f>
        <v>0</v>
      </c>
      <c r="E356" s="726">
        <f>(Unitflowchart!$S$362/Unitflowchart!$S$383)*RailTransport!P13*Unitflowchart!$S$373</f>
        <v>0</v>
      </c>
      <c r="F356" s="25">
        <f t="shared" si="93"/>
        <v>0</v>
      </c>
      <c r="G356" s="744">
        <f>(Unitflowchart!$S$362/Unitflowchart!$S$383)*RailTransport!Q13*Unitflowchart!$S$373</f>
        <v>0</v>
      </c>
      <c r="H356" s="723">
        <f>(Unitflowchart!$S$362/Unitflowchart!$S$383)*RailTransport!V13*Unitflowchart!$S$373</f>
        <v>0</v>
      </c>
      <c r="I356" s="25">
        <f t="shared" si="94"/>
        <v>0</v>
      </c>
      <c r="J356" s="725">
        <f>(Unitflowchart!$S$362/Unitflowchart!$S$383)*RailTransport!W13*Unitflowchart!$S$373</f>
        <v>0</v>
      </c>
      <c r="K356" s="723">
        <f>(Unitflowchart!$S$362/Unitflowchart!$S$383)*RailTransport!AB13*Unitflowchart!$S$373</f>
        <v>0</v>
      </c>
      <c r="L356" s="25">
        <f t="shared" si="95"/>
        <v>0</v>
      </c>
      <c r="M356" s="725">
        <f>(Unitflowchart!$S$362/Unitflowchart!$S$383)*RailTransport!AC13*Unitflowchart!$S$373</f>
        <v>0</v>
      </c>
      <c r="N356" s="726">
        <f>E356+(GlobalWarmingPotentials!$B$11*H356)+(GlobalWarmingPotentials!$C$11*K356)</f>
        <v>0</v>
      </c>
      <c r="O356" s="25">
        <f t="shared" si="96"/>
        <v>0</v>
      </c>
      <c r="P356" s="744">
        <f>SQRT((G356^2)+((GlobalWarmingPotentials!$B$11*J356)^2)+((GlobalWarmingPotentials!$C$11*M356)^2))</f>
        <v>0</v>
      </c>
      <c r="Q356" s="30"/>
    </row>
    <row r="357" spans="1:17" x14ac:dyDescent="0.25">
      <c r="B357" s="728"/>
      <c r="C357" s="25"/>
      <c r="D357" s="735"/>
      <c r="E357" s="728"/>
      <c r="F357" s="25"/>
      <c r="G357" s="735"/>
      <c r="H357" s="31"/>
      <c r="I357" s="25"/>
      <c r="J357" s="724"/>
      <c r="K357" s="31"/>
      <c r="L357" s="25"/>
      <c r="M357" s="724"/>
      <c r="N357" s="728"/>
      <c r="O357" s="25"/>
      <c r="P357" s="735"/>
      <c r="Q357" s="30"/>
    </row>
    <row r="358" spans="1:17" x14ac:dyDescent="0.25">
      <c r="A358" s="218" t="s">
        <v>926</v>
      </c>
      <c r="B358" s="734">
        <f>(Unitflowchart!$S$362/Unitflowchart!$S$383)*RailTransport!J15*Unitflowchart!$S$373</f>
        <v>0</v>
      </c>
      <c r="C358" s="721">
        <f>(B358/B$386)*100</f>
        <v>0</v>
      </c>
      <c r="D358" s="745">
        <f>(Unitflowchart!$S$362/Unitflowchart!$S$383)*RailTransport!K15*Unitflowchart!$S$373</f>
        <v>0</v>
      </c>
      <c r="E358" s="734">
        <f>(Unitflowchart!$S$362/Unitflowchart!$S$383)*RailTransport!P15*Unitflowchart!$S$373</f>
        <v>0</v>
      </c>
      <c r="F358" s="721">
        <f>(E358/E$386)*100</f>
        <v>0</v>
      </c>
      <c r="G358" s="745">
        <f>(Unitflowchart!$S$362/Unitflowchart!$S$383)*RailTransport!Q15*Unitflowchart!$S$373</f>
        <v>0</v>
      </c>
      <c r="H358" s="722">
        <f>(Unitflowchart!$S$362/Unitflowchart!$S$383)*RailTransport!V15*Unitflowchart!$S$373</f>
        <v>0</v>
      </c>
      <c r="I358" s="721">
        <f>(H358/H$386)*100</f>
        <v>0</v>
      </c>
      <c r="J358" s="720">
        <f>(Unitflowchart!$S$362/Unitflowchart!$S$383)*RailTransport!W15*Unitflowchart!$S$373</f>
        <v>0</v>
      </c>
      <c r="K358" s="722">
        <f>(Unitflowchart!$S$362/Unitflowchart!$S$383)*RailTransport!AB15*Unitflowchart!$S$373</f>
        <v>0</v>
      </c>
      <c r="L358" s="721">
        <f>(K358/K$386)*100</f>
        <v>0</v>
      </c>
      <c r="M358" s="720">
        <f>(Unitflowchart!$S$362/Unitflowchart!$S$383)*RailTransport!AC15*Unitflowchart!$S$373</f>
        <v>0</v>
      </c>
      <c r="N358" s="734">
        <f>E358+(GlobalWarmingPotentials!$B$11*H358)+(GlobalWarmingPotentials!$C$11*K358)</f>
        <v>0</v>
      </c>
      <c r="O358" s="721">
        <f>(N358/N$386)*100</f>
        <v>0</v>
      </c>
      <c r="P358" s="743">
        <f>SQRT((G358^2)+((GlobalWarmingPotentials!$B$11*J358)^2)+((GlobalWarmingPotentials!$C$11*M358)^2))</f>
        <v>0</v>
      </c>
      <c r="Q358" s="30"/>
    </row>
    <row r="359" spans="1:17" x14ac:dyDescent="0.25">
      <c r="B359" s="728"/>
      <c r="D359" s="735"/>
      <c r="E359" s="728"/>
      <c r="G359" s="735"/>
      <c r="H359" s="31"/>
      <c r="J359" s="724"/>
      <c r="K359" s="31"/>
      <c r="M359" s="724"/>
      <c r="N359" s="728"/>
      <c r="P359" s="735"/>
      <c r="Q359" s="30"/>
    </row>
    <row r="360" spans="1:17" x14ac:dyDescent="0.25">
      <c r="A360" s="387" t="s">
        <v>928</v>
      </c>
      <c r="B360" s="728"/>
      <c r="D360" s="735"/>
      <c r="E360" s="728"/>
      <c r="G360" s="735"/>
      <c r="H360" s="31"/>
      <c r="J360" s="724"/>
      <c r="K360" s="31"/>
      <c r="M360" s="724"/>
      <c r="N360" s="728"/>
      <c r="P360" s="735"/>
      <c r="Q360" s="30"/>
    </row>
    <row r="361" spans="1:17" x14ac:dyDescent="0.25">
      <c r="B361" s="728"/>
      <c r="D361" s="735"/>
      <c r="E361" s="728"/>
      <c r="G361" s="735"/>
      <c r="H361" s="31"/>
      <c r="J361" s="724"/>
      <c r="K361" s="31"/>
      <c r="M361" s="724"/>
      <c r="N361" s="728"/>
      <c r="P361" s="735"/>
      <c r="Q361" s="30"/>
    </row>
    <row r="362" spans="1:17" x14ac:dyDescent="0.25">
      <c r="A362" s="14" t="str">
        <f>BargeTransport!A11</f>
        <v xml:space="preserve"> - Marine Diesel</v>
      </c>
      <c r="B362" s="726">
        <f>(Unitflowchart!$S$362/Unitflowchart!$S$383)*BargeTransport!J11*Unitflowchart!$S$375</f>
        <v>0</v>
      </c>
      <c r="C362" s="25">
        <f>(B362/B$386)*100</f>
        <v>0</v>
      </c>
      <c r="D362" s="744">
        <f>(Unitflowchart!$S$362/Unitflowchart!$S$383)*BargeTransport!K11*Unitflowchart!$S$375</f>
        <v>0</v>
      </c>
      <c r="E362" s="726">
        <f>(Unitflowchart!$S$362/Unitflowchart!$S$383)*BargeTransport!P11*Unitflowchart!$S$375</f>
        <v>0</v>
      </c>
      <c r="F362" s="25">
        <f>(E362/E$386)*100</f>
        <v>0</v>
      </c>
      <c r="G362" s="744">
        <f>(Unitflowchart!$S$362/Unitflowchart!$S$383)*BargeTransport!Q11*Unitflowchart!$S$375</f>
        <v>0</v>
      </c>
      <c r="H362" s="723">
        <f>(Unitflowchart!$S$362/Unitflowchart!$S$383)*BargeTransport!V11*Unitflowchart!$S$375</f>
        <v>0</v>
      </c>
      <c r="I362" s="25">
        <f>(H362/H$386)*100</f>
        <v>0</v>
      </c>
      <c r="J362" s="725">
        <f>(Unitflowchart!$S$362/Unitflowchart!$S$383)*BargeTransport!W11*Unitflowchart!$S$375</f>
        <v>0</v>
      </c>
      <c r="K362" s="723">
        <f>(Unitflowchart!$S$362/Unitflowchart!$S$383)*BargeTransport!AB11*Unitflowchart!$S$375</f>
        <v>0</v>
      </c>
      <c r="L362" s="25">
        <f>(K362/K$386)*100</f>
        <v>0</v>
      </c>
      <c r="M362" s="725">
        <f>(Unitflowchart!$S$362/Unitflowchart!$S$383)*BargeTransport!AC11*Unitflowchart!$S$375</f>
        <v>0</v>
      </c>
      <c r="N362" s="726">
        <f>E362+(GlobalWarmingPotentials!$B$11*H362)+(GlobalWarmingPotentials!$C$11*K362)</f>
        <v>0</v>
      </c>
      <c r="O362" s="25">
        <f>(N362/N$386)*100</f>
        <v>0</v>
      </c>
      <c r="P362" s="744">
        <f>SQRT((G362^2)+((GlobalWarmingPotentials!$B$11*J362)^2)+((GlobalWarmingPotentials!$C$11*M362)^2))</f>
        <v>0</v>
      </c>
      <c r="Q362" s="30"/>
    </row>
    <row r="363" spans="1:17" x14ac:dyDescent="0.25">
      <c r="A363" s="14" t="str">
        <f>BargeTransport!A12</f>
        <v xml:space="preserve"> - Barge Construction</v>
      </c>
      <c r="B363" s="726">
        <f>(Unitflowchart!$S$362/Unitflowchart!$S$383)*BargeTransport!J12*Unitflowchart!$S$375</f>
        <v>0</v>
      </c>
      <c r="C363" s="25">
        <f t="shared" ref="C363:C364" si="97">(B363/B$386)*100</f>
        <v>0</v>
      </c>
      <c r="D363" s="744">
        <f>(Unitflowchart!$S$362/Unitflowchart!$S$383)*BargeTransport!K12*Unitflowchart!$S$375</f>
        <v>0</v>
      </c>
      <c r="E363" s="726">
        <f>(Unitflowchart!$S$362/Unitflowchart!$S$383)*BargeTransport!P12*Unitflowchart!$S$375</f>
        <v>0</v>
      </c>
      <c r="F363" s="25">
        <f t="shared" ref="F363:F364" si="98">(E363/E$386)*100</f>
        <v>0</v>
      </c>
      <c r="G363" s="744">
        <f>(Unitflowchart!$S$362/Unitflowchart!$S$383)*BargeTransport!Q12*Unitflowchart!$S$375</f>
        <v>0</v>
      </c>
      <c r="H363" s="723">
        <f>(Unitflowchart!$S$362/Unitflowchart!$S$383)*BargeTransport!V12*Unitflowchart!$S$375</f>
        <v>0</v>
      </c>
      <c r="I363" s="25">
        <f t="shared" ref="I363:I364" si="99">(H363/H$386)*100</f>
        <v>0</v>
      </c>
      <c r="J363" s="725">
        <f>(Unitflowchart!$S$362/Unitflowchart!$S$383)*BargeTransport!W12*Unitflowchart!$S$375</f>
        <v>0</v>
      </c>
      <c r="K363" s="723">
        <f>(Unitflowchart!$S$362/Unitflowchart!$S$383)*BargeTransport!AB12*Unitflowchart!$S$375</f>
        <v>0</v>
      </c>
      <c r="L363" s="25">
        <f t="shared" ref="L363:L364" si="100">(K363/K$386)*100</f>
        <v>0</v>
      </c>
      <c r="M363" s="725">
        <f>(Unitflowchart!$S$362/Unitflowchart!$S$383)*BargeTransport!AC12*Unitflowchart!$S$375</f>
        <v>0</v>
      </c>
      <c r="N363" s="726">
        <f>E363+(GlobalWarmingPotentials!$B$11*H363)+(GlobalWarmingPotentials!$C$11*K363)</f>
        <v>0</v>
      </c>
      <c r="O363" s="25">
        <f t="shared" ref="O363:O364" si="101">(N363/N$386)*100</f>
        <v>0</v>
      </c>
      <c r="P363" s="744">
        <f>SQRT((G363^2)+((GlobalWarmingPotentials!$B$11*J363)^2)+((GlobalWarmingPotentials!$C$11*M363)^2))</f>
        <v>0</v>
      </c>
      <c r="Q363" s="30"/>
    </row>
    <row r="364" spans="1:17" x14ac:dyDescent="0.25">
      <c r="A364" s="14" t="str">
        <f>BargeTransport!A13</f>
        <v xml:space="preserve"> - Barge Maintenance</v>
      </c>
      <c r="B364" s="726">
        <f>(Unitflowchart!$S$362/Unitflowchart!$S$383)*BargeTransport!J13*Unitflowchart!$S$375</f>
        <v>0</v>
      </c>
      <c r="C364" s="25">
        <f t="shared" si="97"/>
        <v>0</v>
      </c>
      <c r="D364" s="744">
        <f>(Unitflowchart!$S$362/Unitflowchart!$S$383)*BargeTransport!K13*Unitflowchart!$S$375</f>
        <v>0</v>
      </c>
      <c r="E364" s="726">
        <f>(Unitflowchart!$S$362/Unitflowchart!$S$383)*BargeTransport!P13*Unitflowchart!$S$375</f>
        <v>0</v>
      </c>
      <c r="F364" s="25">
        <f t="shared" si="98"/>
        <v>0</v>
      </c>
      <c r="G364" s="744">
        <f>(Unitflowchart!$S$362/Unitflowchart!$S$383)*BargeTransport!Q13*Unitflowchart!$S$375</f>
        <v>0</v>
      </c>
      <c r="H364" s="723">
        <f>(Unitflowchart!$S$362/Unitflowchart!$S$383)*BargeTransport!V13*Unitflowchart!$S$375</f>
        <v>0</v>
      </c>
      <c r="I364" s="25">
        <f t="shared" si="99"/>
        <v>0</v>
      </c>
      <c r="J364" s="725">
        <f>(Unitflowchart!$S$362/Unitflowchart!$S$383)*BargeTransport!W13*Unitflowchart!$S$375</f>
        <v>0</v>
      </c>
      <c r="K364" s="723">
        <f>(Unitflowchart!$S$362/Unitflowchart!$S$383)*BargeTransport!AB13*Unitflowchart!$S$375</f>
        <v>0</v>
      </c>
      <c r="L364" s="25">
        <f t="shared" si="100"/>
        <v>0</v>
      </c>
      <c r="M364" s="725">
        <f>(Unitflowchart!$S$362/Unitflowchart!$S$383)*BargeTransport!AC13*Unitflowchart!$S$375</f>
        <v>0</v>
      </c>
      <c r="N364" s="726">
        <f>E364+(GlobalWarmingPotentials!$B$11*H364)+(GlobalWarmingPotentials!$C$11*K364)</f>
        <v>0</v>
      </c>
      <c r="O364" s="25">
        <f t="shared" si="101"/>
        <v>0</v>
      </c>
      <c r="P364" s="744">
        <f>SQRT((G364^2)+((GlobalWarmingPotentials!$B$11*J364)^2)+((GlobalWarmingPotentials!$C$11*M364)^2))</f>
        <v>0</v>
      </c>
      <c r="Q364" s="30"/>
    </row>
    <row r="365" spans="1:17" x14ac:dyDescent="0.25">
      <c r="B365" s="728"/>
      <c r="D365" s="735"/>
      <c r="E365" s="728"/>
      <c r="G365" s="735"/>
      <c r="H365" s="31"/>
      <c r="J365" s="724"/>
      <c r="K365" s="31"/>
      <c r="M365" s="724"/>
      <c r="N365" s="728"/>
      <c r="P365" s="735"/>
      <c r="Q365" s="30"/>
    </row>
    <row r="366" spans="1:17" x14ac:dyDescent="0.25">
      <c r="A366" s="218" t="s">
        <v>929</v>
      </c>
      <c r="B366" s="734">
        <f>(Unitflowchart!$S$362/Unitflowchart!$S$383)*BargeTransport!J15*Unitflowchart!$S$375</f>
        <v>0</v>
      </c>
      <c r="C366" s="721">
        <f>(B366/B$386)*100</f>
        <v>0</v>
      </c>
      <c r="D366" s="745">
        <f>(Unitflowchart!$S$362/Unitflowchart!$S$383)*BargeTransport!K15*Unitflowchart!$S$375</f>
        <v>0</v>
      </c>
      <c r="E366" s="734">
        <f>(Unitflowchart!$S$362/Unitflowchart!$S$383)*BargeTransport!P15*Unitflowchart!$S$375</f>
        <v>0</v>
      </c>
      <c r="F366" s="721">
        <f>(E366/E$386)*100</f>
        <v>0</v>
      </c>
      <c r="G366" s="745">
        <f>(Unitflowchart!$S$362/Unitflowchart!$S$383)*BargeTransport!Q15*Unitflowchart!$S$375</f>
        <v>0</v>
      </c>
      <c r="H366" s="722">
        <f>(Unitflowchart!$S$362/Unitflowchart!$S$383)*BargeTransport!V15*Unitflowchart!$S$375</f>
        <v>0</v>
      </c>
      <c r="I366" s="721">
        <f>(H366/H$386)*100</f>
        <v>0</v>
      </c>
      <c r="J366" s="720">
        <f>(Unitflowchart!$S$362/Unitflowchart!$S$383)*BargeTransport!W15*Unitflowchart!$S$375</f>
        <v>0</v>
      </c>
      <c r="K366" s="722">
        <f>(Unitflowchart!$S$362/Unitflowchart!$S$383)*BargeTransport!AB15*Unitflowchart!$S$375</f>
        <v>0</v>
      </c>
      <c r="L366" s="721">
        <f>(K366/K$386)*100</f>
        <v>0</v>
      </c>
      <c r="M366" s="720">
        <f>(Unitflowchart!$S$362/Unitflowchart!$S$383)*BargeTransport!AC15*Unitflowchart!$S$375</f>
        <v>0</v>
      </c>
      <c r="N366" s="734">
        <f>E366+(GlobalWarmingPotentials!$B$11*H366)+(GlobalWarmingPotentials!$C$11*K366)</f>
        <v>0</v>
      </c>
      <c r="O366" s="721">
        <f>(N366/N$386)*100</f>
        <v>0</v>
      </c>
      <c r="P366" s="743">
        <f>SQRT((G366^2)+((GlobalWarmingPotentials!$B$11*J366)^2)+((GlobalWarmingPotentials!$C$11*M366)^2))</f>
        <v>0</v>
      </c>
      <c r="Q366" s="30"/>
    </row>
    <row r="367" spans="1:17" x14ac:dyDescent="0.25">
      <c r="B367" s="728"/>
      <c r="D367" s="735"/>
      <c r="E367" s="728"/>
      <c r="G367" s="735"/>
      <c r="H367" s="31"/>
      <c r="J367" s="724"/>
      <c r="K367" s="31"/>
      <c r="M367" s="724"/>
      <c r="N367" s="728"/>
      <c r="P367" s="735"/>
      <c r="Q367" s="30"/>
    </row>
    <row r="368" spans="1:17" x14ac:dyDescent="0.25">
      <c r="A368" s="387" t="s">
        <v>930</v>
      </c>
      <c r="B368" s="728"/>
      <c r="D368" s="735"/>
      <c r="E368" s="728"/>
      <c r="G368" s="735"/>
      <c r="H368" s="31"/>
      <c r="J368" s="724"/>
      <c r="K368" s="31"/>
      <c r="M368" s="724"/>
      <c r="N368" s="728"/>
      <c r="P368" s="735"/>
      <c r="Q368" s="30"/>
    </row>
    <row r="369" spans="1:17" x14ac:dyDescent="0.25">
      <c r="B369" s="728"/>
      <c r="D369" s="735"/>
      <c r="E369" s="728"/>
      <c r="G369" s="735"/>
      <c r="H369" s="31"/>
      <c r="J369" s="724"/>
      <c r="K369" s="31"/>
      <c r="M369" s="724"/>
      <c r="N369" s="728"/>
      <c r="P369" s="735"/>
      <c r="Q369" s="30"/>
    </row>
    <row r="370" spans="1:17" x14ac:dyDescent="0.25">
      <c r="A370" s="14" t="str">
        <f>ShipTransport!A11</f>
        <v xml:space="preserve"> - Marine Diesel</v>
      </c>
      <c r="B370" s="726">
        <f>(Unitflowchart!$S$362/Unitflowchart!$S$383)*ShipTransport!J11*Unitflowchart!$S$377</f>
        <v>0</v>
      </c>
      <c r="C370" s="25">
        <f>(B370/B$386)*100</f>
        <v>0</v>
      </c>
      <c r="D370" s="744">
        <f>(Unitflowchart!$S$362/Unitflowchart!$S$383)*ShipTransport!K11*Unitflowchart!$S$377</f>
        <v>0</v>
      </c>
      <c r="E370" s="726">
        <f>(Unitflowchart!$S$362/Unitflowchart!$S$383)*ShipTransport!P11*Unitflowchart!$S$377</f>
        <v>0</v>
      </c>
      <c r="F370" s="25">
        <f>(E370/E$386)*100</f>
        <v>0</v>
      </c>
      <c r="G370" s="744">
        <f>(Unitflowchart!$S$362/Unitflowchart!$S$383)*ShipTransport!Q11*Unitflowchart!$S$377</f>
        <v>0</v>
      </c>
      <c r="H370" s="723">
        <f>(Unitflowchart!$S$362/Unitflowchart!$S$383)*ShipTransport!V11*Unitflowchart!$S$377</f>
        <v>0</v>
      </c>
      <c r="I370" s="25">
        <f>(H370/H$386)*100</f>
        <v>0</v>
      </c>
      <c r="J370" s="725">
        <f>(Unitflowchart!$S$362/Unitflowchart!$S$383)*ShipTransport!W11*Unitflowchart!$S$377</f>
        <v>0</v>
      </c>
      <c r="K370" s="723">
        <f>(Unitflowchart!$S$362/Unitflowchart!$S$383)*ShipTransport!AB11*Unitflowchart!$S$377</f>
        <v>0</v>
      </c>
      <c r="L370" s="25">
        <f>(K370/K$386)*100</f>
        <v>0</v>
      </c>
      <c r="M370" s="725">
        <f>(Unitflowchart!$S$362/Unitflowchart!$S$383)*ShipTransport!AC11*Unitflowchart!$S$377</f>
        <v>0</v>
      </c>
      <c r="N370" s="726">
        <f>E370+(GlobalWarmingPotentials!$B$11*H370)+(GlobalWarmingPotentials!$C$11*K370)</f>
        <v>0</v>
      </c>
      <c r="O370" s="25">
        <f>(N370/N$386)*100</f>
        <v>0</v>
      </c>
      <c r="P370" s="744">
        <f>SQRT((G370^2)+((GlobalWarmingPotentials!$B$11*J370)^2)+((GlobalWarmingPotentials!$C$11*M370)^2))</f>
        <v>0</v>
      </c>
      <c r="Q370" s="30"/>
    </row>
    <row r="371" spans="1:17" x14ac:dyDescent="0.25">
      <c r="A371" s="14" t="str">
        <f>ShipTransport!A12</f>
        <v xml:space="preserve"> - Ship Construction</v>
      </c>
      <c r="B371" s="726">
        <f>(Unitflowchart!$S$362/Unitflowchart!$S$383)*ShipTransport!J12*Unitflowchart!$S$377</f>
        <v>0</v>
      </c>
      <c r="C371" s="25">
        <f t="shared" ref="C371:C372" si="102">(B371/B$386)*100</f>
        <v>0</v>
      </c>
      <c r="D371" s="744">
        <f>(Unitflowchart!$S$362/Unitflowchart!$S$383)*ShipTransport!K12*Unitflowchart!$S$377</f>
        <v>0</v>
      </c>
      <c r="E371" s="726">
        <f>(Unitflowchart!$S$362/Unitflowchart!$S$383)*ShipTransport!P12*Unitflowchart!$S$377</f>
        <v>0</v>
      </c>
      <c r="F371" s="25">
        <f t="shared" ref="F371:F372" si="103">(E371/E$386)*100</f>
        <v>0</v>
      </c>
      <c r="G371" s="744">
        <f>(Unitflowchart!$S$362/Unitflowchart!$S$383)*ShipTransport!Q12*Unitflowchart!$S$377</f>
        <v>0</v>
      </c>
      <c r="H371" s="723">
        <f>(Unitflowchart!$S$362/Unitflowchart!$S$383)*ShipTransport!V12*Unitflowchart!$S$377</f>
        <v>0</v>
      </c>
      <c r="I371" s="25">
        <f t="shared" ref="I371:I372" si="104">(H371/H$386)*100</f>
        <v>0</v>
      </c>
      <c r="J371" s="725">
        <f>(Unitflowchart!$S$362/Unitflowchart!$S$383)*ShipTransport!W12*Unitflowchart!$S$377</f>
        <v>0</v>
      </c>
      <c r="K371" s="723">
        <f>(Unitflowchart!$S$362/Unitflowchart!$S$383)*ShipTransport!AB12*Unitflowchart!$S$377</f>
        <v>0</v>
      </c>
      <c r="L371" s="25">
        <f t="shared" ref="L371:L372" si="105">(K371/K$386)*100</f>
        <v>0</v>
      </c>
      <c r="M371" s="725">
        <f>(Unitflowchart!$S$362/Unitflowchart!$S$383)*ShipTransport!AC12*Unitflowchart!$S$377</f>
        <v>0</v>
      </c>
      <c r="N371" s="726">
        <f>E371+(GlobalWarmingPotentials!$B$11*H371)+(GlobalWarmingPotentials!$C$11*K371)</f>
        <v>0</v>
      </c>
      <c r="O371" s="25">
        <f t="shared" ref="O371:O372" si="106">(N371/N$386)*100</f>
        <v>0</v>
      </c>
      <c r="P371" s="744">
        <f>SQRT((G371^2)+((GlobalWarmingPotentials!$B$11*J371)^2)+((GlobalWarmingPotentials!$C$11*M371)^2))</f>
        <v>0</v>
      </c>
      <c r="Q371" s="30"/>
    </row>
    <row r="372" spans="1:17" x14ac:dyDescent="0.25">
      <c r="A372" s="14" t="str">
        <f>ShipTransport!A13</f>
        <v xml:space="preserve"> - Ship Maintenance</v>
      </c>
      <c r="B372" s="726">
        <f>(Unitflowchart!$S$362/Unitflowchart!$S$383)*ShipTransport!J13*Unitflowchart!$S$377</f>
        <v>0</v>
      </c>
      <c r="C372" s="25">
        <f t="shared" si="102"/>
        <v>0</v>
      </c>
      <c r="D372" s="744">
        <f>(Unitflowchart!$S$362/Unitflowchart!$S$383)*ShipTransport!K13*Unitflowchart!$S$377</f>
        <v>0</v>
      </c>
      <c r="E372" s="726">
        <f>(Unitflowchart!$S$362/Unitflowchart!$S$383)*ShipTransport!P13*Unitflowchart!$S$377</f>
        <v>0</v>
      </c>
      <c r="F372" s="25">
        <f t="shared" si="103"/>
        <v>0</v>
      </c>
      <c r="G372" s="744">
        <f>(Unitflowchart!$S$362/Unitflowchart!$S$383)*ShipTransport!Q13*Unitflowchart!$S$377</f>
        <v>0</v>
      </c>
      <c r="H372" s="723">
        <f>(Unitflowchart!$S$362/Unitflowchart!$S$383)*ShipTransport!V13*Unitflowchart!$S$377</f>
        <v>0</v>
      </c>
      <c r="I372" s="25">
        <f t="shared" si="104"/>
        <v>0</v>
      </c>
      <c r="J372" s="725">
        <f>(Unitflowchart!$S$362/Unitflowchart!$S$383)*ShipTransport!W13*Unitflowchart!$S$377</f>
        <v>0</v>
      </c>
      <c r="K372" s="723">
        <f>(Unitflowchart!$S$362/Unitflowchart!$S$383)*ShipTransport!AB13*Unitflowchart!$S$377</f>
        <v>0</v>
      </c>
      <c r="L372" s="25">
        <f t="shared" si="105"/>
        <v>0</v>
      </c>
      <c r="M372" s="725">
        <f>(Unitflowchart!$S$362/Unitflowchart!$S$383)*ShipTransport!AC13*Unitflowchart!$S$377</f>
        <v>0</v>
      </c>
      <c r="N372" s="726">
        <f>E372+(GlobalWarmingPotentials!$B$11*H372)+(GlobalWarmingPotentials!$C$11*K372)</f>
        <v>0</v>
      </c>
      <c r="O372" s="25">
        <f t="shared" si="106"/>
        <v>0</v>
      </c>
      <c r="P372" s="744">
        <f>SQRT((G372^2)+((GlobalWarmingPotentials!$B$11*J372)^2)+((GlobalWarmingPotentials!$C$11*M372)^2))</f>
        <v>0</v>
      </c>
      <c r="Q372" s="30"/>
    </row>
    <row r="373" spans="1:17" x14ac:dyDescent="0.25">
      <c r="B373" s="728"/>
      <c r="C373" s="25"/>
      <c r="D373" s="735"/>
      <c r="E373" s="728"/>
      <c r="F373" s="25"/>
      <c r="G373" s="735"/>
      <c r="H373" s="31"/>
      <c r="I373" s="25"/>
      <c r="J373" s="724"/>
      <c r="K373" s="31"/>
      <c r="L373" s="25"/>
      <c r="M373" s="724"/>
      <c r="N373" s="728"/>
      <c r="O373" s="25"/>
      <c r="P373" s="735"/>
      <c r="Q373" s="30"/>
    </row>
    <row r="374" spans="1:17" x14ac:dyDescent="0.25">
      <c r="A374" s="218" t="s">
        <v>931</v>
      </c>
      <c r="B374" s="734">
        <f>(Unitflowchart!$S$362/Unitflowchart!$S$383)*ShipTransport!J15*Unitflowchart!$S$377</f>
        <v>0</v>
      </c>
      <c r="C374" s="721">
        <f>(B374/B$386)*100</f>
        <v>0</v>
      </c>
      <c r="D374" s="745">
        <f>(Unitflowchart!$S$362/Unitflowchart!$S$383)*ShipTransport!K15*Unitflowchart!$S$377</f>
        <v>0</v>
      </c>
      <c r="E374" s="734">
        <f>(Unitflowchart!$S$362/Unitflowchart!$S$383)*ShipTransport!P15*Unitflowchart!$S$377</f>
        <v>0</v>
      </c>
      <c r="F374" s="721">
        <f>(E374/E$386)*100</f>
        <v>0</v>
      </c>
      <c r="G374" s="745">
        <f>(Unitflowchart!$S$362/Unitflowchart!$S$383)*ShipTransport!Q15*Unitflowchart!$S$377</f>
        <v>0</v>
      </c>
      <c r="H374" s="722">
        <f>(Unitflowchart!$S$362/Unitflowchart!$S$383)*ShipTransport!V15*Unitflowchart!$S$377</f>
        <v>0</v>
      </c>
      <c r="I374" s="721">
        <f>(H374/H$386)*100</f>
        <v>0</v>
      </c>
      <c r="J374" s="720">
        <f>(Unitflowchart!$S$362/Unitflowchart!$S$383)*ShipTransport!W15*Unitflowchart!$S$377</f>
        <v>0</v>
      </c>
      <c r="K374" s="722">
        <f>(Unitflowchart!$S$362/Unitflowchart!$S$383)*ShipTransport!AB15*Unitflowchart!$S$377</f>
        <v>0</v>
      </c>
      <c r="L374" s="721">
        <f>(K374/K$386)*100</f>
        <v>0</v>
      </c>
      <c r="M374" s="720">
        <f>(Unitflowchart!$S$362/Unitflowchart!$S$383)*ShipTransport!AC15*Unitflowchart!$S$377</f>
        <v>0</v>
      </c>
      <c r="N374" s="734">
        <f>E374+(GlobalWarmingPotentials!$B$11*H374)+(GlobalWarmingPotentials!$C$11*K374)</f>
        <v>0</v>
      </c>
      <c r="O374" s="721">
        <f>(N374/N$386)*100</f>
        <v>0</v>
      </c>
      <c r="P374" s="743">
        <f>SQRT((G374^2)+((GlobalWarmingPotentials!$B$11*J374)^2)+((GlobalWarmingPotentials!$C$11*M374)^2))</f>
        <v>0</v>
      </c>
      <c r="Q374" s="30"/>
    </row>
    <row r="375" spans="1:17" x14ac:dyDescent="0.25">
      <c r="A375" s="23"/>
      <c r="B375" s="728"/>
      <c r="D375" s="735"/>
      <c r="E375" s="728"/>
      <c r="G375" s="735"/>
      <c r="H375" s="31"/>
      <c r="J375" s="724"/>
      <c r="K375" s="31"/>
      <c r="M375" s="724"/>
      <c r="N375" s="728"/>
      <c r="P375" s="735"/>
      <c r="Q375" s="30"/>
    </row>
    <row r="376" spans="1:17" x14ac:dyDescent="0.25">
      <c r="A376" s="218" t="s">
        <v>920</v>
      </c>
      <c r="B376" s="734">
        <f>B350+B358+B366+B374</f>
        <v>0</v>
      </c>
      <c r="C376" s="721">
        <f>(B376/B$386)*100</f>
        <v>0</v>
      </c>
      <c r="D376" s="745">
        <f>SQRT((D350^2)+(D358^2)+(D366^2)+(D374^2))</f>
        <v>0</v>
      </c>
      <c r="E376" s="734">
        <f t="shared" ref="E376" si="107">E350+E358+E366+E374</f>
        <v>0</v>
      </c>
      <c r="F376" s="721">
        <f t="shared" ref="F376" si="108">(E376/E$386)*100</f>
        <v>0</v>
      </c>
      <c r="G376" s="745">
        <f t="shared" ref="G376" si="109">SQRT((G350^2)+(G358^2)+(G366^2)+(G374^2))</f>
        <v>0</v>
      </c>
      <c r="H376" s="722">
        <f t="shared" ref="H376" si="110">H350+H358+H366+H374</f>
        <v>0</v>
      </c>
      <c r="I376" s="721">
        <f t="shared" ref="I376" si="111">(H376/H$386)*100</f>
        <v>0</v>
      </c>
      <c r="J376" s="720">
        <f t="shared" ref="J376" si="112">SQRT((J350^2)+(J358^2)+(J366^2)+(J374^2))</f>
        <v>0</v>
      </c>
      <c r="K376" s="722">
        <f t="shared" ref="K376" si="113">K350+K358+K366+K374</f>
        <v>0</v>
      </c>
      <c r="L376" s="721">
        <f t="shared" ref="L376" si="114">(K376/K$386)*100</f>
        <v>0</v>
      </c>
      <c r="M376" s="720">
        <f t="shared" ref="M376" si="115">SQRT((M350^2)+(M358^2)+(M366^2)+(M374^2))</f>
        <v>0</v>
      </c>
      <c r="N376" s="734">
        <f t="shared" ref="N376" si="116">N350+N358+N366+N374</f>
        <v>0</v>
      </c>
      <c r="O376" s="721">
        <f t="shared" ref="O376" si="117">(N376/N$386)*100</f>
        <v>0</v>
      </c>
      <c r="P376" s="743">
        <f t="shared" ref="P376" si="118">SQRT((P350^2)+(P358^2)+(P366^2)+(P374^2))</f>
        <v>0</v>
      </c>
      <c r="Q376" s="30"/>
    </row>
    <row r="377" spans="1:17" x14ac:dyDescent="0.25">
      <c r="B377" s="728"/>
      <c r="D377" s="735"/>
      <c r="E377" s="728"/>
      <c r="G377" s="735"/>
      <c r="H377" s="31"/>
      <c r="J377" s="724"/>
      <c r="K377" s="31"/>
      <c r="M377" s="724"/>
      <c r="N377" s="728"/>
      <c r="P377" s="735"/>
      <c r="Q377" s="30"/>
    </row>
    <row r="378" spans="1:17" x14ac:dyDescent="0.25">
      <c r="A378" s="387" t="s">
        <v>878</v>
      </c>
      <c r="B378" s="728"/>
      <c r="D378" s="735"/>
      <c r="E378" s="728"/>
      <c r="G378" s="735"/>
      <c r="H378" s="31"/>
      <c r="J378" s="724"/>
      <c r="K378" s="31"/>
      <c r="M378" s="724"/>
      <c r="N378" s="728"/>
      <c r="P378" s="735"/>
      <c r="Q378" s="30"/>
    </row>
    <row r="379" spans="1:17" x14ac:dyDescent="0.25">
      <c r="B379" s="728"/>
      <c r="D379" s="735"/>
      <c r="E379" s="728"/>
      <c r="G379" s="735"/>
      <c r="H379" s="31"/>
      <c r="J379" s="724"/>
      <c r="K379" s="31"/>
      <c r="M379" s="724"/>
      <c r="N379" s="728"/>
      <c r="P379" s="735"/>
      <c r="Q379" s="30"/>
    </row>
    <row r="380" spans="1:17" x14ac:dyDescent="0.25">
      <c r="A380" t="str">
        <f>Biorefinery!A16</f>
        <v xml:space="preserve"> - Plant Construction</v>
      </c>
      <c r="B380" s="732">
        <f>Unitflowchart!$S$312*(AllocationMass!$F$33/100)/Unitflowchart!$S$383*(Biorefinery!J16)</f>
        <v>0</v>
      </c>
      <c r="C380" s="26">
        <f t="shared" ref="C380:C382" si="119">(B380/B$386)*100</f>
        <v>0</v>
      </c>
      <c r="D380" s="358">
        <f>Unitflowchart!$S$312*(AllocationMass!$F$33/100)/Unitflowchart!$S$383*(Biorefinery!K16)</f>
        <v>0</v>
      </c>
      <c r="E380" s="732">
        <f>Unitflowchart!$S$312*(AllocationMass!$F$33/100)/Unitflowchart!$S$383*(Biorefinery!P16)</f>
        <v>0</v>
      </c>
      <c r="F380" s="26">
        <f t="shared" ref="F380:F382" si="120">(E380/E$386)*100</f>
        <v>0</v>
      </c>
      <c r="G380" s="358">
        <f>Unitflowchart!$S$312*(AllocationMass!$F$33/100)/Unitflowchart!$S$383*(Biorefinery!Q16)</f>
        <v>0</v>
      </c>
      <c r="H380" s="749">
        <f>Unitflowchart!$S$312*(AllocationMass!$F$33/100)/Unitflowchart!$S$383*(Biorefinery!V16)</f>
        <v>0</v>
      </c>
      <c r="I380" s="26">
        <f t="shared" ref="I380:I382" si="121">(H380/H$386)*100</f>
        <v>0</v>
      </c>
      <c r="J380" s="752">
        <f>Unitflowchart!$S$312*(AllocationMass!$F$33/100)/Unitflowchart!$S$383*(Biorefinery!W16)</f>
        <v>0</v>
      </c>
      <c r="K380" s="749">
        <f>Unitflowchart!$S$312*(AllocationMass!$F$33/100)/Unitflowchart!$S$383*(Biorefinery!AB16)</f>
        <v>0</v>
      </c>
      <c r="L380" s="26">
        <f t="shared" ref="L380:L382" si="122">(K380/K$386)*100</f>
        <v>0</v>
      </c>
      <c r="M380" s="752">
        <f>Unitflowchart!$S$312*(AllocationMass!$F$33/100)/Unitflowchart!$S$383*(Biorefinery!AC16)</f>
        <v>0</v>
      </c>
      <c r="N380" s="727">
        <f>E380+(GlobalWarmingPotentials!$B$11*H380)+(GlobalWarmingPotentials!$C$11*K380)</f>
        <v>0</v>
      </c>
      <c r="O380" s="26">
        <f t="shared" ref="O380:O382" si="123">(N380/N$386)*100</f>
        <v>0</v>
      </c>
      <c r="P380" s="760">
        <f>SQRT((G380^2)+((GlobalWarmingPotentials!$B$11*J380)^2)+((GlobalWarmingPotentials!$C$11*M380)^2))</f>
        <v>0</v>
      </c>
      <c r="Q380" s="30"/>
    </row>
    <row r="381" spans="1:17" x14ac:dyDescent="0.25">
      <c r="A381" t="str">
        <f>Biorefinery!A17</f>
        <v xml:space="preserve"> - Plant Maintenance</v>
      </c>
      <c r="B381" s="732">
        <f>Unitflowchart!$S$312*(AllocationMass!$F$33/100)/Unitflowchart!$S$383*(Biorefinery!J17)</f>
        <v>0</v>
      </c>
      <c r="C381" s="26">
        <f t="shared" si="119"/>
        <v>0</v>
      </c>
      <c r="D381" s="358">
        <f>Unitflowchart!$S$312*(AllocationMass!$F$33/100)/Unitflowchart!$S$383*(Biorefinery!K17)</f>
        <v>0</v>
      </c>
      <c r="E381" s="732">
        <f>Unitflowchart!$S$312*(AllocationMass!$F$33/100)/Unitflowchart!$S$383*(Biorefinery!P17)</f>
        <v>0</v>
      </c>
      <c r="F381" s="26">
        <f t="shared" si="120"/>
        <v>0</v>
      </c>
      <c r="G381" s="358">
        <f>Unitflowchart!$S$312*(AllocationMass!$F$33/100)/Unitflowchart!$S$383*(Biorefinery!Q17)</f>
        <v>0</v>
      </c>
      <c r="H381" s="749">
        <f>Unitflowchart!$S$312*(AllocationMass!$F$33/100)/Unitflowchart!$S$383*(Biorefinery!V17)</f>
        <v>0</v>
      </c>
      <c r="I381" s="26">
        <f t="shared" si="121"/>
        <v>0</v>
      </c>
      <c r="J381" s="752">
        <f>Unitflowchart!$S$312*(AllocationMass!$F$33/100)/Unitflowchart!$S$383*(Biorefinery!W17)</f>
        <v>0</v>
      </c>
      <c r="K381" s="749">
        <f>Unitflowchart!$S$312*(AllocationMass!$F$33/100)/Unitflowchart!$S$383*(Biorefinery!AB17)</f>
        <v>0</v>
      </c>
      <c r="L381" s="26">
        <f t="shared" si="122"/>
        <v>0</v>
      </c>
      <c r="M381" s="752">
        <f>Unitflowchart!$S$312*(AllocationMass!$F$33/100)/Unitflowchart!$S$383*(Biorefinery!AC17)</f>
        <v>0</v>
      </c>
      <c r="N381" s="727">
        <f>E381+(GlobalWarmingPotentials!$B$11*H381)+(GlobalWarmingPotentials!$C$11*K381)</f>
        <v>0</v>
      </c>
      <c r="O381" s="26">
        <f t="shared" si="123"/>
        <v>0</v>
      </c>
      <c r="P381" s="760">
        <f>SQRT((G381^2)+((GlobalWarmingPotentials!$B$11*J381)^2)+((GlobalWarmingPotentials!$C$11*M381)^2))</f>
        <v>0</v>
      </c>
      <c r="Q381" s="30"/>
    </row>
    <row r="382" spans="1:17" x14ac:dyDescent="0.25">
      <c r="A382" t="str">
        <f>Biorefinery!A18</f>
        <v xml:space="preserve"> - Plant Decommissioning</v>
      </c>
      <c r="B382" s="732">
        <f>Unitflowchart!$S$312*(AllocationMass!$F$33/100)/Unitflowchart!$S$383*(Biorefinery!J18)</f>
        <v>0</v>
      </c>
      <c r="C382" s="26">
        <f t="shared" si="119"/>
        <v>0</v>
      </c>
      <c r="D382" s="358">
        <f>Unitflowchart!$S$312*(AllocationMass!$F$33/100)/Unitflowchart!$S$383*(Biorefinery!K18)</f>
        <v>0</v>
      </c>
      <c r="E382" s="732">
        <f>Unitflowchart!$S$312*(AllocationMass!$F$33/100)/Unitflowchart!$S$383*(Biorefinery!P18)</f>
        <v>0</v>
      </c>
      <c r="F382" s="26">
        <f t="shared" si="120"/>
        <v>0</v>
      </c>
      <c r="G382" s="358">
        <f>Unitflowchart!$S$312*(AllocationMass!$F$33/100)/Unitflowchart!$S$383*(Biorefinery!Q18)</f>
        <v>0</v>
      </c>
      <c r="H382" s="749">
        <f>Unitflowchart!$S$312*(AllocationMass!$F$33/100)/Unitflowchart!$S$383*(Biorefinery!V18)</f>
        <v>0</v>
      </c>
      <c r="I382" s="26">
        <f t="shared" si="121"/>
        <v>0</v>
      </c>
      <c r="J382" s="752">
        <f>Unitflowchart!$S$312*(AllocationMass!$F$33/100)/Unitflowchart!$S$383*(Biorefinery!W18)</f>
        <v>0</v>
      </c>
      <c r="K382" s="749">
        <f>Unitflowchart!$S$312*(AllocationMass!$F$33/100)/Unitflowchart!$S$383*(Biorefinery!AB18)</f>
        <v>0</v>
      </c>
      <c r="L382" s="26">
        <f t="shared" si="122"/>
        <v>0</v>
      </c>
      <c r="M382" s="752">
        <f>Unitflowchart!$S$312*(AllocationMass!$F$33/100)/Unitflowchart!$S$383*(Biorefinery!AC18)</f>
        <v>0</v>
      </c>
      <c r="N382" s="727">
        <f>E382+(GlobalWarmingPotentials!$B$11*H382)+(GlobalWarmingPotentials!$C$11*K382)</f>
        <v>0</v>
      </c>
      <c r="O382" s="26">
        <f t="shared" si="123"/>
        <v>0</v>
      </c>
      <c r="P382" s="760">
        <f>SQRT((G382^2)+((GlobalWarmingPotentials!$B$11*J382)^2)+((GlobalWarmingPotentials!$C$11*M382)^2))</f>
        <v>0</v>
      </c>
      <c r="Q382" s="30"/>
    </row>
    <row r="383" spans="1:17" x14ac:dyDescent="0.25">
      <c r="B383" s="728"/>
      <c r="C383" s="156"/>
      <c r="D383" s="735"/>
      <c r="E383" s="728"/>
      <c r="F383" s="156"/>
      <c r="G383" s="735"/>
      <c r="H383" s="31"/>
      <c r="I383" s="156"/>
      <c r="J383" s="724"/>
      <c r="K383" s="31"/>
      <c r="L383" s="156"/>
      <c r="M383" s="724"/>
      <c r="N383" s="728"/>
      <c r="O383" s="156"/>
      <c r="P383" s="735"/>
      <c r="Q383" s="30"/>
    </row>
    <row r="384" spans="1:17" x14ac:dyDescent="0.25">
      <c r="A384" s="218" t="s">
        <v>916</v>
      </c>
      <c r="B384" s="730">
        <f>Unitflowchart!$S$312*(AllocationMass!$F$33/100)/Unitflowchart!$S$383*(Biorefinery!J20)</f>
        <v>0</v>
      </c>
      <c r="C384" s="15">
        <f>(B384/B$386)*100</f>
        <v>0</v>
      </c>
      <c r="D384" s="740">
        <f>Unitflowchart!$S$312*(AllocationMass!$F$33/100)/Unitflowchart!$S$383*(Biorefinery!K20)</f>
        <v>0</v>
      </c>
      <c r="E384" s="730">
        <f>Unitflowchart!$S$312*(AllocationMass!$F$33/100)/Unitflowchart!$S$383*(Biorefinery!P20)</f>
        <v>0</v>
      </c>
      <c r="F384" s="15">
        <f>(E384/E$386)*100</f>
        <v>0</v>
      </c>
      <c r="G384" s="740">
        <f>Unitflowchart!$S$312*(AllocationMass!$F$33/100)/Unitflowchart!$S$383*(Biorefinery!Q20)</f>
        <v>0</v>
      </c>
      <c r="H384" s="215">
        <f>Unitflowchart!$S$312*(AllocationMass!$F$33/100)/Unitflowchart!$S$383*(Biorefinery!V20)</f>
        <v>0</v>
      </c>
      <c r="I384" s="15">
        <f>(H384/H$386)*100</f>
        <v>0</v>
      </c>
      <c r="J384" s="747">
        <f>Unitflowchart!$S$312*(AllocationMass!$F$33/100)/Unitflowchart!$S$383*(Biorefinery!W20)</f>
        <v>0</v>
      </c>
      <c r="K384" s="215">
        <f>Unitflowchart!$S$312*(AllocationMass!$F$33/100)/Unitflowchart!$S$383*(Biorefinery!AB20)</f>
        <v>0</v>
      </c>
      <c r="L384" s="15">
        <f>(K384/K$386)*100</f>
        <v>0</v>
      </c>
      <c r="M384" s="216">
        <f>Unitflowchart!$S$312*(AllocationMass!$F$33/100)/Unitflowchart!$S$383*(Biorefinery!AC20)</f>
        <v>0</v>
      </c>
      <c r="N384" s="730">
        <f>E384+(GlobalWarmingPotentials!$B$11*H384)+(GlobalWarmingPotentials!$C$11*K384)</f>
        <v>0</v>
      </c>
      <c r="O384" s="15">
        <f>(N384/N$386)*100</f>
        <v>0</v>
      </c>
      <c r="P384" s="761">
        <f>SQRT((G384^2)+((GlobalWarmingPotentials!$B$11*J384)^2)+((GlobalWarmingPotentials!$C$11*M384)^2))</f>
        <v>0</v>
      </c>
      <c r="Q384" s="30"/>
    </row>
    <row r="385" spans="1:17" x14ac:dyDescent="0.25">
      <c r="B385" s="728"/>
      <c r="D385" s="735"/>
      <c r="E385" s="728"/>
      <c r="G385" s="735"/>
      <c r="H385" s="31"/>
      <c r="J385" s="724"/>
      <c r="K385" s="750"/>
      <c r="M385" s="754"/>
      <c r="N385" s="735"/>
      <c r="P385" s="735"/>
      <c r="Q385" s="30"/>
    </row>
    <row r="386" spans="1:17" x14ac:dyDescent="0.25">
      <c r="A386" s="218" t="s">
        <v>424</v>
      </c>
      <c r="B386" s="734">
        <f>B116+B143+B177+B211+B241+B248+B255+B268+B234+B262+B274+B308+B342+B376+B384</f>
        <v>12944.38190434738</v>
      </c>
      <c r="C386" s="15">
        <f>(B386/B$386)*100</f>
        <v>100</v>
      </c>
      <c r="D386" s="745">
        <f>SQRT((D116^2)+(D143^2)+(D177^2)+(D211^2)+(D241^2)+(D248^2)+(D255^2)+(D268^2)+(D234^2)+(D262^2)+(D274^2)+(D308^2)+(D342^2)+(D376^2)+(D384^2))</f>
        <v>827.39839929050697</v>
      </c>
      <c r="E386" s="734">
        <f t="shared" ref="E386" si="124">E116+E143+E177+E211+E241+E248+E255+E268+E234+E262+E274+E308+E342+E376+E384</f>
        <v>804.38165017298661</v>
      </c>
      <c r="F386" s="15">
        <f t="shared" ref="F386" si="125">(E386/E$386)*100</f>
        <v>100</v>
      </c>
      <c r="G386" s="745">
        <f t="shared" ref="G386" si="126">SQRT((G116^2)+(G143^2)+(G177^2)+(G211^2)+(G241^2)+(G248^2)+(G255^2)+(G268^2)+(G234^2)+(G262^2)+(G274^2)+(G308^2)+(G342^2)+(G376^2)+(G384^2))</f>
        <v>51.560977474000268</v>
      </c>
      <c r="H386" s="722">
        <f t="shared" ref="H386" si="127">H116+H143+H177+H211+H241+H248+H255+H268+H234+H262+H274+H308+H342+H376+H384</f>
        <v>1.001212959308458</v>
      </c>
      <c r="I386" s="15">
        <f t="shared" ref="I386" si="128">(H386/H$386)*100</f>
        <v>100</v>
      </c>
      <c r="J386" s="720">
        <f t="shared" ref="J386" si="129">SQRT((J116^2)+(J143^2)+(J177^2)+(J211^2)+(J241^2)+(J248^2)+(J255^2)+(J268^2)+(J234^2)+(J262^2)+(J274^2)+(J308^2)+(J342^2)+(J376^2)+(J384^2))</f>
        <v>8.246756190321626E-2</v>
      </c>
      <c r="K386" s="722">
        <f t="shared" ref="K386" si="130">K116+K143+K177+K211+K241+K248+K255+K268+K234+K262+K274+K308+K342+K376+K384</f>
        <v>0.21603000940785816</v>
      </c>
      <c r="L386" s="15">
        <f t="shared" ref="L386" si="131">(K386/K$386)*100</f>
        <v>100</v>
      </c>
      <c r="M386" s="720">
        <f t="shared" ref="M386" si="132">SQRT((M116^2)+(M143^2)+(M177^2)+(M211^2)+(M241^2)+(M248^2)+(M255^2)+(M268^2)+(M234^2)+(M262^2)+(M274^2)+(M308^2)+(M342^2)+(M376^2)+(M384^2))</f>
        <v>8.6170587890309087E-4</v>
      </c>
      <c r="N386" s="734">
        <f t="shared" ref="N386" si="133">N116+N143+N177+N211+N241+N248+N255+N268+N234+N262+N274+N308+N342+N376+N384</f>
        <v>891.35443102180727</v>
      </c>
      <c r="O386" s="15">
        <f t="shared" ref="O386" si="134">(N386/N$386)*100</f>
        <v>100</v>
      </c>
      <c r="P386" s="745">
        <f t="shared" ref="P386" si="135">SQRT((P116^2)+(P143^2)+(P177^2)+(P211^2)+(P241^2)+(P248^2)+(P255^2)+(P268^2)+(P234^2)+(P262^2)+(P274^2)+(P308^2)+(P342^2)+(P376^2)+(P384^2))</f>
        <v>51.596483713964567</v>
      </c>
      <c r="Q386" s="30"/>
    </row>
    <row r="387" spans="1:17" x14ac:dyDescent="0.25">
      <c r="A387" s="354"/>
      <c r="B387" s="354"/>
      <c r="D387" s="354"/>
      <c r="E387" s="354"/>
      <c r="G387" s="354"/>
      <c r="H387" s="354"/>
      <c r="J387" s="354"/>
      <c r="K387" s="354"/>
      <c r="M387" s="354"/>
      <c r="N387" s="354"/>
      <c r="P387" s="354"/>
      <c r="Q387" s="24"/>
    </row>
    <row r="388" spans="1:17" x14ac:dyDescent="0.25">
      <c r="B388" s="24"/>
      <c r="E388" s="24"/>
      <c r="G388" s="24"/>
      <c r="H388" s="24"/>
      <c r="J388" s="24"/>
      <c r="K388" s="24"/>
      <c r="M388" s="24"/>
      <c r="N388" s="24"/>
      <c r="P388" s="24"/>
    </row>
    <row r="389" spans="1:17" x14ac:dyDescent="0.25">
      <c r="B389" s="24"/>
      <c r="E389" s="24"/>
      <c r="G389" s="24"/>
      <c r="H389" s="24"/>
      <c r="J389" s="24"/>
      <c r="K389" s="24"/>
      <c r="M389" s="24"/>
      <c r="N389" s="24"/>
      <c r="P389" s="24"/>
    </row>
    <row r="390" spans="1:17" x14ac:dyDescent="0.25">
      <c r="B390" s="24"/>
      <c r="E390" s="24"/>
      <c r="G390" s="24"/>
      <c r="H390" s="24"/>
      <c r="J390" s="24"/>
      <c r="K390" s="24"/>
      <c r="M390" s="24"/>
      <c r="N390" s="24"/>
      <c r="P390" s="24"/>
    </row>
    <row r="391" spans="1:17" x14ac:dyDescent="0.25">
      <c r="B391" s="24"/>
      <c r="E391" s="24"/>
      <c r="G391" s="24"/>
      <c r="H391" s="24"/>
      <c r="J391" s="24"/>
      <c r="K391" s="24"/>
      <c r="M391" s="24"/>
      <c r="N391" s="24"/>
      <c r="P391" s="24"/>
    </row>
    <row r="392" spans="1:17" x14ac:dyDescent="0.25">
      <c r="B392" s="24"/>
      <c r="E392" s="24"/>
      <c r="G392" s="24"/>
      <c r="H392" s="24"/>
      <c r="J392" s="24"/>
      <c r="K392" s="24"/>
      <c r="M392" s="24"/>
      <c r="N392" s="24"/>
      <c r="P392" s="24"/>
    </row>
    <row r="393" spans="1:17" x14ac:dyDescent="0.25">
      <c r="B393" s="24"/>
      <c r="E393" s="24"/>
      <c r="G393" s="24"/>
      <c r="H393" s="24"/>
      <c r="J393" s="24"/>
      <c r="K393" s="24"/>
      <c r="M393" s="24"/>
      <c r="N393" s="24"/>
      <c r="P393" s="24"/>
    </row>
    <row r="394" spans="1:17" x14ac:dyDescent="0.25">
      <c r="B394" s="24"/>
      <c r="E394" s="24"/>
      <c r="G394" s="24"/>
      <c r="H394" s="24"/>
      <c r="J394" s="24"/>
      <c r="K394" s="24"/>
      <c r="M394" s="24"/>
      <c r="N394" s="24"/>
      <c r="P394" s="24"/>
    </row>
    <row r="395" spans="1:17" x14ac:dyDescent="0.25">
      <c r="B395" s="24"/>
      <c r="E395" s="24"/>
      <c r="G395" s="24"/>
      <c r="H395" s="24"/>
      <c r="J395" s="24"/>
      <c r="K395" s="24"/>
      <c r="M395" s="24"/>
      <c r="N395" s="24"/>
      <c r="P395" s="24"/>
    </row>
    <row r="396" spans="1:17" x14ac:dyDescent="0.25">
      <c r="B396" s="24"/>
      <c r="E396" s="24"/>
      <c r="G396" s="24"/>
      <c r="H396" s="24"/>
      <c r="J396" s="24"/>
      <c r="K396" s="24"/>
      <c r="M396" s="24"/>
      <c r="N396" s="24"/>
      <c r="P396" s="24"/>
    </row>
    <row r="397" spans="1:17" x14ac:dyDescent="0.25">
      <c r="B397" s="24"/>
      <c r="E397" s="24"/>
      <c r="G397" s="24"/>
      <c r="H397" s="24"/>
      <c r="J397" s="24"/>
      <c r="K397" s="24"/>
      <c r="M397" s="24"/>
      <c r="N397" s="24"/>
      <c r="P397" s="24"/>
    </row>
    <row r="398" spans="1:17" x14ac:dyDescent="0.25">
      <c r="B398" s="24"/>
      <c r="E398" s="24"/>
      <c r="G398" s="24"/>
      <c r="H398" s="24"/>
      <c r="J398" s="24"/>
      <c r="K398" s="24"/>
      <c r="M398" s="24"/>
      <c r="N398" s="24"/>
      <c r="P398" s="24"/>
    </row>
    <row r="399" spans="1:17" x14ac:dyDescent="0.25">
      <c r="B399" s="24"/>
      <c r="E399" s="24"/>
      <c r="G399" s="24"/>
      <c r="H399" s="24"/>
      <c r="J399" s="24"/>
      <c r="K399" s="24"/>
      <c r="M399" s="24"/>
      <c r="N399" s="24"/>
      <c r="P399" s="24"/>
    </row>
    <row r="400" spans="1:17" x14ac:dyDescent="0.25">
      <c r="B400" s="24"/>
      <c r="E400" s="24"/>
      <c r="G400" s="24"/>
      <c r="H400" s="24"/>
      <c r="J400" s="24"/>
      <c r="K400" s="24"/>
      <c r="M400" s="24"/>
      <c r="N400" s="24"/>
      <c r="P400" s="24"/>
    </row>
    <row r="401" spans="2:16" x14ac:dyDescent="0.25">
      <c r="B401" s="24"/>
      <c r="E401" s="24"/>
      <c r="G401" s="24"/>
      <c r="H401" s="24"/>
      <c r="J401" s="24"/>
      <c r="K401" s="24"/>
      <c r="M401" s="24"/>
      <c r="N401" s="24"/>
      <c r="P401" s="24"/>
    </row>
    <row r="402" spans="2:16" x14ac:dyDescent="0.25">
      <c r="B402" s="24"/>
      <c r="E402" s="24"/>
      <c r="G402" s="24"/>
      <c r="H402" s="24"/>
      <c r="J402" s="24"/>
      <c r="K402" s="24"/>
      <c r="M402" s="24"/>
      <c r="N402" s="24"/>
      <c r="P402" s="24"/>
    </row>
    <row r="403" spans="2:16" x14ac:dyDescent="0.25">
      <c r="B403" s="24"/>
      <c r="E403" s="24"/>
      <c r="G403" s="24"/>
      <c r="H403" s="24"/>
      <c r="J403" s="24"/>
      <c r="K403" s="24"/>
      <c r="M403" s="24"/>
      <c r="N403" s="24"/>
      <c r="P403" s="24"/>
    </row>
    <row r="404" spans="2:16" x14ac:dyDescent="0.25">
      <c r="B404" s="24"/>
      <c r="E404" s="24"/>
      <c r="G404" s="24"/>
      <c r="H404" s="24"/>
      <c r="J404" s="24"/>
      <c r="K404" s="24"/>
      <c r="M404" s="24"/>
      <c r="N404" s="24"/>
      <c r="P404" s="24"/>
    </row>
    <row r="405" spans="2:16" x14ac:dyDescent="0.25">
      <c r="B405" s="24"/>
      <c r="E405" s="24"/>
      <c r="G405" s="24"/>
      <c r="H405" s="24"/>
      <c r="J405" s="24"/>
      <c r="K405" s="24"/>
      <c r="M405" s="24"/>
      <c r="N405" s="24"/>
      <c r="P405" s="24"/>
    </row>
    <row r="406" spans="2:16" x14ac:dyDescent="0.25">
      <c r="B406" s="24"/>
      <c r="E406" s="24"/>
      <c r="G406" s="24"/>
      <c r="H406" s="24"/>
      <c r="J406" s="24"/>
      <c r="K406" s="24"/>
      <c r="M406" s="24"/>
      <c r="N406" s="24"/>
      <c r="P406" s="24"/>
    </row>
    <row r="407" spans="2:16" x14ac:dyDescent="0.25">
      <c r="B407" s="24"/>
      <c r="E407" s="24"/>
      <c r="G407" s="24"/>
      <c r="H407" s="24"/>
      <c r="J407" s="24"/>
      <c r="K407" s="24"/>
      <c r="M407" s="24"/>
      <c r="N407" s="24"/>
      <c r="P407" s="24"/>
    </row>
    <row r="408" spans="2:16" x14ac:dyDescent="0.25">
      <c r="B408" s="24"/>
      <c r="E408" s="24"/>
      <c r="G408" s="24"/>
      <c r="H408" s="24"/>
      <c r="J408" s="24"/>
      <c r="K408" s="24"/>
      <c r="M408" s="24"/>
      <c r="N408" s="24"/>
      <c r="P408" s="24"/>
    </row>
    <row r="409" spans="2:16" x14ac:dyDescent="0.25">
      <c r="B409" s="24"/>
      <c r="E409" s="24"/>
      <c r="G409" s="24"/>
      <c r="H409" s="24"/>
      <c r="J409" s="24"/>
      <c r="K409" s="24"/>
      <c r="M409" s="24"/>
      <c r="N409" s="24"/>
      <c r="P409" s="24"/>
    </row>
    <row r="410" spans="2:16" x14ac:dyDescent="0.25">
      <c r="B410" s="24"/>
      <c r="E410" s="24"/>
      <c r="G410" s="24"/>
      <c r="H410" s="24"/>
      <c r="J410" s="24"/>
      <c r="K410" s="24"/>
      <c r="M410" s="24"/>
      <c r="N410" s="24"/>
      <c r="P410" s="24"/>
    </row>
    <row r="411" spans="2:16" x14ac:dyDescent="0.25">
      <c r="B411" s="24"/>
      <c r="E411" s="24"/>
      <c r="G411" s="24"/>
      <c r="H411" s="24"/>
      <c r="J411" s="24"/>
      <c r="K411" s="24"/>
      <c r="M411" s="24"/>
      <c r="N411" s="24"/>
      <c r="P411" s="24"/>
    </row>
    <row r="412" spans="2:16" x14ac:dyDescent="0.25">
      <c r="B412" s="24"/>
      <c r="E412" s="24"/>
      <c r="G412" s="24"/>
      <c r="H412" s="24"/>
      <c r="J412" s="24"/>
      <c r="K412" s="24"/>
      <c r="M412" s="24"/>
      <c r="N412" s="24"/>
      <c r="P412" s="24"/>
    </row>
    <row r="413" spans="2:16" x14ac:dyDescent="0.25">
      <c r="B413" s="24"/>
      <c r="E413" s="24"/>
      <c r="G413" s="24"/>
      <c r="H413" s="24"/>
      <c r="J413" s="24"/>
      <c r="K413" s="24"/>
      <c r="M413" s="24"/>
      <c r="N413" s="24"/>
      <c r="P413" s="24"/>
    </row>
    <row r="414" spans="2:16" x14ac:dyDescent="0.25">
      <c r="B414" s="24"/>
      <c r="E414" s="24"/>
      <c r="G414" s="24"/>
      <c r="H414" s="24"/>
      <c r="J414" s="24"/>
      <c r="K414" s="24"/>
      <c r="M414" s="24"/>
      <c r="N414" s="24"/>
      <c r="P414" s="24"/>
    </row>
    <row r="415" spans="2:16" x14ac:dyDescent="0.25">
      <c r="B415" s="24"/>
      <c r="E415" s="24"/>
      <c r="G415" s="24"/>
      <c r="H415" s="24"/>
      <c r="J415" s="24"/>
      <c r="K415" s="24"/>
      <c r="M415" s="24"/>
      <c r="N415" s="24"/>
      <c r="P415" s="24"/>
    </row>
    <row r="416" spans="2:16" x14ac:dyDescent="0.25">
      <c r="B416" s="24"/>
      <c r="E416" s="24"/>
      <c r="G416" s="24"/>
      <c r="H416" s="24"/>
      <c r="J416" s="24"/>
      <c r="K416" s="24"/>
      <c r="M416" s="24"/>
      <c r="N416" s="24"/>
      <c r="P416" s="24"/>
    </row>
    <row r="417" spans="2:16" x14ac:dyDescent="0.25">
      <c r="B417" s="24"/>
      <c r="E417" s="24"/>
      <c r="G417" s="24"/>
      <c r="H417" s="24"/>
      <c r="J417" s="24"/>
      <c r="K417" s="24"/>
      <c r="M417" s="24"/>
      <c r="N417" s="24"/>
      <c r="P417" s="24"/>
    </row>
    <row r="418" spans="2:16" x14ac:dyDescent="0.25">
      <c r="B418" s="24"/>
      <c r="E418" s="24"/>
      <c r="G418" s="24"/>
      <c r="H418" s="24"/>
      <c r="J418" s="24"/>
      <c r="K418" s="24"/>
      <c r="M418" s="24"/>
      <c r="N418" s="24"/>
      <c r="P418" s="24"/>
    </row>
    <row r="419" spans="2:16" x14ac:dyDescent="0.25">
      <c r="B419" s="24"/>
      <c r="E419" s="24"/>
      <c r="G419" s="24"/>
      <c r="H419" s="24"/>
      <c r="J419" s="24"/>
      <c r="K419" s="24"/>
      <c r="M419" s="24"/>
      <c r="N419" s="24"/>
      <c r="P419" s="24"/>
    </row>
    <row r="420" spans="2:16" x14ac:dyDescent="0.25">
      <c r="B420" s="24"/>
      <c r="E420" s="24"/>
      <c r="G420" s="24"/>
      <c r="H420" s="24"/>
      <c r="J420" s="24"/>
      <c r="K420" s="24"/>
      <c r="M420" s="24"/>
      <c r="N420" s="24"/>
      <c r="P420" s="24"/>
    </row>
    <row r="421" spans="2:16" x14ac:dyDescent="0.25">
      <c r="B421" s="24"/>
      <c r="E421" s="24"/>
      <c r="G421" s="24"/>
      <c r="H421" s="24"/>
      <c r="J421" s="24"/>
      <c r="K421" s="24"/>
      <c r="M421" s="24"/>
      <c r="N421" s="24"/>
      <c r="P421" s="24"/>
    </row>
    <row r="422" spans="2:16" x14ac:dyDescent="0.25">
      <c r="B422" s="24"/>
      <c r="E422" s="24"/>
      <c r="G422" s="24"/>
      <c r="H422" s="24"/>
      <c r="J422" s="24"/>
      <c r="K422" s="24"/>
      <c r="M422" s="24"/>
      <c r="N422" s="24"/>
      <c r="P422" s="24"/>
    </row>
    <row r="423" spans="2:16" x14ac:dyDescent="0.25">
      <c r="B423" s="24"/>
      <c r="E423" s="24"/>
      <c r="G423" s="24"/>
      <c r="H423" s="24"/>
      <c r="J423" s="24"/>
      <c r="K423" s="24"/>
      <c r="M423" s="24"/>
      <c r="N423" s="24"/>
      <c r="P423" s="24"/>
    </row>
    <row r="424" spans="2:16" x14ac:dyDescent="0.25">
      <c r="B424" s="24"/>
      <c r="E424" s="24"/>
      <c r="G424" s="24"/>
      <c r="H424" s="24"/>
      <c r="J424" s="24"/>
      <c r="K424" s="24"/>
      <c r="M424" s="24"/>
      <c r="N424" s="24"/>
      <c r="P424" s="24"/>
    </row>
    <row r="425" spans="2:16" x14ac:dyDescent="0.25">
      <c r="B425" s="24"/>
      <c r="E425" s="24"/>
      <c r="G425" s="24"/>
      <c r="H425" s="24"/>
      <c r="J425" s="24"/>
      <c r="K425" s="24"/>
      <c r="M425" s="24"/>
      <c r="N425" s="24"/>
      <c r="P425" s="24"/>
    </row>
    <row r="426" spans="2:16" x14ac:dyDescent="0.25">
      <c r="B426" s="24"/>
      <c r="E426" s="24"/>
      <c r="G426" s="24"/>
      <c r="H426" s="24"/>
      <c r="J426" s="24"/>
      <c r="K426" s="24"/>
      <c r="M426" s="24"/>
      <c r="N426" s="24"/>
      <c r="P426" s="24"/>
    </row>
    <row r="427" spans="2:16" x14ac:dyDescent="0.25">
      <c r="B427" s="24"/>
      <c r="E427" s="24"/>
      <c r="G427" s="24"/>
      <c r="H427" s="24"/>
      <c r="J427" s="24"/>
      <c r="K427" s="24"/>
      <c r="M427" s="24"/>
      <c r="N427" s="24"/>
      <c r="P427" s="24"/>
    </row>
    <row r="428" spans="2:16" x14ac:dyDescent="0.25">
      <c r="B428" s="24"/>
      <c r="E428" s="24"/>
      <c r="G428" s="24"/>
      <c r="H428" s="24"/>
      <c r="J428" s="24"/>
      <c r="K428" s="24"/>
      <c r="M428" s="24"/>
      <c r="N428" s="24"/>
      <c r="P428" s="24"/>
    </row>
    <row r="429" spans="2:16" x14ac:dyDescent="0.25">
      <c r="B429" s="24"/>
      <c r="E429" s="24"/>
      <c r="G429" s="24"/>
      <c r="H429" s="24"/>
      <c r="J429" s="24"/>
      <c r="K429" s="24"/>
      <c r="M429" s="24"/>
      <c r="N429" s="24"/>
      <c r="P429" s="24"/>
    </row>
    <row r="430" spans="2:16" x14ac:dyDescent="0.25">
      <c r="B430" s="24"/>
      <c r="E430" s="24"/>
      <c r="G430" s="24"/>
      <c r="H430" s="24"/>
      <c r="J430" s="24"/>
      <c r="K430" s="24"/>
      <c r="M430" s="24"/>
      <c r="N430" s="24"/>
      <c r="P430" s="24"/>
    </row>
    <row r="431" spans="2:16" x14ac:dyDescent="0.25">
      <c r="B431" s="24"/>
      <c r="E431" s="24"/>
      <c r="G431" s="24"/>
      <c r="H431" s="24"/>
      <c r="J431" s="24"/>
      <c r="K431" s="24"/>
      <c r="M431" s="24"/>
      <c r="N431" s="24"/>
      <c r="P431" s="24"/>
    </row>
    <row r="432" spans="2:16" x14ac:dyDescent="0.25">
      <c r="B432" s="24"/>
      <c r="E432" s="24"/>
      <c r="G432" s="24"/>
      <c r="H432" s="24"/>
      <c r="J432" s="24"/>
      <c r="K432" s="24"/>
      <c r="M432" s="24"/>
      <c r="N432" s="24"/>
      <c r="P432" s="24"/>
    </row>
    <row r="433" spans="2:16" x14ac:dyDescent="0.25">
      <c r="B433" s="24"/>
      <c r="E433" s="24"/>
      <c r="G433" s="24"/>
      <c r="H433" s="24"/>
      <c r="J433" s="24"/>
      <c r="K433" s="24"/>
      <c r="M433" s="24"/>
      <c r="N433" s="24"/>
      <c r="P433" s="24"/>
    </row>
    <row r="434" spans="2:16" x14ac:dyDescent="0.25">
      <c r="B434" s="24"/>
      <c r="E434" s="24"/>
      <c r="G434" s="24"/>
      <c r="H434" s="24"/>
      <c r="J434" s="24"/>
      <c r="K434" s="24"/>
      <c r="M434" s="24"/>
      <c r="N434" s="24"/>
      <c r="P434" s="24"/>
    </row>
    <row r="435" spans="2:16" x14ac:dyDescent="0.25">
      <c r="B435" s="24"/>
      <c r="E435" s="24"/>
      <c r="G435" s="24"/>
      <c r="H435" s="24"/>
      <c r="J435" s="24"/>
      <c r="K435" s="24"/>
      <c r="M435" s="24"/>
      <c r="N435" s="24"/>
      <c r="P435" s="24"/>
    </row>
    <row r="436" spans="2:16" x14ac:dyDescent="0.25">
      <c r="B436" s="24"/>
      <c r="E436" s="24"/>
      <c r="G436" s="24"/>
      <c r="H436" s="24"/>
      <c r="J436" s="24"/>
      <c r="K436" s="24"/>
      <c r="M436" s="24"/>
      <c r="N436" s="24"/>
      <c r="P436" s="24"/>
    </row>
    <row r="437" spans="2:16" x14ac:dyDescent="0.25">
      <c r="B437" s="24"/>
      <c r="E437" s="24"/>
      <c r="G437" s="24"/>
      <c r="H437" s="24"/>
      <c r="J437" s="24"/>
      <c r="K437" s="24"/>
      <c r="M437" s="24"/>
      <c r="N437" s="24"/>
      <c r="P437" s="24"/>
    </row>
    <row r="438" spans="2:16" x14ac:dyDescent="0.25">
      <c r="B438" s="24"/>
      <c r="E438" s="24"/>
      <c r="G438" s="24"/>
      <c r="H438" s="24"/>
      <c r="J438" s="24"/>
      <c r="K438" s="24"/>
      <c r="M438" s="24"/>
      <c r="N438" s="24"/>
      <c r="P438" s="24"/>
    </row>
    <row r="439" spans="2:16" x14ac:dyDescent="0.25">
      <c r="B439" s="24"/>
      <c r="E439" s="24"/>
      <c r="G439" s="24"/>
      <c r="H439" s="24"/>
      <c r="J439" s="24"/>
      <c r="K439" s="24"/>
      <c r="M439" s="24"/>
      <c r="N439" s="24"/>
      <c r="P439" s="24"/>
    </row>
    <row r="440" spans="2:16" x14ac:dyDescent="0.25">
      <c r="B440" s="24"/>
      <c r="E440" s="24"/>
      <c r="G440" s="24"/>
      <c r="H440" s="24"/>
      <c r="J440" s="24"/>
      <c r="K440" s="24"/>
      <c r="M440" s="24"/>
      <c r="N440" s="24"/>
      <c r="P440" s="24"/>
    </row>
    <row r="441" spans="2:16" x14ac:dyDescent="0.25">
      <c r="B441" s="24"/>
      <c r="E441" s="24"/>
      <c r="G441" s="24"/>
      <c r="H441" s="24"/>
      <c r="J441" s="24"/>
      <c r="K441" s="24"/>
      <c r="M441" s="24"/>
      <c r="N441" s="24"/>
      <c r="P441" s="24"/>
    </row>
    <row r="442" spans="2:16" x14ac:dyDescent="0.25">
      <c r="B442" s="24"/>
      <c r="E442" s="24"/>
      <c r="G442" s="24"/>
      <c r="H442" s="24"/>
      <c r="J442" s="24"/>
      <c r="K442" s="24"/>
      <c r="M442" s="24"/>
      <c r="N442" s="24"/>
      <c r="P442" s="24"/>
    </row>
    <row r="443" spans="2:16" x14ac:dyDescent="0.25">
      <c r="B443" s="24"/>
      <c r="E443" s="24"/>
      <c r="G443" s="24"/>
      <c r="H443" s="24"/>
      <c r="J443" s="24"/>
      <c r="K443" s="24"/>
      <c r="M443" s="24"/>
      <c r="N443" s="24"/>
      <c r="P443" s="24"/>
    </row>
    <row r="444" spans="2:16" x14ac:dyDescent="0.25">
      <c r="B444" s="24"/>
      <c r="E444" s="24"/>
      <c r="G444" s="24"/>
      <c r="H444" s="24"/>
      <c r="J444" s="24"/>
      <c r="K444" s="24"/>
      <c r="M444" s="24"/>
      <c r="N444" s="24"/>
      <c r="P444" s="24"/>
    </row>
    <row r="445" spans="2:16" x14ac:dyDescent="0.25">
      <c r="B445" s="24"/>
      <c r="E445" s="24"/>
      <c r="G445" s="24"/>
      <c r="H445" s="24"/>
      <c r="J445" s="24"/>
      <c r="K445" s="24"/>
      <c r="M445" s="24"/>
      <c r="N445" s="24"/>
      <c r="P445" s="24"/>
    </row>
    <row r="446" spans="2:16" x14ac:dyDescent="0.25">
      <c r="B446" s="24"/>
      <c r="E446" s="24"/>
      <c r="G446" s="24"/>
      <c r="H446" s="24"/>
      <c r="J446" s="24"/>
      <c r="K446" s="24"/>
      <c r="M446" s="24"/>
      <c r="N446" s="24"/>
      <c r="P446" s="24"/>
    </row>
    <row r="447" spans="2:16" x14ac:dyDescent="0.25">
      <c r="B447" s="24"/>
      <c r="E447" s="24"/>
      <c r="G447" s="24"/>
      <c r="H447" s="24"/>
      <c r="J447" s="24"/>
      <c r="K447" s="24"/>
      <c r="M447" s="24"/>
      <c r="N447" s="24"/>
      <c r="P447" s="24"/>
    </row>
    <row r="448" spans="2:16" x14ac:dyDescent="0.25">
      <c r="B448" s="24"/>
      <c r="E448" s="24"/>
      <c r="G448" s="24"/>
      <c r="H448" s="24"/>
      <c r="J448" s="24"/>
      <c r="K448" s="24"/>
      <c r="M448" s="24"/>
      <c r="N448" s="24"/>
      <c r="P448" s="24"/>
    </row>
    <row r="449" spans="2:16" x14ac:dyDescent="0.25">
      <c r="B449" s="24"/>
      <c r="E449" s="24"/>
      <c r="G449" s="24"/>
      <c r="H449" s="24"/>
      <c r="J449" s="24"/>
      <c r="K449" s="24"/>
      <c r="M449" s="24"/>
      <c r="N449" s="24"/>
      <c r="P449" s="24"/>
    </row>
    <row r="450" spans="2:16" x14ac:dyDescent="0.25">
      <c r="B450" s="24"/>
      <c r="E450" s="24"/>
      <c r="G450" s="24"/>
      <c r="H450" s="24"/>
      <c r="J450" s="24"/>
      <c r="K450" s="24"/>
      <c r="M450" s="24"/>
      <c r="N450" s="24"/>
      <c r="P450" s="24"/>
    </row>
    <row r="451" spans="2:16" x14ac:dyDescent="0.25">
      <c r="B451" s="24"/>
      <c r="E451" s="24"/>
      <c r="G451" s="24"/>
      <c r="H451" s="24"/>
      <c r="J451" s="24"/>
      <c r="K451" s="24"/>
      <c r="M451" s="24"/>
      <c r="N451" s="24"/>
      <c r="P451" s="24"/>
    </row>
    <row r="452" spans="2:16" x14ac:dyDescent="0.25">
      <c r="B452" s="24"/>
      <c r="E452" s="24"/>
      <c r="G452" s="24"/>
      <c r="H452" s="24"/>
      <c r="J452" s="24"/>
      <c r="K452" s="24"/>
      <c r="M452" s="24"/>
      <c r="N452" s="24"/>
      <c r="P452" s="24"/>
    </row>
    <row r="453" spans="2:16" x14ac:dyDescent="0.25">
      <c r="B453" s="24"/>
      <c r="E453" s="24"/>
      <c r="G453" s="24"/>
      <c r="H453" s="24"/>
      <c r="J453" s="24"/>
      <c r="K453" s="24"/>
      <c r="M453" s="24"/>
      <c r="N453" s="24"/>
      <c r="P453" s="24"/>
    </row>
    <row r="454" spans="2:16" x14ac:dyDescent="0.25">
      <c r="B454" s="24"/>
      <c r="E454" s="24"/>
      <c r="G454" s="24"/>
      <c r="H454" s="24"/>
      <c r="J454" s="24"/>
      <c r="K454" s="24"/>
      <c r="M454" s="24"/>
      <c r="N454" s="24"/>
      <c r="P454" s="24"/>
    </row>
    <row r="455" spans="2:16" x14ac:dyDescent="0.25">
      <c r="B455" s="24"/>
      <c r="E455" s="24"/>
      <c r="G455" s="24"/>
      <c r="H455" s="24"/>
      <c r="J455" s="24"/>
      <c r="K455" s="24"/>
      <c r="M455" s="24"/>
      <c r="N455" s="24"/>
      <c r="P455" s="24"/>
    </row>
    <row r="456" spans="2:16" x14ac:dyDescent="0.25">
      <c r="B456" s="24"/>
      <c r="E456" s="24"/>
      <c r="G456" s="24"/>
      <c r="H456" s="24"/>
      <c r="J456" s="24"/>
      <c r="K456" s="24"/>
      <c r="M456" s="24"/>
      <c r="N456" s="24"/>
      <c r="P456" s="24"/>
    </row>
    <row r="457" spans="2:16" x14ac:dyDescent="0.25">
      <c r="B457" s="24"/>
      <c r="E457" s="24"/>
      <c r="G457" s="24"/>
      <c r="H457" s="24"/>
      <c r="J457" s="24"/>
      <c r="K457" s="24"/>
      <c r="M457" s="24"/>
      <c r="N457" s="24"/>
      <c r="P457" s="24"/>
    </row>
    <row r="458" spans="2:16" x14ac:dyDescent="0.25">
      <c r="B458" s="24"/>
      <c r="E458" s="24"/>
      <c r="G458" s="24"/>
      <c r="H458" s="24"/>
      <c r="J458" s="24"/>
      <c r="K458" s="24"/>
      <c r="M458" s="24"/>
      <c r="N458" s="24"/>
      <c r="P458" s="24"/>
    </row>
    <row r="459" spans="2:16" x14ac:dyDescent="0.25">
      <c r="B459" s="24"/>
      <c r="E459" s="24"/>
      <c r="G459" s="24"/>
      <c r="H459" s="24"/>
      <c r="J459" s="24"/>
      <c r="K459" s="24"/>
      <c r="M459" s="24"/>
      <c r="N459" s="24"/>
      <c r="P459" s="24"/>
    </row>
    <row r="460" spans="2:16" x14ac:dyDescent="0.25">
      <c r="B460" s="24"/>
      <c r="E460" s="24"/>
      <c r="G460" s="24"/>
      <c r="H460" s="24"/>
      <c r="J460" s="24"/>
      <c r="K460" s="24"/>
      <c r="M460" s="24"/>
      <c r="N460" s="24"/>
      <c r="P460" s="24"/>
    </row>
    <row r="461" spans="2:16" x14ac:dyDescent="0.25">
      <c r="B461" s="24"/>
      <c r="E461" s="24"/>
      <c r="G461" s="24"/>
      <c r="H461" s="24"/>
      <c r="J461" s="24"/>
      <c r="K461" s="24"/>
      <c r="M461" s="24"/>
      <c r="N461" s="24"/>
      <c r="P461" s="24"/>
    </row>
    <row r="462" spans="2:16" x14ac:dyDescent="0.25">
      <c r="B462" s="24"/>
      <c r="E462" s="24"/>
      <c r="G462" s="24"/>
      <c r="H462" s="24"/>
      <c r="J462" s="24"/>
      <c r="K462" s="24"/>
      <c r="M462" s="24"/>
      <c r="N462" s="24"/>
      <c r="P462" s="24"/>
    </row>
    <row r="463" spans="2:16" x14ac:dyDescent="0.25">
      <c r="B463" s="24"/>
      <c r="E463" s="24"/>
      <c r="G463" s="24"/>
      <c r="H463" s="24"/>
      <c r="J463" s="24"/>
      <c r="K463" s="24"/>
      <c r="M463" s="24"/>
      <c r="N463" s="24"/>
      <c r="P463" s="24"/>
    </row>
    <row r="464" spans="2:16" x14ac:dyDescent="0.25">
      <c r="B464" s="24"/>
      <c r="E464" s="24"/>
      <c r="G464" s="24"/>
      <c r="H464" s="24"/>
      <c r="J464" s="24"/>
      <c r="K464" s="24"/>
      <c r="M464" s="24"/>
      <c r="N464" s="24"/>
      <c r="P464" s="24"/>
    </row>
    <row r="465" spans="2:16" x14ac:dyDescent="0.25">
      <c r="B465" s="24"/>
      <c r="E465" s="24"/>
      <c r="G465" s="24"/>
      <c r="H465" s="24"/>
      <c r="J465" s="24"/>
      <c r="K465" s="24"/>
      <c r="M465" s="24"/>
      <c r="N465" s="24"/>
      <c r="P465" s="24"/>
    </row>
    <row r="466" spans="2:16" x14ac:dyDescent="0.25">
      <c r="B466" s="24"/>
      <c r="E466" s="24"/>
      <c r="G466" s="24"/>
      <c r="H466" s="24"/>
      <c r="J466" s="24"/>
      <c r="K466" s="24"/>
      <c r="M466" s="24"/>
      <c r="N466" s="24"/>
      <c r="P466" s="24"/>
    </row>
    <row r="467" spans="2:16" x14ac:dyDescent="0.25">
      <c r="B467" s="24"/>
      <c r="E467" s="24"/>
      <c r="G467" s="24"/>
      <c r="H467" s="24"/>
      <c r="J467" s="24"/>
      <c r="K467" s="24"/>
      <c r="M467" s="24"/>
      <c r="N467" s="24"/>
      <c r="P467" s="24"/>
    </row>
    <row r="468" spans="2:16" x14ac:dyDescent="0.25">
      <c r="B468" s="24"/>
      <c r="E468" s="24"/>
      <c r="G468" s="24"/>
      <c r="H468" s="24"/>
      <c r="J468" s="24"/>
      <c r="K468" s="24"/>
      <c r="M468" s="24"/>
      <c r="N468" s="24"/>
      <c r="P468" s="24"/>
    </row>
    <row r="469" spans="2:16" x14ac:dyDescent="0.25">
      <c r="B469" s="24"/>
      <c r="E469" s="24"/>
      <c r="G469" s="24"/>
      <c r="H469" s="24"/>
      <c r="J469" s="24"/>
      <c r="K469" s="24"/>
      <c r="M469" s="24"/>
      <c r="N469" s="24"/>
      <c r="P469" s="24"/>
    </row>
    <row r="470" spans="2:16" x14ac:dyDescent="0.25">
      <c r="B470" s="24"/>
      <c r="E470" s="24"/>
      <c r="G470" s="24"/>
      <c r="H470" s="24"/>
      <c r="J470" s="24"/>
      <c r="K470" s="24"/>
      <c r="M470" s="24"/>
      <c r="N470" s="24"/>
      <c r="P470" s="24"/>
    </row>
    <row r="471" spans="2:16" x14ac:dyDescent="0.25">
      <c r="B471" s="24"/>
      <c r="E471" s="24"/>
      <c r="G471" s="24"/>
      <c r="H471" s="24"/>
      <c r="J471" s="24"/>
      <c r="K471" s="24"/>
      <c r="M471" s="24"/>
      <c r="N471" s="24"/>
      <c r="P471" s="24"/>
    </row>
    <row r="472" spans="2:16" x14ac:dyDescent="0.25">
      <c r="B472" s="24"/>
      <c r="E472" s="24"/>
      <c r="G472" s="24"/>
      <c r="H472" s="24"/>
      <c r="J472" s="24"/>
      <c r="K472" s="24"/>
      <c r="M472" s="24"/>
      <c r="N472" s="24"/>
      <c r="P472" s="24"/>
    </row>
    <row r="473" spans="2:16" x14ac:dyDescent="0.25">
      <c r="B473" s="24"/>
      <c r="E473" s="24"/>
      <c r="G473" s="24"/>
      <c r="H473" s="24"/>
      <c r="J473" s="24"/>
      <c r="K473" s="24"/>
      <c r="M473" s="24"/>
      <c r="N473" s="24"/>
      <c r="P473" s="24"/>
    </row>
    <row r="474" spans="2:16" x14ac:dyDescent="0.25">
      <c r="B474" s="24"/>
      <c r="E474" s="24"/>
      <c r="G474" s="24"/>
      <c r="H474" s="24"/>
      <c r="J474" s="24"/>
      <c r="K474" s="24"/>
      <c r="M474" s="24"/>
      <c r="N474" s="24"/>
      <c r="P474" s="24"/>
    </row>
    <row r="475" spans="2:16" x14ac:dyDescent="0.25">
      <c r="B475" s="24"/>
      <c r="E475" s="24"/>
      <c r="G475" s="24"/>
      <c r="H475" s="24"/>
      <c r="J475" s="24"/>
      <c r="K475" s="24"/>
      <c r="M475" s="24"/>
      <c r="N475" s="24"/>
      <c r="P475" s="24"/>
    </row>
    <row r="476" spans="2:16" x14ac:dyDescent="0.25">
      <c r="B476" s="24"/>
      <c r="E476" s="24"/>
      <c r="G476" s="24"/>
      <c r="H476" s="24"/>
      <c r="J476" s="24"/>
      <c r="K476" s="24"/>
      <c r="M476" s="24"/>
      <c r="N476" s="24"/>
      <c r="P476" s="24"/>
    </row>
    <row r="477" spans="2:16" x14ac:dyDescent="0.25">
      <c r="B477" s="24"/>
      <c r="E477" s="24"/>
      <c r="G477" s="24"/>
      <c r="H477" s="24"/>
      <c r="J477" s="24"/>
      <c r="K477" s="24"/>
      <c r="M477" s="24"/>
      <c r="N477" s="24"/>
      <c r="P477" s="24"/>
    </row>
    <row r="478" spans="2:16" x14ac:dyDescent="0.25">
      <c r="B478" s="24"/>
      <c r="E478" s="24"/>
      <c r="G478" s="24"/>
      <c r="H478" s="24"/>
      <c r="J478" s="24"/>
      <c r="K478" s="24"/>
      <c r="M478" s="24"/>
      <c r="N478" s="24"/>
      <c r="P478" s="24"/>
    </row>
    <row r="479" spans="2:16" x14ac:dyDescent="0.25">
      <c r="B479" s="24"/>
      <c r="E479" s="24"/>
      <c r="G479" s="24"/>
      <c r="H479" s="24"/>
      <c r="J479" s="24"/>
      <c r="K479" s="24"/>
      <c r="M479" s="24"/>
      <c r="N479" s="24"/>
      <c r="P479" s="24"/>
    </row>
    <row r="480" spans="2:16" x14ac:dyDescent="0.25">
      <c r="B480" s="24"/>
      <c r="E480" s="24"/>
      <c r="G480" s="24"/>
      <c r="H480" s="24"/>
      <c r="J480" s="24"/>
      <c r="K480" s="24"/>
      <c r="M480" s="24"/>
      <c r="N480" s="24"/>
      <c r="P480" s="24"/>
    </row>
    <row r="481" spans="2:16" x14ac:dyDescent="0.25">
      <c r="B481" s="24"/>
      <c r="E481" s="24"/>
      <c r="G481" s="24"/>
      <c r="H481" s="24"/>
      <c r="J481" s="24"/>
      <c r="K481" s="24"/>
      <c r="M481" s="24"/>
      <c r="N481" s="24"/>
      <c r="P481" s="24"/>
    </row>
    <row r="482" spans="2:16" x14ac:dyDescent="0.25">
      <c r="B482" s="24"/>
      <c r="E482" s="24"/>
      <c r="G482" s="24"/>
      <c r="H482" s="24"/>
      <c r="J482" s="24"/>
      <c r="K482" s="24"/>
      <c r="M482" s="24"/>
      <c r="N482" s="24"/>
      <c r="P482" s="24"/>
    </row>
    <row r="483" spans="2:16" x14ac:dyDescent="0.25">
      <c r="B483" s="24"/>
      <c r="E483" s="24"/>
      <c r="G483" s="24"/>
      <c r="H483" s="24"/>
      <c r="J483" s="24"/>
      <c r="K483" s="24"/>
      <c r="M483" s="24"/>
      <c r="N483" s="24"/>
      <c r="P483" s="24"/>
    </row>
    <row r="484" spans="2:16" x14ac:dyDescent="0.25">
      <c r="B484" s="24"/>
      <c r="E484" s="24"/>
      <c r="G484" s="24"/>
      <c r="H484" s="24"/>
      <c r="J484" s="24"/>
      <c r="K484" s="24"/>
      <c r="M484" s="24"/>
      <c r="N484" s="24"/>
      <c r="P484" s="24"/>
    </row>
    <row r="485" spans="2:16" x14ac:dyDescent="0.25">
      <c r="B485" s="24"/>
      <c r="E485" s="24"/>
      <c r="G485" s="24"/>
      <c r="H485" s="24"/>
      <c r="J485" s="24"/>
      <c r="K485" s="24"/>
      <c r="M485" s="24"/>
      <c r="N485" s="24"/>
      <c r="P485" s="24"/>
    </row>
    <row r="486" spans="2:16" x14ac:dyDescent="0.25">
      <c r="B486" s="24"/>
      <c r="E486" s="24"/>
      <c r="G486" s="24"/>
      <c r="H486" s="24"/>
      <c r="J486" s="24"/>
      <c r="K486" s="24"/>
      <c r="M486" s="24"/>
      <c r="N486" s="24"/>
      <c r="P486" s="24"/>
    </row>
    <row r="487" spans="2:16" x14ac:dyDescent="0.25">
      <c r="B487" s="24"/>
      <c r="E487" s="24"/>
      <c r="G487" s="24"/>
      <c r="H487" s="24"/>
      <c r="J487" s="24"/>
      <c r="K487" s="24"/>
      <c r="M487" s="24"/>
      <c r="N487" s="24"/>
      <c r="P487" s="24"/>
    </row>
    <row r="488" spans="2:16" x14ac:dyDescent="0.25">
      <c r="B488" s="24"/>
      <c r="E488" s="24"/>
      <c r="G488" s="24"/>
      <c r="H488" s="24"/>
      <c r="J488" s="24"/>
      <c r="K488" s="24"/>
      <c r="M488" s="24"/>
      <c r="N488" s="24"/>
      <c r="P488" s="24"/>
    </row>
    <row r="489" spans="2:16" x14ac:dyDescent="0.25">
      <c r="B489" s="24"/>
      <c r="E489" s="24"/>
      <c r="G489" s="24"/>
      <c r="H489" s="24"/>
      <c r="J489" s="24"/>
      <c r="K489" s="24"/>
      <c r="M489" s="24"/>
      <c r="N489" s="24"/>
      <c r="P489" s="24"/>
    </row>
    <row r="490" spans="2:16" x14ac:dyDescent="0.25">
      <c r="B490" s="24"/>
      <c r="E490" s="24"/>
      <c r="G490" s="24"/>
      <c r="H490" s="24"/>
      <c r="J490" s="24"/>
      <c r="K490" s="24"/>
      <c r="M490" s="24"/>
      <c r="N490" s="24"/>
      <c r="P490" s="24"/>
    </row>
    <row r="491" spans="2:16" x14ac:dyDescent="0.25">
      <c r="B491" s="24"/>
      <c r="E491" s="24"/>
      <c r="G491" s="24"/>
      <c r="H491" s="24"/>
      <c r="J491" s="24"/>
      <c r="K491" s="24"/>
      <c r="M491" s="24"/>
      <c r="N491" s="24"/>
      <c r="P491" s="24"/>
    </row>
    <row r="492" spans="2:16" x14ac:dyDescent="0.25">
      <c r="B492" s="24"/>
      <c r="E492" s="24"/>
      <c r="G492" s="24"/>
      <c r="H492" s="24"/>
      <c r="J492" s="24"/>
      <c r="K492" s="24"/>
      <c r="M492" s="24"/>
      <c r="N492" s="24"/>
      <c r="P492" s="24"/>
    </row>
    <row r="493" spans="2:16" x14ac:dyDescent="0.25">
      <c r="B493" s="24"/>
      <c r="E493" s="24"/>
      <c r="G493" s="24"/>
      <c r="H493" s="24"/>
      <c r="J493" s="24"/>
      <c r="K493" s="24"/>
      <c r="M493" s="24"/>
      <c r="N493" s="24"/>
      <c r="P493" s="24"/>
    </row>
    <row r="494" spans="2:16" x14ac:dyDescent="0.25">
      <c r="B494" s="24"/>
      <c r="E494" s="24"/>
      <c r="G494" s="24"/>
      <c r="H494" s="24"/>
      <c r="J494" s="24"/>
      <c r="K494" s="24"/>
      <c r="M494" s="24"/>
      <c r="N494" s="24"/>
      <c r="P494" s="24"/>
    </row>
    <row r="495" spans="2:16" x14ac:dyDescent="0.25">
      <c r="B495" s="24"/>
      <c r="E495" s="24"/>
      <c r="G495" s="24"/>
      <c r="H495" s="24"/>
      <c r="J495" s="24"/>
      <c r="K495" s="24"/>
      <c r="M495" s="24"/>
      <c r="N495" s="24"/>
      <c r="P495" s="24"/>
    </row>
    <row r="496" spans="2:16" x14ac:dyDescent="0.25">
      <c r="B496" s="24"/>
      <c r="E496" s="24"/>
      <c r="G496" s="24"/>
      <c r="H496" s="24"/>
      <c r="J496" s="24"/>
      <c r="K496" s="24"/>
      <c r="M496" s="24"/>
      <c r="N496" s="24"/>
      <c r="P496" s="24"/>
    </row>
    <row r="497" spans="2:16" x14ac:dyDescent="0.25">
      <c r="B497" s="24"/>
      <c r="E497" s="24"/>
      <c r="G497" s="24"/>
      <c r="H497" s="24"/>
      <c r="J497" s="24"/>
      <c r="K497" s="24"/>
      <c r="M497" s="24"/>
      <c r="N497" s="24"/>
      <c r="P497" s="24"/>
    </row>
    <row r="498" spans="2:16" x14ac:dyDescent="0.25">
      <c r="B498" s="24"/>
      <c r="E498" s="24"/>
      <c r="G498" s="24"/>
      <c r="H498" s="24"/>
      <c r="J498" s="24"/>
      <c r="K498" s="24"/>
      <c r="M498" s="24"/>
      <c r="N498" s="24"/>
      <c r="P498" s="24"/>
    </row>
    <row r="499" spans="2:16" x14ac:dyDescent="0.25">
      <c r="B499" s="24"/>
      <c r="E499" s="24"/>
      <c r="G499" s="24"/>
      <c r="H499" s="24"/>
      <c r="J499" s="24"/>
      <c r="K499" s="24"/>
      <c r="M499" s="24"/>
      <c r="N499" s="24"/>
      <c r="P499" s="24"/>
    </row>
    <row r="500" spans="2:16" x14ac:dyDescent="0.25">
      <c r="B500" s="24"/>
      <c r="E500" s="24"/>
      <c r="G500" s="24"/>
      <c r="H500" s="24"/>
      <c r="J500" s="24"/>
      <c r="K500" s="24"/>
      <c r="M500" s="24"/>
      <c r="N500" s="24"/>
      <c r="P500" s="24"/>
    </row>
    <row r="501" spans="2:16" x14ac:dyDescent="0.25">
      <c r="B501" s="24"/>
      <c r="E501" s="24"/>
      <c r="G501" s="24"/>
      <c r="H501" s="24"/>
      <c r="J501" s="24"/>
      <c r="K501" s="24"/>
      <c r="M501" s="24"/>
      <c r="N501" s="24"/>
      <c r="P501" s="24"/>
    </row>
    <row r="502" spans="2:16" x14ac:dyDescent="0.25">
      <c r="B502" s="24"/>
      <c r="E502" s="24"/>
      <c r="G502" s="24"/>
      <c r="H502" s="24"/>
      <c r="J502" s="24"/>
      <c r="K502" s="24"/>
      <c r="M502" s="24"/>
      <c r="N502" s="24"/>
      <c r="P502" s="24"/>
    </row>
    <row r="503" spans="2:16" x14ac:dyDescent="0.25">
      <c r="B503" s="24"/>
      <c r="E503" s="24"/>
      <c r="G503" s="24"/>
      <c r="H503" s="24"/>
      <c r="J503" s="24"/>
      <c r="K503" s="24"/>
      <c r="M503" s="24"/>
      <c r="N503" s="24"/>
      <c r="P503" s="24"/>
    </row>
    <row r="504" spans="2:16" x14ac:dyDescent="0.25">
      <c r="B504" s="24"/>
      <c r="E504" s="24"/>
      <c r="G504" s="24"/>
      <c r="H504" s="24"/>
      <c r="J504" s="24"/>
      <c r="K504" s="24"/>
      <c r="M504" s="24"/>
      <c r="N504" s="24"/>
      <c r="P504" s="24"/>
    </row>
    <row r="505" spans="2:16" x14ac:dyDescent="0.25">
      <c r="B505" s="24"/>
      <c r="E505" s="24"/>
      <c r="G505" s="24"/>
      <c r="H505" s="24"/>
      <c r="J505" s="24"/>
      <c r="K505" s="24"/>
      <c r="M505" s="24"/>
      <c r="N505" s="24"/>
      <c r="P505" s="24"/>
    </row>
    <row r="506" spans="2:16" x14ac:dyDescent="0.25">
      <c r="B506" s="24"/>
      <c r="E506" s="24"/>
      <c r="G506" s="24"/>
      <c r="H506" s="24"/>
      <c r="J506" s="24"/>
      <c r="K506" s="24"/>
      <c r="M506" s="24"/>
      <c r="N506" s="24"/>
      <c r="P506" s="24"/>
    </row>
    <row r="507" spans="2:16" x14ac:dyDescent="0.25">
      <c r="B507" s="24"/>
      <c r="E507" s="24"/>
      <c r="G507" s="24"/>
      <c r="H507" s="24"/>
      <c r="J507" s="24"/>
      <c r="K507" s="24"/>
      <c r="M507" s="24"/>
      <c r="N507" s="24"/>
      <c r="P507" s="24"/>
    </row>
    <row r="508" spans="2:16" x14ac:dyDescent="0.25">
      <c r="B508" s="24"/>
      <c r="E508" s="24"/>
      <c r="G508" s="24"/>
      <c r="H508" s="24"/>
      <c r="J508" s="24"/>
      <c r="K508" s="24"/>
      <c r="M508" s="24"/>
      <c r="N508" s="24"/>
      <c r="P508" s="24"/>
    </row>
    <row r="509" spans="2:16" x14ac:dyDescent="0.25">
      <c r="B509" s="24"/>
      <c r="E509" s="24"/>
      <c r="G509" s="24"/>
      <c r="H509" s="24"/>
      <c r="J509" s="24"/>
      <c r="K509" s="24"/>
      <c r="M509" s="24"/>
      <c r="N509" s="24"/>
      <c r="P509" s="24"/>
    </row>
    <row r="510" spans="2:16" x14ac:dyDescent="0.25">
      <c r="B510" s="24"/>
      <c r="E510" s="24"/>
      <c r="G510" s="24"/>
      <c r="H510" s="24"/>
      <c r="J510" s="24"/>
      <c r="K510" s="24"/>
      <c r="M510" s="24"/>
      <c r="N510" s="24"/>
      <c r="P510" s="24"/>
    </row>
    <row r="511" spans="2:16" x14ac:dyDescent="0.25">
      <c r="B511" s="24"/>
      <c r="E511" s="24"/>
      <c r="G511" s="24"/>
      <c r="H511" s="24"/>
      <c r="J511" s="24"/>
      <c r="K511" s="24"/>
      <c r="M511" s="24"/>
      <c r="N511" s="24"/>
      <c r="P511" s="24"/>
    </row>
    <row r="512" spans="2:16" x14ac:dyDescent="0.25">
      <c r="B512" s="24"/>
      <c r="E512" s="24"/>
      <c r="G512" s="24"/>
      <c r="H512" s="24"/>
      <c r="J512" s="24"/>
      <c r="K512" s="24"/>
      <c r="M512" s="24"/>
      <c r="N512" s="24"/>
      <c r="P512" s="24"/>
    </row>
    <row r="513" spans="2:16" x14ac:dyDescent="0.25">
      <c r="B513" s="24"/>
      <c r="E513" s="24"/>
      <c r="G513" s="24"/>
      <c r="H513" s="24"/>
      <c r="J513" s="24"/>
      <c r="K513" s="24"/>
      <c r="M513" s="24"/>
      <c r="N513" s="24"/>
      <c r="P513" s="24"/>
    </row>
    <row r="514" spans="2:16" x14ac:dyDescent="0.25">
      <c r="B514" s="24"/>
      <c r="E514" s="24"/>
      <c r="G514" s="24"/>
      <c r="H514" s="24"/>
      <c r="J514" s="24"/>
      <c r="K514" s="24"/>
      <c r="M514" s="24"/>
      <c r="N514" s="24"/>
      <c r="P514" s="24"/>
    </row>
    <row r="515" spans="2:16" x14ac:dyDescent="0.25">
      <c r="B515" s="24"/>
      <c r="E515" s="24"/>
      <c r="G515" s="24"/>
      <c r="H515" s="24"/>
      <c r="J515" s="24"/>
      <c r="K515" s="24"/>
      <c r="M515" s="24"/>
      <c r="N515" s="24"/>
      <c r="P515" s="24"/>
    </row>
    <row r="516" spans="2:16" x14ac:dyDescent="0.25">
      <c r="B516" s="24"/>
      <c r="E516" s="24"/>
      <c r="G516" s="24"/>
      <c r="H516" s="24"/>
      <c r="J516" s="24"/>
      <c r="K516" s="24"/>
      <c r="M516" s="24"/>
      <c r="N516" s="24"/>
      <c r="P516" s="24"/>
    </row>
    <row r="517" spans="2:16" x14ac:dyDescent="0.25">
      <c r="B517" s="24"/>
      <c r="E517" s="24"/>
      <c r="G517" s="24"/>
      <c r="H517" s="24"/>
      <c r="J517" s="24"/>
      <c r="K517" s="24"/>
      <c r="M517" s="24"/>
      <c r="N517" s="24"/>
      <c r="P517" s="24"/>
    </row>
    <row r="518" spans="2:16" x14ac:dyDescent="0.25">
      <c r="B518" s="24"/>
      <c r="E518" s="24"/>
      <c r="G518" s="24"/>
      <c r="H518" s="24"/>
      <c r="J518" s="24"/>
      <c r="K518" s="24"/>
      <c r="M518" s="24"/>
      <c r="N518" s="24"/>
      <c r="P518" s="24"/>
    </row>
    <row r="519" spans="2:16" x14ac:dyDescent="0.25">
      <c r="B519" s="24"/>
      <c r="E519" s="24"/>
      <c r="G519" s="24"/>
      <c r="H519" s="24"/>
      <c r="J519" s="24"/>
      <c r="K519" s="24"/>
      <c r="M519" s="24"/>
      <c r="N519" s="24"/>
      <c r="P519" s="24"/>
    </row>
    <row r="520" spans="2:16" x14ac:dyDescent="0.25">
      <c r="B520" s="24"/>
      <c r="E520" s="24"/>
      <c r="G520" s="24"/>
      <c r="H520" s="24"/>
      <c r="J520" s="24"/>
      <c r="K520" s="24"/>
      <c r="M520" s="24"/>
      <c r="N520" s="24"/>
      <c r="P520" s="24"/>
    </row>
    <row r="521" spans="2:16" x14ac:dyDescent="0.25">
      <c r="B521" s="24"/>
      <c r="E521" s="24"/>
      <c r="G521" s="24"/>
      <c r="H521" s="24"/>
      <c r="J521" s="24"/>
      <c r="K521" s="24"/>
      <c r="M521" s="24"/>
      <c r="N521" s="24"/>
      <c r="P521" s="24"/>
    </row>
    <row r="522" spans="2:16" x14ac:dyDescent="0.25">
      <c r="B522" s="24"/>
      <c r="E522" s="24"/>
      <c r="G522" s="24"/>
      <c r="H522" s="24"/>
      <c r="J522" s="24"/>
      <c r="K522" s="24"/>
      <c r="M522" s="24"/>
      <c r="N522" s="24"/>
      <c r="P522" s="24"/>
    </row>
    <row r="523" spans="2:16" x14ac:dyDescent="0.25">
      <c r="B523" s="24"/>
      <c r="E523" s="24"/>
      <c r="G523" s="24"/>
      <c r="H523" s="24"/>
      <c r="J523" s="24"/>
      <c r="K523" s="24"/>
      <c r="M523" s="24"/>
      <c r="N523" s="24"/>
      <c r="P523" s="24"/>
    </row>
    <row r="524" spans="2:16" x14ac:dyDescent="0.25">
      <c r="B524" s="24"/>
      <c r="E524" s="24"/>
      <c r="G524" s="24"/>
      <c r="H524" s="24"/>
      <c r="J524" s="24"/>
      <c r="K524" s="24"/>
      <c r="M524" s="24"/>
      <c r="N524" s="24"/>
      <c r="P524" s="24"/>
    </row>
    <row r="525" spans="2:16" x14ac:dyDescent="0.25">
      <c r="B525" s="24"/>
      <c r="E525" s="24"/>
      <c r="G525" s="24"/>
      <c r="H525" s="24"/>
      <c r="J525" s="24"/>
      <c r="K525" s="24"/>
      <c r="M525" s="24"/>
      <c r="N525" s="24"/>
      <c r="P525" s="24"/>
    </row>
    <row r="526" spans="2:16" x14ac:dyDescent="0.25">
      <c r="B526" s="24"/>
      <c r="E526" s="24"/>
      <c r="G526" s="24"/>
      <c r="H526" s="24"/>
      <c r="J526" s="24"/>
      <c r="K526" s="24"/>
      <c r="M526" s="24"/>
      <c r="N526" s="24"/>
      <c r="P526" s="24"/>
    </row>
    <row r="527" spans="2:16" x14ac:dyDescent="0.25">
      <c r="B527" s="24"/>
      <c r="E527" s="24"/>
      <c r="G527" s="24"/>
      <c r="H527" s="24"/>
      <c r="J527" s="24"/>
      <c r="K527" s="24"/>
      <c r="M527" s="24"/>
      <c r="N527" s="24"/>
      <c r="P527" s="24"/>
    </row>
    <row r="528" spans="2:16" x14ac:dyDescent="0.25">
      <c r="B528" s="24"/>
      <c r="E528" s="24"/>
      <c r="G528" s="24"/>
      <c r="H528" s="24"/>
      <c r="J528" s="24"/>
      <c r="K528" s="24"/>
      <c r="M528" s="24"/>
      <c r="N528" s="24"/>
      <c r="P528" s="24"/>
    </row>
    <row r="529" spans="2:16" x14ac:dyDescent="0.25">
      <c r="B529" s="24"/>
      <c r="E529" s="24"/>
      <c r="G529" s="24"/>
      <c r="H529" s="24"/>
      <c r="J529" s="24"/>
      <c r="K529" s="24"/>
      <c r="M529" s="24"/>
      <c r="N529" s="24"/>
      <c r="P529" s="24"/>
    </row>
    <row r="530" spans="2:16" x14ac:dyDescent="0.25">
      <c r="B530" s="24"/>
      <c r="E530" s="24"/>
      <c r="G530" s="24"/>
      <c r="H530" s="24"/>
      <c r="J530" s="24"/>
      <c r="K530" s="24"/>
      <c r="M530" s="24"/>
      <c r="N530" s="24"/>
      <c r="P530" s="24"/>
    </row>
    <row r="531" spans="2:16" x14ac:dyDescent="0.25">
      <c r="B531" s="24"/>
      <c r="E531" s="24"/>
      <c r="G531" s="24"/>
      <c r="H531" s="24"/>
      <c r="J531" s="24"/>
      <c r="K531" s="24"/>
      <c r="M531" s="24"/>
      <c r="N531" s="24"/>
      <c r="P531" s="24"/>
    </row>
    <row r="532" spans="2:16" x14ac:dyDescent="0.25">
      <c r="B532" s="24"/>
      <c r="E532" s="24"/>
      <c r="G532" s="24"/>
      <c r="H532" s="24"/>
      <c r="J532" s="24"/>
      <c r="K532" s="24"/>
      <c r="M532" s="24"/>
      <c r="N532" s="24"/>
      <c r="P532" s="24"/>
    </row>
    <row r="533" spans="2:16" x14ac:dyDescent="0.25">
      <c r="B533" s="24"/>
      <c r="E533" s="24"/>
      <c r="G533" s="24"/>
      <c r="H533" s="24"/>
      <c r="J533" s="24"/>
      <c r="K533" s="24"/>
      <c r="M533" s="24"/>
      <c r="N533" s="24"/>
      <c r="P533" s="24"/>
    </row>
    <row r="534" spans="2:16" x14ac:dyDescent="0.25">
      <c r="B534" s="24"/>
      <c r="E534" s="24"/>
      <c r="G534" s="24"/>
      <c r="H534" s="24"/>
      <c r="J534" s="24"/>
      <c r="K534" s="24"/>
      <c r="M534" s="24"/>
      <c r="N534" s="24"/>
      <c r="P534" s="24"/>
    </row>
    <row r="535" spans="2:16" x14ac:dyDescent="0.25">
      <c r="B535" s="24"/>
      <c r="E535" s="24"/>
      <c r="G535" s="24"/>
      <c r="H535" s="24"/>
      <c r="J535" s="24"/>
      <c r="K535" s="24"/>
      <c r="M535" s="24"/>
      <c r="N535" s="24"/>
      <c r="P535" s="24"/>
    </row>
    <row r="536" spans="2:16" x14ac:dyDescent="0.25">
      <c r="B536" s="24"/>
      <c r="E536" s="24"/>
      <c r="G536" s="24"/>
      <c r="H536" s="24"/>
      <c r="J536" s="24"/>
      <c r="K536" s="24"/>
      <c r="M536" s="24"/>
      <c r="N536" s="24"/>
      <c r="P536" s="24"/>
    </row>
    <row r="537" spans="2:16" x14ac:dyDescent="0.25">
      <c r="B537" s="24"/>
      <c r="E537" s="24"/>
      <c r="G537" s="24"/>
      <c r="H537" s="24"/>
      <c r="J537" s="24"/>
      <c r="K537" s="24"/>
      <c r="M537" s="24"/>
      <c r="N537" s="24"/>
      <c r="P537" s="24"/>
    </row>
    <row r="538" spans="2:16" x14ac:dyDescent="0.25">
      <c r="B538" s="24"/>
      <c r="E538" s="24"/>
      <c r="G538" s="24"/>
      <c r="H538" s="24"/>
      <c r="J538" s="24"/>
      <c r="K538" s="24"/>
      <c r="M538" s="24"/>
      <c r="N538" s="24"/>
      <c r="P538" s="24"/>
    </row>
    <row r="539" spans="2:16" x14ac:dyDescent="0.25">
      <c r="B539" s="24"/>
      <c r="E539" s="24"/>
      <c r="G539" s="24"/>
      <c r="H539" s="24"/>
      <c r="J539" s="24"/>
      <c r="K539" s="24"/>
      <c r="M539" s="24"/>
      <c r="N539" s="24"/>
      <c r="P539" s="24"/>
    </row>
    <row r="540" spans="2:16" x14ac:dyDescent="0.25">
      <c r="B540" s="24"/>
      <c r="E540" s="24"/>
      <c r="G540" s="24"/>
      <c r="H540" s="24"/>
      <c r="J540" s="24"/>
      <c r="K540" s="24"/>
      <c r="M540" s="24"/>
      <c r="N540" s="24"/>
      <c r="P540" s="24"/>
    </row>
    <row r="541" spans="2:16" x14ac:dyDescent="0.25">
      <c r="B541" s="24"/>
      <c r="E541" s="24"/>
      <c r="G541" s="24"/>
      <c r="H541" s="24"/>
      <c r="J541" s="24"/>
      <c r="K541" s="24"/>
      <c r="M541" s="24"/>
      <c r="N541" s="24"/>
      <c r="P541" s="24"/>
    </row>
    <row r="542" spans="2:16" x14ac:dyDescent="0.25">
      <c r="B542" s="24"/>
      <c r="E542" s="24"/>
      <c r="G542" s="24"/>
      <c r="H542" s="24"/>
      <c r="J542" s="24"/>
      <c r="K542" s="24"/>
      <c r="M542" s="24"/>
      <c r="N542" s="24"/>
      <c r="P542" s="24"/>
    </row>
    <row r="543" spans="2:16" x14ac:dyDescent="0.25">
      <c r="B543" s="24"/>
      <c r="E543" s="24"/>
      <c r="G543" s="24"/>
      <c r="H543" s="24"/>
      <c r="J543" s="24"/>
      <c r="K543" s="24"/>
      <c r="M543" s="24"/>
      <c r="N543" s="24"/>
      <c r="P543" s="24"/>
    </row>
    <row r="544" spans="2:16" x14ac:dyDescent="0.25">
      <c r="B544" s="24"/>
      <c r="E544" s="24"/>
      <c r="G544" s="24"/>
      <c r="H544" s="24"/>
      <c r="J544" s="24"/>
      <c r="K544" s="24"/>
      <c r="M544" s="24"/>
      <c r="N544" s="24"/>
      <c r="P544" s="24"/>
    </row>
    <row r="545" spans="2:16" x14ac:dyDescent="0.25">
      <c r="B545" s="24"/>
      <c r="E545" s="24"/>
      <c r="G545" s="24"/>
      <c r="H545" s="24"/>
      <c r="J545" s="24"/>
      <c r="K545" s="24"/>
      <c r="M545" s="24"/>
      <c r="N545" s="24"/>
      <c r="P545" s="24"/>
    </row>
    <row r="546" spans="2:16" x14ac:dyDescent="0.25">
      <c r="B546" s="24"/>
      <c r="E546" s="24"/>
      <c r="G546" s="24"/>
      <c r="H546" s="24"/>
      <c r="J546" s="24"/>
      <c r="K546" s="24"/>
      <c r="M546" s="24"/>
      <c r="N546" s="24"/>
      <c r="P546" s="24"/>
    </row>
    <row r="547" spans="2:16" x14ac:dyDescent="0.25">
      <c r="B547" s="24"/>
      <c r="E547" s="24"/>
      <c r="G547" s="24"/>
      <c r="H547" s="24"/>
      <c r="J547" s="24"/>
      <c r="K547" s="24"/>
      <c r="M547" s="24"/>
      <c r="N547" s="24"/>
      <c r="P547" s="24"/>
    </row>
    <row r="548" spans="2:16" x14ac:dyDescent="0.25">
      <c r="B548" s="24"/>
      <c r="E548" s="24"/>
      <c r="G548" s="24"/>
      <c r="H548" s="24"/>
      <c r="J548" s="24"/>
      <c r="K548" s="24"/>
      <c r="M548" s="24"/>
      <c r="N548" s="24"/>
      <c r="P548" s="24"/>
    </row>
    <row r="549" spans="2:16" x14ac:dyDescent="0.25">
      <c r="B549" s="24"/>
      <c r="E549" s="24"/>
      <c r="G549" s="24"/>
      <c r="H549" s="24"/>
      <c r="J549" s="24"/>
      <c r="K549" s="24"/>
      <c r="M549" s="24"/>
      <c r="N549" s="24"/>
      <c r="P549" s="24"/>
    </row>
    <row r="550" spans="2:16" x14ac:dyDescent="0.25">
      <c r="B550" s="24"/>
      <c r="E550" s="24"/>
      <c r="G550" s="24"/>
      <c r="H550" s="24"/>
      <c r="J550" s="24"/>
      <c r="K550" s="24"/>
      <c r="M550" s="24"/>
      <c r="N550" s="24"/>
      <c r="P550" s="24"/>
    </row>
    <row r="551" spans="2:16" x14ac:dyDescent="0.25">
      <c r="B551" s="24"/>
      <c r="E551" s="24"/>
      <c r="G551" s="24"/>
      <c r="H551" s="24"/>
      <c r="J551" s="24"/>
      <c r="K551" s="24"/>
      <c r="M551" s="24"/>
      <c r="N551" s="24"/>
      <c r="P551" s="24"/>
    </row>
    <row r="552" spans="2:16" x14ac:dyDescent="0.25">
      <c r="B552" s="24"/>
      <c r="E552" s="24"/>
      <c r="G552" s="24"/>
      <c r="H552" s="24"/>
      <c r="J552" s="24"/>
      <c r="K552" s="24"/>
      <c r="M552" s="24"/>
      <c r="N552" s="24"/>
      <c r="P552" s="24"/>
    </row>
    <row r="553" spans="2:16" x14ac:dyDescent="0.25">
      <c r="B553" s="24"/>
      <c r="E553" s="24"/>
      <c r="G553" s="24"/>
      <c r="H553" s="24"/>
      <c r="J553" s="24"/>
      <c r="K553" s="24"/>
      <c r="M553" s="24"/>
      <c r="N553" s="24"/>
      <c r="P553" s="24"/>
    </row>
    <row r="554" spans="2:16" x14ac:dyDescent="0.25">
      <c r="B554" s="24"/>
      <c r="E554" s="24"/>
      <c r="G554" s="24"/>
      <c r="H554" s="24"/>
      <c r="J554" s="24"/>
      <c r="K554" s="24"/>
      <c r="M554" s="24"/>
      <c r="N554" s="24"/>
      <c r="P554" s="24"/>
    </row>
    <row r="555" spans="2:16" x14ac:dyDescent="0.25">
      <c r="B555" s="24"/>
      <c r="E555" s="24"/>
      <c r="G555" s="24"/>
      <c r="H555" s="24"/>
      <c r="J555" s="24"/>
      <c r="K555" s="24"/>
      <c r="M555" s="24"/>
      <c r="N555" s="24"/>
      <c r="P555" s="24"/>
    </row>
    <row r="556" spans="2:16" x14ac:dyDescent="0.25">
      <c r="B556" s="24"/>
      <c r="E556" s="24"/>
      <c r="G556" s="24"/>
      <c r="H556" s="24"/>
      <c r="J556" s="24"/>
      <c r="K556" s="24"/>
      <c r="M556" s="24"/>
      <c r="N556" s="24"/>
      <c r="P556" s="24"/>
    </row>
    <row r="557" spans="2:16" x14ac:dyDescent="0.25">
      <c r="B557" s="24"/>
      <c r="E557" s="24"/>
      <c r="G557" s="24"/>
      <c r="H557" s="24"/>
      <c r="J557" s="24"/>
      <c r="K557" s="24"/>
      <c r="M557" s="24"/>
      <c r="N557" s="24"/>
      <c r="P557" s="24"/>
    </row>
    <row r="558" spans="2:16" x14ac:dyDescent="0.25">
      <c r="B558" s="24"/>
      <c r="E558" s="24"/>
      <c r="G558" s="24"/>
      <c r="H558" s="24"/>
      <c r="J558" s="24"/>
      <c r="K558" s="24"/>
      <c r="M558" s="24"/>
      <c r="N558" s="24"/>
      <c r="P558" s="24"/>
    </row>
    <row r="559" spans="2:16" x14ac:dyDescent="0.25">
      <c r="B559" s="24"/>
      <c r="E559" s="24"/>
      <c r="G559" s="24"/>
      <c r="H559" s="24"/>
      <c r="J559" s="24"/>
      <c r="K559" s="24"/>
      <c r="M559" s="24"/>
      <c r="N559" s="24"/>
      <c r="P559" s="24"/>
    </row>
    <row r="560" spans="2:16" x14ac:dyDescent="0.25">
      <c r="B560" s="24"/>
      <c r="E560" s="24"/>
      <c r="G560" s="24"/>
      <c r="H560" s="24"/>
      <c r="J560" s="24"/>
      <c r="K560" s="24"/>
      <c r="M560" s="24"/>
      <c r="N560" s="24"/>
      <c r="P560" s="24"/>
    </row>
    <row r="561" spans="2:16" x14ac:dyDescent="0.25">
      <c r="B561" s="24"/>
      <c r="E561" s="24"/>
      <c r="G561" s="24"/>
      <c r="H561" s="24"/>
      <c r="J561" s="24"/>
      <c r="K561" s="24"/>
      <c r="M561" s="24"/>
      <c r="N561" s="24"/>
      <c r="P561" s="24"/>
    </row>
    <row r="562" spans="2:16" x14ac:dyDescent="0.25">
      <c r="B562" s="24"/>
      <c r="E562" s="24"/>
      <c r="G562" s="24"/>
      <c r="H562" s="24"/>
      <c r="J562" s="24"/>
      <c r="K562" s="24"/>
      <c r="M562" s="24"/>
      <c r="N562" s="24"/>
      <c r="P562" s="24"/>
    </row>
    <row r="563" spans="2:16" x14ac:dyDescent="0.25">
      <c r="B563" s="24"/>
      <c r="E563" s="24"/>
      <c r="G563" s="24"/>
      <c r="H563" s="24"/>
      <c r="J563" s="24"/>
      <c r="K563" s="24"/>
      <c r="M563" s="24"/>
      <c r="N563" s="24"/>
      <c r="P563" s="24"/>
    </row>
    <row r="564" spans="2:16" x14ac:dyDescent="0.25">
      <c r="B564" s="24"/>
      <c r="E564" s="24"/>
      <c r="G564" s="24"/>
      <c r="H564" s="24"/>
      <c r="J564" s="24"/>
      <c r="K564" s="24"/>
      <c r="M564" s="24"/>
      <c r="N564" s="24"/>
      <c r="P564" s="24"/>
    </row>
    <row r="565" spans="2:16" x14ac:dyDescent="0.25">
      <c r="B565" s="24"/>
      <c r="E565" s="24"/>
      <c r="G565" s="24"/>
      <c r="H565" s="24"/>
      <c r="J565" s="24"/>
      <c r="K565" s="24"/>
      <c r="M565" s="24"/>
      <c r="N565" s="24"/>
      <c r="P565" s="24"/>
    </row>
    <row r="566" spans="2:16" x14ac:dyDescent="0.25">
      <c r="B566" s="24"/>
      <c r="E566" s="24"/>
      <c r="G566" s="24"/>
      <c r="H566" s="24"/>
      <c r="J566" s="24"/>
      <c r="K566" s="24"/>
      <c r="M566" s="24"/>
      <c r="N566" s="24"/>
      <c r="P566" s="24"/>
    </row>
    <row r="567" spans="2:16" x14ac:dyDescent="0.25">
      <c r="B567" s="24"/>
      <c r="E567" s="24"/>
      <c r="G567" s="24"/>
      <c r="H567" s="24"/>
      <c r="J567" s="24"/>
      <c r="K567" s="24"/>
      <c r="M567" s="24"/>
      <c r="N567" s="24"/>
      <c r="P567" s="24"/>
    </row>
    <row r="568" spans="2:16" x14ac:dyDescent="0.25">
      <c r="B568" s="24"/>
      <c r="E568" s="24"/>
      <c r="G568" s="24"/>
      <c r="H568" s="24"/>
      <c r="J568" s="24"/>
      <c r="K568" s="24"/>
      <c r="M568" s="24"/>
      <c r="N568" s="24"/>
      <c r="P568" s="24"/>
    </row>
    <row r="569" spans="2:16" x14ac:dyDescent="0.25">
      <c r="B569" s="24"/>
      <c r="E569" s="24"/>
      <c r="G569" s="24"/>
      <c r="H569" s="24"/>
      <c r="J569" s="24"/>
      <c r="K569" s="24"/>
      <c r="M569" s="24"/>
      <c r="N569" s="24"/>
      <c r="P569" s="24"/>
    </row>
    <row r="570" spans="2:16" x14ac:dyDescent="0.25">
      <c r="B570" s="24"/>
      <c r="E570" s="24"/>
      <c r="G570" s="24"/>
      <c r="H570" s="24"/>
      <c r="J570" s="24"/>
      <c r="K570" s="24"/>
      <c r="M570" s="24"/>
      <c r="N570" s="24"/>
      <c r="P570" s="24"/>
    </row>
    <row r="571" spans="2:16" x14ac:dyDescent="0.25">
      <c r="B571" s="24"/>
      <c r="E571" s="24"/>
      <c r="G571" s="24"/>
      <c r="H571" s="24"/>
      <c r="J571" s="24"/>
      <c r="K571" s="24"/>
      <c r="M571" s="24"/>
      <c r="N571" s="24"/>
      <c r="P571" s="24"/>
    </row>
    <row r="572" spans="2:16" x14ac:dyDescent="0.25">
      <c r="B572" s="24"/>
      <c r="E572" s="24"/>
      <c r="G572" s="24"/>
      <c r="H572" s="24"/>
      <c r="J572" s="24"/>
      <c r="K572" s="24"/>
      <c r="M572" s="24"/>
      <c r="N572" s="24"/>
      <c r="P572" s="24"/>
    </row>
    <row r="573" spans="2:16" x14ac:dyDescent="0.25">
      <c r="B573" s="24"/>
      <c r="E573" s="24"/>
      <c r="G573" s="24"/>
      <c r="H573" s="24"/>
      <c r="J573" s="24"/>
      <c r="K573" s="24"/>
      <c r="M573" s="24"/>
      <c r="N573" s="24"/>
      <c r="P573" s="24"/>
    </row>
    <row r="574" spans="2:16" x14ac:dyDescent="0.25">
      <c r="B574" s="24"/>
      <c r="E574" s="24"/>
      <c r="G574" s="24"/>
      <c r="H574" s="24"/>
      <c r="J574" s="24"/>
      <c r="K574" s="24"/>
      <c r="M574" s="24"/>
      <c r="N574" s="24"/>
      <c r="P574" s="24"/>
    </row>
    <row r="575" spans="2:16" x14ac:dyDescent="0.25">
      <c r="B575" s="24"/>
      <c r="E575" s="24"/>
      <c r="G575" s="24"/>
      <c r="H575" s="24"/>
      <c r="J575" s="24"/>
      <c r="K575" s="24"/>
      <c r="M575" s="24"/>
      <c r="N575" s="24"/>
      <c r="P575" s="24"/>
    </row>
    <row r="576" spans="2:16" x14ac:dyDescent="0.25">
      <c r="B576" s="24"/>
      <c r="E576" s="24"/>
      <c r="G576" s="24"/>
      <c r="H576" s="24"/>
      <c r="J576" s="24"/>
      <c r="K576" s="24"/>
      <c r="M576" s="24"/>
      <c r="N576" s="24"/>
      <c r="P576" s="24"/>
    </row>
    <row r="577" spans="2:16" x14ac:dyDescent="0.25">
      <c r="B577" s="24"/>
      <c r="E577" s="24"/>
      <c r="G577" s="24"/>
      <c r="H577" s="24"/>
      <c r="J577" s="24"/>
      <c r="K577" s="24"/>
      <c r="M577" s="24"/>
      <c r="N577" s="24"/>
      <c r="P577" s="24"/>
    </row>
    <row r="578" spans="2:16" x14ac:dyDescent="0.25">
      <c r="B578" s="24"/>
      <c r="E578" s="24"/>
      <c r="G578" s="24"/>
      <c r="H578" s="24"/>
      <c r="J578" s="24"/>
      <c r="K578" s="24"/>
      <c r="M578" s="24"/>
      <c r="N578" s="24"/>
      <c r="P578" s="24"/>
    </row>
    <row r="579" spans="2:16" x14ac:dyDescent="0.25">
      <c r="B579" s="24"/>
      <c r="E579" s="24"/>
      <c r="G579" s="24"/>
      <c r="H579" s="24"/>
      <c r="J579" s="24"/>
      <c r="K579" s="24"/>
      <c r="M579" s="24"/>
      <c r="N579" s="24"/>
      <c r="P579" s="24"/>
    </row>
    <row r="580" spans="2:16" x14ac:dyDescent="0.25">
      <c r="B580" s="24"/>
      <c r="E580" s="24"/>
      <c r="G580" s="24"/>
      <c r="H580" s="24"/>
      <c r="J580" s="24"/>
      <c r="K580" s="24"/>
      <c r="M580" s="24"/>
      <c r="N580" s="24"/>
      <c r="P580" s="24"/>
    </row>
    <row r="581" spans="2:16" x14ac:dyDescent="0.25">
      <c r="B581" s="24"/>
      <c r="E581" s="24"/>
      <c r="G581" s="24"/>
      <c r="H581" s="24"/>
      <c r="J581" s="24"/>
      <c r="K581" s="24"/>
      <c r="M581" s="24"/>
      <c r="N581" s="24"/>
      <c r="P581" s="24"/>
    </row>
    <row r="582" spans="2:16" x14ac:dyDescent="0.25">
      <c r="B582" s="24"/>
      <c r="E582" s="24"/>
      <c r="G582" s="24"/>
      <c r="H582" s="24"/>
      <c r="J582" s="24"/>
      <c r="K582" s="24"/>
      <c r="M582" s="24"/>
      <c r="N582" s="24"/>
      <c r="P582" s="24"/>
    </row>
    <row r="583" spans="2:16" x14ac:dyDescent="0.25">
      <c r="B583" s="24"/>
      <c r="E583" s="24"/>
      <c r="G583" s="24"/>
      <c r="H583" s="24"/>
      <c r="J583" s="24"/>
      <c r="K583" s="24"/>
      <c r="M583" s="24"/>
      <c r="N583" s="24"/>
      <c r="P583" s="24"/>
    </row>
    <row r="584" spans="2:16" x14ac:dyDescent="0.25">
      <c r="B584" s="24"/>
      <c r="E584" s="24"/>
      <c r="G584" s="24"/>
      <c r="H584" s="24"/>
      <c r="J584" s="24"/>
      <c r="K584" s="24"/>
      <c r="M584" s="24"/>
      <c r="N584" s="24"/>
      <c r="P584" s="24"/>
    </row>
    <row r="585" spans="2:16" x14ac:dyDescent="0.25">
      <c r="B585" s="24"/>
      <c r="E585" s="24"/>
      <c r="G585" s="24"/>
      <c r="H585" s="24"/>
      <c r="J585" s="24"/>
      <c r="K585" s="24"/>
      <c r="M585" s="24"/>
      <c r="N585" s="24"/>
      <c r="P585" s="24"/>
    </row>
    <row r="586" spans="2:16" x14ac:dyDescent="0.25">
      <c r="B586" s="24"/>
      <c r="E586" s="24"/>
      <c r="G586" s="24"/>
      <c r="H586" s="24"/>
      <c r="J586" s="24"/>
      <c r="K586" s="24"/>
      <c r="M586" s="24"/>
      <c r="N586" s="24"/>
      <c r="P586" s="24"/>
    </row>
    <row r="587" spans="2:16" x14ac:dyDescent="0.25">
      <c r="B587" s="24"/>
      <c r="E587" s="24"/>
      <c r="G587" s="24"/>
      <c r="H587" s="24"/>
      <c r="J587" s="24"/>
      <c r="K587" s="24"/>
      <c r="M587" s="24"/>
      <c r="N587" s="24"/>
      <c r="P587" s="24"/>
    </row>
    <row r="588" spans="2:16" x14ac:dyDescent="0.25">
      <c r="B588" s="24"/>
      <c r="E588" s="24"/>
      <c r="G588" s="24"/>
      <c r="H588" s="24"/>
      <c r="J588" s="24"/>
      <c r="K588" s="24"/>
      <c r="M588" s="24"/>
      <c r="N588" s="24"/>
      <c r="P588" s="24"/>
    </row>
    <row r="589" spans="2:16" x14ac:dyDescent="0.25">
      <c r="B589" s="24"/>
      <c r="E589" s="24"/>
      <c r="G589" s="24"/>
      <c r="H589" s="24"/>
      <c r="J589" s="24"/>
      <c r="K589" s="24"/>
      <c r="M589" s="24"/>
      <c r="N589" s="24"/>
      <c r="P589" s="24"/>
    </row>
    <row r="590" spans="2:16" x14ac:dyDescent="0.25">
      <c r="B590" s="24"/>
      <c r="E590" s="24"/>
      <c r="G590" s="24"/>
      <c r="H590" s="24"/>
      <c r="J590" s="24"/>
      <c r="K590" s="24"/>
      <c r="M590" s="24"/>
      <c r="N590" s="24"/>
      <c r="P590" s="24"/>
    </row>
    <row r="591" spans="2:16" x14ac:dyDescent="0.25">
      <c r="B591" s="24"/>
      <c r="E591" s="24"/>
      <c r="G591" s="24"/>
      <c r="H591" s="24"/>
      <c r="J591" s="24"/>
      <c r="K591" s="24"/>
      <c r="M591" s="24"/>
      <c r="N591" s="24"/>
      <c r="P591" s="24"/>
    </row>
    <row r="592" spans="2:16" x14ac:dyDescent="0.25">
      <c r="B592" s="24"/>
      <c r="E592" s="24"/>
      <c r="G592" s="24"/>
      <c r="H592" s="24"/>
      <c r="J592" s="24"/>
      <c r="K592" s="24"/>
      <c r="M592" s="24"/>
      <c r="N592" s="24"/>
      <c r="P592" s="24"/>
    </row>
    <row r="593" spans="2:16" x14ac:dyDescent="0.25">
      <c r="B593" s="24"/>
      <c r="E593" s="24"/>
      <c r="G593" s="24"/>
      <c r="H593" s="24"/>
      <c r="J593" s="24"/>
      <c r="K593" s="24"/>
      <c r="M593" s="24"/>
      <c r="N593" s="24"/>
      <c r="P593" s="24"/>
    </row>
    <row r="594" spans="2:16" x14ac:dyDescent="0.25">
      <c r="B594" s="24"/>
      <c r="E594" s="24"/>
      <c r="G594" s="24"/>
      <c r="H594" s="24"/>
      <c r="J594" s="24"/>
      <c r="K594" s="24"/>
      <c r="M594" s="24"/>
      <c r="N594" s="24"/>
      <c r="P594" s="24"/>
    </row>
    <row r="595" spans="2:16" x14ac:dyDescent="0.25">
      <c r="B595" s="24"/>
      <c r="E595" s="24"/>
      <c r="G595" s="24"/>
      <c r="H595" s="24"/>
      <c r="J595" s="24"/>
      <c r="K595" s="24"/>
      <c r="M595" s="24"/>
      <c r="N595" s="24"/>
      <c r="P595" s="24"/>
    </row>
    <row r="596" spans="2:16" x14ac:dyDescent="0.25">
      <c r="B596" s="24"/>
      <c r="E596" s="24"/>
      <c r="G596" s="24"/>
      <c r="H596" s="24"/>
      <c r="J596" s="24"/>
      <c r="K596" s="24"/>
      <c r="M596" s="24"/>
      <c r="N596" s="24"/>
      <c r="P596" s="24"/>
    </row>
    <row r="597" spans="2:16" x14ac:dyDescent="0.25">
      <c r="B597" s="24"/>
      <c r="E597" s="24"/>
      <c r="G597" s="24"/>
      <c r="H597" s="24"/>
      <c r="J597" s="24"/>
      <c r="K597" s="24"/>
      <c r="M597" s="24"/>
      <c r="N597" s="24"/>
      <c r="P597" s="24"/>
    </row>
    <row r="598" spans="2:16" x14ac:dyDescent="0.25">
      <c r="B598" s="24"/>
      <c r="E598" s="24"/>
      <c r="G598" s="24"/>
      <c r="H598" s="24"/>
      <c r="J598" s="24"/>
      <c r="K598" s="24"/>
      <c r="M598" s="24"/>
      <c r="N598" s="24"/>
      <c r="P598" s="24"/>
    </row>
    <row r="599" spans="2:16" x14ac:dyDescent="0.25">
      <c r="B599" s="24"/>
      <c r="E599" s="24"/>
      <c r="G599" s="24"/>
      <c r="H599" s="24"/>
      <c r="J599" s="24"/>
      <c r="K599" s="24"/>
      <c r="M599" s="24"/>
      <c r="N599" s="24"/>
      <c r="P599" s="24"/>
    </row>
    <row r="600" spans="2:16" x14ac:dyDescent="0.25">
      <c r="B600" s="24"/>
      <c r="E600" s="24"/>
      <c r="G600" s="24"/>
      <c r="H600" s="24"/>
      <c r="J600" s="24"/>
      <c r="K600" s="24"/>
      <c r="M600" s="24"/>
      <c r="N600" s="24"/>
      <c r="P600" s="24"/>
    </row>
    <row r="601" spans="2:16" x14ac:dyDescent="0.25">
      <c r="B601" s="24"/>
      <c r="E601" s="24"/>
      <c r="G601" s="24"/>
      <c r="H601" s="24"/>
      <c r="J601" s="24"/>
      <c r="K601" s="24"/>
      <c r="M601" s="24"/>
      <c r="N601" s="24"/>
      <c r="P601" s="24"/>
    </row>
    <row r="602" spans="2:16" x14ac:dyDescent="0.25">
      <c r="B602" s="24"/>
      <c r="E602" s="24"/>
      <c r="G602" s="24"/>
      <c r="H602" s="24"/>
      <c r="J602" s="24"/>
      <c r="K602" s="24"/>
      <c r="M602" s="24"/>
      <c r="N602" s="24"/>
      <c r="P602" s="24"/>
    </row>
    <row r="603" spans="2:16" x14ac:dyDescent="0.25">
      <c r="B603" s="24"/>
      <c r="E603" s="24"/>
      <c r="G603" s="24"/>
      <c r="H603" s="24"/>
      <c r="J603" s="24"/>
      <c r="K603" s="24"/>
      <c r="M603" s="24"/>
      <c r="N603" s="24"/>
      <c r="P603" s="24"/>
    </row>
    <row r="604" spans="2:16" x14ac:dyDescent="0.25">
      <c r="B604" s="24"/>
      <c r="E604" s="24"/>
      <c r="G604" s="24"/>
      <c r="H604" s="24"/>
      <c r="J604" s="24"/>
      <c r="K604" s="24"/>
      <c r="M604" s="24"/>
      <c r="N604" s="24"/>
      <c r="P604" s="24"/>
    </row>
    <row r="605" spans="2:16" x14ac:dyDescent="0.25">
      <c r="B605" s="24"/>
      <c r="E605" s="24"/>
      <c r="G605" s="24"/>
      <c r="H605" s="24"/>
      <c r="J605" s="24"/>
      <c r="K605" s="24"/>
      <c r="M605" s="24"/>
      <c r="N605" s="24"/>
      <c r="P605" s="24"/>
    </row>
    <row r="606" spans="2:16" x14ac:dyDescent="0.25">
      <c r="B606" s="24"/>
      <c r="E606" s="24"/>
      <c r="G606" s="24"/>
      <c r="H606" s="24"/>
      <c r="J606" s="24"/>
      <c r="K606" s="24"/>
      <c r="M606" s="24"/>
      <c r="N606" s="24"/>
      <c r="P606" s="24"/>
    </row>
    <row r="607" spans="2:16" x14ac:dyDescent="0.25">
      <c r="B607" s="24"/>
      <c r="E607" s="24"/>
      <c r="G607" s="24"/>
      <c r="H607" s="24"/>
      <c r="J607" s="24"/>
      <c r="K607" s="24"/>
      <c r="M607" s="24"/>
      <c r="N607" s="24"/>
      <c r="P607" s="24"/>
    </row>
    <row r="608" spans="2:16" x14ac:dyDescent="0.25">
      <c r="B608" s="24"/>
      <c r="E608" s="24"/>
      <c r="G608" s="24"/>
      <c r="H608" s="24"/>
      <c r="J608" s="24"/>
      <c r="K608" s="24"/>
      <c r="M608" s="24"/>
      <c r="N608" s="24"/>
      <c r="P608" s="24"/>
    </row>
    <row r="609" spans="2:16" x14ac:dyDescent="0.25">
      <c r="B609" s="24"/>
      <c r="E609" s="24"/>
      <c r="G609" s="24"/>
      <c r="H609" s="24"/>
      <c r="J609" s="24"/>
      <c r="K609" s="24"/>
      <c r="M609" s="24"/>
      <c r="N609" s="24"/>
      <c r="P609" s="24"/>
    </row>
    <row r="610" spans="2:16" x14ac:dyDescent="0.25">
      <c r="B610" s="24"/>
      <c r="E610" s="24"/>
      <c r="G610" s="24"/>
      <c r="H610" s="24"/>
      <c r="J610" s="24"/>
      <c r="K610" s="24"/>
      <c r="M610" s="24"/>
      <c r="N610" s="24"/>
      <c r="P610" s="24"/>
    </row>
    <row r="611" spans="2:16" x14ac:dyDescent="0.25">
      <c r="B611" s="24"/>
      <c r="E611" s="24"/>
      <c r="G611" s="24"/>
      <c r="H611" s="24"/>
      <c r="J611" s="24"/>
      <c r="K611" s="24"/>
      <c r="M611" s="24"/>
      <c r="N611" s="24"/>
      <c r="P611" s="24"/>
    </row>
    <row r="612" spans="2:16" x14ac:dyDescent="0.25">
      <c r="B612" s="24"/>
      <c r="E612" s="24"/>
      <c r="G612" s="24"/>
      <c r="H612" s="24"/>
      <c r="J612" s="24"/>
      <c r="K612" s="24"/>
      <c r="M612" s="24"/>
      <c r="N612" s="24"/>
      <c r="P612" s="24"/>
    </row>
    <row r="613" spans="2:16" x14ac:dyDescent="0.25">
      <c r="B613" s="24"/>
      <c r="E613" s="24"/>
      <c r="G613" s="24"/>
      <c r="H613" s="24"/>
      <c r="J613" s="24"/>
      <c r="K613" s="24"/>
      <c r="M613" s="24"/>
      <c r="N613" s="24"/>
      <c r="P613" s="24"/>
    </row>
    <row r="614" spans="2:16" x14ac:dyDescent="0.25">
      <c r="B614" s="24"/>
      <c r="E614" s="24"/>
      <c r="G614" s="24"/>
      <c r="H614" s="24"/>
      <c r="J614" s="24"/>
      <c r="K614" s="24"/>
      <c r="M614" s="24"/>
      <c r="N614" s="24"/>
      <c r="P614" s="24"/>
    </row>
    <row r="615" spans="2:16" x14ac:dyDescent="0.25">
      <c r="B615" s="24"/>
      <c r="E615" s="24"/>
      <c r="G615" s="24"/>
      <c r="H615" s="24"/>
      <c r="J615" s="24"/>
      <c r="K615" s="24"/>
      <c r="M615" s="24"/>
      <c r="N615" s="24"/>
      <c r="P615" s="24"/>
    </row>
    <row r="616" spans="2:16" x14ac:dyDescent="0.25">
      <c r="B616" s="24"/>
      <c r="E616" s="24"/>
      <c r="G616" s="24"/>
      <c r="H616" s="24"/>
      <c r="J616" s="24"/>
      <c r="K616" s="24"/>
      <c r="M616" s="24"/>
      <c r="N616" s="24"/>
      <c r="P616" s="24"/>
    </row>
    <row r="617" spans="2:16" x14ac:dyDescent="0.25">
      <c r="B617" s="24"/>
      <c r="E617" s="24"/>
      <c r="G617" s="24"/>
      <c r="H617" s="24"/>
      <c r="J617" s="24"/>
      <c r="K617" s="24"/>
      <c r="M617" s="24"/>
      <c r="N617" s="24"/>
      <c r="P617" s="24"/>
    </row>
    <row r="618" spans="2:16" x14ac:dyDescent="0.25">
      <c r="B618" s="24"/>
      <c r="E618" s="24"/>
      <c r="G618" s="24"/>
      <c r="H618" s="24"/>
      <c r="J618" s="24"/>
      <c r="K618" s="24"/>
      <c r="M618" s="24"/>
      <c r="N618" s="24"/>
      <c r="P618" s="24"/>
    </row>
    <row r="619" spans="2:16" x14ac:dyDescent="0.25">
      <c r="B619" s="24"/>
      <c r="E619" s="24"/>
      <c r="G619" s="24"/>
      <c r="H619" s="24"/>
      <c r="J619" s="24"/>
      <c r="K619" s="24"/>
      <c r="M619" s="24"/>
      <c r="N619" s="24"/>
      <c r="P619" s="24"/>
    </row>
    <row r="620" spans="2:16" x14ac:dyDescent="0.25">
      <c r="B620" s="24"/>
      <c r="E620" s="24"/>
      <c r="G620" s="24"/>
      <c r="H620" s="24"/>
      <c r="J620" s="24"/>
      <c r="K620" s="24"/>
      <c r="M620" s="24"/>
      <c r="N620" s="24"/>
      <c r="P620" s="24"/>
    </row>
    <row r="621" spans="2:16" x14ac:dyDescent="0.25">
      <c r="B621" s="24"/>
      <c r="E621" s="24"/>
      <c r="G621" s="24"/>
      <c r="H621" s="24"/>
      <c r="J621" s="24"/>
      <c r="K621" s="24"/>
      <c r="M621" s="24"/>
      <c r="N621" s="24"/>
      <c r="P621" s="24"/>
    </row>
    <row r="622" spans="2:16" x14ac:dyDescent="0.25">
      <c r="B622" s="24"/>
      <c r="E622" s="24"/>
      <c r="G622" s="24"/>
      <c r="H622" s="24"/>
      <c r="J622" s="24"/>
      <c r="K622" s="24"/>
      <c r="M622" s="24"/>
      <c r="N622" s="24"/>
      <c r="P622" s="24"/>
    </row>
    <row r="623" spans="2:16" x14ac:dyDescent="0.25">
      <c r="B623" s="24"/>
      <c r="E623" s="24"/>
      <c r="G623" s="24"/>
      <c r="H623" s="24"/>
      <c r="J623" s="24"/>
      <c r="K623" s="24"/>
      <c r="M623" s="24"/>
      <c r="N623" s="24"/>
      <c r="P623" s="24"/>
    </row>
    <row r="624" spans="2:16" x14ac:dyDescent="0.25">
      <c r="B624" s="24"/>
      <c r="E624" s="24"/>
      <c r="G624" s="24"/>
      <c r="H624" s="24"/>
      <c r="J624" s="24"/>
      <c r="K624" s="24"/>
      <c r="M624" s="24"/>
      <c r="N624" s="24"/>
      <c r="P624" s="24"/>
    </row>
    <row r="625" spans="2:16" x14ac:dyDescent="0.25">
      <c r="B625" s="24"/>
      <c r="E625" s="24"/>
      <c r="G625" s="24"/>
      <c r="H625" s="24"/>
      <c r="J625" s="24"/>
      <c r="K625" s="24"/>
      <c r="M625" s="24"/>
      <c r="N625" s="24"/>
      <c r="P625" s="24"/>
    </row>
    <row r="626" spans="2:16" x14ac:dyDescent="0.25">
      <c r="B626" s="24"/>
      <c r="E626" s="24"/>
      <c r="G626" s="24"/>
      <c r="H626" s="24"/>
      <c r="J626" s="24"/>
      <c r="K626" s="24"/>
      <c r="M626" s="24"/>
      <c r="N626" s="24"/>
      <c r="P626" s="24"/>
    </row>
    <row r="627" spans="2:16" x14ac:dyDescent="0.25">
      <c r="B627" s="24"/>
      <c r="E627" s="24"/>
      <c r="G627" s="24"/>
      <c r="H627" s="24"/>
      <c r="J627" s="24"/>
      <c r="K627" s="24"/>
      <c r="M627" s="24"/>
      <c r="N627" s="24"/>
      <c r="P627" s="24"/>
    </row>
    <row r="628" spans="2:16" x14ac:dyDescent="0.25">
      <c r="B628" s="24"/>
      <c r="E628" s="24"/>
      <c r="G628" s="24"/>
      <c r="H628" s="24"/>
      <c r="J628" s="24"/>
      <c r="K628" s="24"/>
      <c r="M628" s="24"/>
      <c r="N628" s="24"/>
      <c r="P628" s="24"/>
    </row>
    <row r="629" spans="2:16" x14ac:dyDescent="0.25">
      <c r="B629" s="24"/>
      <c r="E629" s="24"/>
      <c r="G629" s="24"/>
      <c r="H629" s="24"/>
      <c r="J629" s="24"/>
      <c r="K629" s="24"/>
      <c r="M629" s="24"/>
      <c r="N629" s="24"/>
      <c r="P629" s="24"/>
    </row>
    <row r="630" spans="2:16" x14ac:dyDescent="0.25">
      <c r="B630" s="24"/>
      <c r="E630" s="24"/>
      <c r="G630" s="24"/>
      <c r="H630" s="24"/>
      <c r="J630" s="24"/>
      <c r="K630" s="24"/>
      <c r="M630" s="24"/>
      <c r="N630" s="24"/>
      <c r="P630" s="24"/>
    </row>
    <row r="631" spans="2:16" x14ac:dyDescent="0.25">
      <c r="B631" s="24"/>
      <c r="E631" s="24"/>
      <c r="G631" s="24"/>
      <c r="H631" s="24"/>
      <c r="J631" s="24"/>
      <c r="K631" s="24"/>
      <c r="M631" s="24"/>
      <c r="N631" s="24"/>
      <c r="P631" s="24"/>
    </row>
    <row r="632" spans="2:16" x14ac:dyDescent="0.25">
      <c r="B632" s="24"/>
      <c r="E632" s="24"/>
      <c r="G632" s="24"/>
      <c r="H632" s="24"/>
      <c r="J632" s="24"/>
      <c r="K632" s="24"/>
      <c r="M632" s="24"/>
      <c r="N632" s="24"/>
      <c r="P632" s="24"/>
    </row>
    <row r="633" spans="2:16" x14ac:dyDescent="0.25">
      <c r="B633" s="24"/>
      <c r="E633" s="24"/>
      <c r="G633" s="24"/>
      <c r="H633" s="24"/>
      <c r="J633" s="24"/>
      <c r="K633" s="24"/>
      <c r="M633" s="24"/>
      <c r="N633" s="24"/>
      <c r="P633" s="24"/>
    </row>
    <row r="634" spans="2:16" x14ac:dyDescent="0.25">
      <c r="B634" s="24"/>
      <c r="E634" s="24"/>
      <c r="G634" s="24"/>
      <c r="H634" s="24"/>
      <c r="J634" s="24"/>
      <c r="K634" s="24"/>
      <c r="M634" s="24"/>
      <c r="N634" s="24"/>
      <c r="P634" s="24"/>
    </row>
    <row r="635" spans="2:16" x14ac:dyDescent="0.25">
      <c r="B635" s="24"/>
      <c r="E635" s="24"/>
      <c r="G635" s="24"/>
      <c r="H635" s="24"/>
      <c r="J635" s="24"/>
      <c r="K635" s="24"/>
      <c r="M635" s="24"/>
      <c r="N635" s="24"/>
      <c r="P635" s="24"/>
    </row>
    <row r="636" spans="2:16" x14ac:dyDescent="0.25">
      <c r="B636" s="24"/>
      <c r="E636" s="24"/>
      <c r="G636" s="24"/>
      <c r="H636" s="24"/>
      <c r="J636" s="24"/>
      <c r="K636" s="24"/>
      <c r="M636" s="24"/>
      <c r="N636" s="24"/>
      <c r="P636" s="24"/>
    </row>
    <row r="637" spans="2:16" x14ac:dyDescent="0.25">
      <c r="B637" s="24"/>
      <c r="E637" s="24"/>
      <c r="G637" s="24"/>
      <c r="H637" s="24"/>
      <c r="J637" s="24"/>
      <c r="K637" s="24"/>
      <c r="M637" s="24"/>
      <c r="N637" s="24"/>
      <c r="P637" s="24"/>
    </row>
    <row r="638" spans="2:16" x14ac:dyDescent="0.25">
      <c r="B638" s="24"/>
      <c r="E638" s="24"/>
      <c r="G638" s="24"/>
      <c r="H638" s="24"/>
      <c r="J638" s="24"/>
      <c r="K638" s="24"/>
      <c r="M638" s="24"/>
      <c r="N638" s="24"/>
      <c r="P638" s="24"/>
    </row>
    <row r="639" spans="2:16" x14ac:dyDescent="0.25">
      <c r="B639" s="24"/>
      <c r="E639" s="24"/>
      <c r="G639" s="24"/>
      <c r="H639" s="24"/>
      <c r="J639" s="24"/>
      <c r="K639" s="24"/>
      <c r="M639" s="24"/>
      <c r="N639" s="24"/>
      <c r="P639" s="24"/>
    </row>
    <row r="640" spans="2:16" x14ac:dyDescent="0.25">
      <c r="B640" s="24"/>
      <c r="E640" s="24"/>
      <c r="G640" s="24"/>
      <c r="H640" s="24"/>
      <c r="J640" s="24"/>
      <c r="K640" s="24"/>
      <c r="M640" s="24"/>
      <c r="N640" s="24"/>
      <c r="P640" s="24"/>
    </row>
    <row r="641" spans="2:16" x14ac:dyDescent="0.25">
      <c r="B641" s="24"/>
      <c r="E641" s="24"/>
      <c r="G641" s="24"/>
      <c r="H641" s="24"/>
      <c r="J641" s="24"/>
      <c r="K641" s="24"/>
      <c r="M641" s="24"/>
      <c r="N641" s="24"/>
      <c r="P641" s="24"/>
    </row>
    <row r="642" spans="2:16" x14ac:dyDescent="0.25">
      <c r="B642" s="24"/>
      <c r="E642" s="24"/>
      <c r="G642" s="24"/>
      <c r="H642" s="24"/>
      <c r="J642" s="24"/>
      <c r="K642" s="24"/>
      <c r="M642" s="24"/>
      <c r="N642" s="24"/>
      <c r="P642" s="24"/>
    </row>
    <row r="643" spans="2:16" x14ac:dyDescent="0.25">
      <c r="B643" s="24"/>
      <c r="E643" s="24"/>
      <c r="G643" s="24"/>
      <c r="H643" s="24"/>
      <c r="J643" s="24"/>
      <c r="K643" s="24"/>
      <c r="M643" s="24"/>
      <c r="N643" s="24"/>
      <c r="P643" s="24"/>
    </row>
    <row r="644" spans="2:16" x14ac:dyDescent="0.25">
      <c r="B644" s="24"/>
      <c r="E644" s="24"/>
      <c r="G644" s="24"/>
      <c r="H644" s="24"/>
      <c r="J644" s="24"/>
      <c r="K644" s="24"/>
      <c r="M644" s="24"/>
      <c r="N644" s="24"/>
      <c r="P644" s="24"/>
    </row>
    <row r="645" spans="2:16" x14ac:dyDescent="0.25">
      <c r="B645" s="24"/>
      <c r="E645" s="24"/>
      <c r="G645" s="24"/>
      <c r="H645" s="24"/>
      <c r="J645" s="24"/>
      <c r="K645" s="24"/>
      <c r="M645" s="24"/>
      <c r="N645" s="24"/>
      <c r="P645" s="24"/>
    </row>
    <row r="646" spans="2:16" x14ac:dyDescent="0.25">
      <c r="B646" s="24"/>
      <c r="E646" s="24"/>
      <c r="G646" s="24"/>
      <c r="H646" s="24"/>
      <c r="J646" s="24"/>
      <c r="K646" s="24"/>
      <c r="M646" s="24"/>
      <c r="N646" s="24"/>
      <c r="P646" s="24"/>
    </row>
    <row r="647" spans="2:16" x14ac:dyDescent="0.25">
      <c r="B647" s="24"/>
      <c r="E647" s="24"/>
      <c r="G647" s="24"/>
      <c r="H647" s="24"/>
      <c r="J647" s="24"/>
      <c r="K647" s="24"/>
      <c r="M647" s="24"/>
      <c r="N647" s="24"/>
      <c r="P647" s="24"/>
    </row>
    <row r="648" spans="2:16" x14ac:dyDescent="0.25">
      <c r="B648" s="24"/>
      <c r="E648" s="24"/>
      <c r="G648" s="24"/>
      <c r="H648" s="24"/>
      <c r="J648" s="24"/>
      <c r="K648" s="24"/>
      <c r="M648" s="24"/>
      <c r="N648" s="24"/>
      <c r="P648" s="24"/>
    </row>
    <row r="649" spans="2:16" x14ac:dyDescent="0.25">
      <c r="B649" s="24"/>
      <c r="E649" s="24"/>
      <c r="G649" s="24"/>
      <c r="H649" s="24"/>
      <c r="J649" s="24"/>
      <c r="K649" s="24"/>
      <c r="M649" s="24"/>
      <c r="N649" s="24"/>
      <c r="P649" s="24"/>
    </row>
    <row r="650" spans="2:16" x14ac:dyDescent="0.25">
      <c r="B650" s="24"/>
      <c r="E650" s="24"/>
      <c r="G650" s="24"/>
      <c r="H650" s="24"/>
      <c r="J650" s="24"/>
      <c r="K650" s="24"/>
      <c r="M650" s="24"/>
      <c r="N650" s="24"/>
      <c r="P650" s="24"/>
    </row>
    <row r="651" spans="2:16" x14ac:dyDescent="0.25">
      <c r="B651" s="24"/>
      <c r="E651" s="24"/>
      <c r="G651" s="24"/>
      <c r="H651" s="24"/>
      <c r="J651" s="24"/>
      <c r="K651" s="24"/>
      <c r="M651" s="24"/>
      <c r="N651" s="24"/>
      <c r="P651" s="24"/>
    </row>
    <row r="652" spans="2:16" x14ac:dyDescent="0.25">
      <c r="B652" s="24"/>
      <c r="E652" s="24"/>
      <c r="G652" s="24"/>
      <c r="H652" s="24"/>
      <c r="J652" s="24"/>
      <c r="K652" s="24"/>
      <c r="M652" s="24"/>
      <c r="N652" s="24"/>
      <c r="P652" s="24"/>
    </row>
    <row r="653" spans="2:16" x14ac:dyDescent="0.25">
      <c r="B653" s="24"/>
      <c r="E653" s="24"/>
      <c r="G653" s="24"/>
      <c r="H653" s="24"/>
      <c r="J653" s="24"/>
      <c r="K653" s="24"/>
      <c r="M653" s="24"/>
      <c r="N653" s="24"/>
      <c r="P653" s="24"/>
    </row>
    <row r="654" spans="2:16" x14ac:dyDescent="0.25">
      <c r="B654" s="24"/>
      <c r="E654" s="24"/>
      <c r="G654" s="24"/>
      <c r="H654" s="24"/>
      <c r="J654" s="24"/>
      <c r="K654" s="24"/>
      <c r="M654" s="24"/>
      <c r="N654" s="24"/>
      <c r="P654" s="24"/>
    </row>
    <row r="655" spans="2:16" x14ac:dyDescent="0.25">
      <c r="B655" s="24"/>
      <c r="E655" s="24"/>
      <c r="G655" s="24"/>
      <c r="H655" s="24"/>
      <c r="J655" s="24"/>
      <c r="K655" s="24"/>
      <c r="M655" s="24"/>
      <c r="N655" s="24"/>
      <c r="P655" s="24"/>
    </row>
    <row r="656" spans="2:16" x14ac:dyDescent="0.25">
      <c r="B656" s="24"/>
      <c r="E656" s="24"/>
      <c r="G656" s="24"/>
      <c r="H656" s="24"/>
      <c r="J656" s="24"/>
      <c r="K656" s="24"/>
      <c r="M656" s="24"/>
      <c r="N656" s="24"/>
      <c r="P656" s="24"/>
    </row>
    <row r="657" spans="2:16" x14ac:dyDescent="0.25">
      <c r="B657" s="24"/>
      <c r="E657" s="24"/>
      <c r="G657" s="24"/>
      <c r="H657" s="24"/>
      <c r="J657" s="24"/>
      <c r="K657" s="24"/>
      <c r="M657" s="24"/>
      <c r="N657" s="24"/>
      <c r="P657" s="24"/>
    </row>
    <row r="658" spans="2:16" x14ac:dyDescent="0.25">
      <c r="B658" s="24"/>
      <c r="E658" s="24"/>
      <c r="G658" s="24"/>
      <c r="H658" s="24"/>
      <c r="J658" s="24"/>
      <c r="K658" s="24"/>
      <c r="M658" s="24"/>
      <c r="N658" s="24"/>
      <c r="P658" s="24"/>
    </row>
    <row r="659" spans="2:16" x14ac:dyDescent="0.25">
      <c r="B659" s="24"/>
      <c r="E659" s="24"/>
      <c r="G659" s="24"/>
      <c r="H659" s="24"/>
      <c r="J659" s="24"/>
      <c r="K659" s="24"/>
      <c r="M659" s="24"/>
      <c r="N659" s="24"/>
      <c r="P659" s="24"/>
    </row>
    <row r="660" spans="2:16" x14ac:dyDescent="0.25">
      <c r="B660" s="24"/>
      <c r="E660" s="24"/>
      <c r="G660" s="24"/>
      <c r="H660" s="24"/>
      <c r="J660" s="24"/>
      <c r="K660" s="24"/>
      <c r="M660" s="24"/>
      <c r="N660" s="24"/>
      <c r="P660" s="24"/>
    </row>
    <row r="661" spans="2:16" x14ac:dyDescent="0.25">
      <c r="B661" s="24"/>
      <c r="E661" s="24"/>
      <c r="G661" s="24"/>
      <c r="H661" s="24"/>
      <c r="J661" s="24"/>
      <c r="K661" s="24"/>
      <c r="M661" s="24"/>
      <c r="N661" s="24"/>
      <c r="P661" s="24"/>
    </row>
    <row r="662" spans="2:16" x14ac:dyDescent="0.25">
      <c r="B662" s="24"/>
      <c r="E662" s="24"/>
      <c r="G662" s="24"/>
      <c r="H662" s="24"/>
      <c r="J662" s="24"/>
      <c r="K662" s="24"/>
      <c r="M662" s="24"/>
      <c r="N662" s="24"/>
      <c r="P662" s="24"/>
    </row>
    <row r="663" spans="2:16" x14ac:dyDescent="0.25">
      <c r="B663" s="24"/>
      <c r="E663" s="24"/>
      <c r="G663" s="24"/>
      <c r="H663" s="24"/>
      <c r="J663" s="24"/>
      <c r="K663" s="24"/>
      <c r="M663" s="24"/>
      <c r="N663" s="24"/>
      <c r="P663" s="24"/>
    </row>
    <row r="664" spans="2:16" x14ac:dyDescent="0.25">
      <c r="B664" s="24"/>
      <c r="E664" s="24"/>
      <c r="G664" s="24"/>
      <c r="H664" s="24"/>
      <c r="J664" s="24"/>
      <c r="K664" s="24"/>
      <c r="M664" s="24"/>
      <c r="N664" s="24"/>
      <c r="P664" s="24"/>
    </row>
    <row r="665" spans="2:16" x14ac:dyDescent="0.25">
      <c r="B665" s="24"/>
      <c r="E665" s="24"/>
      <c r="G665" s="24"/>
      <c r="H665" s="24"/>
      <c r="J665" s="24"/>
      <c r="K665" s="24"/>
      <c r="M665" s="24"/>
      <c r="N665" s="24"/>
      <c r="P665" s="24"/>
    </row>
    <row r="666" spans="2:16" x14ac:dyDescent="0.25">
      <c r="B666" s="24"/>
      <c r="E666" s="24"/>
      <c r="G666" s="24"/>
      <c r="H666" s="24"/>
      <c r="J666" s="24"/>
      <c r="K666" s="24"/>
      <c r="M666" s="24"/>
      <c r="N666" s="24"/>
      <c r="P666" s="24"/>
    </row>
    <row r="667" spans="2:16" x14ac:dyDescent="0.25">
      <c r="B667" s="24"/>
      <c r="E667" s="24"/>
      <c r="G667" s="24"/>
      <c r="H667" s="24"/>
      <c r="J667" s="24"/>
      <c r="K667" s="24"/>
      <c r="M667" s="24"/>
      <c r="N667" s="24"/>
      <c r="P667" s="24"/>
    </row>
    <row r="668" spans="2:16" x14ac:dyDescent="0.25">
      <c r="B668" s="24"/>
      <c r="E668" s="24"/>
      <c r="G668" s="24"/>
      <c r="H668" s="24"/>
      <c r="J668" s="24"/>
      <c r="K668" s="24"/>
      <c r="M668" s="24"/>
      <c r="N668" s="24"/>
      <c r="P668" s="24"/>
    </row>
    <row r="669" spans="2:16" x14ac:dyDescent="0.25">
      <c r="B669" s="24"/>
      <c r="E669" s="24"/>
      <c r="G669" s="24"/>
      <c r="H669" s="24"/>
      <c r="J669" s="24"/>
      <c r="K669" s="24"/>
      <c r="M669" s="24"/>
      <c r="N669" s="24"/>
      <c r="P669" s="24"/>
    </row>
    <row r="670" spans="2:16" x14ac:dyDescent="0.25">
      <c r="B670" s="24"/>
      <c r="E670" s="24"/>
      <c r="G670" s="24"/>
      <c r="H670" s="24"/>
      <c r="J670" s="24"/>
      <c r="K670" s="24"/>
      <c r="M670" s="24"/>
      <c r="N670" s="24"/>
      <c r="P670" s="24"/>
    </row>
    <row r="671" spans="2:16" x14ac:dyDescent="0.25">
      <c r="B671" s="24"/>
      <c r="E671" s="24"/>
      <c r="G671" s="24"/>
      <c r="H671" s="24"/>
      <c r="J671" s="24"/>
      <c r="K671" s="24"/>
      <c r="M671" s="24"/>
      <c r="N671" s="24"/>
      <c r="P671" s="24"/>
    </row>
    <row r="672" spans="2:16" x14ac:dyDescent="0.25">
      <c r="B672" s="24"/>
      <c r="E672" s="24"/>
      <c r="G672" s="24"/>
      <c r="H672" s="24"/>
      <c r="J672" s="24"/>
      <c r="K672" s="24"/>
      <c r="M672" s="24"/>
      <c r="N672" s="24"/>
      <c r="P672" s="24"/>
    </row>
    <row r="673" spans="2:16" x14ac:dyDescent="0.25">
      <c r="B673" s="24"/>
      <c r="E673" s="24"/>
      <c r="G673" s="24"/>
      <c r="H673" s="24"/>
      <c r="J673" s="24"/>
      <c r="K673" s="24"/>
      <c r="M673" s="24"/>
      <c r="N673" s="24"/>
      <c r="P673" s="24"/>
    </row>
    <row r="674" spans="2:16" x14ac:dyDescent="0.25">
      <c r="B674" s="24"/>
      <c r="E674" s="24"/>
      <c r="G674" s="24"/>
      <c r="H674" s="24"/>
      <c r="J674" s="24"/>
      <c r="K674" s="24"/>
      <c r="M674" s="24"/>
      <c r="N674" s="24"/>
      <c r="P674" s="24"/>
    </row>
    <row r="675" spans="2:16" x14ac:dyDescent="0.25">
      <c r="B675" s="24"/>
      <c r="E675" s="24"/>
      <c r="G675" s="24"/>
      <c r="H675" s="24"/>
      <c r="J675" s="24"/>
      <c r="K675" s="24"/>
      <c r="M675" s="24"/>
      <c r="N675" s="24"/>
      <c r="P675" s="24"/>
    </row>
    <row r="676" spans="2:16" x14ac:dyDescent="0.25">
      <c r="B676" s="24"/>
      <c r="E676" s="24"/>
      <c r="G676" s="24"/>
      <c r="H676" s="24"/>
      <c r="J676" s="24"/>
      <c r="K676" s="24"/>
      <c r="M676" s="24"/>
      <c r="N676" s="24"/>
      <c r="P676" s="24"/>
    </row>
    <row r="677" spans="2:16" x14ac:dyDescent="0.25">
      <c r="B677" s="24"/>
      <c r="E677" s="24"/>
      <c r="G677" s="24"/>
      <c r="H677" s="24"/>
      <c r="J677" s="24"/>
      <c r="K677" s="24"/>
      <c r="M677" s="24"/>
      <c r="N677" s="24"/>
      <c r="P677" s="24"/>
    </row>
    <row r="678" spans="2:16" x14ac:dyDescent="0.25">
      <c r="B678" s="24"/>
      <c r="E678" s="24"/>
      <c r="G678" s="24"/>
      <c r="H678" s="24"/>
      <c r="J678" s="24"/>
      <c r="K678" s="24"/>
      <c r="M678" s="24"/>
      <c r="N678" s="24"/>
      <c r="P678" s="24"/>
    </row>
    <row r="679" spans="2:16" x14ac:dyDescent="0.25">
      <c r="B679" s="24"/>
      <c r="E679" s="24"/>
      <c r="G679" s="24"/>
      <c r="H679" s="24"/>
      <c r="J679" s="24"/>
      <c r="K679" s="24"/>
      <c r="M679" s="24"/>
      <c r="N679" s="24"/>
      <c r="P679" s="24"/>
    </row>
    <row r="680" spans="2:16" x14ac:dyDescent="0.25">
      <c r="B680" s="24"/>
      <c r="E680" s="24"/>
      <c r="G680" s="24"/>
      <c r="H680" s="24"/>
      <c r="J680" s="24"/>
      <c r="K680" s="24"/>
      <c r="M680" s="24"/>
      <c r="N680" s="24"/>
      <c r="P680" s="24"/>
    </row>
    <row r="681" spans="2:16" x14ac:dyDescent="0.25">
      <c r="B681" s="24"/>
      <c r="E681" s="24"/>
      <c r="G681" s="24"/>
      <c r="H681" s="24"/>
      <c r="J681" s="24"/>
      <c r="K681" s="24"/>
      <c r="M681" s="24"/>
      <c r="N681" s="24"/>
      <c r="P681" s="24"/>
    </row>
    <row r="682" spans="2:16" x14ac:dyDescent="0.25">
      <c r="B682" s="24"/>
      <c r="E682" s="24"/>
      <c r="G682" s="24"/>
      <c r="H682" s="24"/>
      <c r="J682" s="24"/>
      <c r="K682" s="24"/>
      <c r="M682" s="24"/>
      <c r="N682" s="24"/>
      <c r="P682" s="24"/>
    </row>
    <row r="683" spans="2:16" x14ac:dyDescent="0.25">
      <c r="B683" s="24"/>
      <c r="E683" s="24"/>
      <c r="G683" s="24"/>
      <c r="H683" s="24"/>
      <c r="J683" s="24"/>
      <c r="K683" s="24"/>
      <c r="M683" s="24"/>
      <c r="N683" s="24"/>
      <c r="P683" s="24"/>
    </row>
    <row r="684" spans="2:16" x14ac:dyDescent="0.25">
      <c r="B684" s="24"/>
      <c r="E684" s="24"/>
      <c r="G684" s="24"/>
      <c r="H684" s="24"/>
      <c r="J684" s="24"/>
      <c r="K684" s="24"/>
      <c r="M684" s="24"/>
      <c r="N684" s="24"/>
      <c r="P684" s="24"/>
    </row>
    <row r="685" spans="2:16" x14ac:dyDescent="0.25">
      <c r="B685" s="24"/>
      <c r="E685" s="24"/>
      <c r="G685" s="24"/>
      <c r="H685" s="24"/>
      <c r="J685" s="24"/>
      <c r="K685" s="24"/>
      <c r="M685" s="24"/>
      <c r="N685" s="24"/>
      <c r="P685" s="24"/>
    </row>
    <row r="686" spans="2:16" x14ac:dyDescent="0.25">
      <c r="B686" s="24"/>
      <c r="E686" s="24"/>
      <c r="G686" s="24"/>
      <c r="H686" s="24"/>
      <c r="J686" s="24"/>
      <c r="K686" s="24"/>
      <c r="M686" s="24"/>
      <c r="N686" s="24"/>
      <c r="P686" s="24"/>
    </row>
    <row r="687" spans="2:16" x14ac:dyDescent="0.25">
      <c r="B687" s="24"/>
      <c r="E687" s="24"/>
      <c r="G687" s="24"/>
      <c r="H687" s="24"/>
      <c r="J687" s="24"/>
      <c r="K687" s="24"/>
      <c r="M687" s="24"/>
      <c r="N687" s="24"/>
      <c r="P687" s="24"/>
    </row>
    <row r="688" spans="2:16" x14ac:dyDescent="0.25">
      <c r="B688" s="24"/>
      <c r="E688" s="24"/>
      <c r="G688" s="24"/>
      <c r="H688" s="24"/>
      <c r="J688" s="24"/>
      <c r="K688" s="24"/>
      <c r="M688" s="24"/>
      <c r="N688" s="24"/>
      <c r="P688" s="24"/>
    </row>
    <row r="689" spans="2:16" x14ac:dyDescent="0.25">
      <c r="B689" s="24"/>
      <c r="E689" s="24"/>
      <c r="G689" s="24"/>
      <c r="H689" s="24"/>
      <c r="J689" s="24"/>
      <c r="K689" s="24"/>
      <c r="M689" s="24"/>
      <c r="N689" s="24"/>
      <c r="P689" s="24"/>
    </row>
    <row r="690" spans="2:16" x14ac:dyDescent="0.25">
      <c r="B690" s="24"/>
      <c r="E690" s="24"/>
      <c r="G690" s="24"/>
      <c r="H690" s="24"/>
      <c r="J690" s="24"/>
      <c r="K690" s="24"/>
      <c r="M690" s="24"/>
      <c r="N690" s="24"/>
      <c r="P690" s="24"/>
    </row>
    <row r="691" spans="2:16" x14ac:dyDescent="0.25">
      <c r="B691" s="24"/>
      <c r="E691" s="24"/>
      <c r="G691" s="24"/>
      <c r="H691" s="24"/>
      <c r="J691" s="24"/>
      <c r="K691" s="24"/>
      <c r="M691" s="24"/>
      <c r="N691" s="24"/>
      <c r="P691" s="24"/>
    </row>
    <row r="692" spans="2:16" x14ac:dyDescent="0.25">
      <c r="B692" s="24"/>
      <c r="E692" s="24"/>
      <c r="G692" s="24"/>
      <c r="H692" s="24"/>
      <c r="J692" s="24"/>
      <c r="K692" s="24"/>
      <c r="M692" s="24"/>
      <c r="N692" s="24"/>
      <c r="P692" s="24"/>
    </row>
    <row r="693" spans="2:16" x14ac:dyDescent="0.25">
      <c r="B693" s="24"/>
      <c r="E693" s="24"/>
      <c r="G693" s="24"/>
      <c r="H693" s="24"/>
      <c r="J693" s="24"/>
      <c r="K693" s="24"/>
      <c r="M693" s="24"/>
      <c r="N693" s="24"/>
      <c r="P693" s="24"/>
    </row>
    <row r="694" spans="2:16" x14ac:dyDescent="0.25">
      <c r="B694" s="24"/>
      <c r="E694" s="24"/>
      <c r="G694" s="24"/>
      <c r="H694" s="24"/>
      <c r="J694" s="24"/>
      <c r="K694" s="24"/>
      <c r="M694" s="24"/>
      <c r="N694" s="24"/>
      <c r="P694" s="24"/>
    </row>
    <row r="695" spans="2:16" x14ac:dyDescent="0.25">
      <c r="B695" s="24"/>
      <c r="E695" s="24"/>
      <c r="G695" s="24"/>
      <c r="H695" s="24"/>
      <c r="J695" s="24"/>
      <c r="K695" s="24"/>
      <c r="M695" s="24"/>
      <c r="N695" s="24"/>
      <c r="P695" s="24"/>
    </row>
    <row r="696" spans="2:16" x14ac:dyDescent="0.25">
      <c r="B696" s="24"/>
      <c r="E696" s="24"/>
      <c r="G696" s="24"/>
      <c r="H696" s="24"/>
      <c r="J696" s="24"/>
      <c r="K696" s="24"/>
      <c r="M696" s="24"/>
      <c r="N696" s="24"/>
      <c r="P696" s="24"/>
    </row>
    <row r="697" spans="2:16" x14ac:dyDescent="0.25">
      <c r="B697" s="24"/>
      <c r="E697" s="24"/>
      <c r="G697" s="24"/>
      <c r="H697" s="24"/>
      <c r="J697" s="24"/>
      <c r="K697" s="24"/>
      <c r="M697" s="24"/>
      <c r="N697" s="24"/>
      <c r="P697" s="24"/>
    </row>
    <row r="698" spans="2:16" x14ac:dyDescent="0.25">
      <c r="B698" s="24"/>
      <c r="E698" s="24"/>
      <c r="G698" s="24"/>
      <c r="H698" s="24"/>
      <c r="J698" s="24"/>
      <c r="K698" s="24"/>
      <c r="M698" s="24"/>
      <c r="N698" s="24"/>
      <c r="P698" s="24"/>
    </row>
    <row r="699" spans="2:16" x14ac:dyDescent="0.25">
      <c r="B699" s="24"/>
      <c r="E699" s="24"/>
      <c r="G699" s="24"/>
      <c r="H699" s="24"/>
      <c r="J699" s="24"/>
      <c r="K699" s="24"/>
      <c r="M699" s="24"/>
      <c r="N699" s="24"/>
      <c r="P699" s="24"/>
    </row>
    <row r="700" spans="2:16" x14ac:dyDescent="0.25">
      <c r="B700" s="24"/>
      <c r="E700" s="24"/>
      <c r="G700" s="24"/>
      <c r="H700" s="24"/>
      <c r="J700" s="24"/>
      <c r="K700" s="24"/>
      <c r="M700" s="24"/>
      <c r="N700" s="24"/>
      <c r="P700" s="24"/>
    </row>
    <row r="701" spans="2:16" x14ac:dyDescent="0.25">
      <c r="B701" s="24"/>
      <c r="E701" s="24"/>
      <c r="G701" s="24"/>
      <c r="H701" s="24"/>
      <c r="J701" s="24"/>
      <c r="K701" s="24"/>
      <c r="M701" s="24"/>
      <c r="N701" s="24"/>
      <c r="P701" s="24"/>
    </row>
    <row r="702" spans="2:16" x14ac:dyDescent="0.25">
      <c r="B702" s="24"/>
      <c r="E702" s="24"/>
      <c r="G702" s="24"/>
      <c r="H702" s="24"/>
      <c r="J702" s="24"/>
      <c r="K702" s="24"/>
      <c r="M702" s="24"/>
      <c r="N702" s="24"/>
      <c r="P702" s="24"/>
    </row>
    <row r="703" spans="2:16" x14ac:dyDescent="0.25">
      <c r="B703" s="24"/>
      <c r="E703" s="24"/>
      <c r="G703" s="24"/>
      <c r="H703" s="24"/>
      <c r="J703" s="24"/>
      <c r="K703" s="24"/>
      <c r="M703" s="24"/>
      <c r="N703" s="24"/>
      <c r="P703" s="24"/>
    </row>
    <row r="704" spans="2:16" x14ac:dyDescent="0.25">
      <c r="B704" s="24"/>
      <c r="E704" s="24"/>
      <c r="G704" s="24"/>
      <c r="H704" s="24"/>
      <c r="J704" s="24"/>
      <c r="K704" s="24"/>
      <c r="M704" s="24"/>
      <c r="N704" s="24"/>
      <c r="P704" s="24"/>
    </row>
    <row r="705" spans="2:16" x14ac:dyDescent="0.25">
      <c r="B705" s="24"/>
      <c r="E705" s="24"/>
      <c r="G705" s="24"/>
      <c r="H705" s="24"/>
      <c r="J705" s="24"/>
      <c r="K705" s="24"/>
      <c r="M705" s="24"/>
      <c r="N705" s="24"/>
      <c r="P705" s="24"/>
    </row>
    <row r="706" spans="2:16" x14ac:dyDescent="0.25">
      <c r="B706" s="24"/>
      <c r="E706" s="24"/>
      <c r="G706" s="24"/>
      <c r="H706" s="24"/>
      <c r="J706" s="24"/>
      <c r="K706" s="24"/>
      <c r="M706" s="24"/>
      <c r="N706" s="24"/>
      <c r="P706" s="24"/>
    </row>
    <row r="707" spans="2:16" x14ac:dyDescent="0.25">
      <c r="B707" s="24"/>
      <c r="E707" s="24"/>
      <c r="G707" s="24"/>
      <c r="H707" s="24"/>
      <c r="J707" s="24"/>
      <c r="K707" s="24"/>
      <c r="M707" s="24"/>
      <c r="N707" s="24"/>
      <c r="P707" s="24"/>
    </row>
    <row r="708" spans="2:16" x14ac:dyDescent="0.25">
      <c r="B708" s="24"/>
      <c r="E708" s="24"/>
      <c r="G708" s="24"/>
      <c r="H708" s="24"/>
      <c r="J708" s="24"/>
      <c r="K708" s="24"/>
      <c r="M708" s="24"/>
      <c r="N708" s="24"/>
      <c r="P708" s="24"/>
    </row>
    <row r="709" spans="2:16" x14ac:dyDescent="0.25">
      <c r="B709" s="24"/>
      <c r="E709" s="24"/>
      <c r="G709" s="24"/>
      <c r="H709" s="24"/>
      <c r="J709" s="24"/>
      <c r="K709" s="24"/>
      <c r="M709" s="24"/>
      <c r="N709" s="24"/>
      <c r="P709" s="24"/>
    </row>
    <row r="710" spans="2:16" x14ac:dyDescent="0.25">
      <c r="B710" s="24"/>
      <c r="E710" s="24"/>
      <c r="G710" s="24"/>
      <c r="H710" s="24"/>
      <c r="J710" s="24"/>
      <c r="K710" s="24"/>
      <c r="M710" s="24"/>
      <c r="N710" s="24"/>
      <c r="P710" s="24"/>
    </row>
    <row r="711" spans="2:16" x14ac:dyDescent="0.25">
      <c r="B711" s="24"/>
      <c r="E711" s="24"/>
      <c r="G711" s="24"/>
      <c r="H711" s="24"/>
      <c r="J711" s="24"/>
      <c r="K711" s="24"/>
      <c r="M711" s="24"/>
      <c r="N711" s="24"/>
      <c r="P711" s="24"/>
    </row>
    <row r="712" spans="2:16" x14ac:dyDescent="0.25">
      <c r="B712" s="24"/>
      <c r="E712" s="24"/>
      <c r="G712" s="24"/>
      <c r="H712" s="24"/>
      <c r="J712" s="24"/>
      <c r="K712" s="24"/>
      <c r="M712" s="24"/>
      <c r="N712" s="24"/>
      <c r="P712" s="24"/>
    </row>
    <row r="713" spans="2:16" x14ac:dyDescent="0.25">
      <c r="B713" s="24"/>
      <c r="E713" s="24"/>
      <c r="G713" s="24"/>
      <c r="H713" s="24"/>
      <c r="J713" s="24"/>
      <c r="K713" s="24"/>
      <c r="M713" s="24"/>
      <c r="N713" s="24"/>
      <c r="P713" s="24"/>
    </row>
    <row r="714" spans="2:16" x14ac:dyDescent="0.25">
      <c r="B714" s="24"/>
      <c r="E714" s="24"/>
      <c r="G714" s="24"/>
      <c r="H714" s="24"/>
      <c r="J714" s="24"/>
      <c r="K714" s="24"/>
      <c r="M714" s="24"/>
      <c r="N714" s="24"/>
      <c r="P714" s="24"/>
    </row>
    <row r="715" spans="2:16" x14ac:dyDescent="0.25">
      <c r="B715" s="24"/>
      <c r="E715" s="24"/>
      <c r="G715" s="24"/>
      <c r="H715" s="24"/>
      <c r="J715" s="24"/>
      <c r="K715" s="24"/>
      <c r="M715" s="24"/>
      <c r="N715" s="24"/>
      <c r="P715" s="24"/>
    </row>
    <row r="716" spans="2:16" x14ac:dyDescent="0.25">
      <c r="B716" s="24"/>
      <c r="E716" s="24"/>
      <c r="G716" s="24"/>
      <c r="H716" s="24"/>
      <c r="J716" s="24"/>
      <c r="K716" s="24"/>
      <c r="M716" s="24"/>
      <c r="N716" s="24"/>
      <c r="P716" s="24"/>
    </row>
    <row r="717" spans="2:16" x14ac:dyDescent="0.25">
      <c r="B717" s="24"/>
      <c r="E717" s="24"/>
      <c r="G717" s="24"/>
      <c r="H717" s="24"/>
      <c r="J717" s="24"/>
      <c r="K717" s="24"/>
      <c r="M717" s="24"/>
      <c r="N717" s="24"/>
      <c r="P717" s="24"/>
    </row>
    <row r="718" spans="2:16" x14ac:dyDescent="0.25">
      <c r="B718" s="24"/>
      <c r="E718" s="24"/>
      <c r="G718" s="24"/>
      <c r="H718" s="24"/>
      <c r="J718" s="24"/>
      <c r="K718" s="24"/>
      <c r="M718" s="24"/>
      <c r="N718" s="24"/>
      <c r="P718" s="24"/>
    </row>
    <row r="719" spans="2:16" x14ac:dyDescent="0.25">
      <c r="B719" s="24"/>
      <c r="E719" s="24"/>
      <c r="G719" s="24"/>
      <c r="H719" s="24"/>
      <c r="J719" s="24"/>
      <c r="K719" s="24"/>
      <c r="M719" s="24"/>
      <c r="N719" s="24"/>
      <c r="P719" s="24"/>
    </row>
    <row r="720" spans="2:16" x14ac:dyDescent="0.25">
      <c r="B720" s="24"/>
      <c r="E720" s="24"/>
      <c r="G720" s="24"/>
      <c r="H720" s="24"/>
      <c r="J720" s="24"/>
      <c r="K720" s="24"/>
      <c r="M720" s="24"/>
      <c r="N720" s="24"/>
      <c r="P720" s="24"/>
    </row>
    <row r="721" spans="2:16" x14ac:dyDescent="0.25">
      <c r="B721" s="24"/>
      <c r="E721" s="24"/>
      <c r="G721" s="24"/>
      <c r="H721" s="24"/>
      <c r="J721" s="24"/>
      <c r="K721" s="24"/>
      <c r="M721" s="24"/>
      <c r="N721" s="24"/>
      <c r="P721" s="24"/>
    </row>
    <row r="722" spans="2:16" x14ac:dyDescent="0.25">
      <c r="B722" s="24"/>
      <c r="E722" s="24"/>
      <c r="G722" s="24"/>
      <c r="H722" s="24"/>
      <c r="J722" s="24"/>
      <c r="K722" s="24"/>
      <c r="M722" s="24"/>
      <c r="N722" s="24"/>
      <c r="P722" s="24"/>
    </row>
    <row r="723" spans="2:16" x14ac:dyDescent="0.25">
      <c r="B723" s="24"/>
      <c r="E723" s="24"/>
      <c r="G723" s="24"/>
      <c r="H723" s="24"/>
      <c r="J723" s="24"/>
      <c r="K723" s="24"/>
      <c r="M723" s="24"/>
      <c r="N723" s="24"/>
      <c r="P723" s="24"/>
    </row>
    <row r="724" spans="2:16" x14ac:dyDescent="0.25">
      <c r="B724" s="24"/>
      <c r="E724" s="24"/>
      <c r="G724" s="24"/>
      <c r="H724" s="24"/>
      <c r="J724" s="24"/>
      <c r="K724" s="24"/>
      <c r="M724" s="24"/>
      <c r="N724" s="24"/>
      <c r="P724" s="24"/>
    </row>
    <row r="725" spans="2:16" x14ac:dyDescent="0.25">
      <c r="B725" s="24"/>
      <c r="E725" s="24"/>
      <c r="G725" s="24"/>
      <c r="H725" s="24"/>
      <c r="J725" s="24"/>
      <c r="K725" s="24"/>
      <c r="M725" s="24"/>
      <c r="N725" s="24"/>
      <c r="P725" s="24"/>
    </row>
    <row r="726" spans="2:16" x14ac:dyDescent="0.25">
      <c r="B726" s="24"/>
      <c r="E726" s="24"/>
      <c r="G726" s="24"/>
      <c r="H726" s="24"/>
      <c r="J726" s="24"/>
      <c r="K726" s="24"/>
      <c r="M726" s="24"/>
      <c r="N726" s="24"/>
      <c r="P726" s="24"/>
    </row>
    <row r="727" spans="2:16" x14ac:dyDescent="0.25">
      <c r="B727" s="24"/>
      <c r="E727" s="24"/>
      <c r="G727" s="24"/>
      <c r="H727" s="24"/>
      <c r="J727" s="24"/>
      <c r="K727" s="24"/>
      <c r="M727" s="24"/>
      <c r="N727" s="24"/>
      <c r="P727" s="24"/>
    </row>
    <row r="728" spans="2:16" x14ac:dyDescent="0.25">
      <c r="B728" s="24"/>
      <c r="E728" s="24"/>
      <c r="G728" s="24"/>
      <c r="H728" s="24"/>
      <c r="J728" s="24"/>
      <c r="K728" s="24"/>
      <c r="M728" s="24"/>
      <c r="N728" s="24"/>
      <c r="P728" s="24"/>
    </row>
    <row r="729" spans="2:16" x14ac:dyDescent="0.25">
      <c r="B729" s="24"/>
      <c r="E729" s="24"/>
      <c r="G729" s="24"/>
      <c r="H729" s="24"/>
      <c r="J729" s="24"/>
      <c r="K729" s="24"/>
      <c r="M729" s="24"/>
      <c r="N729" s="24"/>
      <c r="P729" s="24"/>
    </row>
    <row r="730" spans="2:16" x14ac:dyDescent="0.25">
      <c r="B730" s="24"/>
      <c r="E730" s="24"/>
      <c r="G730" s="24"/>
      <c r="H730" s="24"/>
      <c r="J730" s="24"/>
      <c r="K730" s="24"/>
      <c r="M730" s="24"/>
      <c r="N730" s="24"/>
      <c r="P730" s="24"/>
    </row>
    <row r="731" spans="2:16" x14ac:dyDescent="0.25">
      <c r="B731" s="24"/>
      <c r="E731" s="24"/>
      <c r="G731" s="24"/>
      <c r="H731" s="24"/>
      <c r="J731" s="24"/>
      <c r="K731" s="24"/>
      <c r="M731" s="24"/>
      <c r="N731" s="24"/>
      <c r="P731" s="24"/>
    </row>
    <row r="732" spans="2:16" x14ac:dyDescent="0.25">
      <c r="B732" s="24"/>
      <c r="E732" s="24"/>
      <c r="G732" s="24"/>
      <c r="H732" s="24"/>
      <c r="J732" s="24"/>
      <c r="K732" s="24"/>
      <c r="M732" s="24"/>
      <c r="N732" s="24"/>
      <c r="P732" s="24"/>
    </row>
    <row r="733" spans="2:16" x14ac:dyDescent="0.25">
      <c r="B733" s="24"/>
      <c r="E733" s="24"/>
      <c r="G733" s="24"/>
      <c r="H733" s="24"/>
      <c r="J733" s="24"/>
      <c r="K733" s="24"/>
      <c r="M733" s="24"/>
      <c r="N733" s="24"/>
      <c r="P733" s="24"/>
    </row>
    <row r="734" spans="2:16" x14ac:dyDescent="0.25">
      <c r="B734" s="24"/>
      <c r="E734" s="24"/>
      <c r="G734" s="24"/>
      <c r="H734" s="24"/>
      <c r="J734" s="24"/>
      <c r="K734" s="24"/>
      <c r="M734" s="24"/>
      <c r="N734" s="24"/>
      <c r="P734" s="24"/>
    </row>
    <row r="735" spans="2:16" x14ac:dyDescent="0.25">
      <c r="B735" s="24"/>
      <c r="E735" s="24"/>
      <c r="G735" s="24"/>
      <c r="H735" s="24"/>
      <c r="J735" s="24"/>
      <c r="K735" s="24"/>
      <c r="M735" s="24"/>
      <c r="N735" s="24"/>
      <c r="P735" s="24"/>
    </row>
    <row r="736" spans="2:16" x14ac:dyDescent="0.25">
      <c r="B736" s="24"/>
      <c r="E736" s="24"/>
      <c r="G736" s="24"/>
      <c r="H736" s="24"/>
      <c r="J736" s="24"/>
      <c r="K736" s="24"/>
      <c r="M736" s="24"/>
      <c r="N736" s="24"/>
      <c r="P736" s="24"/>
    </row>
    <row r="737" spans="2:16" x14ac:dyDescent="0.25">
      <c r="B737" s="24"/>
      <c r="E737" s="24"/>
      <c r="G737" s="24"/>
      <c r="H737" s="24"/>
      <c r="J737" s="24"/>
      <c r="K737" s="24"/>
      <c r="M737" s="24"/>
      <c r="N737" s="24"/>
      <c r="P737" s="24"/>
    </row>
    <row r="738" spans="2:16" x14ac:dyDescent="0.25">
      <c r="B738" s="24"/>
      <c r="E738" s="24"/>
      <c r="G738" s="24"/>
      <c r="H738" s="24"/>
      <c r="J738" s="24"/>
      <c r="K738" s="24"/>
      <c r="M738" s="24"/>
      <c r="N738" s="24"/>
      <c r="P738" s="24"/>
    </row>
    <row r="739" spans="2:16" x14ac:dyDescent="0.25">
      <c r="B739" s="24"/>
      <c r="E739" s="24"/>
      <c r="G739" s="24"/>
      <c r="H739" s="24"/>
      <c r="J739" s="24"/>
      <c r="K739" s="24"/>
      <c r="M739" s="24"/>
      <c r="N739" s="24"/>
      <c r="P739" s="24"/>
    </row>
    <row r="740" spans="2:16" x14ac:dyDescent="0.25">
      <c r="B740" s="24"/>
      <c r="E740" s="24"/>
      <c r="G740" s="24"/>
      <c r="H740" s="24"/>
      <c r="J740" s="24"/>
      <c r="K740" s="24"/>
      <c r="M740" s="24"/>
      <c r="N740" s="24"/>
      <c r="P740" s="24"/>
    </row>
    <row r="741" spans="2:16" x14ac:dyDescent="0.25">
      <c r="B741" s="24"/>
      <c r="E741" s="24"/>
      <c r="G741" s="24"/>
      <c r="H741" s="24"/>
      <c r="J741" s="24"/>
      <c r="K741" s="24"/>
      <c r="M741" s="24"/>
      <c r="N741" s="24"/>
      <c r="P741" s="24"/>
    </row>
    <row r="742" spans="2:16" x14ac:dyDescent="0.25">
      <c r="B742" s="24"/>
      <c r="E742" s="24"/>
      <c r="G742" s="24"/>
      <c r="H742" s="24"/>
      <c r="J742" s="24"/>
      <c r="K742" s="24"/>
      <c r="M742" s="24"/>
      <c r="N742" s="24"/>
      <c r="P742" s="24"/>
    </row>
    <row r="743" spans="2:16" x14ac:dyDescent="0.25">
      <c r="B743" s="24"/>
      <c r="E743" s="24"/>
      <c r="G743" s="24"/>
      <c r="H743" s="24"/>
      <c r="J743" s="24"/>
      <c r="K743" s="24"/>
      <c r="M743" s="24"/>
      <c r="N743" s="24"/>
      <c r="P743" s="24"/>
    </row>
    <row r="744" spans="2:16" x14ac:dyDescent="0.25">
      <c r="B744" s="24"/>
      <c r="E744" s="24"/>
      <c r="G744" s="24"/>
      <c r="H744" s="24"/>
      <c r="J744" s="24"/>
      <c r="K744" s="24"/>
      <c r="M744" s="24"/>
      <c r="N744" s="24"/>
      <c r="P744" s="24"/>
    </row>
    <row r="745" spans="2:16" x14ac:dyDescent="0.25">
      <c r="B745" s="24"/>
      <c r="E745" s="24"/>
      <c r="G745" s="24"/>
      <c r="H745" s="24"/>
      <c r="J745" s="24"/>
      <c r="K745" s="24"/>
      <c r="M745" s="24"/>
      <c r="N745" s="24"/>
      <c r="P745" s="24"/>
    </row>
    <row r="746" spans="2:16" x14ac:dyDescent="0.25">
      <c r="B746" s="24"/>
      <c r="E746" s="24"/>
      <c r="G746" s="24"/>
      <c r="H746" s="24"/>
      <c r="J746" s="24"/>
      <c r="K746" s="24"/>
      <c r="M746" s="24"/>
      <c r="N746" s="24"/>
      <c r="P746" s="24"/>
    </row>
    <row r="747" spans="2:16" x14ac:dyDescent="0.25">
      <c r="B747" s="24"/>
      <c r="E747" s="24"/>
      <c r="G747" s="24"/>
      <c r="H747" s="24"/>
      <c r="J747" s="24"/>
      <c r="K747" s="24"/>
      <c r="M747" s="24"/>
      <c r="N747" s="24"/>
      <c r="P747" s="24"/>
    </row>
    <row r="748" spans="2:16" x14ac:dyDescent="0.25">
      <c r="B748" s="24"/>
      <c r="E748" s="24"/>
      <c r="G748" s="24"/>
      <c r="H748" s="24"/>
      <c r="J748" s="24"/>
      <c r="K748" s="24"/>
      <c r="M748" s="24"/>
      <c r="N748" s="24"/>
      <c r="P748" s="24"/>
    </row>
    <row r="749" spans="2:16" x14ac:dyDescent="0.25">
      <c r="B749" s="24"/>
      <c r="E749" s="24"/>
      <c r="G749" s="24"/>
      <c r="H749" s="24"/>
      <c r="J749" s="24"/>
      <c r="K749" s="24"/>
      <c r="M749" s="24"/>
      <c r="N749" s="24"/>
      <c r="P749" s="24"/>
    </row>
    <row r="750" spans="2:16" x14ac:dyDescent="0.25">
      <c r="B750" s="24"/>
      <c r="E750" s="24"/>
      <c r="G750" s="24"/>
      <c r="H750" s="24"/>
      <c r="J750" s="24"/>
      <c r="K750" s="24"/>
      <c r="M750" s="24"/>
      <c r="N750" s="24"/>
      <c r="P750" s="24"/>
    </row>
    <row r="751" spans="2:16" x14ac:dyDescent="0.25">
      <c r="B751" s="24"/>
      <c r="E751" s="24"/>
      <c r="G751" s="24"/>
      <c r="H751" s="24"/>
      <c r="J751" s="24"/>
      <c r="K751" s="24"/>
      <c r="M751" s="24"/>
      <c r="N751" s="24"/>
      <c r="P751" s="24"/>
    </row>
    <row r="752" spans="2:16" x14ac:dyDescent="0.25">
      <c r="B752" s="24"/>
      <c r="E752" s="24"/>
      <c r="G752" s="24"/>
      <c r="H752" s="24"/>
      <c r="J752" s="24"/>
      <c r="K752" s="24"/>
      <c r="M752" s="24"/>
      <c r="N752" s="24"/>
      <c r="P752" s="24"/>
    </row>
    <row r="753" spans="2:16" x14ac:dyDescent="0.25">
      <c r="B753" s="24"/>
      <c r="E753" s="24"/>
      <c r="G753" s="24"/>
      <c r="H753" s="24"/>
      <c r="J753" s="24"/>
      <c r="K753" s="24"/>
      <c r="M753" s="24"/>
      <c r="N753" s="24"/>
      <c r="P753" s="24"/>
    </row>
    <row r="754" spans="2:16" x14ac:dyDescent="0.25">
      <c r="B754" s="24"/>
      <c r="E754" s="24"/>
      <c r="G754" s="24"/>
      <c r="H754" s="24"/>
      <c r="J754" s="24"/>
      <c r="K754" s="24"/>
      <c r="M754" s="24"/>
      <c r="N754" s="24"/>
      <c r="P754" s="24"/>
    </row>
    <row r="755" spans="2:16" x14ac:dyDescent="0.25">
      <c r="B755" s="24"/>
      <c r="E755" s="24"/>
      <c r="G755" s="24"/>
      <c r="H755" s="24"/>
      <c r="J755" s="24"/>
      <c r="K755" s="24"/>
      <c r="M755" s="24"/>
      <c r="N755" s="24"/>
      <c r="P755" s="24"/>
    </row>
    <row r="756" spans="2:16" x14ac:dyDescent="0.25">
      <c r="B756" s="24"/>
      <c r="E756" s="24"/>
      <c r="G756" s="24"/>
      <c r="H756" s="24"/>
      <c r="J756" s="24"/>
      <c r="K756" s="24"/>
      <c r="M756" s="24"/>
      <c r="N756" s="24"/>
      <c r="P756" s="24"/>
    </row>
    <row r="757" spans="2:16" x14ac:dyDescent="0.25">
      <c r="B757" s="24"/>
      <c r="E757" s="24"/>
      <c r="G757" s="24"/>
      <c r="H757" s="24"/>
      <c r="J757" s="24"/>
      <c r="K757" s="24"/>
      <c r="M757" s="24"/>
      <c r="N757" s="24"/>
      <c r="P757" s="24"/>
    </row>
    <row r="758" spans="2:16" x14ac:dyDescent="0.25">
      <c r="B758" s="24"/>
      <c r="E758" s="24"/>
      <c r="G758" s="24"/>
      <c r="H758" s="24"/>
      <c r="J758" s="24"/>
      <c r="K758" s="24"/>
      <c r="M758" s="24"/>
      <c r="N758" s="24"/>
      <c r="P758" s="24"/>
    </row>
    <row r="759" spans="2:16" x14ac:dyDescent="0.25">
      <c r="B759" s="24"/>
      <c r="E759" s="24"/>
      <c r="G759" s="24"/>
      <c r="H759" s="24"/>
      <c r="J759" s="24"/>
      <c r="K759" s="24"/>
      <c r="M759" s="24"/>
      <c r="N759" s="24"/>
      <c r="P759" s="24"/>
    </row>
    <row r="760" spans="2:16" x14ac:dyDescent="0.25">
      <c r="B760" s="24"/>
      <c r="E760" s="24"/>
      <c r="G760" s="24"/>
      <c r="H760" s="24"/>
      <c r="J760" s="24"/>
      <c r="K760" s="24"/>
      <c r="M760" s="24"/>
      <c r="N760" s="24"/>
      <c r="P760" s="24"/>
    </row>
    <row r="761" spans="2:16" x14ac:dyDescent="0.25">
      <c r="B761" s="24"/>
      <c r="E761" s="24"/>
      <c r="G761" s="24"/>
      <c r="H761" s="24"/>
      <c r="J761" s="24"/>
      <c r="K761" s="24"/>
      <c r="M761" s="24"/>
      <c r="N761" s="24"/>
      <c r="P761" s="24"/>
    </row>
    <row r="762" spans="2:16" x14ac:dyDescent="0.25">
      <c r="B762" s="24"/>
      <c r="E762" s="24"/>
      <c r="G762" s="24"/>
      <c r="H762" s="24"/>
      <c r="J762" s="24"/>
      <c r="K762" s="24"/>
      <c r="M762" s="24"/>
      <c r="N762" s="24"/>
      <c r="P762" s="24"/>
    </row>
    <row r="763" spans="2:16" x14ac:dyDescent="0.25">
      <c r="B763" s="24"/>
      <c r="E763" s="24"/>
      <c r="G763" s="24"/>
      <c r="H763" s="24"/>
      <c r="J763" s="24"/>
      <c r="K763" s="24"/>
      <c r="M763" s="24"/>
      <c r="N763" s="24"/>
      <c r="P763" s="24"/>
    </row>
    <row r="764" spans="2:16" x14ac:dyDescent="0.25">
      <c r="B764" s="24"/>
      <c r="E764" s="24"/>
      <c r="G764" s="24"/>
      <c r="H764" s="24"/>
      <c r="J764" s="24"/>
      <c r="K764" s="24"/>
      <c r="M764" s="24"/>
      <c r="N764" s="24"/>
      <c r="P764" s="24"/>
    </row>
    <row r="765" spans="2:16" x14ac:dyDescent="0.25">
      <c r="B765" s="24"/>
      <c r="E765" s="24"/>
      <c r="G765" s="24"/>
      <c r="H765" s="24"/>
      <c r="J765" s="24"/>
      <c r="K765" s="24"/>
      <c r="M765" s="24"/>
      <c r="N765" s="24"/>
      <c r="P765" s="24"/>
    </row>
    <row r="766" spans="2:16" x14ac:dyDescent="0.25">
      <c r="B766" s="24"/>
      <c r="E766" s="24"/>
      <c r="G766" s="24"/>
      <c r="H766" s="24"/>
      <c r="J766" s="24"/>
      <c r="K766" s="24"/>
      <c r="M766" s="24"/>
      <c r="N766" s="24"/>
      <c r="P766" s="24"/>
    </row>
    <row r="767" spans="2:16" x14ac:dyDescent="0.25">
      <c r="B767" s="24"/>
      <c r="E767" s="24"/>
      <c r="G767" s="24"/>
      <c r="H767" s="24"/>
      <c r="J767" s="24"/>
      <c r="K767" s="24"/>
      <c r="M767" s="24"/>
      <c r="N767" s="24"/>
      <c r="P767" s="24"/>
    </row>
    <row r="768" spans="2:16" x14ac:dyDescent="0.25">
      <c r="B768" s="24"/>
      <c r="E768" s="24"/>
      <c r="G768" s="24"/>
      <c r="H768" s="24"/>
      <c r="J768" s="24"/>
      <c r="K768" s="24"/>
      <c r="M768" s="24"/>
      <c r="N768" s="24"/>
      <c r="P768" s="24"/>
    </row>
    <row r="769" spans="2:16" x14ac:dyDescent="0.25">
      <c r="B769" s="24"/>
      <c r="E769" s="24"/>
      <c r="G769" s="24"/>
      <c r="H769" s="24"/>
      <c r="J769" s="24"/>
      <c r="K769" s="24"/>
      <c r="M769" s="24"/>
      <c r="N769" s="24"/>
      <c r="P769" s="24"/>
    </row>
    <row r="770" spans="2:16" x14ac:dyDescent="0.25">
      <c r="B770" s="24"/>
      <c r="E770" s="24"/>
      <c r="G770" s="24"/>
      <c r="H770" s="24"/>
      <c r="J770" s="24"/>
      <c r="K770" s="24"/>
      <c r="M770" s="24"/>
      <c r="N770" s="24"/>
      <c r="P770" s="24"/>
    </row>
    <row r="771" spans="2:16" x14ac:dyDescent="0.25">
      <c r="B771" s="24"/>
      <c r="E771" s="24"/>
      <c r="G771" s="24"/>
      <c r="H771" s="24"/>
      <c r="J771" s="24"/>
      <c r="K771" s="24"/>
      <c r="M771" s="24"/>
      <c r="N771" s="24"/>
      <c r="P771" s="24"/>
    </row>
    <row r="772" spans="2:16" x14ac:dyDescent="0.25">
      <c r="B772" s="24"/>
      <c r="E772" s="24"/>
      <c r="G772" s="24"/>
      <c r="H772" s="24"/>
      <c r="J772" s="24"/>
      <c r="K772" s="24"/>
      <c r="M772" s="24"/>
      <c r="N772" s="24"/>
      <c r="P772" s="24"/>
    </row>
    <row r="773" spans="2:16" x14ac:dyDescent="0.25">
      <c r="B773" s="24"/>
      <c r="E773" s="24"/>
      <c r="G773" s="24"/>
      <c r="H773" s="24"/>
      <c r="J773" s="24"/>
      <c r="K773" s="24"/>
      <c r="M773" s="24"/>
      <c r="N773" s="24"/>
      <c r="P773" s="24"/>
    </row>
    <row r="774" spans="2:16" x14ac:dyDescent="0.25">
      <c r="B774" s="24"/>
      <c r="E774" s="24"/>
      <c r="G774" s="24"/>
      <c r="H774" s="24"/>
      <c r="J774" s="24"/>
      <c r="K774" s="24"/>
      <c r="M774" s="24"/>
      <c r="N774" s="24"/>
      <c r="P774" s="24"/>
    </row>
    <row r="775" spans="2:16" x14ac:dyDescent="0.25">
      <c r="B775" s="24"/>
      <c r="E775" s="24"/>
      <c r="G775" s="24"/>
      <c r="H775" s="24"/>
      <c r="J775" s="24"/>
      <c r="K775" s="24"/>
      <c r="M775" s="24"/>
      <c r="N775" s="24"/>
      <c r="P775" s="24"/>
    </row>
    <row r="776" spans="2:16" x14ac:dyDescent="0.25">
      <c r="B776" s="24"/>
      <c r="E776" s="24"/>
      <c r="G776" s="24"/>
      <c r="H776" s="24"/>
      <c r="J776" s="24"/>
      <c r="K776" s="24"/>
      <c r="M776" s="24"/>
      <c r="N776" s="24"/>
      <c r="P776" s="24"/>
    </row>
    <row r="777" spans="2:16" x14ac:dyDescent="0.25">
      <c r="B777" s="24"/>
      <c r="E777" s="24"/>
      <c r="G777" s="24"/>
      <c r="H777" s="24"/>
      <c r="J777" s="24"/>
      <c r="K777" s="24"/>
      <c r="M777" s="24"/>
      <c r="N777" s="24"/>
      <c r="P777" s="24"/>
    </row>
    <row r="778" spans="2:16" x14ac:dyDescent="0.25">
      <c r="B778" s="24"/>
      <c r="E778" s="24"/>
      <c r="G778" s="24"/>
      <c r="H778" s="24"/>
      <c r="J778" s="24"/>
      <c r="K778" s="24"/>
      <c r="M778" s="24"/>
      <c r="N778" s="24"/>
      <c r="P778" s="24"/>
    </row>
    <row r="779" spans="2:16" x14ac:dyDescent="0.25">
      <c r="B779" s="24"/>
      <c r="E779" s="24"/>
      <c r="G779" s="24"/>
      <c r="H779" s="24"/>
      <c r="J779" s="24"/>
      <c r="K779" s="24"/>
      <c r="M779" s="24"/>
      <c r="N779" s="24"/>
      <c r="P779" s="24"/>
    </row>
    <row r="780" spans="2:16" x14ac:dyDescent="0.25">
      <c r="B780" s="24"/>
      <c r="E780" s="24"/>
      <c r="G780" s="24"/>
      <c r="H780" s="24"/>
      <c r="J780" s="24"/>
      <c r="K780" s="24"/>
      <c r="M780" s="24"/>
      <c r="N780" s="24"/>
      <c r="P780" s="24"/>
    </row>
    <row r="781" spans="2:16" x14ac:dyDescent="0.25">
      <c r="B781" s="24"/>
      <c r="E781" s="24"/>
      <c r="G781" s="24"/>
      <c r="H781" s="24"/>
      <c r="J781" s="24"/>
      <c r="K781" s="24"/>
      <c r="M781" s="24"/>
      <c r="N781" s="24"/>
      <c r="P781" s="24"/>
    </row>
    <row r="782" spans="2:16" x14ac:dyDescent="0.25">
      <c r="B782" s="24"/>
      <c r="E782" s="24"/>
      <c r="G782" s="24"/>
      <c r="H782" s="24"/>
      <c r="J782" s="24"/>
      <c r="K782" s="24"/>
      <c r="M782" s="24"/>
      <c r="N782" s="24"/>
      <c r="P782" s="24"/>
    </row>
    <row r="783" spans="2:16" x14ac:dyDescent="0.25">
      <c r="B783" s="24"/>
      <c r="E783" s="24"/>
      <c r="G783" s="24"/>
      <c r="H783" s="24"/>
      <c r="J783" s="24"/>
      <c r="K783" s="24"/>
      <c r="M783" s="24"/>
      <c r="N783" s="24"/>
      <c r="P783" s="24"/>
    </row>
    <row r="784" spans="2:16" x14ac:dyDescent="0.25">
      <c r="B784" s="24"/>
      <c r="E784" s="24"/>
      <c r="G784" s="24"/>
      <c r="H784" s="24"/>
      <c r="J784" s="24"/>
      <c r="K784" s="24"/>
      <c r="M784" s="24"/>
      <c r="N784" s="24"/>
      <c r="P784" s="24"/>
    </row>
    <row r="785" spans="2:16" x14ac:dyDescent="0.25">
      <c r="B785" s="24"/>
      <c r="E785" s="24"/>
      <c r="G785" s="24"/>
      <c r="H785" s="24"/>
      <c r="J785" s="24"/>
      <c r="K785" s="24"/>
      <c r="M785" s="24"/>
      <c r="N785" s="24"/>
      <c r="P785" s="24"/>
    </row>
    <row r="786" spans="2:16" x14ac:dyDescent="0.25">
      <c r="B786" s="24"/>
      <c r="E786" s="24"/>
      <c r="G786" s="24"/>
      <c r="H786" s="24"/>
      <c r="J786" s="24"/>
      <c r="K786" s="24"/>
      <c r="M786" s="24"/>
      <c r="N786" s="24"/>
      <c r="P786" s="24"/>
    </row>
    <row r="787" spans="2:16" x14ac:dyDescent="0.25">
      <c r="B787" s="24"/>
      <c r="E787" s="24"/>
      <c r="G787" s="24"/>
      <c r="H787" s="24"/>
      <c r="J787" s="24"/>
      <c r="K787" s="24"/>
      <c r="M787" s="24"/>
      <c r="N787" s="24"/>
      <c r="P787" s="24"/>
    </row>
    <row r="788" spans="2:16" x14ac:dyDescent="0.25">
      <c r="B788" s="24"/>
      <c r="E788" s="24"/>
      <c r="G788" s="24"/>
      <c r="H788" s="24"/>
      <c r="J788" s="24"/>
      <c r="K788" s="24"/>
      <c r="M788" s="24"/>
      <c r="N788" s="24"/>
      <c r="P788" s="24"/>
    </row>
    <row r="789" spans="2:16" x14ac:dyDescent="0.25">
      <c r="B789" s="24"/>
      <c r="E789" s="24"/>
      <c r="G789" s="24"/>
      <c r="H789" s="24"/>
      <c r="J789" s="24"/>
      <c r="K789" s="24"/>
      <c r="M789" s="24"/>
      <c r="N789" s="24"/>
      <c r="P789" s="24"/>
    </row>
    <row r="790" spans="2:16" x14ac:dyDescent="0.25">
      <c r="B790" s="24"/>
      <c r="E790" s="24"/>
      <c r="G790" s="24"/>
      <c r="H790" s="24"/>
      <c r="J790" s="24"/>
      <c r="K790" s="24"/>
      <c r="M790" s="24"/>
      <c r="N790" s="24"/>
      <c r="P790" s="24"/>
    </row>
    <row r="791" spans="2:16" x14ac:dyDescent="0.25">
      <c r="B791" s="24"/>
      <c r="E791" s="24"/>
      <c r="G791" s="24"/>
      <c r="H791" s="24"/>
      <c r="J791" s="24"/>
      <c r="K791" s="24"/>
      <c r="M791" s="24"/>
      <c r="N791" s="24"/>
      <c r="P791" s="24"/>
    </row>
    <row r="792" spans="2:16" x14ac:dyDescent="0.25">
      <c r="B792" s="24"/>
      <c r="E792" s="24"/>
      <c r="G792" s="24"/>
      <c r="H792" s="24"/>
      <c r="J792" s="24"/>
      <c r="K792" s="24"/>
      <c r="M792" s="24"/>
      <c r="N792" s="24"/>
      <c r="P792" s="24"/>
    </row>
    <row r="793" spans="2:16" x14ac:dyDescent="0.25">
      <c r="B793" s="24"/>
      <c r="E793" s="24"/>
      <c r="G793" s="24"/>
      <c r="H793" s="24"/>
      <c r="J793" s="24"/>
      <c r="K793" s="24"/>
      <c r="M793" s="24"/>
      <c r="N793" s="24"/>
      <c r="P793" s="24"/>
    </row>
    <row r="794" spans="2:16" x14ac:dyDescent="0.25">
      <c r="B794" s="24"/>
      <c r="E794" s="24"/>
      <c r="G794" s="24"/>
      <c r="H794" s="24"/>
      <c r="J794" s="24"/>
      <c r="K794" s="24"/>
      <c r="M794" s="24"/>
      <c r="N794" s="24"/>
      <c r="P794" s="24"/>
    </row>
    <row r="795" spans="2:16" x14ac:dyDescent="0.25">
      <c r="B795" s="24"/>
      <c r="E795" s="24"/>
      <c r="G795" s="24"/>
      <c r="H795" s="24"/>
      <c r="J795" s="24"/>
      <c r="K795" s="24"/>
      <c r="M795" s="24"/>
      <c r="N795" s="24"/>
      <c r="P795" s="24"/>
    </row>
    <row r="796" spans="2:16" x14ac:dyDescent="0.25">
      <c r="B796" s="24"/>
      <c r="E796" s="24"/>
      <c r="G796" s="24"/>
      <c r="H796" s="24"/>
      <c r="J796" s="24"/>
      <c r="K796" s="24"/>
      <c r="M796" s="24"/>
      <c r="N796" s="24"/>
      <c r="P796" s="24"/>
    </row>
    <row r="797" spans="2:16" x14ac:dyDescent="0.25">
      <c r="B797" s="24"/>
      <c r="E797" s="24"/>
      <c r="G797" s="24"/>
      <c r="H797" s="24"/>
      <c r="J797" s="24"/>
      <c r="K797" s="24"/>
      <c r="M797" s="24"/>
      <c r="N797" s="24"/>
      <c r="P797" s="24"/>
    </row>
    <row r="798" spans="2:16" x14ac:dyDescent="0.25">
      <c r="B798" s="24"/>
      <c r="E798" s="24"/>
      <c r="G798" s="24"/>
      <c r="H798" s="24"/>
      <c r="J798" s="24"/>
      <c r="K798" s="24"/>
      <c r="M798" s="24"/>
      <c r="N798" s="24"/>
      <c r="P798" s="24"/>
    </row>
    <row r="799" spans="2:16" x14ac:dyDescent="0.25">
      <c r="B799" s="24"/>
      <c r="E799" s="24"/>
      <c r="G799" s="24"/>
      <c r="H799" s="24"/>
      <c r="J799" s="24"/>
      <c r="K799" s="24"/>
      <c r="M799" s="24"/>
      <c r="N799" s="24"/>
      <c r="P799" s="24"/>
    </row>
    <row r="800" spans="2:16" x14ac:dyDescent="0.25">
      <c r="B800" s="24"/>
      <c r="E800" s="24"/>
      <c r="G800" s="24"/>
      <c r="H800" s="24"/>
      <c r="J800" s="24"/>
      <c r="K800" s="24"/>
      <c r="M800" s="24"/>
      <c r="N800" s="24"/>
      <c r="P800" s="24"/>
    </row>
    <row r="801" spans="2:16" x14ac:dyDescent="0.25">
      <c r="B801" s="24"/>
      <c r="E801" s="24"/>
      <c r="G801" s="24"/>
      <c r="H801" s="24"/>
      <c r="J801" s="24"/>
      <c r="K801" s="24"/>
      <c r="M801" s="24"/>
      <c r="N801" s="24"/>
      <c r="P801" s="24"/>
    </row>
    <row r="802" spans="2:16" x14ac:dyDescent="0.25">
      <c r="B802" s="24"/>
      <c r="E802" s="24"/>
      <c r="G802" s="24"/>
      <c r="H802" s="24"/>
      <c r="J802" s="24"/>
      <c r="K802" s="24"/>
      <c r="M802" s="24"/>
      <c r="N802" s="24"/>
      <c r="P802" s="24"/>
    </row>
    <row r="803" spans="2:16" x14ac:dyDescent="0.25">
      <c r="B803" s="24"/>
      <c r="E803" s="24"/>
      <c r="G803" s="24"/>
      <c r="H803" s="24"/>
      <c r="J803" s="24"/>
      <c r="K803" s="24"/>
      <c r="M803" s="24"/>
      <c r="N803" s="24"/>
      <c r="P803" s="24"/>
    </row>
    <row r="804" spans="2:16" x14ac:dyDescent="0.25">
      <c r="B804" s="24"/>
      <c r="E804" s="24"/>
      <c r="G804" s="24"/>
      <c r="H804" s="24"/>
      <c r="J804" s="24"/>
      <c r="K804" s="24"/>
      <c r="M804" s="24"/>
      <c r="N804" s="24"/>
      <c r="P804" s="24"/>
    </row>
    <row r="805" spans="2:16" x14ac:dyDescent="0.25">
      <c r="B805" s="24"/>
      <c r="E805" s="24"/>
      <c r="G805" s="24"/>
      <c r="H805" s="24"/>
      <c r="J805" s="24"/>
      <c r="K805" s="24"/>
      <c r="M805" s="24"/>
      <c r="N805" s="24"/>
      <c r="P805" s="24"/>
    </row>
    <row r="806" spans="2:16" x14ac:dyDescent="0.25">
      <c r="B806" s="24"/>
      <c r="E806" s="24"/>
      <c r="G806" s="24"/>
      <c r="H806" s="24"/>
      <c r="J806" s="24"/>
      <c r="K806" s="24"/>
      <c r="M806" s="24"/>
      <c r="N806" s="24"/>
      <c r="P806" s="24"/>
    </row>
    <row r="807" spans="2:16" x14ac:dyDescent="0.25">
      <c r="B807" s="24"/>
      <c r="E807" s="24"/>
      <c r="G807" s="24"/>
      <c r="H807" s="24"/>
      <c r="J807" s="24"/>
      <c r="K807" s="24"/>
      <c r="M807" s="24"/>
      <c r="N807" s="24"/>
      <c r="P807" s="24"/>
    </row>
    <row r="808" spans="2:16" x14ac:dyDescent="0.25">
      <c r="B808" s="24"/>
      <c r="E808" s="24"/>
      <c r="G808" s="24"/>
      <c r="H808" s="24"/>
      <c r="J808" s="24"/>
      <c r="K808" s="24"/>
      <c r="M808" s="24"/>
      <c r="N808" s="24"/>
      <c r="P808" s="24"/>
    </row>
    <row r="809" spans="2:16" x14ac:dyDescent="0.25">
      <c r="B809" s="24"/>
      <c r="E809" s="24"/>
      <c r="G809" s="24"/>
      <c r="H809" s="24"/>
      <c r="J809" s="24"/>
      <c r="K809" s="24"/>
      <c r="M809" s="24"/>
      <c r="N809" s="24"/>
      <c r="P809" s="24"/>
    </row>
    <row r="810" spans="2:16" x14ac:dyDescent="0.25">
      <c r="B810" s="24"/>
      <c r="E810" s="24"/>
      <c r="G810" s="24"/>
      <c r="H810" s="24"/>
      <c r="J810" s="24"/>
      <c r="K810" s="24"/>
      <c r="M810" s="24"/>
      <c r="N810" s="24"/>
      <c r="P810" s="24"/>
    </row>
    <row r="811" spans="2:16" x14ac:dyDescent="0.25">
      <c r="B811" s="24"/>
      <c r="E811" s="24"/>
      <c r="G811" s="24"/>
      <c r="H811" s="24"/>
      <c r="J811" s="24"/>
      <c r="K811" s="24"/>
      <c r="M811" s="24"/>
      <c r="N811" s="24"/>
      <c r="P811" s="24"/>
    </row>
    <row r="812" spans="2:16" x14ac:dyDescent="0.25">
      <c r="B812" s="24"/>
      <c r="E812" s="24"/>
      <c r="G812" s="24"/>
      <c r="H812" s="24"/>
      <c r="J812" s="24"/>
      <c r="K812" s="24"/>
      <c r="M812" s="24"/>
      <c r="N812" s="24"/>
      <c r="P812" s="24"/>
    </row>
    <row r="813" spans="2:16" x14ac:dyDescent="0.25">
      <c r="B813" s="24"/>
      <c r="E813" s="24"/>
      <c r="G813" s="24"/>
      <c r="H813" s="24"/>
      <c r="J813" s="24"/>
      <c r="K813" s="24"/>
      <c r="M813" s="24"/>
      <c r="N813" s="24"/>
      <c r="P813" s="24"/>
    </row>
    <row r="814" spans="2:16" x14ac:dyDescent="0.25">
      <c r="B814" s="24"/>
      <c r="E814" s="24"/>
      <c r="G814" s="24"/>
      <c r="H814" s="24"/>
      <c r="J814" s="24"/>
      <c r="K814" s="24"/>
      <c r="M814" s="24"/>
      <c r="N814" s="24"/>
      <c r="P814" s="24"/>
    </row>
    <row r="815" spans="2:16" x14ac:dyDescent="0.25">
      <c r="B815" s="24"/>
      <c r="E815" s="24"/>
      <c r="G815" s="24"/>
      <c r="H815" s="24"/>
      <c r="J815" s="24"/>
      <c r="K815" s="24"/>
      <c r="M815" s="24"/>
      <c r="N815" s="24"/>
      <c r="P815" s="24"/>
    </row>
    <row r="816" spans="2:16" x14ac:dyDescent="0.25">
      <c r="B816" s="24"/>
      <c r="E816" s="24"/>
      <c r="G816" s="24"/>
      <c r="H816" s="24"/>
      <c r="J816" s="24"/>
      <c r="K816" s="24"/>
      <c r="M816" s="24"/>
      <c r="N816" s="24"/>
      <c r="P816" s="24"/>
    </row>
    <row r="817" spans="2:16" x14ac:dyDescent="0.25">
      <c r="B817" s="24"/>
      <c r="E817" s="24"/>
      <c r="G817" s="24"/>
      <c r="H817" s="24"/>
      <c r="J817" s="24"/>
      <c r="K817" s="24"/>
      <c r="M817" s="24"/>
      <c r="N817" s="24"/>
      <c r="P817" s="24"/>
    </row>
    <row r="818" spans="2:16" x14ac:dyDescent="0.25">
      <c r="B818" s="24"/>
      <c r="E818" s="24"/>
      <c r="G818" s="24"/>
      <c r="H818" s="24"/>
      <c r="J818" s="24"/>
      <c r="K818" s="24"/>
      <c r="M818" s="24"/>
      <c r="N818" s="24"/>
      <c r="P818" s="24"/>
    </row>
    <row r="819" spans="2:16" x14ac:dyDescent="0.25">
      <c r="B819" s="24"/>
      <c r="E819" s="24"/>
      <c r="G819" s="24"/>
      <c r="H819" s="24"/>
      <c r="J819" s="24"/>
      <c r="K819" s="24"/>
      <c r="M819" s="24"/>
      <c r="N819" s="24"/>
      <c r="P819" s="24"/>
    </row>
    <row r="820" spans="2:16" x14ac:dyDescent="0.25">
      <c r="B820" s="24"/>
      <c r="E820" s="24"/>
      <c r="G820" s="24"/>
      <c r="H820" s="24"/>
      <c r="J820" s="24"/>
      <c r="K820" s="24"/>
      <c r="M820" s="24"/>
      <c r="N820" s="24"/>
      <c r="P820" s="24"/>
    </row>
    <row r="821" spans="2:16" x14ac:dyDescent="0.25">
      <c r="B821" s="24"/>
      <c r="E821" s="24"/>
      <c r="G821" s="24"/>
      <c r="H821" s="24"/>
      <c r="J821" s="24"/>
      <c r="K821" s="24"/>
      <c r="M821" s="24"/>
      <c r="N821" s="24"/>
      <c r="P821" s="24"/>
    </row>
    <row r="822" spans="2:16" x14ac:dyDescent="0.25">
      <c r="B822" s="24"/>
      <c r="E822" s="24"/>
      <c r="G822" s="24"/>
      <c r="H822" s="24"/>
      <c r="J822" s="24"/>
      <c r="K822" s="24"/>
      <c r="M822" s="24"/>
      <c r="N822" s="24"/>
      <c r="P822" s="24"/>
    </row>
    <row r="823" spans="2:16" x14ac:dyDescent="0.25">
      <c r="B823" s="24"/>
      <c r="E823" s="24"/>
      <c r="G823" s="24"/>
      <c r="H823" s="24"/>
      <c r="J823" s="24"/>
      <c r="K823" s="24"/>
      <c r="M823" s="24"/>
      <c r="N823" s="24"/>
      <c r="P823" s="24"/>
    </row>
    <row r="824" spans="2:16" x14ac:dyDescent="0.25">
      <c r="B824" s="24"/>
      <c r="E824" s="24"/>
      <c r="G824" s="24"/>
      <c r="H824" s="24"/>
      <c r="J824" s="24"/>
      <c r="K824" s="24"/>
      <c r="M824" s="24"/>
      <c r="N824" s="24"/>
      <c r="P824" s="24"/>
    </row>
    <row r="825" spans="2:16" x14ac:dyDescent="0.25">
      <c r="B825" s="24"/>
      <c r="E825" s="24"/>
      <c r="G825" s="24"/>
      <c r="H825" s="24"/>
      <c r="J825" s="24"/>
      <c r="K825" s="24"/>
      <c r="M825" s="24"/>
      <c r="N825" s="24"/>
      <c r="P825" s="24"/>
    </row>
    <row r="826" spans="2:16" x14ac:dyDescent="0.25">
      <c r="B826" s="24"/>
      <c r="E826" s="24"/>
      <c r="G826" s="24"/>
      <c r="H826" s="24"/>
      <c r="J826" s="24"/>
      <c r="K826" s="24"/>
      <c r="M826" s="24"/>
      <c r="N826" s="24"/>
      <c r="P826" s="24"/>
    </row>
    <row r="827" spans="2:16" x14ac:dyDescent="0.25">
      <c r="B827" s="24"/>
      <c r="E827" s="24"/>
      <c r="G827" s="24"/>
      <c r="H827" s="24"/>
      <c r="J827" s="24"/>
      <c r="K827" s="24"/>
      <c r="M827" s="24"/>
      <c r="N827" s="24"/>
      <c r="P827" s="24"/>
    </row>
    <row r="828" spans="2:16" x14ac:dyDescent="0.25">
      <c r="B828" s="24"/>
      <c r="E828" s="24"/>
      <c r="G828" s="24"/>
      <c r="H828" s="24"/>
      <c r="J828" s="24"/>
      <c r="K828" s="24"/>
      <c r="M828" s="24"/>
      <c r="N828" s="24"/>
      <c r="P828" s="24"/>
    </row>
    <row r="829" spans="2:16" x14ac:dyDescent="0.25">
      <c r="B829" s="24"/>
      <c r="E829" s="24"/>
      <c r="G829" s="24"/>
      <c r="H829" s="24"/>
      <c r="J829" s="24"/>
      <c r="K829" s="24"/>
      <c r="M829" s="24"/>
      <c r="N829" s="24"/>
      <c r="P829" s="24"/>
    </row>
    <row r="830" spans="2:16" x14ac:dyDescent="0.25">
      <c r="B830" s="24"/>
      <c r="E830" s="24"/>
      <c r="G830" s="24"/>
      <c r="H830" s="24"/>
      <c r="J830" s="24"/>
      <c r="K830" s="24"/>
      <c r="M830" s="24"/>
      <c r="N830" s="24"/>
      <c r="P830" s="24"/>
    </row>
    <row r="831" spans="2:16" x14ac:dyDescent="0.25">
      <c r="B831" s="24"/>
      <c r="E831" s="24"/>
      <c r="G831" s="24"/>
      <c r="H831" s="24"/>
      <c r="J831" s="24"/>
      <c r="K831" s="24"/>
      <c r="M831" s="24"/>
      <c r="N831" s="24"/>
      <c r="P831" s="24"/>
    </row>
    <row r="832" spans="2:16" x14ac:dyDescent="0.25">
      <c r="B832" s="24"/>
      <c r="E832" s="24"/>
      <c r="G832" s="24"/>
      <c r="H832" s="24"/>
      <c r="J832" s="24"/>
      <c r="K832" s="24"/>
      <c r="M832" s="24"/>
      <c r="N832" s="24"/>
      <c r="P832" s="24"/>
    </row>
    <row r="833" spans="2:16" x14ac:dyDescent="0.25">
      <c r="B833" s="24"/>
      <c r="E833" s="24"/>
      <c r="G833" s="24"/>
      <c r="H833" s="24"/>
      <c r="J833" s="24"/>
      <c r="K833" s="24"/>
      <c r="M833" s="24"/>
      <c r="N833" s="24"/>
      <c r="P833" s="24"/>
    </row>
    <row r="834" spans="2:16" x14ac:dyDescent="0.25">
      <c r="B834" s="24"/>
      <c r="E834" s="24"/>
      <c r="G834" s="24"/>
      <c r="H834" s="24"/>
      <c r="J834" s="24"/>
      <c r="K834" s="24"/>
      <c r="M834" s="24"/>
      <c r="N834" s="24"/>
      <c r="P834" s="24"/>
    </row>
    <row r="835" spans="2:16" x14ac:dyDescent="0.25">
      <c r="B835" s="24"/>
      <c r="E835" s="24"/>
      <c r="G835" s="24"/>
      <c r="H835" s="24"/>
      <c r="J835" s="24"/>
      <c r="K835" s="24"/>
      <c r="M835" s="24"/>
      <c r="N835" s="24"/>
      <c r="P835" s="24"/>
    </row>
    <row r="836" spans="2:16" x14ac:dyDescent="0.25">
      <c r="B836" s="24"/>
      <c r="E836" s="24"/>
      <c r="G836" s="24"/>
      <c r="H836" s="24"/>
      <c r="J836" s="24"/>
      <c r="K836" s="24"/>
      <c r="M836" s="24"/>
      <c r="N836" s="24"/>
      <c r="P836" s="24"/>
    </row>
    <row r="837" spans="2:16" x14ac:dyDescent="0.25">
      <c r="B837" s="24"/>
      <c r="E837" s="24"/>
      <c r="G837" s="24"/>
      <c r="H837" s="24"/>
      <c r="J837" s="24"/>
      <c r="K837" s="24"/>
      <c r="M837" s="24"/>
      <c r="N837" s="24"/>
      <c r="P837" s="24"/>
    </row>
    <row r="838" spans="2:16" x14ac:dyDescent="0.25">
      <c r="B838" s="24"/>
      <c r="E838" s="24"/>
      <c r="G838" s="24"/>
      <c r="H838" s="24"/>
      <c r="J838" s="24"/>
      <c r="K838" s="24"/>
      <c r="M838" s="24"/>
      <c r="N838" s="24"/>
      <c r="P838" s="24"/>
    </row>
    <row r="839" spans="2:16" x14ac:dyDescent="0.25">
      <c r="B839" s="24"/>
      <c r="E839" s="24"/>
      <c r="G839" s="24"/>
      <c r="H839" s="24"/>
      <c r="J839" s="24"/>
      <c r="K839" s="24"/>
      <c r="M839" s="24"/>
      <c r="N839" s="24"/>
      <c r="P839" s="24"/>
    </row>
    <row r="840" spans="2:16" x14ac:dyDescent="0.25">
      <c r="B840" s="24"/>
      <c r="E840" s="24"/>
      <c r="G840" s="24"/>
      <c r="H840" s="24"/>
      <c r="J840" s="24"/>
      <c r="K840" s="24"/>
      <c r="M840" s="24"/>
      <c r="N840" s="24"/>
      <c r="P840" s="24"/>
    </row>
    <row r="841" spans="2:16" x14ac:dyDescent="0.25">
      <c r="B841" s="24"/>
      <c r="E841" s="24"/>
      <c r="G841" s="24"/>
      <c r="H841" s="24"/>
      <c r="J841" s="24"/>
      <c r="K841" s="24"/>
      <c r="M841" s="24"/>
      <c r="N841" s="24"/>
      <c r="P841" s="24"/>
    </row>
    <row r="842" spans="2:16" x14ac:dyDescent="0.25">
      <c r="B842" s="24"/>
      <c r="E842" s="24"/>
      <c r="G842" s="24"/>
      <c r="H842" s="24"/>
      <c r="J842" s="24"/>
      <c r="K842" s="24"/>
      <c r="M842" s="24"/>
      <c r="N842" s="24"/>
      <c r="P842" s="24"/>
    </row>
    <row r="843" spans="2:16" x14ac:dyDescent="0.25">
      <c r="B843" s="24"/>
      <c r="E843" s="24"/>
      <c r="G843" s="24"/>
      <c r="H843" s="24"/>
      <c r="J843" s="24"/>
      <c r="K843" s="24"/>
      <c r="M843" s="24"/>
      <c r="N843" s="24"/>
      <c r="P843" s="24"/>
    </row>
    <row r="844" spans="2:16" x14ac:dyDescent="0.25">
      <c r="B844" s="24"/>
      <c r="E844" s="24"/>
      <c r="G844" s="24"/>
      <c r="H844" s="24"/>
      <c r="J844" s="24"/>
      <c r="K844" s="24"/>
      <c r="M844" s="24"/>
      <c r="N844" s="24"/>
      <c r="P844" s="24"/>
    </row>
    <row r="845" spans="2:16" x14ac:dyDescent="0.25">
      <c r="B845" s="24"/>
      <c r="E845" s="24"/>
      <c r="G845" s="24"/>
      <c r="H845" s="24"/>
      <c r="J845" s="24"/>
      <c r="K845" s="24"/>
      <c r="M845" s="24"/>
      <c r="N845" s="24"/>
      <c r="P845" s="24"/>
    </row>
    <row r="846" spans="2:16" x14ac:dyDescent="0.25">
      <c r="B846" s="24"/>
      <c r="E846" s="24"/>
      <c r="G846" s="24"/>
      <c r="H846" s="24"/>
      <c r="J846" s="24"/>
      <c r="K846" s="24"/>
      <c r="M846" s="24"/>
      <c r="N846" s="24"/>
      <c r="P846" s="24"/>
    </row>
    <row r="847" spans="2:16" x14ac:dyDescent="0.25">
      <c r="B847" s="24"/>
      <c r="E847" s="24"/>
      <c r="G847" s="24"/>
      <c r="H847" s="24"/>
      <c r="J847" s="24"/>
      <c r="K847" s="24"/>
      <c r="M847" s="24"/>
      <c r="N847" s="24"/>
      <c r="P847" s="24"/>
    </row>
    <row r="848" spans="2:16" x14ac:dyDescent="0.25">
      <c r="B848" s="24"/>
      <c r="E848" s="24"/>
      <c r="G848" s="24"/>
      <c r="H848" s="24"/>
      <c r="J848" s="24"/>
      <c r="K848" s="24"/>
      <c r="M848" s="24"/>
      <c r="N848" s="24"/>
      <c r="P848" s="24"/>
    </row>
    <row r="849" spans="2:16" x14ac:dyDescent="0.25">
      <c r="B849" s="24"/>
      <c r="E849" s="24"/>
      <c r="G849" s="24"/>
      <c r="H849" s="24"/>
      <c r="J849" s="24"/>
      <c r="K849" s="24"/>
      <c r="M849" s="24"/>
      <c r="N849" s="24"/>
      <c r="P849" s="24"/>
    </row>
    <row r="850" spans="2:16" x14ac:dyDescent="0.25">
      <c r="B850" s="24"/>
      <c r="E850" s="24"/>
      <c r="G850" s="24"/>
      <c r="H850" s="24"/>
      <c r="J850" s="24"/>
      <c r="K850" s="24"/>
      <c r="M850" s="24"/>
      <c r="N850" s="24"/>
      <c r="P850" s="24"/>
    </row>
    <row r="851" spans="2:16" x14ac:dyDescent="0.25">
      <c r="B851" s="24"/>
      <c r="E851" s="24"/>
      <c r="G851" s="24"/>
      <c r="H851" s="24"/>
      <c r="J851" s="24"/>
      <c r="K851" s="24"/>
      <c r="M851" s="24"/>
      <c r="N851" s="24"/>
      <c r="P851" s="24"/>
    </row>
    <row r="852" spans="2:16" x14ac:dyDescent="0.25">
      <c r="B852" s="24"/>
      <c r="E852" s="24"/>
      <c r="G852" s="24"/>
      <c r="H852" s="24"/>
      <c r="J852" s="24"/>
      <c r="K852" s="24"/>
      <c r="M852" s="24"/>
      <c r="N852" s="24"/>
      <c r="P852" s="24"/>
    </row>
    <row r="853" spans="2:16" x14ac:dyDescent="0.25">
      <c r="B853" s="24"/>
      <c r="E853" s="24"/>
      <c r="G853" s="24"/>
      <c r="H853" s="24"/>
      <c r="J853" s="24"/>
      <c r="K853" s="24"/>
      <c r="M853" s="24"/>
      <c r="N853" s="24"/>
      <c r="P853" s="24"/>
    </row>
    <row r="854" spans="2:16" x14ac:dyDescent="0.25">
      <c r="B854" s="24"/>
      <c r="E854" s="24"/>
      <c r="G854" s="24"/>
      <c r="H854" s="24"/>
      <c r="J854" s="24"/>
      <c r="K854" s="24"/>
      <c r="M854" s="24"/>
      <c r="N854" s="24"/>
      <c r="P854" s="24"/>
    </row>
    <row r="855" spans="2:16" x14ac:dyDescent="0.25">
      <c r="B855" s="24"/>
      <c r="E855" s="24"/>
      <c r="G855" s="24"/>
      <c r="H855" s="24"/>
      <c r="J855" s="24"/>
      <c r="K855" s="24"/>
      <c r="M855" s="24"/>
      <c r="N855" s="24"/>
      <c r="P855" s="24"/>
    </row>
    <row r="856" spans="2:16" x14ac:dyDescent="0.25">
      <c r="B856" s="24"/>
      <c r="E856" s="24"/>
      <c r="G856" s="24"/>
      <c r="H856" s="24"/>
      <c r="J856" s="24"/>
      <c r="K856" s="24"/>
      <c r="M856" s="24"/>
      <c r="N856" s="24"/>
      <c r="P856" s="24"/>
    </row>
    <row r="857" spans="2:16" x14ac:dyDescent="0.25">
      <c r="B857" s="24"/>
      <c r="E857" s="24"/>
      <c r="G857" s="24"/>
      <c r="H857" s="24"/>
      <c r="J857" s="24"/>
      <c r="K857" s="24"/>
      <c r="M857" s="24"/>
      <c r="N857" s="24"/>
      <c r="P857" s="24"/>
    </row>
    <row r="858" spans="2:16" x14ac:dyDescent="0.25">
      <c r="B858" s="24"/>
      <c r="E858" s="24"/>
      <c r="G858" s="24"/>
      <c r="H858" s="24"/>
      <c r="J858" s="24"/>
      <c r="K858" s="24"/>
      <c r="M858" s="24"/>
      <c r="N858" s="24"/>
      <c r="P858" s="24"/>
    </row>
    <row r="859" spans="2:16" x14ac:dyDescent="0.25">
      <c r="B859" s="24"/>
      <c r="E859" s="24"/>
      <c r="G859" s="24"/>
      <c r="H859" s="24"/>
      <c r="J859" s="24"/>
      <c r="K859" s="24"/>
      <c r="M859" s="24"/>
      <c r="N859" s="24"/>
      <c r="P859" s="24"/>
    </row>
    <row r="860" spans="2:16" x14ac:dyDescent="0.25">
      <c r="B860" s="24"/>
      <c r="E860" s="24"/>
      <c r="G860" s="24"/>
      <c r="H860" s="24"/>
      <c r="J860" s="24"/>
      <c r="K860" s="24"/>
      <c r="M860" s="24"/>
      <c r="N860" s="24"/>
      <c r="P860" s="24"/>
    </row>
    <row r="861" spans="2:16" x14ac:dyDescent="0.25">
      <c r="B861" s="24"/>
      <c r="E861" s="24"/>
      <c r="G861" s="24"/>
      <c r="H861" s="24"/>
      <c r="J861" s="24"/>
      <c r="K861" s="24"/>
      <c r="M861" s="24"/>
      <c r="N861" s="24"/>
      <c r="P861" s="24"/>
    </row>
    <row r="862" spans="2:16" x14ac:dyDescent="0.25">
      <c r="B862" s="24"/>
      <c r="E862" s="24"/>
      <c r="G862" s="24"/>
      <c r="H862" s="24"/>
      <c r="J862" s="24"/>
      <c r="K862" s="24"/>
      <c r="M862" s="24"/>
      <c r="N862" s="24"/>
      <c r="P862" s="24"/>
    </row>
    <row r="863" spans="2:16" x14ac:dyDescent="0.25">
      <c r="B863" s="24"/>
      <c r="E863" s="24"/>
      <c r="G863" s="24"/>
      <c r="H863" s="24"/>
      <c r="J863" s="24"/>
      <c r="K863" s="24"/>
      <c r="M863" s="24"/>
      <c r="N863" s="24"/>
      <c r="P863" s="24"/>
    </row>
    <row r="864" spans="2:16" x14ac:dyDescent="0.25">
      <c r="B864" s="24"/>
      <c r="E864" s="24"/>
      <c r="G864" s="24"/>
      <c r="H864" s="24"/>
      <c r="J864" s="24"/>
      <c r="K864" s="24"/>
      <c r="M864" s="24"/>
      <c r="N864" s="24"/>
      <c r="P864" s="24"/>
    </row>
    <row r="865" spans="2:16" x14ac:dyDescent="0.25">
      <c r="B865" s="24"/>
      <c r="E865" s="24"/>
      <c r="G865" s="24"/>
      <c r="H865" s="24"/>
      <c r="J865" s="24"/>
      <c r="K865" s="24"/>
      <c r="M865" s="24"/>
      <c r="N865" s="24"/>
      <c r="P865" s="24"/>
    </row>
    <row r="866" spans="2:16" x14ac:dyDescent="0.25">
      <c r="B866" s="24"/>
      <c r="E866" s="24"/>
      <c r="G866" s="24"/>
      <c r="H866" s="24"/>
      <c r="J866" s="24"/>
      <c r="K866" s="24"/>
      <c r="M866" s="24"/>
      <c r="N866" s="24"/>
      <c r="P866" s="24"/>
    </row>
    <row r="867" spans="2:16" x14ac:dyDescent="0.25">
      <c r="B867" s="24"/>
      <c r="E867" s="24"/>
      <c r="G867" s="24"/>
      <c r="H867" s="24"/>
      <c r="J867" s="24"/>
      <c r="K867" s="24"/>
      <c r="M867" s="24"/>
      <c r="N867" s="24"/>
      <c r="P867" s="24"/>
    </row>
    <row r="868" spans="2:16" x14ac:dyDescent="0.25">
      <c r="B868" s="24"/>
      <c r="E868" s="24"/>
      <c r="G868" s="24"/>
      <c r="H868" s="24"/>
      <c r="J868" s="24"/>
      <c r="K868" s="24"/>
      <c r="M868" s="24"/>
      <c r="N868" s="24"/>
      <c r="P868" s="24"/>
    </row>
    <row r="869" spans="2:16" x14ac:dyDescent="0.25">
      <c r="B869" s="24"/>
      <c r="E869" s="24"/>
      <c r="G869" s="24"/>
      <c r="H869" s="24"/>
      <c r="J869" s="24"/>
      <c r="K869" s="24"/>
      <c r="M869" s="24"/>
      <c r="N869" s="24"/>
      <c r="P869" s="24"/>
    </row>
    <row r="870" spans="2:16" x14ac:dyDescent="0.25">
      <c r="B870" s="24"/>
      <c r="E870" s="24"/>
      <c r="G870" s="24"/>
      <c r="H870" s="24"/>
      <c r="J870" s="24"/>
      <c r="K870" s="24"/>
      <c r="M870" s="24"/>
      <c r="N870" s="24"/>
      <c r="P870" s="24"/>
    </row>
    <row r="871" spans="2:16" x14ac:dyDescent="0.25">
      <c r="B871" s="24"/>
      <c r="E871" s="24"/>
      <c r="G871" s="24"/>
      <c r="H871" s="24"/>
      <c r="J871" s="24"/>
      <c r="K871" s="24"/>
      <c r="M871" s="24"/>
      <c r="N871" s="24"/>
      <c r="P871" s="24"/>
    </row>
    <row r="872" spans="2:16" x14ac:dyDescent="0.25">
      <c r="B872" s="24"/>
      <c r="E872" s="24"/>
      <c r="G872" s="24"/>
      <c r="H872" s="24"/>
      <c r="J872" s="24"/>
      <c r="K872" s="24"/>
      <c r="M872" s="24"/>
      <c r="N872" s="24"/>
      <c r="P872" s="24"/>
    </row>
    <row r="873" spans="2:16" x14ac:dyDescent="0.25">
      <c r="B873" s="24"/>
      <c r="E873" s="24"/>
      <c r="G873" s="24"/>
      <c r="H873" s="24"/>
      <c r="J873" s="24"/>
      <c r="K873" s="24"/>
      <c r="M873" s="24"/>
      <c r="N873" s="24"/>
      <c r="P873" s="24"/>
    </row>
    <row r="874" spans="2:16" x14ac:dyDescent="0.25">
      <c r="B874" s="24"/>
      <c r="E874" s="24"/>
      <c r="G874" s="24"/>
      <c r="H874" s="24"/>
      <c r="J874" s="24"/>
      <c r="K874" s="24"/>
      <c r="M874" s="24"/>
      <c r="N874" s="24"/>
      <c r="P874" s="24"/>
    </row>
    <row r="875" spans="2:16" x14ac:dyDescent="0.25">
      <c r="B875" s="24"/>
      <c r="E875" s="24"/>
      <c r="G875" s="24"/>
      <c r="H875" s="24"/>
      <c r="J875" s="24"/>
      <c r="K875" s="24"/>
      <c r="M875" s="24"/>
      <c r="N875" s="24"/>
      <c r="P875" s="24"/>
    </row>
    <row r="876" spans="2:16" x14ac:dyDescent="0.25">
      <c r="B876" s="24"/>
      <c r="E876" s="24"/>
      <c r="G876" s="24"/>
      <c r="H876" s="24"/>
      <c r="J876" s="24"/>
      <c r="K876" s="24"/>
      <c r="M876" s="24"/>
      <c r="N876" s="24"/>
      <c r="P876" s="24"/>
    </row>
    <row r="877" spans="2:16" x14ac:dyDescent="0.25">
      <c r="B877" s="24"/>
      <c r="E877" s="24"/>
      <c r="G877" s="24"/>
      <c r="H877" s="24"/>
      <c r="J877" s="24"/>
      <c r="K877" s="24"/>
      <c r="M877" s="24"/>
      <c r="N877" s="24"/>
      <c r="P877" s="24"/>
    </row>
    <row r="878" spans="2:16" x14ac:dyDescent="0.25">
      <c r="B878" s="24"/>
      <c r="E878" s="24"/>
      <c r="G878" s="24"/>
      <c r="H878" s="24"/>
      <c r="J878" s="24"/>
      <c r="K878" s="24"/>
      <c r="M878" s="24"/>
      <c r="N878" s="24"/>
      <c r="P878" s="24"/>
    </row>
    <row r="879" spans="2:16" x14ac:dyDescent="0.25">
      <c r="B879" s="24"/>
      <c r="E879" s="24"/>
      <c r="G879" s="24"/>
      <c r="H879" s="24"/>
      <c r="J879" s="24"/>
      <c r="K879" s="24"/>
      <c r="M879" s="24"/>
      <c r="N879" s="24"/>
      <c r="P879" s="24"/>
    </row>
    <row r="880" spans="2:16" x14ac:dyDescent="0.25">
      <c r="B880" s="24"/>
      <c r="E880" s="24"/>
      <c r="G880" s="24"/>
      <c r="H880" s="24"/>
      <c r="J880" s="24"/>
      <c r="K880" s="24"/>
      <c r="M880" s="24"/>
      <c r="N880" s="24"/>
      <c r="P880" s="24"/>
    </row>
    <row r="881" spans="2:16" x14ac:dyDescent="0.25">
      <c r="B881" s="24"/>
      <c r="E881" s="24"/>
      <c r="G881" s="24"/>
      <c r="H881" s="24"/>
      <c r="J881" s="24"/>
      <c r="K881" s="24"/>
      <c r="M881" s="24"/>
      <c r="N881" s="24"/>
      <c r="P881" s="24"/>
    </row>
    <row r="882" spans="2:16" x14ac:dyDescent="0.25">
      <c r="B882" s="24"/>
      <c r="E882" s="24"/>
      <c r="G882" s="24"/>
      <c r="H882" s="24"/>
      <c r="J882" s="24"/>
      <c r="K882" s="24"/>
      <c r="M882" s="24"/>
      <c r="N882" s="24"/>
      <c r="P882" s="24"/>
    </row>
    <row r="883" spans="2:16" x14ac:dyDescent="0.25">
      <c r="B883" s="24"/>
      <c r="E883" s="24"/>
      <c r="G883" s="24"/>
      <c r="H883" s="24"/>
      <c r="J883" s="24"/>
      <c r="K883" s="24"/>
      <c r="M883" s="24"/>
      <c r="N883" s="24"/>
      <c r="P883" s="24"/>
    </row>
    <row r="884" spans="2:16" x14ac:dyDescent="0.25">
      <c r="B884" s="24"/>
      <c r="E884" s="24"/>
      <c r="G884" s="24"/>
      <c r="H884" s="24"/>
      <c r="J884" s="24"/>
      <c r="K884" s="24"/>
      <c r="M884" s="24"/>
      <c r="N884" s="24"/>
      <c r="P884" s="24"/>
    </row>
    <row r="885" spans="2:16" x14ac:dyDescent="0.25">
      <c r="B885" s="24"/>
      <c r="E885" s="24"/>
      <c r="G885" s="24"/>
      <c r="H885" s="24"/>
      <c r="J885" s="24"/>
      <c r="K885" s="24"/>
      <c r="M885" s="24"/>
      <c r="N885" s="24"/>
      <c r="P885" s="24"/>
    </row>
    <row r="886" spans="2:16" x14ac:dyDescent="0.25">
      <c r="B886" s="24"/>
      <c r="E886" s="24"/>
      <c r="G886" s="24"/>
      <c r="H886" s="24"/>
      <c r="J886" s="24"/>
      <c r="K886" s="24"/>
      <c r="M886" s="24"/>
      <c r="N886" s="24"/>
      <c r="P886" s="24"/>
    </row>
    <row r="887" spans="2:16" x14ac:dyDescent="0.25">
      <c r="B887" s="24"/>
      <c r="E887" s="24"/>
      <c r="G887" s="24"/>
      <c r="H887" s="24"/>
      <c r="J887" s="24"/>
      <c r="K887" s="24"/>
      <c r="M887" s="24"/>
      <c r="N887" s="24"/>
      <c r="P887" s="24"/>
    </row>
    <row r="888" spans="2:16" x14ac:dyDescent="0.25">
      <c r="B888" s="24"/>
      <c r="E888" s="24"/>
      <c r="G888" s="24"/>
      <c r="H888" s="24"/>
      <c r="J888" s="24"/>
      <c r="K888" s="24"/>
      <c r="M888" s="24"/>
      <c r="N888" s="24"/>
      <c r="P888" s="24"/>
    </row>
    <row r="889" spans="2:16" x14ac:dyDescent="0.25">
      <c r="B889" s="24"/>
      <c r="E889" s="24"/>
      <c r="G889" s="24"/>
      <c r="H889" s="24"/>
      <c r="J889" s="24"/>
      <c r="K889" s="24"/>
      <c r="M889" s="24"/>
      <c r="N889" s="24"/>
      <c r="P889" s="24"/>
    </row>
    <row r="890" spans="2:16" x14ac:dyDescent="0.25">
      <c r="B890" s="24"/>
      <c r="E890" s="24"/>
      <c r="G890" s="24"/>
      <c r="H890" s="24"/>
      <c r="J890" s="24"/>
      <c r="K890" s="24"/>
      <c r="M890" s="24"/>
      <c r="N890" s="24"/>
      <c r="P890" s="24"/>
    </row>
    <row r="891" spans="2:16" x14ac:dyDescent="0.25">
      <c r="B891" s="24"/>
      <c r="E891" s="24"/>
      <c r="G891" s="24"/>
      <c r="H891" s="24"/>
      <c r="J891" s="24"/>
      <c r="K891" s="24"/>
      <c r="M891" s="24"/>
      <c r="N891" s="24"/>
      <c r="P891" s="24"/>
    </row>
    <row r="892" spans="2:16" x14ac:dyDescent="0.25">
      <c r="B892" s="24"/>
      <c r="E892" s="24"/>
      <c r="G892" s="24"/>
      <c r="H892" s="24"/>
      <c r="J892" s="24"/>
      <c r="K892" s="24"/>
      <c r="M892" s="24"/>
      <c r="N892" s="24"/>
      <c r="P892" s="24"/>
    </row>
    <row r="893" spans="2:16" x14ac:dyDescent="0.25">
      <c r="B893" s="24"/>
      <c r="E893" s="24"/>
      <c r="G893" s="24"/>
      <c r="H893" s="24"/>
      <c r="J893" s="24"/>
      <c r="K893" s="24"/>
      <c r="M893" s="24"/>
      <c r="N893" s="24"/>
      <c r="P893" s="24"/>
    </row>
    <row r="894" spans="2:16" x14ac:dyDescent="0.25">
      <c r="B894" s="24"/>
      <c r="E894" s="24"/>
      <c r="G894" s="24"/>
      <c r="H894" s="24"/>
      <c r="J894" s="24"/>
      <c r="K894" s="24"/>
      <c r="M894" s="24"/>
      <c r="N894" s="24"/>
      <c r="P894" s="24"/>
    </row>
    <row r="895" spans="2:16" x14ac:dyDescent="0.25">
      <c r="B895" s="24"/>
      <c r="E895" s="24"/>
      <c r="G895" s="24"/>
      <c r="H895" s="24"/>
      <c r="J895" s="24"/>
      <c r="K895" s="24"/>
      <c r="M895" s="24"/>
      <c r="N895" s="24"/>
      <c r="P895" s="24"/>
    </row>
    <row r="896" spans="2:16" x14ac:dyDescent="0.25">
      <c r="B896" s="24"/>
      <c r="E896" s="24"/>
      <c r="G896" s="24"/>
      <c r="H896" s="24"/>
      <c r="J896" s="24"/>
      <c r="K896" s="24"/>
      <c r="M896" s="24"/>
      <c r="N896" s="24"/>
      <c r="P896" s="24"/>
    </row>
    <row r="897" spans="2:16" x14ac:dyDescent="0.25">
      <c r="B897" s="24"/>
      <c r="E897" s="24"/>
      <c r="G897" s="24"/>
      <c r="H897" s="24"/>
      <c r="J897" s="24"/>
      <c r="K897" s="24"/>
      <c r="M897" s="24"/>
      <c r="N897" s="24"/>
      <c r="P897" s="24"/>
    </row>
    <row r="898" spans="2:16" x14ac:dyDescent="0.25">
      <c r="B898" s="24"/>
      <c r="E898" s="24"/>
      <c r="G898" s="24"/>
      <c r="H898" s="24"/>
      <c r="J898" s="24"/>
      <c r="K898" s="24"/>
      <c r="M898" s="24"/>
      <c r="N898" s="24"/>
      <c r="P898" s="24"/>
    </row>
    <row r="899" spans="2:16" x14ac:dyDescent="0.25">
      <c r="B899" s="24"/>
      <c r="E899" s="24"/>
      <c r="G899" s="24"/>
      <c r="H899" s="24"/>
      <c r="J899" s="24"/>
      <c r="K899" s="24"/>
      <c r="M899" s="24"/>
      <c r="N899" s="24"/>
      <c r="P899" s="24"/>
    </row>
    <row r="900" spans="2:16" x14ac:dyDescent="0.25">
      <c r="B900" s="24"/>
      <c r="E900" s="24"/>
      <c r="G900" s="24"/>
      <c r="H900" s="24"/>
      <c r="J900" s="24"/>
      <c r="K900" s="24"/>
      <c r="M900" s="24"/>
      <c r="N900" s="24"/>
      <c r="P900" s="24"/>
    </row>
    <row r="901" spans="2:16" x14ac:dyDescent="0.25">
      <c r="B901" s="24"/>
      <c r="E901" s="24"/>
      <c r="G901" s="24"/>
      <c r="H901" s="24"/>
      <c r="J901" s="24"/>
      <c r="K901" s="24"/>
      <c r="M901" s="24"/>
      <c r="N901" s="24"/>
      <c r="P901" s="24"/>
    </row>
    <row r="902" spans="2:16" x14ac:dyDescent="0.25">
      <c r="B902" s="24"/>
      <c r="E902" s="24"/>
      <c r="G902" s="24"/>
      <c r="H902" s="24"/>
      <c r="J902" s="24"/>
      <c r="K902" s="24"/>
      <c r="M902" s="24"/>
      <c r="N902" s="24"/>
      <c r="P902" s="24"/>
    </row>
    <row r="903" spans="2:16" x14ac:dyDescent="0.25">
      <c r="B903" s="24"/>
      <c r="E903" s="24"/>
      <c r="G903" s="24"/>
      <c r="H903" s="24"/>
      <c r="J903" s="24"/>
      <c r="K903" s="24"/>
      <c r="M903" s="24"/>
      <c r="N903" s="24"/>
      <c r="P903" s="24"/>
    </row>
    <row r="904" spans="2:16" x14ac:dyDescent="0.25">
      <c r="B904" s="24"/>
      <c r="E904" s="24"/>
      <c r="G904" s="24"/>
      <c r="H904" s="24"/>
      <c r="J904" s="24"/>
      <c r="K904" s="24"/>
      <c r="M904" s="24"/>
      <c r="N904" s="24"/>
      <c r="P904" s="24"/>
    </row>
    <row r="905" spans="2:16" x14ac:dyDescent="0.25">
      <c r="B905" s="24"/>
      <c r="E905" s="24"/>
      <c r="G905" s="24"/>
      <c r="H905" s="24"/>
      <c r="J905" s="24"/>
      <c r="K905" s="24"/>
      <c r="M905" s="24"/>
      <c r="N905" s="24"/>
      <c r="P905" s="24"/>
    </row>
    <row r="906" spans="2:16" x14ac:dyDescent="0.25">
      <c r="B906" s="24"/>
      <c r="E906" s="24"/>
      <c r="G906" s="24"/>
      <c r="H906" s="24"/>
      <c r="J906" s="24"/>
      <c r="K906" s="24"/>
      <c r="M906" s="24"/>
      <c r="N906" s="24"/>
      <c r="P906" s="24"/>
    </row>
    <row r="907" spans="2:16" x14ac:dyDescent="0.25">
      <c r="B907" s="24"/>
      <c r="E907" s="24"/>
      <c r="G907" s="24"/>
      <c r="H907" s="24"/>
      <c r="J907" s="24"/>
      <c r="K907" s="24"/>
      <c r="M907" s="24"/>
      <c r="N907" s="24"/>
      <c r="P907" s="24"/>
    </row>
    <row r="908" spans="2:16" x14ac:dyDescent="0.25">
      <c r="B908" s="24"/>
      <c r="E908" s="24"/>
      <c r="G908" s="24"/>
      <c r="H908" s="24"/>
      <c r="J908" s="24"/>
      <c r="K908" s="24"/>
      <c r="M908" s="24"/>
      <c r="N908" s="24"/>
      <c r="P908" s="24"/>
    </row>
    <row r="909" spans="2:16" x14ac:dyDescent="0.25">
      <c r="B909" s="24"/>
      <c r="E909" s="24"/>
      <c r="G909" s="24"/>
      <c r="H909" s="24"/>
      <c r="J909" s="24"/>
      <c r="K909" s="24"/>
      <c r="M909" s="24"/>
      <c r="N909" s="24"/>
      <c r="P909" s="24"/>
    </row>
    <row r="910" spans="2:16" x14ac:dyDescent="0.25">
      <c r="B910" s="24"/>
      <c r="E910" s="24"/>
      <c r="G910" s="24"/>
      <c r="H910" s="24"/>
      <c r="J910" s="24"/>
      <c r="K910" s="24"/>
      <c r="M910" s="24"/>
      <c r="N910" s="24"/>
      <c r="P910" s="24"/>
    </row>
    <row r="911" spans="2:16" x14ac:dyDescent="0.25">
      <c r="B911" s="24"/>
      <c r="E911" s="24"/>
      <c r="G911" s="24"/>
      <c r="H911" s="24"/>
      <c r="J911" s="24"/>
      <c r="K911" s="24"/>
      <c r="M911" s="24"/>
      <c r="N911" s="24"/>
      <c r="P911" s="24"/>
    </row>
    <row r="912" spans="2:16" x14ac:dyDescent="0.25">
      <c r="B912" s="24"/>
      <c r="E912" s="24"/>
      <c r="G912" s="24"/>
      <c r="H912" s="24"/>
      <c r="J912" s="24"/>
      <c r="K912" s="24"/>
      <c r="M912" s="24"/>
      <c r="N912" s="24"/>
      <c r="P912" s="24"/>
    </row>
    <row r="913" spans="2:16" x14ac:dyDescent="0.25">
      <c r="B913" s="24"/>
      <c r="E913" s="24"/>
      <c r="G913" s="24"/>
      <c r="H913" s="24"/>
      <c r="J913" s="24"/>
      <c r="K913" s="24"/>
      <c r="M913" s="24"/>
      <c r="N913" s="24"/>
      <c r="P913" s="24"/>
    </row>
    <row r="914" spans="2:16" x14ac:dyDescent="0.25">
      <c r="B914" s="24"/>
      <c r="E914" s="24"/>
      <c r="G914" s="24"/>
      <c r="H914" s="24"/>
      <c r="J914" s="24"/>
      <c r="K914" s="24"/>
      <c r="M914" s="24"/>
      <c r="N914" s="24"/>
      <c r="P914" s="24"/>
    </row>
    <row r="915" spans="2:16" x14ac:dyDescent="0.25">
      <c r="B915" s="24"/>
      <c r="E915" s="24"/>
      <c r="G915" s="24"/>
      <c r="H915" s="24"/>
      <c r="J915" s="24"/>
      <c r="K915" s="24"/>
      <c r="M915" s="24"/>
      <c r="N915" s="24"/>
      <c r="P915" s="24"/>
    </row>
    <row r="916" spans="2:16" x14ac:dyDescent="0.25">
      <c r="B916" s="24"/>
      <c r="E916" s="24"/>
      <c r="G916" s="24"/>
      <c r="H916" s="24"/>
      <c r="J916" s="24"/>
      <c r="K916" s="24"/>
      <c r="M916" s="24"/>
      <c r="N916" s="24"/>
      <c r="P916" s="24"/>
    </row>
    <row r="917" spans="2:16" x14ac:dyDescent="0.25">
      <c r="B917" s="24"/>
      <c r="E917" s="24"/>
      <c r="G917" s="24"/>
      <c r="H917" s="24"/>
      <c r="J917" s="24"/>
      <c r="K917" s="24"/>
      <c r="M917" s="24"/>
      <c r="N917" s="24"/>
      <c r="P917" s="24"/>
    </row>
    <row r="918" spans="2:16" x14ac:dyDescent="0.25">
      <c r="B918" s="24"/>
      <c r="E918" s="24"/>
      <c r="G918" s="24"/>
      <c r="H918" s="24"/>
      <c r="J918" s="24"/>
      <c r="K918" s="24"/>
      <c r="M918" s="24"/>
      <c r="N918" s="24"/>
      <c r="P918" s="24"/>
    </row>
    <row r="919" spans="2:16" x14ac:dyDescent="0.25">
      <c r="B919" s="24"/>
      <c r="E919" s="24"/>
      <c r="G919" s="24"/>
      <c r="H919" s="24"/>
      <c r="J919" s="24"/>
      <c r="K919" s="24"/>
      <c r="M919" s="24"/>
      <c r="N919" s="24"/>
      <c r="P919" s="24"/>
    </row>
    <row r="920" spans="2:16" x14ac:dyDescent="0.25">
      <c r="B920" s="24"/>
      <c r="E920" s="24"/>
      <c r="G920" s="24"/>
      <c r="H920" s="24"/>
      <c r="J920" s="24"/>
      <c r="K920" s="24"/>
      <c r="M920" s="24"/>
      <c r="N920" s="24"/>
      <c r="P920" s="24"/>
    </row>
    <row r="921" spans="2:16" x14ac:dyDescent="0.25">
      <c r="B921" s="24"/>
      <c r="E921" s="24"/>
      <c r="G921" s="24"/>
      <c r="H921" s="24"/>
      <c r="J921" s="24"/>
      <c r="K921" s="24"/>
      <c r="M921" s="24"/>
      <c r="N921" s="24"/>
      <c r="P921" s="24"/>
    </row>
    <row r="922" spans="2:16" x14ac:dyDescent="0.25">
      <c r="B922" s="24"/>
      <c r="E922" s="24"/>
      <c r="G922" s="24"/>
      <c r="H922" s="24"/>
      <c r="J922" s="24"/>
      <c r="K922" s="24"/>
      <c r="M922" s="24"/>
      <c r="N922" s="24"/>
      <c r="P922" s="24"/>
    </row>
    <row r="923" spans="2:16" x14ac:dyDescent="0.25">
      <c r="B923" s="24"/>
      <c r="E923" s="24"/>
      <c r="G923" s="24"/>
      <c r="H923" s="24"/>
      <c r="J923" s="24"/>
      <c r="K923" s="24"/>
      <c r="M923" s="24"/>
      <c r="N923" s="24"/>
      <c r="P923" s="24"/>
    </row>
    <row r="924" spans="2:16" x14ac:dyDescent="0.25">
      <c r="B924" s="24"/>
      <c r="E924" s="24"/>
      <c r="G924" s="24"/>
      <c r="H924" s="24"/>
      <c r="J924" s="24"/>
      <c r="K924" s="24"/>
      <c r="M924" s="24"/>
      <c r="N924" s="24"/>
      <c r="P924" s="24"/>
    </row>
    <row r="925" spans="2:16" x14ac:dyDescent="0.25">
      <c r="B925" s="24"/>
      <c r="E925" s="24"/>
      <c r="G925" s="24"/>
      <c r="H925" s="24"/>
      <c r="J925" s="24"/>
      <c r="K925" s="24"/>
      <c r="M925" s="24"/>
      <c r="N925" s="24"/>
      <c r="P925" s="24"/>
    </row>
    <row r="926" spans="2:16" x14ac:dyDescent="0.25">
      <c r="B926" s="24"/>
      <c r="E926" s="24"/>
      <c r="G926" s="24"/>
      <c r="H926" s="24"/>
      <c r="J926" s="24"/>
      <c r="K926" s="24"/>
      <c r="M926" s="24"/>
      <c r="N926" s="24"/>
      <c r="P926" s="24"/>
    </row>
    <row r="927" spans="2:16" x14ac:dyDescent="0.25">
      <c r="B927" s="24"/>
      <c r="E927" s="24"/>
      <c r="G927" s="24"/>
      <c r="H927" s="24"/>
      <c r="J927" s="24"/>
      <c r="K927" s="24"/>
      <c r="M927" s="24"/>
      <c r="N927" s="24"/>
      <c r="P927" s="24"/>
    </row>
    <row r="928" spans="2:16" x14ac:dyDescent="0.25">
      <c r="B928" s="24"/>
      <c r="E928" s="24"/>
      <c r="G928" s="24"/>
      <c r="H928" s="24"/>
      <c r="J928" s="24"/>
      <c r="K928" s="24"/>
      <c r="M928" s="24"/>
      <c r="N928" s="24"/>
      <c r="P928" s="24"/>
    </row>
    <row r="929" spans="2:16" x14ac:dyDescent="0.25">
      <c r="B929" s="24"/>
      <c r="E929" s="24"/>
      <c r="G929" s="24"/>
      <c r="H929" s="24"/>
      <c r="J929" s="24"/>
      <c r="K929" s="24"/>
      <c r="M929" s="24"/>
      <c r="N929" s="24"/>
      <c r="P929" s="24"/>
    </row>
    <row r="930" spans="2:16" x14ac:dyDescent="0.25">
      <c r="B930" s="24"/>
      <c r="E930" s="24"/>
      <c r="G930" s="24"/>
      <c r="H930" s="24"/>
      <c r="J930" s="24"/>
      <c r="K930" s="24"/>
      <c r="M930" s="24"/>
      <c r="N930" s="24"/>
      <c r="P930" s="24"/>
    </row>
    <row r="931" spans="2:16" x14ac:dyDescent="0.25">
      <c r="B931" s="24"/>
      <c r="E931" s="24"/>
      <c r="G931" s="24"/>
      <c r="H931" s="24"/>
      <c r="J931" s="24"/>
      <c r="K931" s="24"/>
      <c r="M931" s="24"/>
      <c r="N931" s="24"/>
      <c r="P931" s="24"/>
    </row>
    <row r="932" spans="2:16" x14ac:dyDescent="0.25">
      <c r="B932" s="24"/>
      <c r="E932" s="24"/>
      <c r="G932" s="24"/>
      <c r="H932" s="24"/>
      <c r="J932" s="24"/>
      <c r="K932" s="24"/>
      <c r="M932" s="24"/>
      <c r="N932" s="24"/>
      <c r="P932" s="24"/>
    </row>
    <row r="933" spans="2:16" x14ac:dyDescent="0.25">
      <c r="B933" s="24"/>
      <c r="E933" s="24"/>
      <c r="G933" s="24"/>
      <c r="H933" s="24"/>
      <c r="J933" s="24"/>
      <c r="K933" s="24"/>
      <c r="M933" s="24"/>
      <c r="N933" s="24"/>
      <c r="P933" s="24"/>
    </row>
    <row r="934" spans="2:16" x14ac:dyDescent="0.25">
      <c r="B934" s="24"/>
      <c r="E934" s="24"/>
      <c r="G934" s="24"/>
      <c r="H934" s="24"/>
      <c r="J934" s="24"/>
      <c r="K934" s="24"/>
      <c r="M934" s="24"/>
      <c r="N934" s="24"/>
      <c r="P934" s="24"/>
    </row>
    <row r="935" spans="2:16" x14ac:dyDescent="0.25">
      <c r="B935" s="24"/>
      <c r="E935" s="24"/>
      <c r="G935" s="24"/>
      <c r="H935" s="24"/>
      <c r="J935" s="24"/>
      <c r="K935" s="24"/>
      <c r="M935" s="24"/>
      <c r="N935" s="24"/>
      <c r="P935" s="24"/>
    </row>
    <row r="936" spans="2:16" x14ac:dyDescent="0.25">
      <c r="B936" s="24"/>
      <c r="E936" s="24"/>
      <c r="G936" s="24"/>
      <c r="H936" s="24"/>
      <c r="J936" s="24"/>
      <c r="K936" s="24"/>
      <c r="M936" s="24"/>
      <c r="N936" s="24"/>
      <c r="P936" s="24"/>
    </row>
    <row r="937" spans="2:16" x14ac:dyDescent="0.25">
      <c r="B937" s="24"/>
      <c r="E937" s="24"/>
      <c r="G937" s="24"/>
      <c r="H937" s="24"/>
      <c r="J937" s="24"/>
      <c r="K937" s="24"/>
      <c r="M937" s="24"/>
      <c r="N937" s="24"/>
      <c r="P937" s="24"/>
    </row>
    <row r="938" spans="2:16" x14ac:dyDescent="0.25">
      <c r="B938" s="24"/>
      <c r="E938" s="24"/>
      <c r="G938" s="24"/>
      <c r="H938" s="24"/>
      <c r="J938" s="24"/>
      <c r="K938" s="24"/>
      <c r="M938" s="24"/>
      <c r="N938" s="24"/>
      <c r="P938" s="24"/>
    </row>
    <row r="939" spans="2:16" x14ac:dyDescent="0.25">
      <c r="B939" s="24"/>
      <c r="E939" s="24"/>
      <c r="G939" s="24"/>
      <c r="H939" s="24"/>
      <c r="J939" s="24"/>
      <c r="K939" s="24"/>
      <c r="M939" s="24"/>
      <c r="N939" s="24"/>
      <c r="P939" s="24"/>
    </row>
    <row r="940" spans="2:16" x14ac:dyDescent="0.25">
      <c r="B940" s="24"/>
      <c r="E940" s="24"/>
      <c r="G940" s="24"/>
      <c r="H940" s="24"/>
      <c r="J940" s="24"/>
      <c r="K940" s="24"/>
      <c r="M940" s="24"/>
      <c r="N940" s="24"/>
      <c r="P940" s="24"/>
    </row>
    <row r="941" spans="2:16" x14ac:dyDescent="0.25">
      <c r="B941" s="24"/>
      <c r="E941" s="24"/>
      <c r="G941" s="24"/>
      <c r="H941" s="24"/>
      <c r="J941" s="24"/>
      <c r="K941" s="24"/>
      <c r="M941" s="24"/>
      <c r="N941" s="24"/>
      <c r="P941" s="24"/>
    </row>
    <row r="942" spans="2:16" x14ac:dyDescent="0.25">
      <c r="B942" s="24"/>
      <c r="E942" s="24"/>
      <c r="G942" s="24"/>
      <c r="H942" s="24"/>
      <c r="J942" s="24"/>
      <c r="K942" s="24"/>
      <c r="M942" s="24"/>
      <c r="N942" s="24"/>
      <c r="P942" s="24"/>
    </row>
    <row r="943" spans="2:16" x14ac:dyDescent="0.25">
      <c r="B943" s="24"/>
      <c r="E943" s="24"/>
      <c r="G943" s="24"/>
      <c r="H943" s="24"/>
      <c r="J943" s="24"/>
      <c r="K943" s="24"/>
      <c r="M943" s="24"/>
      <c r="N943" s="24"/>
      <c r="P943" s="24"/>
    </row>
    <row r="944" spans="2:16" x14ac:dyDescent="0.25">
      <c r="B944" s="24"/>
      <c r="E944" s="24"/>
      <c r="G944" s="24"/>
      <c r="H944" s="24"/>
      <c r="J944" s="24"/>
      <c r="K944" s="24"/>
      <c r="M944" s="24"/>
      <c r="N944" s="24"/>
      <c r="P944" s="24"/>
    </row>
    <row r="945" spans="2:16" x14ac:dyDescent="0.25">
      <c r="B945" s="24"/>
      <c r="E945" s="24"/>
      <c r="G945" s="24"/>
      <c r="H945" s="24"/>
      <c r="J945" s="24"/>
      <c r="K945" s="24"/>
      <c r="M945" s="24"/>
      <c r="N945" s="24"/>
      <c r="P945" s="24"/>
    </row>
    <row r="946" spans="2:16" x14ac:dyDescent="0.25">
      <c r="B946" s="24"/>
      <c r="E946" s="24"/>
      <c r="G946" s="24"/>
      <c r="H946" s="24"/>
      <c r="J946" s="24"/>
      <c r="K946" s="24"/>
      <c r="M946" s="24"/>
      <c r="N946" s="24"/>
      <c r="P946" s="24"/>
    </row>
    <row r="947" spans="2:16" x14ac:dyDescent="0.25">
      <c r="B947" s="24"/>
      <c r="E947" s="24"/>
      <c r="G947" s="24"/>
      <c r="H947" s="24"/>
      <c r="J947" s="24"/>
      <c r="K947" s="24"/>
      <c r="M947" s="24"/>
      <c r="N947" s="24"/>
      <c r="P947" s="24"/>
    </row>
    <row r="948" spans="2:16" x14ac:dyDescent="0.25">
      <c r="B948" s="24"/>
      <c r="E948" s="24"/>
      <c r="G948" s="24"/>
      <c r="H948" s="24"/>
      <c r="J948" s="24"/>
      <c r="K948" s="24"/>
      <c r="M948" s="24"/>
      <c r="N948" s="24"/>
      <c r="P948" s="24"/>
    </row>
    <row r="949" spans="2:16" x14ac:dyDescent="0.25">
      <c r="B949" s="24"/>
      <c r="E949" s="24"/>
      <c r="G949" s="24"/>
      <c r="H949" s="24"/>
      <c r="J949" s="24"/>
      <c r="K949" s="24"/>
      <c r="M949" s="24"/>
      <c r="N949" s="24"/>
      <c r="P949" s="24"/>
    </row>
    <row r="950" spans="2:16" x14ac:dyDescent="0.25">
      <c r="B950" s="24"/>
      <c r="E950" s="24"/>
      <c r="G950" s="24"/>
      <c r="H950" s="24"/>
      <c r="J950" s="24"/>
      <c r="K950" s="24"/>
      <c r="M950" s="24"/>
      <c r="N950" s="24"/>
      <c r="P950" s="24"/>
    </row>
    <row r="951" spans="2:16" x14ac:dyDescent="0.25">
      <c r="B951" s="24"/>
      <c r="E951" s="24"/>
      <c r="G951" s="24"/>
      <c r="H951" s="24"/>
      <c r="J951" s="24"/>
      <c r="K951" s="24"/>
      <c r="M951" s="24"/>
      <c r="N951" s="24"/>
      <c r="P951" s="24"/>
    </row>
    <row r="952" spans="2:16" x14ac:dyDescent="0.25">
      <c r="B952" s="24"/>
      <c r="E952" s="24"/>
      <c r="G952" s="24"/>
      <c r="H952" s="24"/>
      <c r="J952" s="24"/>
      <c r="K952" s="24"/>
      <c r="M952" s="24"/>
      <c r="N952" s="24"/>
      <c r="P952" s="24"/>
    </row>
    <row r="953" spans="2:16" x14ac:dyDescent="0.25">
      <c r="B953" s="24"/>
      <c r="E953" s="24"/>
      <c r="G953" s="24"/>
      <c r="H953" s="24"/>
      <c r="J953" s="24"/>
      <c r="K953" s="24"/>
      <c r="M953" s="24"/>
      <c r="N953" s="24"/>
      <c r="P953" s="24"/>
    </row>
    <row r="954" spans="2:16" x14ac:dyDescent="0.25">
      <c r="B954" s="24"/>
      <c r="E954" s="24"/>
      <c r="G954" s="24"/>
      <c r="H954" s="24"/>
      <c r="J954" s="24"/>
      <c r="K954" s="24"/>
      <c r="M954" s="24"/>
      <c r="N954" s="24"/>
      <c r="P954" s="24"/>
    </row>
    <row r="955" spans="2:16" x14ac:dyDescent="0.25">
      <c r="B955" s="24"/>
      <c r="E955" s="24"/>
      <c r="G955" s="24"/>
      <c r="H955" s="24"/>
      <c r="J955" s="24"/>
      <c r="K955" s="24"/>
      <c r="M955" s="24"/>
      <c r="N955" s="24"/>
      <c r="P955" s="24"/>
    </row>
    <row r="956" spans="2:16" x14ac:dyDescent="0.25">
      <c r="B956" s="24"/>
      <c r="E956" s="24"/>
      <c r="G956" s="24"/>
      <c r="H956" s="24"/>
      <c r="J956" s="24"/>
      <c r="K956" s="24"/>
      <c r="M956" s="24"/>
      <c r="N956" s="24"/>
      <c r="P956" s="24"/>
    </row>
    <row r="957" spans="2:16" x14ac:dyDescent="0.25">
      <c r="B957" s="24"/>
      <c r="E957" s="24"/>
      <c r="G957" s="24"/>
      <c r="H957" s="24"/>
      <c r="J957" s="24"/>
      <c r="K957" s="24"/>
      <c r="M957" s="24"/>
      <c r="N957" s="24"/>
      <c r="P957" s="24"/>
    </row>
    <row r="958" spans="2:16" x14ac:dyDescent="0.25">
      <c r="B958" s="24"/>
      <c r="E958" s="24"/>
      <c r="G958" s="24"/>
      <c r="H958" s="24"/>
      <c r="J958" s="24"/>
      <c r="K958" s="24"/>
      <c r="M958" s="24"/>
      <c r="N958" s="24"/>
      <c r="P958" s="24"/>
    </row>
    <row r="959" spans="2:16" x14ac:dyDescent="0.25">
      <c r="B959" s="24"/>
      <c r="E959" s="24"/>
      <c r="G959" s="24"/>
      <c r="H959" s="24"/>
      <c r="J959" s="24"/>
      <c r="K959" s="24"/>
      <c r="M959" s="24"/>
      <c r="N959" s="24"/>
      <c r="P959" s="24"/>
    </row>
    <row r="960" spans="2:16" x14ac:dyDescent="0.25">
      <c r="B960" s="24"/>
      <c r="E960" s="24"/>
      <c r="G960" s="24"/>
      <c r="H960" s="24"/>
      <c r="J960" s="24"/>
      <c r="K960" s="24"/>
      <c r="M960" s="24"/>
      <c r="N960" s="24"/>
      <c r="P960" s="24"/>
    </row>
    <row r="961" spans="2:16" x14ac:dyDescent="0.25">
      <c r="B961" s="24"/>
      <c r="E961" s="24"/>
      <c r="G961" s="24"/>
      <c r="H961" s="24"/>
      <c r="J961" s="24"/>
      <c r="K961" s="24"/>
      <c r="M961" s="24"/>
      <c r="N961" s="24"/>
      <c r="P961" s="24"/>
    </row>
    <row r="962" spans="2:16" x14ac:dyDescent="0.25">
      <c r="B962" s="24"/>
      <c r="E962" s="24"/>
      <c r="G962" s="24"/>
      <c r="H962" s="24"/>
      <c r="J962" s="24"/>
      <c r="K962" s="24"/>
      <c r="M962" s="24"/>
      <c r="N962" s="24"/>
      <c r="P962" s="24"/>
    </row>
    <row r="963" spans="2:16" x14ac:dyDescent="0.25">
      <c r="B963" s="24"/>
      <c r="E963" s="24"/>
      <c r="G963" s="24"/>
      <c r="H963" s="24"/>
      <c r="J963" s="24"/>
      <c r="K963" s="24"/>
      <c r="M963" s="24"/>
      <c r="N963" s="24"/>
      <c r="P963" s="24"/>
    </row>
    <row r="964" spans="2:16" x14ac:dyDescent="0.25">
      <c r="B964" s="24"/>
      <c r="E964" s="24"/>
      <c r="G964" s="24"/>
      <c r="H964" s="24"/>
      <c r="J964" s="24"/>
      <c r="K964" s="24"/>
      <c r="M964" s="24"/>
      <c r="N964" s="24"/>
      <c r="P964" s="24"/>
    </row>
    <row r="965" spans="2:16" x14ac:dyDescent="0.25">
      <c r="B965" s="24"/>
      <c r="E965" s="24"/>
      <c r="G965" s="24"/>
      <c r="H965" s="24"/>
      <c r="J965" s="24"/>
      <c r="K965" s="24"/>
      <c r="M965" s="24"/>
      <c r="N965" s="24"/>
      <c r="P965" s="24"/>
    </row>
    <row r="966" spans="2:16" x14ac:dyDescent="0.25">
      <c r="B966" s="24"/>
      <c r="E966" s="24"/>
      <c r="G966" s="24"/>
      <c r="H966" s="24"/>
      <c r="J966" s="24"/>
      <c r="K966" s="24"/>
      <c r="M966" s="24"/>
      <c r="N966" s="24"/>
      <c r="P966" s="24"/>
    </row>
    <row r="967" spans="2:16" x14ac:dyDescent="0.25">
      <c r="B967" s="24"/>
      <c r="E967" s="24"/>
      <c r="G967" s="24"/>
      <c r="H967" s="24"/>
      <c r="J967" s="24"/>
      <c r="K967" s="24"/>
      <c r="M967" s="24"/>
      <c r="N967" s="24"/>
      <c r="P967" s="24"/>
    </row>
    <row r="968" spans="2:16" x14ac:dyDescent="0.25">
      <c r="B968" s="24"/>
      <c r="E968" s="24"/>
      <c r="G968" s="24"/>
      <c r="H968" s="24"/>
      <c r="J968" s="24"/>
      <c r="K968" s="24"/>
      <c r="M968" s="24"/>
      <c r="N968" s="24"/>
      <c r="P968" s="24"/>
    </row>
    <row r="969" spans="2:16" x14ac:dyDescent="0.25">
      <c r="B969" s="24"/>
      <c r="E969" s="24"/>
      <c r="G969" s="24"/>
      <c r="H969" s="24"/>
      <c r="J969" s="24"/>
      <c r="K969" s="24"/>
      <c r="M969" s="24"/>
      <c r="N969" s="24"/>
      <c r="P969" s="24"/>
    </row>
    <row r="970" spans="2:16" x14ac:dyDescent="0.25">
      <c r="B970" s="24"/>
      <c r="E970" s="24"/>
      <c r="G970" s="24"/>
      <c r="H970" s="24"/>
      <c r="J970" s="24"/>
      <c r="K970" s="24"/>
      <c r="M970" s="24"/>
      <c r="N970" s="24"/>
      <c r="P970" s="24"/>
    </row>
    <row r="971" spans="2:16" x14ac:dyDescent="0.25">
      <c r="B971" s="24"/>
      <c r="E971" s="24"/>
      <c r="G971" s="24"/>
      <c r="H971" s="24"/>
      <c r="J971" s="24"/>
      <c r="K971" s="24"/>
      <c r="M971" s="24"/>
      <c r="N971" s="24"/>
      <c r="P971" s="24"/>
    </row>
    <row r="972" spans="2:16" x14ac:dyDescent="0.25">
      <c r="B972" s="24"/>
      <c r="E972" s="24"/>
      <c r="G972" s="24"/>
      <c r="H972" s="24"/>
      <c r="J972" s="24"/>
      <c r="K972" s="24"/>
      <c r="M972" s="24"/>
      <c r="N972" s="24"/>
      <c r="P972" s="24"/>
    </row>
    <row r="973" spans="2:16" x14ac:dyDescent="0.25">
      <c r="B973" s="24"/>
      <c r="E973" s="24"/>
      <c r="G973" s="24"/>
      <c r="H973" s="24"/>
      <c r="J973" s="24"/>
      <c r="K973" s="24"/>
      <c r="M973" s="24"/>
      <c r="N973" s="24"/>
      <c r="P973" s="24"/>
    </row>
    <row r="974" spans="2:16" x14ac:dyDescent="0.25">
      <c r="B974" s="24"/>
      <c r="E974" s="24"/>
      <c r="G974" s="24"/>
      <c r="H974" s="24"/>
      <c r="J974" s="24"/>
      <c r="K974" s="24"/>
      <c r="M974" s="24"/>
      <c r="N974" s="24"/>
      <c r="P974" s="24"/>
    </row>
    <row r="975" spans="2:16" x14ac:dyDescent="0.25">
      <c r="B975" s="24"/>
      <c r="E975" s="24"/>
      <c r="G975" s="24"/>
      <c r="H975" s="24"/>
      <c r="J975" s="24"/>
      <c r="K975" s="24"/>
      <c r="M975" s="24"/>
      <c r="N975" s="24"/>
      <c r="P975" s="24"/>
    </row>
    <row r="976" spans="2:16" x14ac:dyDescent="0.25">
      <c r="B976" s="24"/>
      <c r="E976" s="24"/>
      <c r="G976" s="24"/>
      <c r="H976" s="24"/>
      <c r="J976" s="24"/>
      <c r="K976" s="24"/>
      <c r="M976" s="24"/>
      <c r="N976" s="24"/>
      <c r="P976" s="24"/>
    </row>
    <row r="977" spans="2:16" x14ac:dyDescent="0.25">
      <c r="B977" s="24"/>
      <c r="E977" s="24"/>
      <c r="G977" s="24"/>
      <c r="H977" s="24"/>
      <c r="J977" s="24"/>
      <c r="K977" s="24"/>
      <c r="M977" s="24"/>
      <c r="N977" s="24"/>
      <c r="P977" s="24"/>
    </row>
    <row r="978" spans="2:16" x14ac:dyDescent="0.25">
      <c r="B978" s="24"/>
      <c r="E978" s="24"/>
      <c r="G978" s="24"/>
      <c r="H978" s="24"/>
      <c r="J978" s="24"/>
      <c r="K978" s="24"/>
      <c r="M978" s="24"/>
      <c r="N978" s="24"/>
      <c r="P978" s="24"/>
    </row>
    <row r="979" spans="2:16" x14ac:dyDescent="0.25">
      <c r="B979" s="24"/>
      <c r="E979" s="24"/>
      <c r="G979" s="24"/>
      <c r="H979" s="24"/>
      <c r="J979" s="24"/>
      <c r="K979" s="24"/>
      <c r="M979" s="24"/>
      <c r="N979" s="24"/>
      <c r="P979" s="24"/>
    </row>
    <row r="980" spans="2:16" x14ac:dyDescent="0.25">
      <c r="B980" s="24"/>
      <c r="E980" s="24"/>
      <c r="G980" s="24"/>
      <c r="H980" s="24"/>
      <c r="J980" s="24"/>
      <c r="K980" s="24"/>
      <c r="M980" s="24"/>
      <c r="N980" s="24"/>
      <c r="P980" s="24"/>
    </row>
    <row r="981" spans="2:16" x14ac:dyDescent="0.25">
      <c r="B981" s="24"/>
      <c r="E981" s="24"/>
      <c r="G981" s="24"/>
      <c r="H981" s="24"/>
      <c r="J981" s="24"/>
      <c r="K981" s="24"/>
      <c r="M981" s="24"/>
      <c r="N981" s="24"/>
      <c r="P981" s="24"/>
    </row>
    <row r="982" spans="2:16" x14ac:dyDescent="0.25">
      <c r="B982" s="24"/>
      <c r="E982" s="24"/>
      <c r="G982" s="24"/>
      <c r="H982" s="24"/>
      <c r="J982" s="24"/>
      <c r="K982" s="24"/>
      <c r="M982" s="24"/>
      <c r="N982" s="24"/>
      <c r="P982" s="24"/>
    </row>
    <row r="983" spans="2:16" x14ac:dyDescent="0.25">
      <c r="B983" s="24"/>
      <c r="E983" s="24"/>
      <c r="G983" s="24"/>
      <c r="H983" s="24"/>
      <c r="J983" s="24"/>
      <c r="K983" s="24"/>
      <c r="M983" s="24"/>
      <c r="N983" s="24"/>
      <c r="P983" s="24"/>
    </row>
    <row r="984" spans="2:16" x14ac:dyDescent="0.25">
      <c r="B984" s="24"/>
      <c r="E984" s="24"/>
      <c r="G984" s="24"/>
      <c r="H984" s="24"/>
      <c r="J984" s="24"/>
      <c r="K984" s="24"/>
      <c r="M984" s="24"/>
      <c r="N984" s="24"/>
      <c r="P984" s="24"/>
    </row>
    <row r="985" spans="2:16" x14ac:dyDescent="0.25">
      <c r="B985" s="24"/>
      <c r="E985" s="24"/>
      <c r="G985" s="24"/>
      <c r="H985" s="24"/>
      <c r="J985" s="24"/>
      <c r="K985" s="24"/>
      <c r="M985" s="24"/>
      <c r="N985" s="24"/>
      <c r="P985" s="24"/>
    </row>
    <row r="986" spans="2:16" x14ac:dyDescent="0.25">
      <c r="B986" s="24"/>
      <c r="E986" s="24"/>
      <c r="G986" s="24"/>
      <c r="H986" s="24"/>
      <c r="J986" s="24"/>
      <c r="K986" s="24"/>
      <c r="M986" s="24"/>
      <c r="N986" s="24"/>
      <c r="P986" s="24"/>
    </row>
    <row r="987" spans="2:16" x14ac:dyDescent="0.25">
      <c r="B987" s="24"/>
      <c r="E987" s="24"/>
      <c r="G987" s="24"/>
      <c r="H987" s="24"/>
      <c r="J987" s="24"/>
      <c r="K987" s="24"/>
      <c r="M987" s="24"/>
      <c r="N987" s="24"/>
      <c r="P987" s="24"/>
    </row>
    <row r="988" spans="2:16" x14ac:dyDescent="0.25">
      <c r="B988" s="24"/>
      <c r="E988" s="24"/>
      <c r="G988" s="24"/>
      <c r="H988" s="24"/>
      <c r="J988" s="24"/>
      <c r="K988" s="24"/>
      <c r="M988" s="24"/>
      <c r="N988" s="24"/>
      <c r="P988" s="24"/>
    </row>
    <row r="989" spans="2:16" x14ac:dyDescent="0.25">
      <c r="B989" s="24"/>
      <c r="E989" s="24"/>
      <c r="G989" s="24"/>
      <c r="H989" s="24"/>
      <c r="J989" s="24"/>
      <c r="K989" s="24"/>
      <c r="M989" s="24"/>
      <c r="N989" s="24"/>
      <c r="P989" s="24"/>
    </row>
    <row r="990" spans="2:16" x14ac:dyDescent="0.25">
      <c r="B990" s="24"/>
      <c r="E990" s="24"/>
      <c r="G990" s="24"/>
      <c r="H990" s="24"/>
      <c r="J990" s="24"/>
      <c r="K990" s="24"/>
      <c r="M990" s="24"/>
      <c r="N990" s="24"/>
      <c r="P990" s="24"/>
    </row>
    <row r="991" spans="2:16" x14ac:dyDescent="0.25">
      <c r="B991" s="24"/>
      <c r="E991" s="24"/>
      <c r="G991" s="24"/>
      <c r="H991" s="24"/>
      <c r="J991" s="24"/>
      <c r="K991" s="24"/>
      <c r="M991" s="24"/>
      <c r="N991" s="24"/>
      <c r="P991" s="24"/>
    </row>
    <row r="992" spans="2:16" x14ac:dyDescent="0.25">
      <c r="B992" s="24"/>
      <c r="E992" s="24"/>
      <c r="G992" s="24"/>
      <c r="H992" s="24"/>
      <c r="J992" s="24"/>
      <c r="K992" s="24"/>
      <c r="M992" s="24"/>
      <c r="N992" s="24"/>
      <c r="P992" s="24"/>
    </row>
    <row r="993" spans="2:16" x14ac:dyDescent="0.25">
      <c r="B993" s="24"/>
      <c r="E993" s="24"/>
      <c r="G993" s="24"/>
      <c r="H993" s="24"/>
      <c r="J993" s="24"/>
      <c r="K993" s="24"/>
      <c r="M993" s="24"/>
      <c r="N993" s="24"/>
      <c r="P993" s="24"/>
    </row>
    <row r="994" spans="2:16" x14ac:dyDescent="0.25">
      <c r="B994" s="24"/>
      <c r="E994" s="24"/>
      <c r="G994" s="24"/>
      <c r="H994" s="24"/>
      <c r="J994" s="24"/>
      <c r="K994" s="24"/>
      <c r="M994" s="24"/>
      <c r="N994" s="24"/>
      <c r="P994" s="24"/>
    </row>
    <row r="995" spans="2:16" x14ac:dyDescent="0.25">
      <c r="B995" s="24"/>
      <c r="E995" s="24"/>
      <c r="G995" s="24"/>
      <c r="H995" s="24"/>
      <c r="J995" s="24"/>
      <c r="K995" s="24"/>
      <c r="M995" s="24"/>
      <c r="N995" s="24"/>
      <c r="P995" s="24"/>
    </row>
    <row r="996" spans="2:16" x14ac:dyDescent="0.25">
      <c r="B996" s="24"/>
      <c r="E996" s="24"/>
      <c r="G996" s="24"/>
      <c r="H996" s="24"/>
      <c r="J996" s="24"/>
      <c r="K996" s="24"/>
      <c r="M996" s="24"/>
      <c r="N996" s="24"/>
      <c r="P996" s="24"/>
    </row>
    <row r="997" spans="2:16" x14ac:dyDescent="0.25">
      <c r="B997" s="24"/>
      <c r="E997" s="24"/>
      <c r="G997" s="24"/>
      <c r="H997" s="24"/>
      <c r="J997" s="24"/>
      <c r="K997" s="24"/>
      <c r="M997" s="24"/>
      <c r="N997" s="24"/>
      <c r="P997" s="24"/>
    </row>
    <row r="998" spans="2:16" x14ac:dyDescent="0.25">
      <c r="B998" s="24"/>
      <c r="E998" s="24"/>
      <c r="G998" s="24"/>
      <c r="H998" s="24"/>
      <c r="J998" s="24"/>
      <c r="K998" s="24"/>
      <c r="M998" s="24"/>
      <c r="N998" s="24"/>
      <c r="P998" s="24"/>
    </row>
    <row r="999" spans="2:16" x14ac:dyDescent="0.25">
      <c r="B999" s="24"/>
      <c r="E999" s="24"/>
      <c r="G999" s="24"/>
      <c r="H999" s="24"/>
      <c r="J999" s="24"/>
      <c r="K999" s="24"/>
      <c r="M999" s="24"/>
      <c r="N999" s="24"/>
      <c r="P999" s="24"/>
    </row>
    <row r="1000" spans="2:16" x14ac:dyDescent="0.25">
      <c r="B1000" s="24"/>
      <c r="E1000" s="24"/>
      <c r="G1000" s="24"/>
      <c r="H1000" s="24"/>
      <c r="J1000" s="24"/>
      <c r="K1000" s="24"/>
      <c r="M1000" s="24"/>
      <c r="N1000" s="24"/>
      <c r="P1000" s="24"/>
    </row>
    <row r="1001" spans="2:16" x14ac:dyDescent="0.25">
      <c r="B1001" s="24"/>
      <c r="E1001" s="24"/>
      <c r="G1001" s="24"/>
      <c r="H1001" s="24"/>
      <c r="J1001" s="24"/>
      <c r="K1001" s="24"/>
      <c r="M1001" s="24"/>
      <c r="N1001" s="24"/>
      <c r="P1001" s="24"/>
    </row>
    <row r="1002" spans="2:16" x14ac:dyDescent="0.25">
      <c r="B1002" s="24"/>
      <c r="E1002" s="24"/>
      <c r="G1002" s="24"/>
      <c r="H1002" s="24"/>
      <c r="J1002" s="24"/>
      <c r="K1002" s="24"/>
      <c r="M1002" s="24"/>
      <c r="N1002" s="24"/>
      <c r="P1002" s="24"/>
    </row>
    <row r="1003" spans="2:16" x14ac:dyDescent="0.25">
      <c r="B1003" s="24"/>
      <c r="E1003" s="24"/>
      <c r="G1003" s="24"/>
      <c r="H1003" s="24"/>
      <c r="J1003" s="24"/>
      <c r="K1003" s="24"/>
      <c r="M1003" s="24"/>
      <c r="N1003" s="24"/>
      <c r="P1003" s="24"/>
    </row>
    <row r="1004" spans="2:16" x14ac:dyDescent="0.25">
      <c r="B1004" s="24"/>
      <c r="E1004" s="24"/>
      <c r="G1004" s="24"/>
      <c r="H1004" s="24"/>
      <c r="J1004" s="24"/>
      <c r="K1004" s="24"/>
      <c r="M1004" s="24"/>
      <c r="N1004" s="24"/>
      <c r="P1004" s="24"/>
    </row>
    <row r="1005" spans="2:16" x14ac:dyDescent="0.25">
      <c r="B1005" s="24"/>
      <c r="E1005" s="24"/>
      <c r="G1005" s="24"/>
      <c r="H1005" s="24"/>
      <c r="J1005" s="24"/>
      <c r="K1005" s="24"/>
      <c r="M1005" s="24"/>
      <c r="N1005" s="24"/>
      <c r="P1005" s="24"/>
    </row>
    <row r="1006" spans="2:16" x14ac:dyDescent="0.25">
      <c r="B1006" s="24"/>
      <c r="E1006" s="24"/>
      <c r="G1006" s="24"/>
      <c r="H1006" s="24"/>
      <c r="J1006" s="24"/>
      <c r="K1006" s="24"/>
      <c r="M1006" s="24"/>
      <c r="N1006" s="24"/>
      <c r="P1006" s="24"/>
    </row>
    <row r="1007" spans="2:16" x14ac:dyDescent="0.25">
      <c r="B1007" s="24"/>
      <c r="E1007" s="24"/>
      <c r="G1007" s="24"/>
      <c r="H1007" s="24"/>
      <c r="J1007" s="24"/>
      <c r="K1007" s="24"/>
      <c r="M1007" s="24"/>
      <c r="N1007" s="24"/>
      <c r="P1007" s="24"/>
    </row>
    <row r="1008" spans="2:16" x14ac:dyDescent="0.25">
      <c r="B1008" s="24"/>
      <c r="E1008" s="24"/>
      <c r="G1008" s="24"/>
      <c r="H1008" s="24"/>
      <c r="J1008" s="24"/>
      <c r="K1008" s="24"/>
      <c r="M1008" s="24"/>
      <c r="N1008" s="24"/>
      <c r="P1008" s="24"/>
    </row>
    <row r="1009" spans="2:16" x14ac:dyDescent="0.25">
      <c r="B1009" s="24"/>
      <c r="E1009" s="24"/>
      <c r="G1009" s="24"/>
      <c r="H1009" s="24"/>
      <c r="J1009" s="24"/>
      <c r="K1009" s="24"/>
      <c r="M1009" s="24"/>
      <c r="N1009" s="24"/>
      <c r="P1009" s="24"/>
    </row>
    <row r="1010" spans="2:16" x14ac:dyDescent="0.25">
      <c r="B1010" s="24"/>
      <c r="E1010" s="24"/>
      <c r="G1010" s="24"/>
      <c r="H1010" s="24"/>
      <c r="J1010" s="24"/>
      <c r="K1010" s="24"/>
      <c r="M1010" s="24"/>
      <c r="N1010" s="24"/>
      <c r="P1010" s="24"/>
    </row>
    <row r="1011" spans="2:16" x14ac:dyDescent="0.25">
      <c r="B1011" s="24"/>
      <c r="E1011" s="24"/>
      <c r="G1011" s="24"/>
      <c r="H1011" s="24"/>
      <c r="J1011" s="24"/>
      <c r="K1011" s="24"/>
      <c r="M1011" s="24"/>
      <c r="N1011" s="24"/>
      <c r="P1011" s="24"/>
    </row>
    <row r="1012" spans="2:16" x14ac:dyDescent="0.25">
      <c r="B1012" s="24"/>
      <c r="E1012" s="24"/>
      <c r="G1012" s="24"/>
      <c r="H1012" s="24"/>
      <c r="J1012" s="24"/>
      <c r="K1012" s="24"/>
      <c r="M1012" s="24"/>
      <c r="N1012" s="24"/>
      <c r="P1012" s="24"/>
    </row>
    <row r="1013" spans="2:16" x14ac:dyDescent="0.25">
      <c r="B1013" s="24"/>
      <c r="E1013" s="24"/>
      <c r="G1013" s="24"/>
      <c r="H1013" s="24"/>
      <c r="J1013" s="24"/>
      <c r="K1013" s="24"/>
      <c r="M1013" s="24"/>
      <c r="N1013" s="24"/>
      <c r="P1013" s="24"/>
    </row>
    <row r="1014" spans="2:16" x14ac:dyDescent="0.25">
      <c r="B1014" s="24"/>
      <c r="E1014" s="24"/>
      <c r="G1014" s="24"/>
      <c r="H1014" s="24"/>
      <c r="J1014" s="24"/>
      <c r="K1014" s="24"/>
      <c r="M1014" s="24"/>
      <c r="N1014" s="24"/>
      <c r="P1014" s="24"/>
    </row>
    <row r="1015" spans="2:16" x14ac:dyDescent="0.25">
      <c r="B1015" s="24"/>
      <c r="E1015" s="24"/>
      <c r="G1015" s="24"/>
      <c r="H1015" s="24"/>
      <c r="J1015" s="24"/>
      <c r="K1015" s="24"/>
      <c r="M1015" s="24"/>
      <c r="N1015" s="24"/>
      <c r="P1015" s="24"/>
    </row>
    <row r="1016" spans="2:16" x14ac:dyDescent="0.25">
      <c r="B1016" s="24"/>
      <c r="E1016" s="24"/>
      <c r="G1016" s="24"/>
      <c r="H1016" s="24"/>
      <c r="J1016" s="24"/>
      <c r="K1016" s="24"/>
      <c r="M1016" s="24"/>
      <c r="N1016" s="24"/>
      <c r="P1016" s="24"/>
    </row>
    <row r="1017" spans="2:16" x14ac:dyDescent="0.25">
      <c r="B1017" s="24"/>
      <c r="E1017" s="24"/>
      <c r="G1017" s="24"/>
      <c r="H1017" s="24"/>
      <c r="J1017" s="24"/>
      <c r="K1017" s="24"/>
      <c r="M1017" s="24"/>
      <c r="N1017" s="24"/>
      <c r="P1017" s="24"/>
    </row>
    <row r="1018" spans="2:16" x14ac:dyDescent="0.25">
      <c r="B1018" s="24"/>
      <c r="E1018" s="24"/>
      <c r="G1018" s="24"/>
      <c r="H1018" s="24"/>
      <c r="J1018" s="24"/>
      <c r="K1018" s="24"/>
      <c r="M1018" s="24"/>
      <c r="N1018" s="24"/>
      <c r="P1018" s="24"/>
    </row>
    <row r="1019" spans="2:16" x14ac:dyDescent="0.25">
      <c r="B1019" s="24"/>
      <c r="E1019" s="24"/>
      <c r="G1019" s="24"/>
      <c r="H1019" s="24"/>
      <c r="J1019" s="24"/>
      <c r="K1019" s="24"/>
      <c r="M1019" s="24"/>
      <c r="N1019" s="24"/>
      <c r="P1019" s="24"/>
    </row>
    <row r="1020" spans="2:16" x14ac:dyDescent="0.25">
      <c r="B1020" s="24"/>
      <c r="E1020" s="24"/>
      <c r="G1020" s="24"/>
      <c r="H1020" s="24"/>
      <c r="J1020" s="24"/>
      <c r="K1020" s="24"/>
      <c r="M1020" s="24"/>
      <c r="N1020" s="24"/>
      <c r="P1020" s="24"/>
    </row>
    <row r="1021" spans="2:16" x14ac:dyDescent="0.25">
      <c r="B1021" s="24"/>
      <c r="E1021" s="24"/>
      <c r="G1021" s="24"/>
      <c r="H1021" s="24"/>
      <c r="J1021" s="24"/>
      <c r="K1021" s="24"/>
      <c r="M1021" s="24"/>
      <c r="N1021" s="24"/>
      <c r="P1021" s="24"/>
    </row>
    <row r="1022" spans="2:16" x14ac:dyDescent="0.25">
      <c r="B1022" s="24"/>
      <c r="E1022" s="24"/>
      <c r="G1022" s="24"/>
      <c r="H1022" s="24"/>
      <c r="J1022" s="24"/>
      <c r="K1022" s="24"/>
      <c r="M1022" s="24"/>
      <c r="N1022" s="24"/>
      <c r="P1022" s="24"/>
    </row>
    <row r="1023" spans="2:16" x14ac:dyDescent="0.25">
      <c r="B1023" s="24"/>
      <c r="E1023" s="24"/>
      <c r="G1023" s="24"/>
      <c r="H1023" s="24"/>
      <c r="J1023" s="24"/>
      <c r="K1023" s="24"/>
      <c r="M1023" s="24"/>
      <c r="N1023" s="24"/>
      <c r="P1023" s="24"/>
    </row>
    <row r="1024" spans="2:16" x14ac:dyDescent="0.25">
      <c r="B1024" s="24"/>
      <c r="E1024" s="24"/>
      <c r="G1024" s="24"/>
      <c r="H1024" s="24"/>
      <c r="J1024" s="24"/>
      <c r="K1024" s="24"/>
      <c r="M1024" s="24"/>
      <c r="N1024" s="24"/>
      <c r="P1024" s="24"/>
    </row>
    <row r="1025" spans="2:16" x14ac:dyDescent="0.25">
      <c r="B1025" s="24"/>
      <c r="E1025" s="24"/>
      <c r="G1025" s="24"/>
      <c r="H1025" s="24"/>
      <c r="J1025" s="24"/>
      <c r="K1025" s="24"/>
      <c r="M1025" s="24"/>
      <c r="N1025" s="24"/>
      <c r="P1025" s="24"/>
    </row>
    <row r="1026" spans="2:16" x14ac:dyDescent="0.25">
      <c r="B1026" s="24"/>
      <c r="E1026" s="24"/>
      <c r="G1026" s="24"/>
      <c r="H1026" s="24"/>
      <c r="J1026" s="24"/>
      <c r="K1026" s="24"/>
      <c r="M1026" s="24"/>
      <c r="N1026" s="24"/>
      <c r="P1026" s="24"/>
    </row>
    <row r="1027" spans="2:16" x14ac:dyDescent="0.25">
      <c r="B1027" s="24"/>
      <c r="E1027" s="24"/>
      <c r="G1027" s="24"/>
      <c r="H1027" s="24"/>
      <c r="J1027" s="24"/>
      <c r="K1027" s="24"/>
      <c r="M1027" s="24"/>
      <c r="N1027" s="24"/>
      <c r="P1027" s="24"/>
    </row>
    <row r="1028" spans="2:16" x14ac:dyDescent="0.25">
      <c r="B1028" s="24"/>
      <c r="E1028" s="24"/>
      <c r="G1028" s="24"/>
      <c r="H1028" s="24"/>
      <c r="J1028" s="24"/>
      <c r="K1028" s="24"/>
      <c r="M1028" s="24"/>
      <c r="N1028" s="24"/>
      <c r="P1028" s="24"/>
    </row>
    <row r="1029" spans="2:16" x14ac:dyDescent="0.25">
      <c r="B1029" s="24"/>
      <c r="E1029" s="24"/>
      <c r="G1029" s="24"/>
      <c r="H1029" s="24"/>
      <c r="J1029" s="24"/>
      <c r="K1029" s="24"/>
      <c r="M1029" s="24"/>
      <c r="N1029" s="24"/>
      <c r="P1029" s="24"/>
    </row>
    <row r="1030" spans="2:16" x14ac:dyDescent="0.25">
      <c r="B1030" s="24"/>
      <c r="E1030" s="24"/>
      <c r="G1030" s="24"/>
      <c r="H1030" s="24"/>
      <c r="J1030" s="24"/>
      <c r="K1030" s="24"/>
      <c r="M1030" s="24"/>
      <c r="N1030" s="24"/>
      <c r="P1030" s="24"/>
    </row>
    <row r="1031" spans="2:16" x14ac:dyDescent="0.25">
      <c r="B1031" s="24"/>
      <c r="E1031" s="24"/>
      <c r="G1031" s="24"/>
      <c r="H1031" s="24"/>
      <c r="J1031" s="24"/>
      <c r="K1031" s="24"/>
      <c r="M1031" s="24"/>
      <c r="N1031" s="24"/>
      <c r="P1031" s="24"/>
    </row>
    <row r="1032" spans="2:16" x14ac:dyDescent="0.25">
      <c r="B1032" s="24"/>
      <c r="E1032" s="24"/>
      <c r="G1032" s="24"/>
      <c r="H1032" s="24"/>
      <c r="J1032" s="24"/>
      <c r="K1032" s="24"/>
      <c r="M1032" s="24"/>
      <c r="N1032" s="24"/>
      <c r="P1032" s="24"/>
    </row>
    <row r="1033" spans="2:16" x14ac:dyDescent="0.25">
      <c r="B1033" s="24"/>
      <c r="E1033" s="24"/>
      <c r="G1033" s="24"/>
      <c r="H1033" s="24"/>
      <c r="J1033" s="24"/>
      <c r="K1033" s="24"/>
      <c r="M1033" s="24"/>
      <c r="N1033" s="24"/>
      <c r="P1033" s="24"/>
    </row>
    <row r="1034" spans="2:16" x14ac:dyDescent="0.25">
      <c r="B1034" s="24"/>
      <c r="E1034" s="24"/>
      <c r="G1034" s="24"/>
      <c r="H1034" s="24"/>
      <c r="J1034" s="24"/>
      <c r="K1034" s="24"/>
      <c r="M1034" s="24"/>
      <c r="N1034" s="24"/>
      <c r="P1034" s="24"/>
    </row>
    <row r="1035" spans="2:16" x14ac:dyDescent="0.25">
      <c r="B1035" s="24"/>
      <c r="E1035" s="24"/>
      <c r="G1035" s="24"/>
      <c r="H1035" s="24"/>
      <c r="J1035" s="24"/>
      <c r="K1035" s="24"/>
      <c r="M1035" s="24"/>
      <c r="N1035" s="24"/>
      <c r="P1035" s="24"/>
    </row>
    <row r="1036" spans="2:16" x14ac:dyDescent="0.25">
      <c r="B1036" s="24"/>
      <c r="E1036" s="24"/>
      <c r="G1036" s="24"/>
      <c r="H1036" s="24"/>
      <c r="J1036" s="24"/>
      <c r="K1036" s="24"/>
      <c r="M1036" s="24"/>
      <c r="N1036" s="24"/>
      <c r="P1036" s="24"/>
    </row>
    <row r="1037" spans="2:16" x14ac:dyDescent="0.25">
      <c r="B1037" s="24"/>
      <c r="E1037" s="24"/>
      <c r="G1037" s="24"/>
      <c r="H1037" s="24"/>
      <c r="J1037" s="24"/>
      <c r="K1037" s="24"/>
      <c r="M1037" s="24"/>
      <c r="N1037" s="24"/>
      <c r="P1037" s="24"/>
    </row>
    <row r="1038" spans="2:16" x14ac:dyDescent="0.25">
      <c r="B1038" s="24"/>
      <c r="E1038" s="24"/>
      <c r="G1038" s="24"/>
      <c r="H1038" s="24"/>
      <c r="J1038" s="24"/>
      <c r="K1038" s="24"/>
      <c r="M1038" s="24"/>
      <c r="N1038" s="24"/>
      <c r="P1038" s="24"/>
    </row>
    <row r="1039" spans="2:16" x14ac:dyDescent="0.25">
      <c r="B1039" s="24"/>
      <c r="E1039" s="24"/>
      <c r="G1039" s="24"/>
      <c r="H1039" s="24"/>
      <c r="J1039" s="24"/>
      <c r="K1039" s="24"/>
      <c r="M1039" s="24"/>
      <c r="N1039" s="24"/>
      <c r="P1039" s="24"/>
    </row>
    <row r="1040" spans="2:16" x14ac:dyDescent="0.25">
      <c r="B1040" s="24"/>
      <c r="E1040" s="24"/>
      <c r="G1040" s="24"/>
      <c r="H1040" s="24"/>
      <c r="J1040" s="24"/>
      <c r="K1040" s="24"/>
      <c r="M1040" s="24"/>
      <c r="N1040" s="24"/>
      <c r="P1040" s="24"/>
    </row>
    <row r="1041" spans="2:16" x14ac:dyDescent="0.25">
      <c r="B1041" s="24"/>
      <c r="E1041" s="24"/>
      <c r="G1041" s="24"/>
      <c r="H1041" s="24"/>
      <c r="J1041" s="24"/>
      <c r="K1041" s="24"/>
      <c r="M1041" s="24"/>
      <c r="N1041" s="24"/>
      <c r="P1041" s="24"/>
    </row>
    <row r="1042" spans="2:16" x14ac:dyDescent="0.25">
      <c r="B1042" s="24"/>
      <c r="E1042" s="24"/>
      <c r="G1042" s="24"/>
      <c r="H1042" s="24"/>
      <c r="J1042" s="24"/>
      <c r="K1042" s="24"/>
      <c r="M1042" s="24"/>
      <c r="N1042" s="24"/>
      <c r="P1042" s="24"/>
    </row>
    <row r="1043" spans="2:16" x14ac:dyDescent="0.25">
      <c r="B1043" s="24"/>
      <c r="E1043" s="24"/>
      <c r="G1043" s="24"/>
      <c r="H1043" s="24"/>
      <c r="J1043" s="24"/>
      <c r="K1043" s="24"/>
      <c r="M1043" s="24"/>
      <c r="N1043" s="24"/>
      <c r="P1043" s="24"/>
    </row>
    <row r="1044" spans="2:16" x14ac:dyDescent="0.25">
      <c r="B1044" s="24"/>
      <c r="E1044" s="24"/>
      <c r="G1044" s="24"/>
      <c r="H1044" s="24"/>
      <c r="J1044" s="24"/>
      <c r="K1044" s="24"/>
      <c r="M1044" s="24"/>
      <c r="N1044" s="24"/>
      <c r="P1044" s="24"/>
    </row>
    <row r="1045" spans="2:16" x14ac:dyDescent="0.25">
      <c r="B1045" s="24"/>
      <c r="E1045" s="24"/>
      <c r="G1045" s="24"/>
      <c r="H1045" s="24"/>
      <c r="J1045" s="24"/>
      <c r="K1045" s="24"/>
      <c r="M1045" s="24"/>
      <c r="N1045" s="24"/>
      <c r="P1045" s="24"/>
    </row>
    <row r="1046" spans="2:16" x14ac:dyDescent="0.25">
      <c r="B1046" s="24"/>
      <c r="E1046" s="24"/>
      <c r="G1046" s="24"/>
      <c r="H1046" s="24"/>
      <c r="J1046" s="24"/>
      <c r="K1046" s="24"/>
      <c r="M1046" s="24"/>
      <c r="N1046" s="24"/>
      <c r="P1046" s="24"/>
    </row>
    <row r="1047" spans="2:16" x14ac:dyDescent="0.25">
      <c r="B1047" s="24"/>
      <c r="E1047" s="24"/>
      <c r="G1047" s="24"/>
      <c r="H1047" s="24"/>
      <c r="J1047" s="24"/>
      <c r="K1047" s="24"/>
      <c r="M1047" s="24"/>
      <c r="N1047" s="24"/>
      <c r="P1047" s="24"/>
    </row>
    <row r="1048" spans="2:16" x14ac:dyDescent="0.25">
      <c r="B1048" s="24"/>
      <c r="E1048" s="24"/>
      <c r="G1048" s="24"/>
      <c r="H1048" s="24"/>
      <c r="J1048" s="24"/>
      <c r="K1048" s="24"/>
      <c r="M1048" s="24"/>
      <c r="N1048" s="24"/>
      <c r="P1048" s="24"/>
    </row>
    <row r="1049" spans="2:16" x14ac:dyDescent="0.25">
      <c r="B1049" s="24"/>
      <c r="E1049" s="24"/>
      <c r="G1049" s="24"/>
      <c r="H1049" s="24"/>
      <c r="J1049" s="24"/>
      <c r="K1049" s="24"/>
      <c r="M1049" s="24"/>
      <c r="N1049" s="24"/>
      <c r="P1049" s="24"/>
    </row>
    <row r="1050" spans="2:16" x14ac:dyDescent="0.25">
      <c r="B1050" s="24"/>
      <c r="E1050" s="24"/>
      <c r="G1050" s="24"/>
      <c r="H1050" s="24"/>
      <c r="J1050" s="24"/>
      <c r="K1050" s="24"/>
      <c r="M1050" s="24"/>
      <c r="N1050" s="24"/>
      <c r="P1050" s="24"/>
    </row>
    <row r="1051" spans="2:16" x14ac:dyDescent="0.25">
      <c r="B1051" s="24"/>
      <c r="E1051" s="24"/>
      <c r="G1051" s="24"/>
      <c r="H1051" s="24"/>
      <c r="J1051" s="24"/>
      <c r="K1051" s="24"/>
      <c r="M1051" s="24"/>
      <c r="N1051" s="24"/>
      <c r="P1051" s="24"/>
    </row>
    <row r="1052" spans="2:16" x14ac:dyDescent="0.25">
      <c r="B1052" s="24"/>
      <c r="E1052" s="24"/>
      <c r="G1052" s="24"/>
      <c r="H1052" s="24"/>
      <c r="J1052" s="24"/>
      <c r="K1052" s="24"/>
      <c r="M1052" s="24"/>
      <c r="N1052" s="24"/>
      <c r="P1052" s="24"/>
    </row>
    <row r="1053" spans="2:16" x14ac:dyDescent="0.25">
      <c r="B1053" s="24"/>
      <c r="E1053" s="24"/>
      <c r="G1053" s="24"/>
      <c r="H1053" s="24"/>
      <c r="J1053" s="24"/>
      <c r="K1053" s="24"/>
      <c r="M1053" s="24"/>
      <c r="N1053" s="24"/>
      <c r="P1053" s="24"/>
    </row>
    <row r="1054" spans="2:16" x14ac:dyDescent="0.25">
      <c r="B1054" s="24"/>
      <c r="E1054" s="24"/>
      <c r="G1054" s="24"/>
      <c r="H1054" s="24"/>
      <c r="J1054" s="24"/>
      <c r="K1054" s="24"/>
      <c r="M1054" s="24"/>
      <c r="N1054" s="24"/>
      <c r="P1054" s="24"/>
    </row>
    <row r="1055" spans="2:16" x14ac:dyDescent="0.25">
      <c r="B1055" s="24"/>
      <c r="E1055" s="24"/>
      <c r="G1055" s="24"/>
      <c r="H1055" s="24"/>
      <c r="J1055" s="24"/>
      <c r="K1055" s="24"/>
      <c r="M1055" s="24"/>
      <c r="N1055" s="24"/>
      <c r="P1055" s="24"/>
    </row>
    <row r="1056" spans="2:16" x14ac:dyDescent="0.25">
      <c r="B1056" s="24"/>
      <c r="E1056" s="24"/>
      <c r="G1056" s="24"/>
      <c r="H1056" s="24"/>
      <c r="J1056" s="24"/>
      <c r="K1056" s="24"/>
      <c r="M1056" s="24"/>
      <c r="N1056" s="24"/>
      <c r="P1056" s="24"/>
    </row>
    <row r="1057" spans="2:16" x14ac:dyDescent="0.25">
      <c r="B1057" s="24"/>
      <c r="E1057" s="24"/>
      <c r="G1057" s="24"/>
      <c r="H1057" s="24"/>
      <c r="J1057" s="24"/>
      <c r="K1057" s="24"/>
      <c r="M1057" s="24"/>
      <c r="N1057" s="24"/>
      <c r="P1057" s="24"/>
    </row>
    <row r="1058" spans="2:16" x14ac:dyDescent="0.25">
      <c r="B1058" s="24"/>
      <c r="E1058" s="24"/>
      <c r="G1058" s="24"/>
      <c r="H1058" s="24"/>
      <c r="J1058" s="24"/>
      <c r="K1058" s="24"/>
      <c r="M1058" s="24"/>
      <c r="N1058" s="24"/>
      <c r="P1058" s="24"/>
    </row>
    <row r="1059" spans="2:16" x14ac:dyDescent="0.25">
      <c r="B1059" s="24"/>
      <c r="E1059" s="24"/>
      <c r="G1059" s="24"/>
      <c r="H1059" s="24"/>
      <c r="J1059" s="24"/>
      <c r="K1059" s="24"/>
      <c r="M1059" s="24"/>
      <c r="N1059" s="24"/>
      <c r="P1059" s="24"/>
    </row>
    <row r="1060" spans="2:16" x14ac:dyDescent="0.25">
      <c r="B1060" s="24"/>
      <c r="E1060" s="24"/>
      <c r="G1060" s="24"/>
      <c r="H1060" s="24"/>
      <c r="J1060" s="24"/>
      <c r="K1060" s="24"/>
      <c r="M1060" s="24"/>
      <c r="N1060" s="24"/>
      <c r="P1060" s="24"/>
    </row>
    <row r="1061" spans="2:16" x14ac:dyDescent="0.25">
      <c r="B1061" s="24"/>
      <c r="E1061" s="24"/>
      <c r="G1061" s="24"/>
      <c r="H1061" s="24"/>
      <c r="J1061" s="24"/>
      <c r="K1061" s="24"/>
      <c r="M1061" s="24"/>
      <c r="N1061" s="24"/>
      <c r="P1061" s="24"/>
    </row>
    <row r="1062" spans="2:16" x14ac:dyDescent="0.25">
      <c r="B1062" s="24"/>
      <c r="E1062" s="24"/>
      <c r="G1062" s="24"/>
      <c r="H1062" s="24"/>
      <c r="J1062" s="24"/>
      <c r="K1062" s="24"/>
      <c r="M1062" s="24"/>
      <c r="N1062" s="24"/>
      <c r="P1062" s="24"/>
    </row>
    <row r="1063" spans="2:16" x14ac:dyDescent="0.25">
      <c r="B1063" s="24"/>
      <c r="E1063" s="24"/>
      <c r="G1063" s="24"/>
      <c r="H1063" s="24"/>
      <c r="J1063" s="24"/>
      <c r="K1063" s="24"/>
      <c r="M1063" s="24"/>
      <c r="N1063" s="24"/>
      <c r="P1063" s="24"/>
    </row>
    <row r="1064" spans="2:16" x14ac:dyDescent="0.25">
      <c r="B1064" s="24"/>
      <c r="E1064" s="24"/>
      <c r="G1064" s="24"/>
      <c r="H1064" s="24"/>
      <c r="J1064" s="24"/>
      <c r="K1064" s="24"/>
      <c r="M1064" s="24"/>
      <c r="N1064" s="24"/>
      <c r="P1064" s="24"/>
    </row>
    <row r="1065" spans="2:16" x14ac:dyDescent="0.25">
      <c r="B1065" s="24"/>
      <c r="E1065" s="24"/>
      <c r="G1065" s="24"/>
      <c r="H1065" s="24"/>
      <c r="J1065" s="24"/>
      <c r="K1065" s="24"/>
      <c r="M1065" s="24"/>
      <c r="N1065" s="24"/>
      <c r="P1065" s="24"/>
    </row>
    <row r="1066" spans="2:16" x14ac:dyDescent="0.25">
      <c r="B1066" s="24"/>
      <c r="E1066" s="24"/>
      <c r="G1066" s="24"/>
      <c r="H1066" s="24"/>
      <c r="J1066" s="24"/>
      <c r="K1066" s="24"/>
      <c r="M1066" s="24"/>
      <c r="N1066" s="24"/>
      <c r="P1066" s="24"/>
    </row>
    <row r="1067" spans="2:16" x14ac:dyDescent="0.25">
      <c r="B1067" s="24"/>
      <c r="E1067" s="24"/>
      <c r="G1067" s="24"/>
      <c r="H1067" s="24"/>
      <c r="J1067" s="24"/>
      <c r="K1067" s="24"/>
      <c r="M1067" s="24"/>
      <c r="N1067" s="24"/>
      <c r="P1067" s="24"/>
    </row>
    <row r="1068" spans="2:16" x14ac:dyDescent="0.25">
      <c r="B1068" s="24"/>
      <c r="E1068" s="24"/>
      <c r="G1068" s="24"/>
      <c r="H1068" s="24"/>
      <c r="J1068" s="24"/>
      <c r="K1068" s="24"/>
      <c r="M1068" s="24"/>
      <c r="N1068" s="24"/>
      <c r="P1068" s="24"/>
    </row>
    <row r="1069" spans="2:16" x14ac:dyDescent="0.25">
      <c r="B1069" s="24"/>
      <c r="E1069" s="24"/>
      <c r="G1069" s="24"/>
      <c r="H1069" s="24"/>
      <c r="J1069" s="24"/>
      <c r="K1069" s="24"/>
      <c r="M1069" s="24"/>
      <c r="N1069" s="24"/>
      <c r="P1069" s="24"/>
    </row>
    <row r="1070" spans="2:16" x14ac:dyDescent="0.25">
      <c r="B1070" s="24"/>
      <c r="E1070" s="24"/>
      <c r="G1070" s="24"/>
      <c r="H1070" s="24"/>
      <c r="J1070" s="24"/>
      <c r="K1070" s="24"/>
      <c r="M1070" s="24"/>
      <c r="N1070" s="24"/>
      <c r="P1070" s="24"/>
    </row>
    <row r="1071" spans="2:16" x14ac:dyDescent="0.25">
      <c r="B1071" s="24"/>
      <c r="E1071" s="24"/>
      <c r="G1071" s="24"/>
      <c r="H1071" s="24"/>
      <c r="J1071" s="24"/>
      <c r="K1071" s="24"/>
      <c r="M1071" s="24"/>
      <c r="N1071" s="24"/>
      <c r="P1071" s="24"/>
    </row>
    <row r="1072" spans="2:16" x14ac:dyDescent="0.25">
      <c r="B1072" s="24"/>
      <c r="E1072" s="24"/>
      <c r="G1072" s="24"/>
      <c r="H1072" s="24"/>
      <c r="J1072" s="24"/>
      <c r="K1072" s="24"/>
      <c r="M1072" s="24"/>
      <c r="N1072" s="24"/>
      <c r="P1072" s="24"/>
    </row>
    <row r="1073" spans="2:16" x14ac:dyDescent="0.25">
      <c r="B1073" s="24"/>
      <c r="E1073" s="24"/>
      <c r="G1073" s="24"/>
      <c r="H1073" s="24"/>
      <c r="J1073" s="24"/>
      <c r="K1073" s="24"/>
      <c r="M1073" s="24"/>
      <c r="N1073" s="24"/>
      <c r="P1073" s="24"/>
    </row>
    <row r="1074" spans="2:16" x14ac:dyDescent="0.25">
      <c r="B1074" s="24"/>
      <c r="E1074" s="24"/>
      <c r="G1074" s="24"/>
      <c r="H1074" s="24"/>
      <c r="J1074" s="24"/>
      <c r="K1074" s="24"/>
      <c r="M1074" s="24"/>
      <c r="N1074" s="24"/>
      <c r="P1074" s="24"/>
    </row>
    <row r="1075" spans="2:16" x14ac:dyDescent="0.25">
      <c r="B1075" s="24"/>
      <c r="E1075" s="24"/>
      <c r="G1075" s="24"/>
      <c r="H1075" s="24"/>
      <c r="J1075" s="24"/>
      <c r="K1075" s="24"/>
      <c r="M1075" s="24"/>
      <c r="N1075" s="24"/>
      <c r="P1075" s="24"/>
    </row>
    <row r="1076" spans="2:16" x14ac:dyDescent="0.25">
      <c r="B1076" s="24"/>
      <c r="E1076" s="24"/>
      <c r="G1076" s="24"/>
      <c r="H1076" s="24"/>
      <c r="J1076" s="24"/>
      <c r="K1076" s="24"/>
      <c r="M1076" s="24"/>
      <c r="N1076" s="24"/>
      <c r="P1076" s="24"/>
    </row>
    <row r="1077" spans="2:16" x14ac:dyDescent="0.25">
      <c r="B1077" s="24"/>
      <c r="E1077" s="24"/>
      <c r="G1077" s="24"/>
      <c r="H1077" s="24"/>
      <c r="J1077" s="24"/>
      <c r="K1077" s="24"/>
      <c r="M1077" s="24"/>
      <c r="N1077" s="24"/>
      <c r="P1077" s="24"/>
    </row>
    <row r="1078" spans="2:16" x14ac:dyDescent="0.25">
      <c r="B1078" s="24"/>
      <c r="E1078" s="24"/>
      <c r="G1078" s="24"/>
      <c r="H1078" s="24"/>
      <c r="J1078" s="24"/>
      <c r="K1078" s="24"/>
      <c r="M1078" s="24"/>
      <c r="N1078" s="24"/>
      <c r="P1078" s="24"/>
    </row>
    <row r="1079" spans="2:16" x14ac:dyDescent="0.25">
      <c r="B1079" s="24"/>
      <c r="E1079" s="24"/>
      <c r="G1079" s="24"/>
      <c r="H1079" s="24"/>
      <c r="J1079" s="24"/>
      <c r="K1079" s="24"/>
      <c r="M1079" s="24"/>
      <c r="N1079" s="24"/>
      <c r="P1079" s="24"/>
    </row>
    <row r="1080" spans="2:16" x14ac:dyDescent="0.25">
      <c r="B1080" s="24"/>
      <c r="E1080" s="24"/>
      <c r="G1080" s="24"/>
      <c r="H1080" s="24"/>
      <c r="J1080" s="24"/>
      <c r="K1080" s="24"/>
      <c r="M1080" s="24"/>
      <c r="N1080" s="24"/>
      <c r="P1080" s="24"/>
    </row>
    <row r="1081" spans="2:16" x14ac:dyDescent="0.25">
      <c r="B1081" s="24"/>
      <c r="E1081" s="24"/>
      <c r="G1081" s="24"/>
      <c r="H1081" s="24"/>
      <c r="J1081" s="24"/>
      <c r="K1081" s="24"/>
      <c r="M1081" s="24"/>
      <c r="N1081" s="24"/>
      <c r="P1081" s="24"/>
    </row>
    <row r="1082" spans="2:16" x14ac:dyDescent="0.25">
      <c r="B1082" s="24"/>
      <c r="E1082" s="24"/>
      <c r="G1082" s="24"/>
      <c r="H1082" s="24"/>
      <c r="J1082" s="24"/>
      <c r="K1082" s="24"/>
      <c r="M1082" s="24"/>
      <c r="N1082" s="24"/>
      <c r="P1082" s="24"/>
    </row>
    <row r="1083" spans="2:16" x14ac:dyDescent="0.25">
      <c r="B1083" s="24"/>
      <c r="E1083" s="24"/>
      <c r="G1083" s="24"/>
      <c r="H1083" s="24"/>
      <c r="J1083" s="24"/>
      <c r="K1083" s="24"/>
      <c r="M1083" s="24"/>
      <c r="N1083" s="24"/>
      <c r="P1083" s="24"/>
    </row>
    <row r="1084" spans="2:16" x14ac:dyDescent="0.25">
      <c r="B1084" s="24"/>
      <c r="E1084" s="24"/>
      <c r="G1084" s="24"/>
      <c r="H1084" s="24"/>
      <c r="J1084" s="24"/>
      <c r="K1084" s="24"/>
      <c r="M1084" s="24"/>
      <c r="N1084" s="24"/>
      <c r="P1084" s="24"/>
    </row>
    <row r="1085" spans="2:16" x14ac:dyDescent="0.25">
      <c r="B1085" s="24"/>
      <c r="E1085" s="24"/>
      <c r="G1085" s="24"/>
      <c r="H1085" s="24"/>
      <c r="J1085" s="24"/>
      <c r="K1085" s="24"/>
      <c r="M1085" s="24"/>
      <c r="N1085" s="24"/>
      <c r="P1085" s="24"/>
    </row>
    <row r="1086" spans="2:16" x14ac:dyDescent="0.25">
      <c r="B1086" s="24"/>
      <c r="E1086" s="24"/>
      <c r="G1086" s="24"/>
      <c r="H1086" s="24"/>
      <c r="J1086" s="24"/>
      <c r="K1086" s="24"/>
      <c r="M1086" s="24"/>
      <c r="N1086" s="24"/>
      <c r="P1086" s="24"/>
    </row>
    <row r="1087" spans="2:16" x14ac:dyDescent="0.25">
      <c r="B1087" s="24"/>
      <c r="E1087" s="24"/>
      <c r="G1087" s="24"/>
      <c r="H1087" s="24"/>
      <c r="J1087" s="24"/>
      <c r="K1087" s="24"/>
      <c r="M1087" s="24"/>
      <c r="N1087" s="24"/>
      <c r="P1087" s="24"/>
    </row>
    <row r="1088" spans="2:16" x14ac:dyDescent="0.25">
      <c r="B1088" s="24"/>
      <c r="E1088" s="24"/>
      <c r="G1088" s="24"/>
      <c r="H1088" s="24"/>
      <c r="J1088" s="24"/>
      <c r="K1088" s="24"/>
      <c r="M1088" s="24"/>
      <c r="N1088" s="24"/>
      <c r="P1088" s="24"/>
    </row>
    <row r="1089" spans="2:16" x14ac:dyDescent="0.25">
      <c r="B1089" s="24"/>
      <c r="E1089" s="24"/>
      <c r="G1089" s="24"/>
      <c r="H1089" s="24"/>
      <c r="J1089" s="24"/>
      <c r="K1089" s="24"/>
      <c r="M1089" s="24"/>
      <c r="N1089" s="24"/>
      <c r="P1089" s="24"/>
    </row>
    <row r="1090" spans="2:16" x14ac:dyDescent="0.25">
      <c r="B1090" s="24"/>
      <c r="E1090" s="24"/>
      <c r="G1090" s="24"/>
      <c r="H1090" s="24"/>
      <c r="J1090" s="24"/>
      <c r="K1090" s="24"/>
      <c r="M1090" s="24"/>
      <c r="N1090" s="24"/>
      <c r="P1090" s="24"/>
    </row>
    <row r="1091" spans="2:16" x14ac:dyDescent="0.25">
      <c r="B1091" s="24"/>
      <c r="E1091" s="24"/>
      <c r="G1091" s="24"/>
      <c r="H1091" s="24"/>
      <c r="J1091" s="24"/>
      <c r="K1091" s="24"/>
      <c r="M1091" s="24"/>
      <c r="N1091" s="24"/>
      <c r="P1091" s="24"/>
    </row>
    <row r="1092" spans="2:16" x14ac:dyDescent="0.25">
      <c r="B1092" s="24"/>
      <c r="E1092" s="24"/>
      <c r="G1092" s="24"/>
      <c r="H1092" s="24"/>
      <c r="J1092" s="24"/>
      <c r="K1092" s="24"/>
      <c r="M1092" s="24"/>
      <c r="N1092" s="24"/>
      <c r="P1092" s="24"/>
    </row>
    <row r="1093" spans="2:16" x14ac:dyDescent="0.25">
      <c r="B1093" s="24"/>
      <c r="E1093" s="24"/>
      <c r="G1093" s="24"/>
      <c r="H1093" s="24"/>
      <c r="J1093" s="24"/>
      <c r="K1093" s="24"/>
      <c r="M1093" s="24"/>
      <c r="N1093" s="24"/>
      <c r="P1093" s="24"/>
    </row>
    <row r="1094" spans="2:16" x14ac:dyDescent="0.25">
      <c r="B1094" s="24"/>
      <c r="E1094" s="24"/>
      <c r="G1094" s="24"/>
      <c r="H1094" s="24"/>
      <c r="J1094" s="24"/>
      <c r="K1094" s="24"/>
      <c r="M1094" s="24"/>
      <c r="N1094" s="24"/>
      <c r="P1094" s="24"/>
    </row>
    <row r="1095" spans="2:16" x14ac:dyDescent="0.25">
      <c r="B1095" s="24"/>
      <c r="E1095" s="24"/>
      <c r="G1095" s="24"/>
      <c r="H1095" s="24"/>
      <c r="J1095" s="24"/>
      <c r="K1095" s="24"/>
      <c r="M1095" s="24"/>
      <c r="N1095" s="24"/>
      <c r="P1095" s="24"/>
    </row>
    <row r="1096" spans="2:16" x14ac:dyDescent="0.25">
      <c r="B1096" s="24"/>
      <c r="E1096" s="24"/>
      <c r="G1096" s="24"/>
      <c r="H1096" s="24"/>
      <c r="J1096" s="24"/>
      <c r="K1096" s="24"/>
      <c r="M1096" s="24"/>
      <c r="N1096" s="24"/>
      <c r="P1096" s="24"/>
    </row>
    <row r="1097" spans="2:16" x14ac:dyDescent="0.25">
      <c r="B1097" s="24"/>
      <c r="E1097" s="24"/>
      <c r="G1097" s="24"/>
      <c r="H1097" s="24"/>
      <c r="J1097" s="24"/>
      <c r="K1097" s="24"/>
      <c r="M1097" s="24"/>
      <c r="N1097" s="24"/>
      <c r="P1097" s="24"/>
    </row>
    <row r="1098" spans="2:16" x14ac:dyDescent="0.25">
      <c r="B1098" s="24"/>
      <c r="E1098" s="24"/>
      <c r="G1098" s="24"/>
      <c r="H1098" s="24"/>
      <c r="J1098" s="24"/>
      <c r="K1098" s="24"/>
      <c r="M1098" s="24"/>
      <c r="N1098" s="24"/>
      <c r="P1098" s="24"/>
    </row>
    <row r="1099" spans="2:16" x14ac:dyDescent="0.25">
      <c r="B1099" s="24"/>
      <c r="E1099" s="24"/>
      <c r="G1099" s="24"/>
      <c r="H1099" s="24"/>
      <c r="J1099" s="24"/>
      <c r="K1099" s="24"/>
      <c r="M1099" s="24"/>
      <c r="N1099" s="24"/>
      <c r="P1099" s="24"/>
    </row>
    <row r="1100" spans="2:16" x14ac:dyDescent="0.25">
      <c r="B1100" s="24"/>
      <c r="E1100" s="24"/>
      <c r="G1100" s="24"/>
      <c r="H1100" s="24"/>
      <c r="J1100" s="24"/>
      <c r="K1100" s="24"/>
      <c r="M1100" s="24"/>
      <c r="N1100" s="24"/>
      <c r="P1100" s="24"/>
    </row>
    <row r="1101" spans="2:16" x14ac:dyDescent="0.25">
      <c r="B1101" s="24"/>
      <c r="E1101" s="24"/>
      <c r="G1101" s="24"/>
      <c r="H1101" s="24"/>
      <c r="J1101" s="24"/>
      <c r="K1101" s="24"/>
      <c r="M1101" s="24"/>
      <c r="N1101" s="24"/>
      <c r="P1101" s="24"/>
    </row>
    <row r="1102" spans="2:16" x14ac:dyDescent="0.25">
      <c r="B1102" s="24"/>
      <c r="E1102" s="24"/>
      <c r="G1102" s="24"/>
      <c r="H1102" s="24"/>
      <c r="J1102" s="24"/>
      <c r="K1102" s="24"/>
      <c r="M1102" s="24"/>
      <c r="N1102" s="24"/>
      <c r="P1102" s="24"/>
    </row>
    <row r="1103" spans="2:16" x14ac:dyDescent="0.25">
      <c r="B1103" s="24"/>
      <c r="E1103" s="24"/>
      <c r="G1103" s="24"/>
      <c r="H1103" s="24"/>
      <c r="J1103" s="24"/>
      <c r="K1103" s="24"/>
      <c r="M1103" s="24"/>
      <c r="N1103" s="24"/>
      <c r="P1103" s="24"/>
    </row>
    <row r="1104" spans="2:16" x14ac:dyDescent="0.25">
      <c r="B1104" s="24"/>
      <c r="E1104" s="24"/>
      <c r="G1104" s="24"/>
      <c r="H1104" s="24"/>
      <c r="J1104" s="24"/>
      <c r="K1104" s="24"/>
      <c r="M1104" s="24"/>
      <c r="N1104" s="24"/>
      <c r="P1104" s="24"/>
    </row>
    <row r="1105" spans="2:16" x14ac:dyDescent="0.25">
      <c r="B1105" s="24"/>
      <c r="E1105" s="24"/>
      <c r="G1105" s="24"/>
      <c r="H1105" s="24"/>
      <c r="J1105" s="24"/>
      <c r="K1105" s="24"/>
      <c r="M1105" s="24"/>
      <c r="N1105" s="24"/>
      <c r="P1105" s="24"/>
    </row>
    <row r="1106" spans="2:16" x14ac:dyDescent="0.25">
      <c r="B1106" s="24"/>
      <c r="E1106" s="24"/>
      <c r="G1106" s="24"/>
      <c r="H1106" s="24"/>
      <c r="J1106" s="24"/>
      <c r="K1106" s="24"/>
      <c r="M1106" s="24"/>
      <c r="N1106" s="24"/>
      <c r="P1106" s="24"/>
    </row>
    <row r="1107" spans="2:16" x14ac:dyDescent="0.25">
      <c r="B1107" s="24"/>
      <c r="E1107" s="24"/>
      <c r="G1107" s="24"/>
      <c r="H1107" s="24"/>
      <c r="J1107" s="24"/>
      <c r="K1107" s="24"/>
      <c r="M1107" s="24"/>
      <c r="N1107" s="24"/>
      <c r="P1107" s="24"/>
    </row>
    <row r="1108" spans="2:16" x14ac:dyDescent="0.25">
      <c r="B1108" s="24"/>
      <c r="E1108" s="24"/>
      <c r="G1108" s="24"/>
      <c r="H1108" s="24"/>
      <c r="J1108" s="24"/>
      <c r="K1108" s="24"/>
      <c r="M1108" s="24"/>
      <c r="N1108" s="24"/>
      <c r="P1108" s="24"/>
    </row>
    <row r="1109" spans="2:16" x14ac:dyDescent="0.25">
      <c r="B1109" s="24"/>
      <c r="E1109" s="24"/>
      <c r="G1109" s="24"/>
      <c r="H1109" s="24"/>
      <c r="J1109" s="24"/>
      <c r="K1109" s="24"/>
      <c r="M1109" s="24"/>
      <c r="N1109" s="24"/>
      <c r="P1109" s="24"/>
    </row>
    <row r="1110" spans="2:16" x14ac:dyDescent="0.25">
      <c r="B1110" s="24"/>
      <c r="E1110" s="24"/>
      <c r="G1110" s="24"/>
      <c r="H1110" s="24"/>
      <c r="J1110" s="24"/>
      <c r="K1110" s="24"/>
      <c r="M1110" s="24"/>
      <c r="N1110" s="24"/>
      <c r="P1110" s="24"/>
    </row>
    <row r="1111" spans="2:16" x14ac:dyDescent="0.25">
      <c r="B1111" s="24"/>
      <c r="E1111" s="24"/>
      <c r="G1111" s="24"/>
      <c r="H1111" s="24"/>
      <c r="J1111" s="24"/>
      <c r="K1111" s="24"/>
      <c r="M1111" s="24"/>
      <c r="N1111" s="24"/>
      <c r="P1111" s="24"/>
    </row>
    <row r="1112" spans="2:16" x14ac:dyDescent="0.25">
      <c r="B1112" s="24"/>
      <c r="E1112" s="24"/>
      <c r="G1112" s="24"/>
      <c r="H1112" s="24"/>
      <c r="J1112" s="24"/>
      <c r="K1112" s="24"/>
      <c r="M1112" s="24"/>
      <c r="N1112" s="24"/>
      <c r="P1112" s="24"/>
    </row>
    <row r="1113" spans="2:16" x14ac:dyDescent="0.25">
      <c r="B1113" s="24"/>
      <c r="E1113" s="24"/>
      <c r="G1113" s="24"/>
      <c r="H1113" s="24"/>
      <c r="J1113" s="24"/>
      <c r="K1113" s="24"/>
      <c r="M1113" s="24"/>
      <c r="N1113" s="24"/>
      <c r="P1113" s="24"/>
    </row>
    <row r="1114" spans="2:16" x14ac:dyDescent="0.25">
      <c r="B1114" s="24"/>
      <c r="E1114" s="24"/>
      <c r="G1114" s="24"/>
      <c r="H1114" s="24"/>
      <c r="J1114" s="24"/>
      <c r="K1114" s="24"/>
      <c r="M1114" s="24"/>
      <c r="N1114" s="24"/>
      <c r="P1114" s="24"/>
    </row>
    <row r="1115" spans="2:16" x14ac:dyDescent="0.25">
      <c r="B1115" s="24"/>
      <c r="E1115" s="24"/>
      <c r="G1115" s="24"/>
      <c r="H1115" s="24"/>
      <c r="J1115" s="24"/>
      <c r="K1115" s="24"/>
      <c r="M1115" s="24"/>
      <c r="N1115" s="24"/>
      <c r="P1115" s="24"/>
    </row>
    <row r="1116" spans="2:16" x14ac:dyDescent="0.25">
      <c r="B1116" s="24"/>
      <c r="E1116" s="24"/>
      <c r="G1116" s="24"/>
      <c r="H1116" s="24"/>
      <c r="J1116" s="24"/>
      <c r="K1116" s="24"/>
      <c r="M1116" s="24"/>
      <c r="N1116" s="24"/>
      <c r="P1116" s="24"/>
    </row>
    <row r="1117" spans="2:16" x14ac:dyDescent="0.25">
      <c r="B1117" s="24"/>
      <c r="E1117" s="24"/>
      <c r="G1117" s="24"/>
      <c r="H1117" s="24"/>
      <c r="J1117" s="24"/>
      <c r="K1117" s="24"/>
      <c r="M1117" s="24"/>
      <c r="N1117" s="24"/>
      <c r="P1117" s="24"/>
    </row>
    <row r="1118" spans="2:16" x14ac:dyDescent="0.25">
      <c r="B1118" s="24"/>
      <c r="E1118" s="24"/>
      <c r="G1118" s="24"/>
      <c r="H1118" s="24"/>
      <c r="J1118" s="24"/>
      <c r="K1118" s="24"/>
      <c r="M1118" s="24"/>
      <c r="N1118" s="24"/>
      <c r="P1118" s="24"/>
    </row>
    <row r="1119" spans="2:16" x14ac:dyDescent="0.25">
      <c r="B1119" s="24"/>
      <c r="E1119" s="24"/>
      <c r="G1119" s="24"/>
      <c r="H1119" s="24"/>
      <c r="J1119" s="24"/>
      <c r="K1119" s="24"/>
      <c r="M1119" s="24"/>
      <c r="N1119" s="24"/>
      <c r="P1119" s="24"/>
    </row>
    <row r="1120" spans="2:16" x14ac:dyDescent="0.25">
      <c r="B1120" s="24"/>
      <c r="E1120" s="24"/>
      <c r="G1120" s="24"/>
      <c r="H1120" s="24"/>
      <c r="J1120" s="24"/>
      <c r="K1120" s="24"/>
      <c r="M1120" s="24"/>
      <c r="N1120" s="24"/>
      <c r="P1120" s="24"/>
    </row>
    <row r="1121" spans="2:16" x14ac:dyDescent="0.25">
      <c r="B1121" s="24"/>
      <c r="E1121" s="24"/>
      <c r="G1121" s="24"/>
      <c r="H1121" s="24"/>
      <c r="J1121" s="24"/>
      <c r="K1121" s="24"/>
      <c r="M1121" s="24"/>
      <c r="N1121" s="24"/>
      <c r="P1121" s="24"/>
    </row>
    <row r="1122" spans="2:16" x14ac:dyDescent="0.25">
      <c r="B1122" s="24"/>
      <c r="E1122" s="24"/>
      <c r="G1122" s="24"/>
      <c r="H1122" s="24"/>
      <c r="J1122" s="24"/>
      <c r="K1122" s="24"/>
      <c r="M1122" s="24"/>
      <c r="N1122" s="24"/>
      <c r="P1122" s="24"/>
    </row>
    <row r="1123" spans="2:16" x14ac:dyDescent="0.25">
      <c r="B1123" s="24"/>
      <c r="E1123" s="24"/>
      <c r="G1123" s="24"/>
      <c r="H1123" s="24"/>
      <c r="J1123" s="24"/>
      <c r="K1123" s="24"/>
      <c r="M1123" s="24"/>
      <c r="N1123" s="24"/>
      <c r="P1123" s="24"/>
    </row>
    <row r="1124" spans="2:16" x14ac:dyDescent="0.25">
      <c r="B1124" s="24"/>
      <c r="E1124" s="24"/>
      <c r="G1124" s="24"/>
      <c r="H1124" s="24"/>
      <c r="J1124" s="24"/>
      <c r="K1124" s="24"/>
      <c r="M1124" s="24"/>
      <c r="N1124" s="24"/>
      <c r="P1124" s="24"/>
    </row>
    <row r="1125" spans="2:16" x14ac:dyDescent="0.25">
      <c r="B1125" s="24"/>
      <c r="E1125" s="24"/>
      <c r="G1125" s="24"/>
      <c r="H1125" s="24"/>
      <c r="J1125" s="24"/>
      <c r="K1125" s="24"/>
      <c r="M1125" s="24"/>
      <c r="N1125" s="24"/>
      <c r="P1125" s="24"/>
    </row>
    <row r="1126" spans="2:16" x14ac:dyDescent="0.25">
      <c r="B1126" s="24"/>
      <c r="E1126" s="24"/>
      <c r="G1126" s="24"/>
      <c r="H1126" s="24"/>
      <c r="J1126" s="24"/>
      <c r="K1126" s="24"/>
      <c r="M1126" s="24"/>
      <c r="N1126" s="24"/>
      <c r="P1126" s="24"/>
    </row>
    <row r="1127" spans="2:16" x14ac:dyDescent="0.25">
      <c r="B1127" s="24"/>
      <c r="E1127" s="24"/>
      <c r="G1127" s="24"/>
      <c r="H1127" s="24"/>
      <c r="J1127" s="24"/>
      <c r="K1127" s="24"/>
      <c r="M1127" s="24"/>
      <c r="N1127" s="24"/>
      <c r="P1127" s="24"/>
    </row>
    <row r="1128" spans="2:16" x14ac:dyDescent="0.25">
      <c r="B1128" s="24"/>
      <c r="E1128" s="24"/>
      <c r="G1128" s="24"/>
      <c r="H1128" s="24"/>
      <c r="J1128" s="24"/>
      <c r="K1128" s="24"/>
      <c r="M1128" s="24"/>
      <c r="N1128" s="24"/>
      <c r="P1128" s="24"/>
    </row>
    <row r="1129" spans="2:16" x14ac:dyDescent="0.25">
      <c r="B1129" s="24"/>
      <c r="E1129" s="24"/>
      <c r="G1129" s="24"/>
      <c r="H1129" s="24"/>
      <c r="J1129" s="24"/>
      <c r="K1129" s="24"/>
      <c r="M1129" s="24"/>
      <c r="N1129" s="24"/>
      <c r="P1129" s="24"/>
    </row>
    <row r="1130" spans="2:16" x14ac:dyDescent="0.25">
      <c r="B1130" s="24"/>
      <c r="E1130" s="24"/>
      <c r="G1130" s="24"/>
      <c r="H1130" s="24"/>
      <c r="J1130" s="24"/>
      <c r="K1130" s="24"/>
      <c r="M1130" s="24"/>
      <c r="N1130" s="24"/>
      <c r="P1130" s="24"/>
    </row>
    <row r="1131" spans="2:16" x14ac:dyDescent="0.25">
      <c r="B1131" s="24"/>
      <c r="E1131" s="24"/>
      <c r="G1131" s="24"/>
      <c r="H1131" s="24"/>
      <c r="J1131" s="24"/>
      <c r="K1131" s="24"/>
      <c r="M1131" s="24"/>
      <c r="N1131" s="24"/>
      <c r="P1131" s="24"/>
    </row>
    <row r="1132" spans="2:16" x14ac:dyDescent="0.25">
      <c r="B1132" s="24"/>
      <c r="E1132" s="24"/>
      <c r="G1132" s="24"/>
      <c r="H1132" s="24"/>
      <c r="J1132" s="24"/>
      <c r="K1132" s="24"/>
      <c r="M1132" s="24"/>
      <c r="N1132" s="24"/>
      <c r="P1132" s="24"/>
    </row>
    <row r="1133" spans="2:16" x14ac:dyDescent="0.25">
      <c r="B1133" s="24"/>
      <c r="E1133" s="24"/>
      <c r="G1133" s="24"/>
      <c r="H1133" s="24"/>
      <c r="J1133" s="24"/>
      <c r="K1133" s="24"/>
      <c r="M1133" s="24"/>
      <c r="N1133" s="24"/>
      <c r="P1133" s="24"/>
    </row>
    <row r="1134" spans="2:16" x14ac:dyDescent="0.25">
      <c r="B1134" s="24"/>
      <c r="E1134" s="24"/>
      <c r="G1134" s="24"/>
      <c r="H1134" s="24"/>
      <c r="J1134" s="24"/>
      <c r="K1134" s="24"/>
      <c r="M1134" s="24"/>
      <c r="N1134" s="24"/>
      <c r="P1134" s="24"/>
    </row>
    <row r="1135" spans="2:16" x14ac:dyDescent="0.25">
      <c r="B1135" s="24"/>
      <c r="E1135" s="24"/>
      <c r="G1135" s="24"/>
      <c r="H1135" s="24"/>
      <c r="J1135" s="24"/>
      <c r="K1135" s="24"/>
      <c r="M1135" s="24"/>
      <c r="N1135" s="24"/>
      <c r="P1135" s="24"/>
    </row>
    <row r="1136" spans="2:16" x14ac:dyDescent="0.25">
      <c r="B1136" s="24"/>
      <c r="E1136" s="24"/>
      <c r="G1136" s="24"/>
      <c r="H1136" s="24"/>
      <c r="J1136" s="24"/>
      <c r="K1136" s="24"/>
      <c r="M1136" s="24"/>
      <c r="N1136" s="24"/>
      <c r="P1136" s="24"/>
    </row>
    <row r="1137" spans="2:16" x14ac:dyDescent="0.25">
      <c r="B1137" s="24"/>
      <c r="E1137" s="24"/>
      <c r="G1137" s="24"/>
      <c r="H1137" s="24"/>
      <c r="J1137" s="24"/>
      <c r="K1137" s="24"/>
      <c r="M1137" s="24"/>
      <c r="N1137" s="24"/>
      <c r="P1137" s="24"/>
    </row>
    <row r="1138" spans="2:16" x14ac:dyDescent="0.25">
      <c r="B1138" s="24"/>
      <c r="E1138" s="24"/>
      <c r="G1138" s="24"/>
      <c r="H1138" s="24"/>
      <c r="J1138" s="24"/>
      <c r="K1138" s="24"/>
      <c r="M1138" s="24"/>
      <c r="N1138" s="24"/>
      <c r="P1138" s="24"/>
    </row>
    <row r="1139" spans="2:16" x14ac:dyDescent="0.25">
      <c r="B1139" s="24"/>
      <c r="E1139" s="24"/>
      <c r="G1139" s="24"/>
      <c r="H1139" s="24"/>
      <c r="J1139" s="24"/>
      <c r="K1139" s="24"/>
      <c r="M1139" s="24"/>
      <c r="N1139" s="24"/>
      <c r="P1139" s="24"/>
    </row>
    <row r="1140" spans="2:16" x14ac:dyDescent="0.25">
      <c r="B1140" s="24"/>
      <c r="E1140" s="24"/>
      <c r="G1140" s="24"/>
      <c r="H1140" s="24"/>
      <c r="J1140" s="24"/>
      <c r="K1140" s="24"/>
      <c r="M1140" s="24"/>
      <c r="N1140" s="24"/>
      <c r="P1140" s="24"/>
    </row>
    <row r="1141" spans="2:16" x14ac:dyDescent="0.25">
      <c r="B1141" s="24"/>
      <c r="E1141" s="24"/>
      <c r="G1141" s="24"/>
      <c r="H1141" s="24"/>
      <c r="J1141" s="24"/>
      <c r="K1141" s="24"/>
      <c r="M1141" s="24"/>
      <c r="N1141" s="24"/>
      <c r="P1141" s="24"/>
    </row>
    <row r="1142" spans="2:16" x14ac:dyDescent="0.25">
      <c r="B1142" s="24"/>
      <c r="E1142" s="24"/>
      <c r="G1142" s="24"/>
      <c r="H1142" s="24"/>
      <c r="J1142" s="24"/>
      <c r="K1142" s="24"/>
      <c r="M1142" s="24"/>
      <c r="N1142" s="24"/>
      <c r="P1142" s="24"/>
    </row>
    <row r="1143" spans="2:16" x14ac:dyDescent="0.25">
      <c r="B1143" s="24"/>
      <c r="E1143" s="24"/>
      <c r="G1143" s="24"/>
      <c r="H1143" s="24"/>
      <c r="J1143" s="24"/>
      <c r="K1143" s="24"/>
      <c r="M1143" s="24"/>
      <c r="N1143" s="24"/>
      <c r="P1143" s="24"/>
    </row>
    <row r="1144" spans="2:16" x14ac:dyDescent="0.25">
      <c r="B1144" s="24"/>
      <c r="E1144" s="24"/>
      <c r="G1144" s="24"/>
      <c r="H1144" s="24"/>
      <c r="J1144" s="24"/>
      <c r="K1144" s="24"/>
      <c r="M1144" s="24"/>
      <c r="N1144" s="24"/>
      <c r="P1144" s="24"/>
    </row>
    <row r="1145" spans="2:16" x14ac:dyDescent="0.25">
      <c r="B1145" s="24"/>
      <c r="E1145" s="24"/>
      <c r="G1145" s="24"/>
      <c r="H1145" s="24"/>
      <c r="J1145" s="24"/>
      <c r="K1145" s="24"/>
      <c r="M1145" s="24"/>
      <c r="N1145" s="24"/>
      <c r="P1145" s="24"/>
    </row>
    <row r="1146" spans="2:16" x14ac:dyDescent="0.25">
      <c r="B1146" s="24"/>
      <c r="E1146" s="24"/>
      <c r="G1146" s="24"/>
      <c r="H1146" s="24"/>
      <c r="J1146" s="24"/>
      <c r="K1146" s="24"/>
      <c r="M1146" s="24"/>
      <c r="N1146" s="24"/>
      <c r="P1146" s="24"/>
    </row>
    <row r="1147" spans="2:16" x14ac:dyDescent="0.25">
      <c r="B1147" s="24"/>
      <c r="E1147" s="24"/>
      <c r="G1147" s="24"/>
      <c r="H1147" s="24"/>
      <c r="J1147" s="24"/>
      <c r="K1147" s="24"/>
      <c r="M1147" s="24"/>
      <c r="N1147" s="24"/>
      <c r="P1147" s="24"/>
    </row>
    <row r="1148" spans="2:16" x14ac:dyDescent="0.25">
      <c r="B1148" s="24"/>
      <c r="E1148" s="24"/>
      <c r="G1148" s="24"/>
      <c r="H1148" s="24"/>
      <c r="J1148" s="24"/>
      <c r="K1148" s="24"/>
      <c r="M1148" s="24"/>
      <c r="N1148" s="24"/>
      <c r="P1148" s="24"/>
    </row>
    <row r="1149" spans="2:16" x14ac:dyDescent="0.25">
      <c r="B1149" s="24"/>
      <c r="E1149" s="24"/>
      <c r="G1149" s="24"/>
      <c r="H1149" s="24"/>
      <c r="J1149" s="24"/>
      <c r="K1149" s="24"/>
      <c r="M1149" s="24"/>
      <c r="N1149" s="24"/>
      <c r="P1149" s="24"/>
    </row>
    <row r="1150" spans="2:16" x14ac:dyDescent="0.25">
      <c r="B1150" s="24"/>
      <c r="E1150" s="24"/>
      <c r="G1150" s="24"/>
      <c r="H1150" s="24"/>
      <c r="J1150" s="24"/>
      <c r="K1150" s="24"/>
      <c r="M1150" s="24"/>
      <c r="N1150" s="24"/>
      <c r="P1150" s="24"/>
    </row>
    <row r="1151" spans="2:16" x14ac:dyDescent="0.25">
      <c r="B1151" s="24"/>
      <c r="E1151" s="24"/>
      <c r="G1151" s="24"/>
      <c r="H1151" s="24"/>
      <c r="J1151" s="24"/>
      <c r="K1151" s="24"/>
      <c r="M1151" s="24"/>
      <c r="N1151" s="24"/>
      <c r="P1151" s="24"/>
    </row>
    <row r="1152" spans="2:16" x14ac:dyDescent="0.25">
      <c r="B1152" s="24"/>
      <c r="E1152" s="24"/>
      <c r="G1152" s="24"/>
      <c r="H1152" s="24"/>
      <c r="J1152" s="24"/>
      <c r="K1152" s="24"/>
      <c r="M1152" s="24"/>
      <c r="N1152" s="24"/>
      <c r="P1152" s="24"/>
    </row>
    <row r="1153" spans="2:16" x14ac:dyDescent="0.25">
      <c r="B1153" s="24"/>
      <c r="E1153" s="24"/>
      <c r="G1153" s="24"/>
      <c r="H1153" s="24"/>
      <c r="J1153" s="24"/>
      <c r="K1153" s="24"/>
      <c r="M1153" s="24"/>
      <c r="N1153" s="24"/>
      <c r="P1153" s="24"/>
    </row>
    <row r="1154" spans="2:16" x14ac:dyDescent="0.25">
      <c r="B1154" s="24"/>
      <c r="E1154" s="24"/>
      <c r="G1154" s="24"/>
      <c r="H1154" s="24"/>
      <c r="J1154" s="24"/>
      <c r="K1154" s="24"/>
      <c r="M1154" s="24"/>
      <c r="N1154" s="24"/>
      <c r="P1154" s="24"/>
    </row>
    <row r="1155" spans="2:16" x14ac:dyDescent="0.25">
      <c r="B1155" s="24"/>
      <c r="E1155" s="24"/>
      <c r="G1155" s="24"/>
      <c r="H1155" s="24"/>
      <c r="J1155" s="24"/>
      <c r="K1155" s="24"/>
      <c r="M1155" s="24"/>
      <c r="N1155" s="24"/>
      <c r="P1155" s="24"/>
    </row>
    <row r="1156" spans="2:16" x14ac:dyDescent="0.25">
      <c r="B1156" s="24"/>
      <c r="E1156" s="24"/>
      <c r="G1156" s="24"/>
      <c r="H1156" s="24"/>
      <c r="J1156" s="24"/>
      <c r="K1156" s="24"/>
      <c r="M1156" s="24"/>
      <c r="N1156" s="24"/>
      <c r="P1156" s="24"/>
    </row>
    <row r="1157" spans="2:16" x14ac:dyDescent="0.25">
      <c r="B1157" s="24"/>
      <c r="E1157" s="24"/>
      <c r="G1157" s="24"/>
      <c r="H1157" s="24"/>
      <c r="J1157" s="24"/>
      <c r="K1157" s="24"/>
      <c r="M1157" s="24"/>
      <c r="N1157" s="24"/>
      <c r="P1157" s="24"/>
    </row>
    <row r="1158" spans="2:16" x14ac:dyDescent="0.25">
      <c r="B1158" s="24"/>
      <c r="E1158" s="24"/>
      <c r="G1158" s="24"/>
      <c r="H1158" s="24"/>
      <c r="J1158" s="24"/>
      <c r="K1158" s="24"/>
      <c r="M1158" s="24"/>
      <c r="N1158" s="24"/>
      <c r="P1158" s="24"/>
    </row>
    <row r="1159" spans="2:16" x14ac:dyDescent="0.25">
      <c r="B1159" s="24"/>
      <c r="E1159" s="24"/>
      <c r="G1159" s="24"/>
      <c r="H1159" s="24"/>
      <c r="J1159" s="24"/>
      <c r="K1159" s="24"/>
      <c r="M1159" s="24"/>
      <c r="N1159" s="24"/>
      <c r="P1159" s="24"/>
    </row>
    <row r="1160" spans="2:16" x14ac:dyDescent="0.25">
      <c r="B1160" s="24"/>
      <c r="E1160" s="24"/>
      <c r="G1160" s="24"/>
      <c r="H1160" s="24"/>
      <c r="J1160" s="24"/>
      <c r="K1160" s="24"/>
      <c r="M1160" s="24"/>
      <c r="N1160" s="24"/>
      <c r="P1160" s="24"/>
    </row>
    <row r="1161" spans="2:16" x14ac:dyDescent="0.25">
      <c r="B1161" s="24"/>
      <c r="E1161" s="24"/>
      <c r="G1161" s="24"/>
      <c r="H1161" s="24"/>
      <c r="J1161" s="24"/>
      <c r="K1161" s="24"/>
      <c r="M1161" s="24"/>
      <c r="N1161" s="24"/>
      <c r="P1161" s="24"/>
    </row>
    <row r="1162" spans="2:16" x14ac:dyDescent="0.25">
      <c r="B1162" s="24"/>
      <c r="E1162" s="24"/>
      <c r="G1162" s="24"/>
      <c r="H1162" s="24"/>
      <c r="J1162" s="24"/>
      <c r="K1162" s="24"/>
      <c r="M1162" s="24"/>
      <c r="N1162" s="24"/>
      <c r="P1162" s="24"/>
    </row>
    <row r="1163" spans="2:16" x14ac:dyDescent="0.25">
      <c r="B1163" s="24"/>
      <c r="E1163" s="24"/>
      <c r="G1163" s="24"/>
      <c r="H1163" s="24"/>
      <c r="J1163" s="24"/>
      <c r="K1163" s="24"/>
      <c r="M1163" s="24"/>
      <c r="N1163" s="24"/>
      <c r="P1163" s="24"/>
    </row>
    <row r="1164" spans="2:16" x14ac:dyDescent="0.25">
      <c r="B1164" s="24"/>
      <c r="E1164" s="24"/>
      <c r="G1164" s="24"/>
      <c r="H1164" s="24"/>
      <c r="J1164" s="24"/>
      <c r="K1164" s="24"/>
      <c r="M1164" s="24"/>
      <c r="N1164" s="24"/>
      <c r="P1164" s="24"/>
    </row>
    <row r="1165" spans="2:16" x14ac:dyDescent="0.25">
      <c r="B1165" s="24"/>
      <c r="E1165" s="24"/>
      <c r="G1165" s="24"/>
      <c r="H1165" s="24"/>
      <c r="J1165" s="24"/>
      <c r="K1165" s="24"/>
      <c r="M1165" s="24"/>
      <c r="N1165" s="24"/>
      <c r="P1165" s="24"/>
    </row>
    <row r="1166" spans="2:16" x14ac:dyDescent="0.25">
      <c r="B1166" s="24"/>
      <c r="E1166" s="24"/>
      <c r="G1166" s="24"/>
      <c r="H1166" s="24"/>
      <c r="J1166" s="24"/>
      <c r="K1166" s="24"/>
      <c r="M1166" s="24"/>
      <c r="N1166" s="24"/>
      <c r="P1166" s="24"/>
    </row>
    <row r="1167" spans="2:16" x14ac:dyDescent="0.25">
      <c r="B1167" s="24"/>
      <c r="E1167" s="24"/>
      <c r="G1167" s="24"/>
      <c r="H1167" s="24"/>
      <c r="J1167" s="24"/>
      <c r="K1167" s="24"/>
      <c r="M1167" s="24"/>
      <c r="N1167" s="24"/>
      <c r="P1167" s="24"/>
    </row>
    <row r="1168" spans="2:16" x14ac:dyDescent="0.25">
      <c r="B1168" s="24"/>
      <c r="E1168" s="24"/>
      <c r="G1168" s="24"/>
      <c r="H1168" s="24"/>
      <c r="J1168" s="24"/>
      <c r="K1168" s="24"/>
      <c r="M1168" s="24"/>
      <c r="N1168" s="24"/>
      <c r="P1168" s="24"/>
    </row>
    <row r="1169" spans="2:16" x14ac:dyDescent="0.25">
      <c r="B1169" s="24"/>
      <c r="E1169" s="24"/>
      <c r="G1169" s="24"/>
      <c r="H1169" s="24"/>
      <c r="J1169" s="24"/>
      <c r="K1169" s="24"/>
      <c r="M1169" s="24"/>
      <c r="N1169" s="24"/>
      <c r="P1169" s="24"/>
    </row>
    <row r="1170" spans="2:16" x14ac:dyDescent="0.25">
      <c r="B1170" s="24"/>
      <c r="E1170" s="24"/>
      <c r="G1170" s="24"/>
      <c r="H1170" s="24"/>
      <c r="J1170" s="24"/>
      <c r="K1170" s="24"/>
      <c r="M1170" s="24"/>
      <c r="N1170" s="24"/>
      <c r="P1170" s="24"/>
    </row>
    <row r="1171" spans="2:16" x14ac:dyDescent="0.25">
      <c r="B1171" s="24"/>
      <c r="E1171" s="24"/>
      <c r="G1171" s="24"/>
      <c r="H1171" s="24"/>
      <c r="J1171" s="24"/>
      <c r="K1171" s="24"/>
      <c r="M1171" s="24"/>
      <c r="N1171" s="24"/>
      <c r="P1171" s="24"/>
    </row>
    <row r="1172" spans="2:16" x14ac:dyDescent="0.25">
      <c r="B1172" s="24"/>
      <c r="E1172" s="24"/>
      <c r="G1172" s="24"/>
      <c r="H1172" s="24"/>
      <c r="J1172" s="24"/>
      <c r="K1172" s="24"/>
      <c r="M1172" s="24"/>
      <c r="N1172" s="24"/>
      <c r="P1172" s="24"/>
    </row>
    <row r="1173" spans="2:16" x14ac:dyDescent="0.25">
      <c r="B1173" s="24"/>
      <c r="E1173" s="24"/>
      <c r="G1173" s="24"/>
      <c r="H1173" s="24"/>
      <c r="J1173" s="24"/>
      <c r="K1173" s="24"/>
      <c r="M1173" s="24"/>
      <c r="N1173" s="24"/>
      <c r="P1173" s="24"/>
    </row>
    <row r="1174" spans="2:16" x14ac:dyDescent="0.25">
      <c r="B1174" s="24"/>
      <c r="E1174" s="24"/>
      <c r="G1174" s="24"/>
      <c r="H1174" s="24"/>
      <c r="J1174" s="24"/>
      <c r="K1174" s="24"/>
      <c r="M1174" s="24"/>
      <c r="N1174" s="24"/>
      <c r="P1174" s="24"/>
    </row>
    <row r="1175" spans="2:16" x14ac:dyDescent="0.25">
      <c r="B1175" s="24"/>
      <c r="E1175" s="24"/>
      <c r="G1175" s="24"/>
      <c r="H1175" s="24"/>
      <c r="J1175" s="24"/>
      <c r="K1175" s="24"/>
      <c r="M1175" s="24"/>
      <c r="N1175" s="24"/>
      <c r="P1175" s="24"/>
    </row>
    <row r="1176" spans="2:16" x14ac:dyDescent="0.25">
      <c r="B1176" s="24"/>
      <c r="E1176" s="24"/>
      <c r="G1176" s="24"/>
      <c r="H1176" s="24"/>
      <c r="J1176" s="24"/>
      <c r="K1176" s="24"/>
      <c r="M1176" s="24"/>
      <c r="N1176" s="24"/>
      <c r="P1176" s="24"/>
    </row>
    <row r="1177" spans="2:16" x14ac:dyDescent="0.25">
      <c r="B1177" s="24"/>
      <c r="E1177" s="24"/>
      <c r="G1177" s="24"/>
      <c r="H1177" s="24"/>
      <c r="J1177" s="24"/>
      <c r="K1177" s="24"/>
      <c r="M1177" s="24"/>
      <c r="N1177" s="24"/>
      <c r="P1177" s="24"/>
    </row>
    <row r="1178" spans="2:16" x14ac:dyDescent="0.25">
      <c r="B1178" s="24"/>
      <c r="E1178" s="24"/>
      <c r="G1178" s="24"/>
      <c r="H1178" s="24"/>
      <c r="J1178" s="24"/>
      <c r="K1178" s="24"/>
      <c r="M1178" s="24"/>
      <c r="N1178" s="24"/>
      <c r="P1178" s="24"/>
    </row>
    <row r="1179" spans="2:16" x14ac:dyDescent="0.25">
      <c r="B1179" s="24"/>
      <c r="E1179" s="24"/>
      <c r="G1179" s="24"/>
      <c r="H1179" s="24"/>
      <c r="J1179" s="24"/>
      <c r="K1179" s="24"/>
      <c r="M1179" s="24"/>
      <c r="N1179" s="24"/>
      <c r="P1179" s="24"/>
    </row>
    <row r="1180" spans="2:16" x14ac:dyDescent="0.25">
      <c r="B1180" s="24"/>
      <c r="E1180" s="24"/>
      <c r="G1180" s="24"/>
      <c r="H1180" s="24"/>
      <c r="J1180" s="24"/>
      <c r="K1180" s="24"/>
      <c r="M1180" s="24"/>
      <c r="N1180" s="24"/>
      <c r="P1180" s="24"/>
    </row>
    <row r="1181" spans="2:16" x14ac:dyDescent="0.25">
      <c r="B1181" s="24"/>
      <c r="E1181" s="24"/>
      <c r="G1181" s="24"/>
      <c r="H1181" s="24"/>
      <c r="J1181" s="24"/>
      <c r="K1181" s="24"/>
      <c r="M1181" s="24"/>
      <c r="N1181" s="24"/>
      <c r="P1181" s="24"/>
    </row>
    <row r="1182" spans="2:16" x14ac:dyDescent="0.25">
      <c r="B1182" s="24"/>
      <c r="E1182" s="24"/>
      <c r="G1182" s="24"/>
      <c r="H1182" s="24"/>
      <c r="J1182" s="24"/>
      <c r="K1182" s="24"/>
      <c r="M1182" s="24"/>
      <c r="N1182" s="24"/>
      <c r="P1182" s="24"/>
    </row>
    <row r="1183" spans="2:16" x14ac:dyDescent="0.25">
      <c r="B1183" s="24"/>
      <c r="E1183" s="24"/>
      <c r="G1183" s="24"/>
      <c r="H1183" s="24"/>
      <c r="J1183" s="24"/>
      <c r="K1183" s="24"/>
      <c r="M1183" s="24"/>
      <c r="N1183" s="24"/>
      <c r="P1183" s="24"/>
    </row>
    <row r="1184" spans="2:16" x14ac:dyDescent="0.25">
      <c r="B1184" s="24"/>
      <c r="E1184" s="24"/>
      <c r="G1184" s="24"/>
      <c r="H1184" s="24"/>
      <c r="J1184" s="24"/>
      <c r="K1184" s="24"/>
      <c r="M1184" s="24"/>
      <c r="N1184" s="24"/>
      <c r="P1184" s="24"/>
    </row>
    <row r="1185" spans="2:16" x14ac:dyDescent="0.25">
      <c r="B1185" s="24"/>
      <c r="E1185" s="24"/>
      <c r="G1185" s="24"/>
      <c r="H1185" s="24"/>
      <c r="J1185" s="24"/>
      <c r="K1185" s="24"/>
      <c r="M1185" s="24"/>
      <c r="N1185" s="24"/>
      <c r="P1185" s="24"/>
    </row>
    <row r="1186" spans="2:16" x14ac:dyDescent="0.25">
      <c r="B1186" s="24"/>
      <c r="E1186" s="24"/>
      <c r="G1186" s="24"/>
      <c r="H1186" s="24"/>
      <c r="J1186" s="24"/>
      <c r="K1186" s="24"/>
      <c r="M1186" s="24"/>
      <c r="N1186" s="24"/>
      <c r="P1186" s="24"/>
    </row>
    <row r="1187" spans="2:16" x14ac:dyDescent="0.25">
      <c r="B1187" s="24"/>
      <c r="E1187" s="24"/>
      <c r="G1187" s="24"/>
      <c r="H1187" s="24"/>
      <c r="J1187" s="24"/>
      <c r="K1187" s="24"/>
      <c r="M1187" s="24"/>
      <c r="N1187" s="24"/>
      <c r="P1187" s="24"/>
    </row>
    <row r="1188" spans="2:16" x14ac:dyDescent="0.25">
      <c r="B1188" s="24"/>
      <c r="E1188" s="24"/>
      <c r="G1188" s="24"/>
      <c r="H1188" s="24"/>
      <c r="J1188" s="24"/>
      <c r="K1188" s="24"/>
      <c r="M1188" s="24"/>
      <c r="N1188" s="24"/>
      <c r="P1188" s="24"/>
    </row>
    <row r="1189" spans="2:16" x14ac:dyDescent="0.25">
      <c r="B1189" s="24"/>
      <c r="E1189" s="24"/>
      <c r="G1189" s="24"/>
      <c r="H1189" s="24"/>
      <c r="J1189" s="24"/>
      <c r="K1189" s="24"/>
      <c r="M1189" s="24"/>
      <c r="N1189" s="24"/>
      <c r="P1189" s="24"/>
    </row>
    <row r="1190" spans="2:16" x14ac:dyDescent="0.25">
      <c r="B1190" s="24"/>
      <c r="E1190" s="24"/>
      <c r="G1190" s="24"/>
      <c r="H1190" s="24"/>
      <c r="J1190" s="24"/>
      <c r="K1190" s="24"/>
      <c r="M1190" s="24"/>
      <c r="N1190" s="24"/>
      <c r="P1190" s="24"/>
    </row>
    <row r="1191" spans="2:16" x14ac:dyDescent="0.25">
      <c r="B1191" s="24"/>
      <c r="E1191" s="24"/>
      <c r="G1191" s="24"/>
      <c r="H1191" s="24"/>
      <c r="J1191" s="24"/>
      <c r="K1191" s="24"/>
      <c r="M1191" s="24"/>
      <c r="N1191" s="24"/>
      <c r="P1191" s="24"/>
    </row>
    <row r="1192" spans="2:16" x14ac:dyDescent="0.25">
      <c r="B1192" s="24"/>
      <c r="E1192" s="24"/>
      <c r="G1192" s="24"/>
      <c r="H1192" s="24"/>
      <c r="J1192" s="24"/>
      <c r="K1192" s="24"/>
      <c r="M1192" s="24"/>
      <c r="N1192" s="24"/>
      <c r="P1192" s="24"/>
    </row>
    <row r="1193" spans="2:16" x14ac:dyDescent="0.25">
      <c r="B1193" s="24"/>
      <c r="E1193" s="24"/>
      <c r="G1193" s="24"/>
      <c r="H1193" s="24"/>
      <c r="J1193" s="24"/>
      <c r="K1193" s="24"/>
      <c r="M1193" s="24"/>
      <c r="N1193" s="24"/>
      <c r="P1193" s="24"/>
    </row>
    <row r="1194" spans="2:16" x14ac:dyDescent="0.25">
      <c r="B1194" s="24"/>
      <c r="E1194" s="24"/>
      <c r="G1194" s="24"/>
      <c r="H1194" s="24"/>
      <c r="J1194" s="24"/>
      <c r="K1194" s="24"/>
      <c r="M1194" s="24"/>
      <c r="N1194" s="24"/>
      <c r="P1194" s="24"/>
    </row>
    <row r="1195" spans="2:16" x14ac:dyDescent="0.25">
      <c r="B1195" s="24"/>
      <c r="E1195" s="24"/>
      <c r="G1195" s="24"/>
      <c r="H1195" s="24"/>
      <c r="J1195" s="24"/>
      <c r="K1195" s="24"/>
      <c r="M1195" s="24"/>
      <c r="N1195" s="24"/>
      <c r="P1195" s="24"/>
    </row>
    <row r="1196" spans="2:16" x14ac:dyDescent="0.25">
      <c r="B1196" s="24"/>
      <c r="E1196" s="24"/>
      <c r="G1196" s="24"/>
      <c r="H1196" s="24"/>
      <c r="J1196" s="24"/>
      <c r="K1196" s="24"/>
      <c r="M1196" s="24"/>
      <c r="N1196" s="24"/>
      <c r="P1196" s="24"/>
    </row>
    <row r="1197" spans="2:16" x14ac:dyDescent="0.25">
      <c r="B1197" s="24"/>
      <c r="E1197" s="24"/>
      <c r="G1197" s="24"/>
      <c r="H1197" s="24"/>
      <c r="J1197" s="24"/>
      <c r="K1197" s="24"/>
      <c r="M1197" s="24"/>
      <c r="N1197" s="24"/>
      <c r="P1197" s="24"/>
    </row>
    <row r="1198" spans="2:16" x14ac:dyDescent="0.25">
      <c r="B1198" s="24"/>
      <c r="E1198" s="24"/>
      <c r="G1198" s="24"/>
      <c r="H1198" s="24"/>
      <c r="J1198" s="24"/>
      <c r="K1198" s="24"/>
      <c r="M1198" s="24"/>
      <c r="N1198" s="24"/>
      <c r="P1198" s="24"/>
    </row>
    <row r="1199" spans="2:16" x14ac:dyDescent="0.25">
      <c r="B1199" s="24"/>
      <c r="E1199" s="24"/>
      <c r="G1199" s="24"/>
      <c r="H1199" s="24"/>
      <c r="J1199" s="24"/>
      <c r="K1199" s="24"/>
      <c r="M1199" s="24"/>
      <c r="N1199" s="24"/>
      <c r="P1199" s="24"/>
    </row>
    <row r="1200" spans="2:16" x14ac:dyDescent="0.25">
      <c r="B1200" s="24"/>
      <c r="E1200" s="24"/>
      <c r="G1200" s="24"/>
      <c r="H1200" s="24"/>
      <c r="J1200" s="24"/>
      <c r="K1200" s="24"/>
      <c r="M1200" s="24"/>
      <c r="N1200" s="24"/>
      <c r="P1200" s="24"/>
    </row>
    <row r="1201" spans="2:16" x14ac:dyDescent="0.25">
      <c r="B1201" s="24"/>
      <c r="E1201" s="24"/>
      <c r="G1201" s="24"/>
      <c r="H1201" s="24"/>
      <c r="J1201" s="24"/>
      <c r="K1201" s="24"/>
      <c r="M1201" s="24"/>
      <c r="N1201" s="24"/>
      <c r="P1201" s="24"/>
    </row>
    <row r="1202" spans="2:16" x14ac:dyDescent="0.25">
      <c r="B1202" s="24"/>
      <c r="E1202" s="24"/>
      <c r="G1202" s="24"/>
      <c r="H1202" s="24"/>
      <c r="J1202" s="24"/>
      <c r="K1202" s="24"/>
      <c r="M1202" s="24"/>
      <c r="N1202" s="24"/>
      <c r="P1202" s="24"/>
    </row>
    <row r="1203" spans="2:16" x14ac:dyDescent="0.25">
      <c r="B1203" s="24"/>
      <c r="E1203" s="24"/>
      <c r="G1203" s="24"/>
      <c r="H1203" s="24"/>
      <c r="J1203" s="24"/>
      <c r="K1203" s="24"/>
      <c r="M1203" s="24"/>
      <c r="N1203" s="24"/>
      <c r="P1203" s="24"/>
    </row>
    <row r="1204" spans="2:16" x14ac:dyDescent="0.25">
      <c r="B1204" s="24"/>
      <c r="E1204" s="24"/>
      <c r="G1204" s="24"/>
      <c r="H1204" s="24"/>
      <c r="J1204" s="24"/>
      <c r="K1204" s="24"/>
      <c r="M1204" s="24"/>
      <c r="N1204" s="24"/>
      <c r="P1204" s="24"/>
    </row>
    <row r="1205" spans="2:16" x14ac:dyDescent="0.25">
      <c r="B1205" s="24"/>
      <c r="E1205" s="24"/>
      <c r="G1205" s="24"/>
      <c r="H1205" s="24"/>
      <c r="J1205" s="24"/>
      <c r="K1205" s="24"/>
      <c r="M1205" s="24"/>
      <c r="N1205" s="24"/>
      <c r="P1205" s="24"/>
    </row>
    <row r="1206" spans="2:16" x14ac:dyDescent="0.25">
      <c r="B1206" s="24"/>
      <c r="E1206" s="24"/>
      <c r="G1206" s="24"/>
      <c r="H1206" s="24"/>
      <c r="J1206" s="24"/>
      <c r="K1206" s="24"/>
      <c r="M1206" s="24"/>
      <c r="N1206" s="24"/>
      <c r="P1206" s="24"/>
    </row>
    <row r="1207" spans="2:16" x14ac:dyDescent="0.25">
      <c r="B1207" s="24"/>
      <c r="E1207" s="24"/>
      <c r="G1207" s="24"/>
      <c r="H1207" s="24"/>
      <c r="J1207" s="24"/>
      <c r="K1207" s="24"/>
      <c r="M1207" s="24"/>
      <c r="N1207" s="24"/>
      <c r="P1207" s="24"/>
    </row>
    <row r="1208" spans="2:16" x14ac:dyDescent="0.25">
      <c r="B1208" s="24"/>
      <c r="E1208" s="24"/>
      <c r="G1208" s="24"/>
      <c r="H1208" s="24"/>
      <c r="J1208" s="24"/>
      <c r="K1208" s="24"/>
      <c r="M1208" s="24"/>
      <c r="N1208" s="24"/>
      <c r="P1208" s="24"/>
    </row>
    <row r="1209" spans="2:16" x14ac:dyDescent="0.25">
      <c r="B1209" s="24"/>
      <c r="E1209" s="24"/>
      <c r="G1209" s="24"/>
      <c r="H1209" s="24"/>
      <c r="J1209" s="24"/>
      <c r="K1209" s="24"/>
      <c r="M1209" s="24"/>
      <c r="N1209" s="24"/>
      <c r="P1209" s="24"/>
    </row>
    <row r="1210" spans="2:16" x14ac:dyDescent="0.25">
      <c r="B1210" s="24"/>
      <c r="E1210" s="24"/>
      <c r="G1210" s="24"/>
      <c r="H1210" s="24"/>
      <c r="J1210" s="24"/>
      <c r="K1210" s="24"/>
      <c r="M1210" s="24"/>
      <c r="N1210" s="24"/>
      <c r="P1210" s="24"/>
    </row>
    <row r="1211" spans="2:16" x14ac:dyDescent="0.25">
      <c r="B1211" s="24"/>
      <c r="E1211" s="24"/>
      <c r="G1211" s="24"/>
      <c r="H1211" s="24"/>
      <c r="J1211" s="24"/>
      <c r="K1211" s="24"/>
      <c r="M1211" s="24"/>
      <c r="N1211" s="24"/>
      <c r="P1211" s="24"/>
    </row>
    <row r="1212" spans="2:16" x14ac:dyDescent="0.25">
      <c r="B1212" s="24"/>
      <c r="E1212" s="24"/>
      <c r="G1212" s="24"/>
      <c r="H1212" s="24"/>
      <c r="J1212" s="24"/>
      <c r="K1212" s="24"/>
      <c r="M1212" s="24"/>
      <c r="N1212" s="24"/>
      <c r="P1212" s="24"/>
    </row>
    <row r="1213" spans="2:16" x14ac:dyDescent="0.25">
      <c r="B1213" s="24"/>
      <c r="E1213" s="24"/>
      <c r="G1213" s="24"/>
      <c r="H1213" s="24"/>
      <c r="J1213" s="24"/>
      <c r="K1213" s="24"/>
      <c r="M1213" s="24"/>
      <c r="N1213" s="24"/>
      <c r="P1213" s="24"/>
    </row>
    <row r="1214" spans="2:16" x14ac:dyDescent="0.25">
      <c r="B1214" s="24"/>
      <c r="E1214" s="24"/>
      <c r="G1214" s="24"/>
      <c r="H1214" s="24"/>
      <c r="J1214" s="24"/>
      <c r="K1214" s="24"/>
      <c r="M1214" s="24"/>
      <c r="N1214" s="24"/>
      <c r="P1214" s="24"/>
    </row>
    <row r="1215" spans="2:16" x14ac:dyDescent="0.25">
      <c r="B1215" s="24"/>
      <c r="E1215" s="24"/>
      <c r="G1215" s="24"/>
      <c r="H1215" s="24"/>
      <c r="J1215" s="24"/>
      <c r="K1215" s="24"/>
      <c r="M1215" s="24"/>
      <c r="N1215" s="24"/>
      <c r="P1215" s="24"/>
    </row>
    <row r="1216" spans="2:16" x14ac:dyDescent="0.25">
      <c r="B1216" s="24"/>
      <c r="E1216" s="24"/>
      <c r="G1216" s="24"/>
      <c r="H1216" s="24"/>
      <c r="J1216" s="24"/>
      <c r="K1216" s="24"/>
      <c r="M1216" s="24"/>
      <c r="N1216" s="24"/>
      <c r="P1216" s="24"/>
    </row>
    <row r="1217" spans="2:16" x14ac:dyDescent="0.25">
      <c r="B1217" s="24"/>
      <c r="E1217" s="24"/>
      <c r="G1217" s="24"/>
      <c r="H1217" s="24"/>
      <c r="J1217" s="24"/>
      <c r="K1217" s="24"/>
      <c r="M1217" s="24"/>
      <c r="N1217" s="24"/>
      <c r="P1217" s="24"/>
    </row>
    <row r="1218" spans="2:16" x14ac:dyDescent="0.25">
      <c r="B1218" s="24"/>
      <c r="E1218" s="24"/>
      <c r="G1218" s="24"/>
      <c r="H1218" s="24"/>
      <c r="J1218" s="24"/>
      <c r="K1218" s="24"/>
      <c r="M1218" s="24"/>
      <c r="N1218" s="24"/>
      <c r="P1218" s="24"/>
    </row>
    <row r="1219" spans="2:16" x14ac:dyDescent="0.25">
      <c r="B1219" s="24"/>
      <c r="E1219" s="24"/>
      <c r="G1219" s="24"/>
      <c r="H1219" s="24"/>
      <c r="J1219" s="24"/>
      <c r="K1219" s="24"/>
      <c r="M1219" s="24"/>
      <c r="N1219" s="24"/>
      <c r="P1219" s="24"/>
    </row>
    <row r="1220" spans="2:16" x14ac:dyDescent="0.25">
      <c r="B1220" s="24"/>
      <c r="E1220" s="24"/>
      <c r="G1220" s="24"/>
      <c r="H1220" s="24"/>
      <c r="J1220" s="24"/>
      <c r="K1220" s="24"/>
      <c r="M1220" s="24"/>
      <c r="N1220" s="24"/>
      <c r="P1220" s="24"/>
    </row>
    <row r="1221" spans="2:16" x14ac:dyDescent="0.25">
      <c r="B1221" s="24"/>
      <c r="E1221" s="24"/>
      <c r="G1221" s="24"/>
      <c r="H1221" s="24"/>
      <c r="J1221" s="24"/>
      <c r="K1221" s="24"/>
      <c r="M1221" s="24"/>
      <c r="N1221" s="24"/>
      <c r="P1221" s="24"/>
    </row>
    <row r="1222" spans="2:16" x14ac:dyDescent="0.25">
      <c r="B1222" s="24"/>
      <c r="E1222" s="24"/>
      <c r="G1222" s="24"/>
      <c r="H1222" s="24"/>
      <c r="J1222" s="24"/>
      <c r="K1222" s="24"/>
      <c r="M1222" s="24"/>
      <c r="N1222" s="24"/>
      <c r="P1222" s="24"/>
    </row>
    <row r="1223" spans="2:16" x14ac:dyDescent="0.25">
      <c r="B1223" s="24"/>
      <c r="E1223" s="24"/>
      <c r="G1223" s="24"/>
      <c r="H1223" s="24"/>
      <c r="J1223" s="24"/>
      <c r="K1223" s="24"/>
      <c r="M1223" s="24"/>
      <c r="N1223" s="24"/>
      <c r="P1223" s="24"/>
    </row>
    <row r="1224" spans="2:16" x14ac:dyDescent="0.25">
      <c r="B1224" s="24"/>
      <c r="E1224" s="24"/>
      <c r="G1224" s="24"/>
      <c r="H1224" s="24"/>
      <c r="J1224" s="24"/>
      <c r="K1224" s="24"/>
      <c r="M1224" s="24"/>
      <c r="N1224" s="24"/>
      <c r="P1224" s="24"/>
    </row>
    <row r="1225" spans="2:16" x14ac:dyDescent="0.25">
      <c r="B1225" s="24"/>
      <c r="E1225" s="24"/>
      <c r="G1225" s="24"/>
      <c r="H1225" s="24"/>
      <c r="J1225" s="24"/>
      <c r="K1225" s="24"/>
      <c r="M1225" s="24"/>
      <c r="N1225" s="24"/>
      <c r="P1225" s="24"/>
    </row>
    <row r="1226" spans="2:16" x14ac:dyDescent="0.25">
      <c r="B1226" s="24"/>
      <c r="E1226" s="24"/>
      <c r="G1226" s="24"/>
      <c r="H1226" s="24"/>
      <c r="J1226" s="24"/>
      <c r="K1226" s="24"/>
      <c r="M1226" s="24"/>
      <c r="N1226" s="24"/>
      <c r="P1226" s="24"/>
    </row>
    <row r="1227" spans="2:16" x14ac:dyDescent="0.25">
      <c r="B1227" s="24"/>
      <c r="E1227" s="24"/>
      <c r="G1227" s="24"/>
      <c r="H1227" s="24"/>
      <c r="J1227" s="24"/>
      <c r="K1227" s="24"/>
      <c r="M1227" s="24"/>
      <c r="N1227" s="24"/>
      <c r="P1227" s="24"/>
    </row>
    <row r="1228" spans="2:16" x14ac:dyDescent="0.25">
      <c r="B1228" s="24"/>
      <c r="E1228" s="24"/>
      <c r="G1228" s="24"/>
      <c r="H1228" s="24"/>
      <c r="J1228" s="24"/>
      <c r="K1228" s="24"/>
      <c r="M1228" s="24"/>
      <c r="N1228" s="24"/>
      <c r="P1228" s="24"/>
    </row>
    <row r="1229" spans="2:16" x14ac:dyDescent="0.25">
      <c r="B1229" s="24"/>
      <c r="E1229" s="24"/>
      <c r="G1229" s="24"/>
      <c r="H1229" s="24"/>
      <c r="J1229" s="24"/>
      <c r="K1229" s="24"/>
      <c r="M1229" s="24"/>
      <c r="N1229" s="24"/>
      <c r="P1229" s="24"/>
    </row>
    <row r="1230" spans="2:16" x14ac:dyDescent="0.25">
      <c r="B1230" s="24"/>
      <c r="E1230" s="24"/>
      <c r="G1230" s="24"/>
      <c r="H1230" s="24"/>
      <c r="J1230" s="24"/>
      <c r="K1230" s="24"/>
      <c r="M1230" s="24"/>
      <c r="N1230" s="24"/>
      <c r="P1230" s="24"/>
    </row>
    <row r="1231" spans="2:16" x14ac:dyDescent="0.25">
      <c r="B1231" s="24"/>
      <c r="E1231" s="24"/>
      <c r="G1231" s="24"/>
      <c r="H1231" s="24"/>
      <c r="J1231" s="24"/>
      <c r="K1231" s="24"/>
      <c r="M1231" s="24"/>
      <c r="N1231" s="24"/>
      <c r="P1231" s="24"/>
    </row>
    <row r="1232" spans="2:16" x14ac:dyDescent="0.25">
      <c r="B1232" s="24"/>
      <c r="E1232" s="24"/>
      <c r="G1232" s="24"/>
      <c r="H1232" s="24"/>
      <c r="J1232" s="24"/>
      <c r="K1232" s="24"/>
      <c r="M1232" s="24"/>
      <c r="N1232" s="24"/>
      <c r="P1232" s="24"/>
    </row>
    <row r="1233" spans="2:16" x14ac:dyDescent="0.25">
      <c r="B1233" s="24"/>
      <c r="E1233" s="24"/>
      <c r="G1233" s="24"/>
      <c r="H1233" s="24"/>
      <c r="J1233" s="24"/>
      <c r="K1233" s="24"/>
      <c r="M1233" s="24"/>
      <c r="N1233" s="24"/>
      <c r="P1233" s="24"/>
    </row>
    <row r="1234" spans="2:16" x14ac:dyDescent="0.25">
      <c r="B1234" s="24"/>
      <c r="E1234" s="24"/>
      <c r="G1234" s="24"/>
      <c r="H1234" s="24"/>
      <c r="J1234" s="24"/>
      <c r="K1234" s="24"/>
      <c r="M1234" s="24"/>
      <c r="N1234" s="24"/>
      <c r="P1234" s="24"/>
    </row>
    <row r="1235" spans="2:16" x14ac:dyDescent="0.25">
      <c r="B1235" s="24"/>
      <c r="E1235" s="24"/>
      <c r="G1235" s="24"/>
      <c r="H1235" s="24"/>
      <c r="J1235" s="24"/>
      <c r="K1235" s="24"/>
      <c r="M1235" s="24"/>
      <c r="N1235" s="24"/>
      <c r="P1235" s="24"/>
    </row>
    <row r="1236" spans="2:16" x14ac:dyDescent="0.25">
      <c r="B1236" s="24"/>
      <c r="E1236" s="24"/>
      <c r="G1236" s="24"/>
      <c r="H1236" s="24"/>
      <c r="J1236" s="24"/>
      <c r="K1236" s="24"/>
      <c r="M1236" s="24"/>
      <c r="N1236" s="24"/>
      <c r="P1236" s="24"/>
    </row>
    <row r="1237" spans="2:16" x14ac:dyDescent="0.25">
      <c r="B1237" s="24"/>
      <c r="E1237" s="24"/>
      <c r="G1237" s="24"/>
      <c r="H1237" s="24"/>
      <c r="J1237" s="24"/>
      <c r="K1237" s="24"/>
      <c r="M1237" s="24"/>
      <c r="N1237" s="24"/>
      <c r="P1237" s="24"/>
    </row>
    <row r="1238" spans="2:16" x14ac:dyDescent="0.25">
      <c r="B1238" s="24"/>
      <c r="E1238" s="24"/>
      <c r="G1238" s="24"/>
      <c r="H1238" s="24"/>
      <c r="J1238" s="24"/>
      <c r="K1238" s="24"/>
      <c r="M1238" s="24"/>
      <c r="N1238" s="24"/>
      <c r="P1238" s="24"/>
    </row>
    <row r="1239" spans="2:16" x14ac:dyDescent="0.25">
      <c r="B1239" s="24"/>
      <c r="E1239" s="24"/>
      <c r="G1239" s="24"/>
      <c r="H1239" s="24"/>
      <c r="J1239" s="24"/>
      <c r="K1239" s="24"/>
      <c r="M1239" s="24"/>
      <c r="N1239" s="24"/>
      <c r="P1239" s="24"/>
    </row>
    <row r="1240" spans="2:16" x14ac:dyDescent="0.25">
      <c r="B1240" s="24"/>
      <c r="E1240" s="24"/>
      <c r="G1240" s="24"/>
      <c r="H1240" s="24"/>
      <c r="J1240" s="24"/>
      <c r="K1240" s="24"/>
      <c r="M1240" s="24"/>
      <c r="N1240" s="24"/>
      <c r="P1240" s="24"/>
    </row>
    <row r="1241" spans="2:16" x14ac:dyDescent="0.25">
      <c r="B1241" s="24"/>
      <c r="E1241" s="24"/>
      <c r="G1241" s="24"/>
      <c r="H1241" s="24"/>
      <c r="J1241" s="24"/>
      <c r="K1241" s="24"/>
      <c r="M1241" s="24"/>
      <c r="N1241" s="24"/>
      <c r="P1241" s="24"/>
    </row>
    <row r="1242" spans="2:16" x14ac:dyDescent="0.25">
      <c r="B1242" s="24"/>
      <c r="E1242" s="24"/>
      <c r="G1242" s="24"/>
      <c r="H1242" s="24"/>
      <c r="J1242" s="24"/>
      <c r="K1242" s="24"/>
      <c r="M1242" s="24"/>
      <c r="N1242" s="24"/>
      <c r="P1242" s="24"/>
    </row>
    <row r="1243" spans="2:16" x14ac:dyDescent="0.25">
      <c r="B1243" s="24"/>
      <c r="E1243" s="24"/>
      <c r="G1243" s="24"/>
      <c r="H1243" s="24"/>
      <c r="J1243" s="24"/>
      <c r="K1243" s="24"/>
      <c r="M1243" s="24"/>
      <c r="N1243" s="24"/>
      <c r="P1243" s="24"/>
    </row>
    <row r="1244" spans="2:16" x14ac:dyDescent="0.25">
      <c r="B1244" s="24"/>
      <c r="E1244" s="24"/>
      <c r="G1244" s="24"/>
      <c r="H1244" s="24"/>
      <c r="J1244" s="24"/>
      <c r="K1244" s="24"/>
      <c r="M1244" s="24"/>
      <c r="N1244" s="24"/>
      <c r="P1244" s="24"/>
    </row>
    <row r="1245" spans="2:16" x14ac:dyDescent="0.25">
      <c r="B1245" s="24"/>
      <c r="E1245" s="24"/>
      <c r="G1245" s="24"/>
      <c r="H1245" s="24"/>
      <c r="J1245" s="24"/>
      <c r="K1245" s="24"/>
      <c r="M1245" s="24"/>
      <c r="N1245" s="24"/>
      <c r="P1245" s="24"/>
    </row>
    <row r="1246" spans="2:16" x14ac:dyDescent="0.25">
      <c r="B1246" s="24"/>
      <c r="E1246" s="24"/>
      <c r="G1246" s="24"/>
      <c r="H1246" s="24"/>
      <c r="J1246" s="24"/>
      <c r="K1246" s="24"/>
      <c r="M1246" s="24"/>
      <c r="N1246" s="24"/>
      <c r="P1246" s="24"/>
    </row>
    <row r="1247" spans="2:16" x14ac:dyDescent="0.25">
      <c r="B1247" s="24"/>
      <c r="E1247" s="24"/>
      <c r="G1247" s="24"/>
      <c r="H1247" s="24"/>
      <c r="J1247" s="24"/>
      <c r="K1247" s="24"/>
      <c r="M1247" s="24"/>
      <c r="N1247" s="24"/>
      <c r="P1247" s="24"/>
    </row>
    <row r="1248" spans="2:16" x14ac:dyDescent="0.25">
      <c r="B1248" s="24"/>
      <c r="E1248" s="24"/>
      <c r="G1248" s="24"/>
      <c r="H1248" s="24"/>
      <c r="J1248" s="24"/>
      <c r="K1248" s="24"/>
      <c r="M1248" s="24"/>
      <c r="N1248" s="24"/>
      <c r="P1248" s="24"/>
    </row>
    <row r="1249" spans="2:16" x14ac:dyDescent="0.25">
      <c r="B1249" s="24"/>
      <c r="E1249" s="24"/>
      <c r="G1249" s="24"/>
      <c r="H1249" s="24"/>
      <c r="J1249" s="24"/>
      <c r="K1249" s="24"/>
      <c r="M1249" s="24"/>
      <c r="N1249" s="24"/>
      <c r="P1249" s="24"/>
    </row>
    <row r="1250" spans="2:16" x14ac:dyDescent="0.25">
      <c r="B1250" s="24"/>
      <c r="E1250" s="24"/>
      <c r="G1250" s="24"/>
      <c r="H1250" s="24"/>
      <c r="J1250" s="24"/>
      <c r="K1250" s="24"/>
      <c r="M1250" s="24"/>
      <c r="N1250" s="24"/>
      <c r="P1250" s="24"/>
    </row>
    <row r="1251" spans="2:16" x14ac:dyDescent="0.25">
      <c r="B1251" s="24"/>
      <c r="E1251" s="24"/>
      <c r="G1251" s="24"/>
      <c r="H1251" s="24"/>
      <c r="J1251" s="24"/>
      <c r="K1251" s="24"/>
      <c r="M1251" s="24"/>
      <c r="N1251" s="24"/>
      <c r="P1251" s="24"/>
    </row>
    <row r="1252" spans="2:16" x14ac:dyDescent="0.25">
      <c r="B1252" s="24"/>
      <c r="E1252" s="24"/>
      <c r="G1252" s="24"/>
      <c r="H1252" s="24"/>
      <c r="J1252" s="24"/>
      <c r="K1252" s="24"/>
      <c r="M1252" s="24"/>
      <c r="N1252" s="24"/>
      <c r="P1252" s="24"/>
    </row>
    <row r="1253" spans="2:16" x14ac:dyDescent="0.25">
      <c r="B1253" s="24"/>
      <c r="E1253" s="24"/>
      <c r="G1253" s="24"/>
      <c r="H1253" s="24"/>
      <c r="J1253" s="24"/>
      <c r="K1253" s="24"/>
      <c r="M1253" s="24"/>
      <c r="N1253" s="24"/>
      <c r="P1253" s="24"/>
    </row>
    <row r="1254" spans="2:16" x14ac:dyDescent="0.25">
      <c r="B1254" s="24"/>
      <c r="E1254" s="24"/>
      <c r="G1254" s="24"/>
      <c r="H1254" s="24"/>
      <c r="J1254" s="24"/>
      <c r="K1254" s="24"/>
      <c r="M1254" s="24"/>
      <c r="N1254" s="24"/>
      <c r="P1254" s="24"/>
    </row>
    <row r="1255" spans="2:16" x14ac:dyDescent="0.25">
      <c r="B1255" s="24"/>
      <c r="E1255" s="24"/>
      <c r="G1255" s="24"/>
      <c r="H1255" s="24"/>
      <c r="J1255" s="24"/>
      <c r="K1255" s="24"/>
      <c r="M1255" s="24"/>
      <c r="N1255" s="24"/>
      <c r="P1255" s="24"/>
    </row>
    <row r="1256" spans="2:16" x14ac:dyDescent="0.25">
      <c r="B1256" s="24"/>
      <c r="E1256" s="24"/>
      <c r="G1256" s="24"/>
      <c r="H1256" s="24"/>
      <c r="J1256" s="24"/>
      <c r="K1256" s="24"/>
      <c r="M1256" s="24"/>
      <c r="N1256" s="24"/>
      <c r="P1256" s="24"/>
    </row>
    <row r="1257" spans="2:16" x14ac:dyDescent="0.25">
      <c r="B1257" s="24"/>
      <c r="E1257" s="24"/>
      <c r="G1257" s="24"/>
      <c r="H1257" s="24"/>
      <c r="J1257" s="24"/>
      <c r="K1257" s="24"/>
      <c r="M1257" s="24"/>
      <c r="N1257" s="24"/>
      <c r="P1257" s="24"/>
    </row>
    <row r="1258" spans="2:16" x14ac:dyDescent="0.25">
      <c r="B1258" s="24"/>
      <c r="E1258" s="24"/>
      <c r="G1258" s="24"/>
      <c r="H1258" s="24"/>
      <c r="J1258" s="24"/>
      <c r="K1258" s="24"/>
      <c r="M1258" s="24"/>
      <c r="N1258" s="24"/>
      <c r="P1258" s="24"/>
    </row>
    <row r="1259" spans="2:16" x14ac:dyDescent="0.25">
      <c r="B1259" s="24"/>
      <c r="E1259" s="24"/>
      <c r="G1259" s="24"/>
      <c r="H1259" s="24"/>
      <c r="J1259" s="24"/>
      <c r="K1259" s="24"/>
      <c r="M1259" s="24"/>
      <c r="N1259" s="24"/>
      <c r="P1259" s="24"/>
    </row>
    <row r="1260" spans="2:16" x14ac:dyDescent="0.25">
      <c r="B1260" s="24"/>
      <c r="E1260" s="24"/>
      <c r="G1260" s="24"/>
      <c r="H1260" s="24"/>
      <c r="J1260" s="24"/>
      <c r="K1260" s="24"/>
      <c r="M1260" s="24"/>
      <c r="N1260" s="24"/>
      <c r="P1260" s="24"/>
    </row>
    <row r="1261" spans="2:16" x14ac:dyDescent="0.25">
      <c r="B1261" s="24"/>
      <c r="E1261" s="24"/>
      <c r="G1261" s="24"/>
      <c r="H1261" s="24"/>
      <c r="J1261" s="24"/>
      <c r="K1261" s="24"/>
      <c r="M1261" s="24"/>
      <c r="N1261" s="24"/>
      <c r="P1261" s="24"/>
    </row>
    <row r="1262" spans="2:16" x14ac:dyDescent="0.25">
      <c r="B1262" s="24"/>
      <c r="E1262" s="24"/>
      <c r="G1262" s="24"/>
      <c r="H1262" s="24"/>
      <c r="J1262" s="24"/>
      <c r="K1262" s="24"/>
      <c r="M1262" s="24"/>
      <c r="N1262" s="24"/>
      <c r="P1262" s="24"/>
    </row>
    <row r="1263" spans="2:16" x14ac:dyDescent="0.25">
      <c r="B1263" s="24"/>
      <c r="E1263" s="24"/>
      <c r="G1263" s="24"/>
      <c r="H1263" s="24"/>
      <c r="J1263" s="24"/>
      <c r="K1263" s="24"/>
      <c r="M1263" s="24"/>
      <c r="N1263" s="24"/>
      <c r="P1263" s="24"/>
    </row>
    <row r="1264" spans="2:16" x14ac:dyDescent="0.25">
      <c r="B1264" s="24"/>
      <c r="E1264" s="24"/>
      <c r="G1264" s="24"/>
      <c r="H1264" s="24"/>
      <c r="J1264" s="24"/>
      <c r="K1264" s="24"/>
      <c r="M1264" s="24"/>
      <c r="N1264" s="24"/>
      <c r="P1264" s="24"/>
    </row>
    <row r="1265" spans="2:16" x14ac:dyDescent="0.25">
      <c r="B1265" s="24"/>
      <c r="E1265" s="24"/>
      <c r="G1265" s="24"/>
      <c r="H1265" s="24"/>
      <c r="J1265" s="24"/>
      <c r="K1265" s="24"/>
      <c r="M1265" s="24"/>
      <c r="N1265" s="24"/>
      <c r="P1265" s="24"/>
    </row>
    <row r="1266" spans="2:16" x14ac:dyDescent="0.25">
      <c r="B1266" s="24"/>
      <c r="E1266" s="24"/>
      <c r="G1266" s="24"/>
      <c r="H1266" s="24"/>
      <c r="J1266" s="24"/>
      <c r="K1266" s="24"/>
      <c r="M1266" s="24"/>
      <c r="N1266" s="24"/>
      <c r="P1266" s="24"/>
    </row>
    <row r="1267" spans="2:16" x14ac:dyDescent="0.25">
      <c r="B1267" s="24"/>
      <c r="E1267" s="24"/>
      <c r="G1267" s="24"/>
      <c r="H1267" s="24"/>
      <c r="J1267" s="24"/>
      <c r="K1267" s="24"/>
      <c r="M1267" s="24"/>
      <c r="N1267" s="24"/>
      <c r="P1267" s="24"/>
    </row>
    <row r="1268" spans="2:16" x14ac:dyDescent="0.25">
      <c r="B1268" s="24"/>
      <c r="E1268" s="24"/>
      <c r="G1268" s="24"/>
      <c r="H1268" s="24"/>
      <c r="J1268" s="24"/>
      <c r="K1268" s="24"/>
      <c r="M1268" s="24"/>
      <c r="N1268" s="24"/>
      <c r="P1268" s="24"/>
    </row>
    <row r="1269" spans="2:16" x14ac:dyDescent="0.25">
      <c r="B1269" s="24"/>
      <c r="E1269" s="24"/>
      <c r="G1269" s="24"/>
      <c r="H1269" s="24"/>
      <c r="J1269" s="24"/>
      <c r="K1269" s="24"/>
      <c r="M1269" s="24"/>
      <c r="N1269" s="24"/>
      <c r="P1269" s="24"/>
    </row>
    <row r="1270" spans="2:16" x14ac:dyDescent="0.25">
      <c r="B1270" s="24"/>
      <c r="E1270" s="24"/>
      <c r="G1270" s="24"/>
      <c r="H1270" s="24"/>
      <c r="J1270" s="24"/>
      <c r="K1270" s="24"/>
      <c r="M1270" s="24"/>
      <c r="N1270" s="24"/>
      <c r="P1270" s="24"/>
    </row>
    <row r="1271" spans="2:16" x14ac:dyDescent="0.25">
      <c r="B1271" s="24"/>
      <c r="E1271" s="24"/>
      <c r="G1271" s="24"/>
      <c r="H1271" s="24"/>
      <c r="J1271" s="24"/>
      <c r="K1271" s="24"/>
      <c r="M1271" s="24"/>
      <c r="N1271" s="24"/>
      <c r="P1271" s="24"/>
    </row>
    <row r="1272" spans="2:16" x14ac:dyDescent="0.25">
      <c r="B1272" s="24"/>
      <c r="E1272" s="24"/>
      <c r="G1272" s="24"/>
      <c r="H1272" s="24"/>
      <c r="J1272" s="24"/>
      <c r="K1272" s="24"/>
      <c r="M1272" s="24"/>
      <c r="N1272" s="24"/>
      <c r="P1272" s="24"/>
    </row>
    <row r="1273" spans="2:16" x14ac:dyDescent="0.25">
      <c r="B1273" s="24"/>
      <c r="E1273" s="24"/>
      <c r="G1273" s="24"/>
      <c r="H1273" s="24"/>
      <c r="J1273" s="24"/>
      <c r="K1273" s="24"/>
      <c r="M1273" s="24"/>
      <c r="N1273" s="24"/>
      <c r="P1273" s="24"/>
    </row>
    <row r="1274" spans="2:16" x14ac:dyDescent="0.25">
      <c r="B1274" s="24"/>
      <c r="E1274" s="24"/>
      <c r="G1274" s="24"/>
      <c r="H1274" s="24"/>
      <c r="J1274" s="24"/>
      <c r="K1274" s="24"/>
      <c r="M1274" s="24"/>
      <c r="N1274" s="24"/>
      <c r="P1274" s="24"/>
    </row>
    <row r="1275" spans="2:16" x14ac:dyDescent="0.25">
      <c r="B1275" s="24"/>
      <c r="E1275" s="24"/>
      <c r="G1275" s="24"/>
      <c r="H1275" s="24"/>
      <c r="J1275" s="24"/>
      <c r="K1275" s="24"/>
      <c r="M1275" s="24"/>
      <c r="N1275" s="24"/>
      <c r="P1275" s="24"/>
    </row>
    <row r="1276" spans="2:16" x14ac:dyDescent="0.25">
      <c r="B1276" s="24"/>
      <c r="E1276" s="24"/>
      <c r="G1276" s="24"/>
      <c r="H1276" s="24"/>
      <c r="J1276" s="24"/>
      <c r="K1276" s="24"/>
      <c r="M1276" s="24"/>
      <c r="N1276" s="24"/>
      <c r="P1276" s="24"/>
    </row>
    <row r="1277" spans="2:16" x14ac:dyDescent="0.25">
      <c r="B1277" s="24"/>
      <c r="E1277" s="24"/>
      <c r="G1277" s="24"/>
      <c r="H1277" s="24"/>
      <c r="J1277" s="24"/>
      <c r="K1277" s="24"/>
      <c r="M1277" s="24"/>
      <c r="N1277" s="24"/>
      <c r="P1277" s="24"/>
    </row>
    <row r="1278" spans="2:16" x14ac:dyDescent="0.25">
      <c r="B1278" s="24"/>
      <c r="E1278" s="24"/>
      <c r="G1278" s="24"/>
      <c r="H1278" s="24"/>
      <c r="J1278" s="24"/>
      <c r="K1278" s="24"/>
      <c r="M1278" s="24"/>
      <c r="N1278" s="24"/>
      <c r="P1278" s="24"/>
    </row>
    <row r="1279" spans="2:16" x14ac:dyDescent="0.25">
      <c r="B1279" s="24"/>
      <c r="E1279" s="24"/>
      <c r="G1279" s="24"/>
      <c r="H1279" s="24"/>
      <c r="J1279" s="24"/>
      <c r="K1279" s="24"/>
      <c r="M1279" s="24"/>
      <c r="N1279" s="24"/>
      <c r="P1279" s="24"/>
    </row>
    <row r="1280" spans="2:16" x14ac:dyDescent="0.25">
      <c r="B1280" s="24"/>
      <c r="E1280" s="24"/>
      <c r="G1280" s="24"/>
      <c r="H1280" s="24"/>
      <c r="J1280" s="24"/>
      <c r="K1280" s="24"/>
      <c r="M1280" s="24"/>
      <c r="N1280" s="24"/>
      <c r="P1280" s="24"/>
    </row>
    <row r="1281" spans="2:16" x14ac:dyDescent="0.25">
      <c r="B1281" s="24"/>
      <c r="E1281" s="24"/>
      <c r="G1281" s="24"/>
      <c r="H1281" s="24"/>
      <c r="J1281" s="24"/>
      <c r="K1281" s="24"/>
      <c r="M1281" s="24"/>
      <c r="N1281" s="24"/>
      <c r="P1281" s="24"/>
    </row>
    <row r="1282" spans="2:16" x14ac:dyDescent="0.25">
      <c r="B1282" s="24"/>
      <c r="E1282" s="24"/>
      <c r="G1282" s="24"/>
      <c r="H1282" s="24"/>
      <c r="J1282" s="24"/>
      <c r="K1282" s="24"/>
      <c r="M1282" s="24"/>
      <c r="N1282" s="24"/>
      <c r="P1282" s="24"/>
    </row>
    <row r="1283" spans="2:16" x14ac:dyDescent="0.25">
      <c r="B1283" s="24"/>
      <c r="E1283" s="24"/>
      <c r="G1283" s="24"/>
      <c r="H1283" s="24"/>
      <c r="J1283" s="24"/>
      <c r="K1283" s="24"/>
      <c r="M1283" s="24"/>
      <c r="N1283" s="24"/>
      <c r="P1283" s="24"/>
    </row>
    <row r="1284" spans="2:16" x14ac:dyDescent="0.25">
      <c r="B1284" s="24"/>
      <c r="E1284" s="24"/>
      <c r="G1284" s="24"/>
      <c r="H1284" s="24"/>
      <c r="J1284" s="24"/>
      <c r="K1284" s="24"/>
      <c r="M1284" s="24"/>
      <c r="N1284" s="24"/>
      <c r="P1284" s="24"/>
    </row>
    <row r="1285" spans="2:16" x14ac:dyDescent="0.25">
      <c r="B1285" s="24"/>
      <c r="E1285" s="24"/>
      <c r="G1285" s="24"/>
      <c r="H1285" s="24"/>
      <c r="J1285" s="24"/>
      <c r="K1285" s="24"/>
      <c r="M1285" s="24"/>
      <c r="N1285" s="24"/>
      <c r="P1285" s="24"/>
    </row>
    <row r="1286" spans="2:16" x14ac:dyDescent="0.25">
      <c r="B1286" s="24"/>
      <c r="E1286" s="24"/>
      <c r="G1286" s="24"/>
      <c r="H1286" s="24"/>
      <c r="J1286" s="24"/>
      <c r="K1286" s="24"/>
      <c r="M1286" s="24"/>
      <c r="N1286" s="24"/>
      <c r="P1286" s="24"/>
    </row>
    <row r="1287" spans="2:16" x14ac:dyDescent="0.25">
      <c r="B1287" s="24"/>
      <c r="E1287" s="24"/>
      <c r="G1287" s="24"/>
      <c r="H1287" s="24"/>
      <c r="J1287" s="24"/>
      <c r="K1287" s="24"/>
      <c r="M1287" s="24"/>
      <c r="N1287" s="24"/>
      <c r="P1287" s="24"/>
    </row>
    <row r="1288" spans="2:16" x14ac:dyDescent="0.25">
      <c r="B1288" s="24"/>
      <c r="E1288" s="24"/>
      <c r="G1288" s="24"/>
      <c r="H1288" s="24"/>
      <c r="J1288" s="24"/>
      <c r="K1288" s="24"/>
      <c r="M1288" s="24"/>
      <c r="N1288" s="24"/>
      <c r="P1288" s="24"/>
    </row>
    <row r="1289" spans="2:16" x14ac:dyDescent="0.25">
      <c r="B1289" s="24"/>
      <c r="E1289" s="24"/>
      <c r="G1289" s="24"/>
      <c r="H1289" s="24"/>
      <c r="J1289" s="24"/>
      <c r="K1289" s="24"/>
      <c r="M1289" s="24"/>
      <c r="N1289" s="24"/>
      <c r="P1289" s="24"/>
    </row>
    <row r="1290" spans="2:16" x14ac:dyDescent="0.25">
      <c r="B1290" s="24"/>
      <c r="E1290" s="24"/>
      <c r="G1290" s="24"/>
      <c r="H1290" s="24"/>
      <c r="J1290" s="24"/>
      <c r="K1290" s="24"/>
      <c r="M1290" s="24"/>
      <c r="N1290" s="24"/>
      <c r="P1290" s="24"/>
    </row>
    <row r="1291" spans="2:16" x14ac:dyDescent="0.25">
      <c r="B1291" s="24"/>
      <c r="E1291" s="24"/>
      <c r="G1291" s="24"/>
      <c r="H1291" s="24"/>
      <c r="J1291" s="24"/>
      <c r="K1291" s="24"/>
      <c r="M1291" s="24"/>
      <c r="N1291" s="24"/>
      <c r="P1291" s="24"/>
    </row>
    <row r="1292" spans="2:16" x14ac:dyDescent="0.25">
      <c r="B1292" s="24"/>
      <c r="E1292" s="24"/>
      <c r="G1292" s="24"/>
      <c r="H1292" s="24"/>
      <c r="J1292" s="24"/>
      <c r="K1292" s="24"/>
      <c r="M1292" s="24"/>
      <c r="N1292" s="24"/>
      <c r="P1292" s="24"/>
    </row>
    <row r="1293" spans="2:16" x14ac:dyDescent="0.25">
      <c r="B1293" s="24"/>
      <c r="E1293" s="24"/>
      <c r="G1293" s="24"/>
      <c r="H1293" s="24"/>
      <c r="J1293" s="24"/>
      <c r="K1293" s="24"/>
      <c r="M1293" s="24"/>
      <c r="N1293" s="24"/>
      <c r="P1293" s="24"/>
    </row>
    <row r="1294" spans="2:16" x14ac:dyDescent="0.25">
      <c r="B1294" s="24"/>
      <c r="E1294" s="24"/>
      <c r="G1294" s="24"/>
      <c r="H1294" s="24"/>
      <c r="J1294" s="24"/>
      <c r="K1294" s="24"/>
      <c r="M1294" s="24"/>
      <c r="N1294" s="24"/>
      <c r="P1294" s="24"/>
    </row>
    <row r="1295" spans="2:16" x14ac:dyDescent="0.25">
      <c r="B1295" s="24"/>
      <c r="E1295" s="24"/>
      <c r="G1295" s="24"/>
      <c r="H1295" s="24"/>
      <c r="J1295" s="24"/>
      <c r="K1295" s="24"/>
      <c r="M1295" s="24"/>
      <c r="N1295" s="24"/>
      <c r="P1295" s="24"/>
    </row>
    <row r="1296" spans="2:16" x14ac:dyDescent="0.25">
      <c r="B1296" s="24"/>
      <c r="E1296" s="24"/>
      <c r="G1296" s="24"/>
      <c r="H1296" s="24"/>
      <c r="J1296" s="24"/>
      <c r="K1296" s="24"/>
      <c r="M1296" s="24"/>
      <c r="N1296" s="24"/>
      <c r="P1296" s="24"/>
    </row>
    <row r="1297" spans="2:16" x14ac:dyDescent="0.25">
      <c r="B1297" s="24"/>
      <c r="E1297" s="24"/>
      <c r="G1297" s="24"/>
      <c r="H1297" s="24"/>
      <c r="J1297" s="24"/>
      <c r="K1297" s="24"/>
      <c r="M1297" s="24"/>
      <c r="N1297" s="24"/>
      <c r="P1297" s="24"/>
    </row>
    <row r="1298" spans="2:16" x14ac:dyDescent="0.25">
      <c r="B1298" s="24"/>
      <c r="E1298" s="24"/>
      <c r="G1298" s="24"/>
      <c r="H1298" s="24"/>
      <c r="J1298" s="24"/>
      <c r="K1298" s="24"/>
      <c r="M1298" s="24"/>
      <c r="N1298" s="24"/>
      <c r="P1298" s="24"/>
    </row>
    <row r="1299" spans="2:16" x14ac:dyDescent="0.25">
      <c r="B1299" s="24"/>
      <c r="E1299" s="24"/>
      <c r="G1299" s="24"/>
      <c r="H1299" s="24"/>
      <c r="J1299" s="24"/>
      <c r="K1299" s="24"/>
      <c r="M1299" s="24"/>
      <c r="N1299" s="24"/>
      <c r="P1299" s="24"/>
    </row>
    <row r="1300" spans="2:16" x14ac:dyDescent="0.25">
      <c r="B1300" s="24"/>
      <c r="E1300" s="24"/>
      <c r="G1300" s="24"/>
      <c r="H1300" s="24"/>
      <c r="J1300" s="24"/>
      <c r="K1300" s="24"/>
      <c r="M1300" s="24"/>
      <c r="N1300" s="24"/>
      <c r="P1300" s="24"/>
    </row>
    <row r="1301" spans="2:16" x14ac:dyDescent="0.25">
      <c r="B1301" s="24"/>
      <c r="E1301" s="24"/>
      <c r="G1301" s="24"/>
      <c r="H1301" s="24"/>
      <c r="J1301" s="24"/>
      <c r="K1301" s="24"/>
      <c r="M1301" s="24"/>
      <c r="N1301" s="24"/>
      <c r="P1301" s="24"/>
    </row>
    <row r="1302" spans="2:16" x14ac:dyDescent="0.25">
      <c r="B1302" s="24"/>
      <c r="E1302" s="24"/>
      <c r="G1302" s="24"/>
      <c r="H1302" s="24"/>
      <c r="J1302" s="24"/>
      <c r="K1302" s="24"/>
      <c r="M1302" s="24"/>
      <c r="N1302" s="24"/>
      <c r="P1302" s="24"/>
    </row>
    <row r="1303" spans="2:16" x14ac:dyDescent="0.25">
      <c r="B1303" s="24"/>
      <c r="E1303" s="24"/>
      <c r="G1303" s="24"/>
      <c r="H1303" s="24"/>
      <c r="J1303" s="24"/>
      <c r="K1303" s="24"/>
      <c r="M1303" s="24"/>
      <c r="N1303" s="24"/>
      <c r="P1303" s="24"/>
    </row>
    <row r="1304" spans="2:16" x14ac:dyDescent="0.25">
      <c r="B1304" s="24"/>
      <c r="E1304" s="24"/>
      <c r="G1304" s="24"/>
      <c r="H1304" s="24"/>
      <c r="J1304" s="24"/>
      <c r="K1304" s="24"/>
      <c r="M1304" s="24"/>
      <c r="N1304" s="24"/>
      <c r="P1304" s="24"/>
    </row>
    <row r="1305" spans="2:16" x14ac:dyDescent="0.25">
      <c r="B1305" s="24"/>
      <c r="E1305" s="24"/>
      <c r="G1305" s="24"/>
      <c r="H1305" s="24"/>
      <c r="J1305" s="24"/>
      <c r="K1305" s="24"/>
      <c r="M1305" s="24"/>
      <c r="N1305" s="24"/>
      <c r="P1305" s="24"/>
    </row>
    <row r="1306" spans="2:16" x14ac:dyDescent="0.25">
      <c r="B1306" s="24"/>
      <c r="E1306" s="24"/>
      <c r="G1306" s="24"/>
      <c r="H1306" s="24"/>
      <c r="J1306" s="24"/>
      <c r="K1306" s="24"/>
      <c r="M1306" s="24"/>
      <c r="N1306" s="24"/>
      <c r="P1306" s="24"/>
    </row>
    <row r="1307" spans="2:16" x14ac:dyDescent="0.25">
      <c r="B1307" s="24"/>
      <c r="E1307" s="24"/>
      <c r="G1307" s="24"/>
      <c r="H1307" s="24"/>
      <c r="J1307" s="24"/>
      <c r="K1307" s="24"/>
      <c r="M1307" s="24"/>
      <c r="N1307" s="24"/>
      <c r="P1307" s="24"/>
    </row>
    <row r="1308" spans="2:16" x14ac:dyDescent="0.25">
      <c r="B1308" s="24"/>
      <c r="E1308" s="24"/>
      <c r="G1308" s="24"/>
      <c r="H1308" s="24"/>
      <c r="J1308" s="24"/>
      <c r="K1308" s="24"/>
      <c r="M1308" s="24"/>
      <c r="N1308" s="24"/>
      <c r="P1308" s="24"/>
    </row>
    <row r="1309" spans="2:16" x14ac:dyDescent="0.25">
      <c r="B1309" s="24"/>
      <c r="E1309" s="24"/>
      <c r="G1309" s="24"/>
      <c r="H1309" s="24"/>
      <c r="J1309" s="24"/>
      <c r="K1309" s="24"/>
      <c r="M1309" s="24"/>
      <c r="N1309" s="24"/>
      <c r="P1309" s="24"/>
    </row>
    <row r="1310" spans="2:16" x14ac:dyDescent="0.25">
      <c r="B1310" s="24"/>
      <c r="E1310" s="24"/>
      <c r="G1310" s="24"/>
      <c r="H1310" s="24"/>
      <c r="J1310" s="24"/>
      <c r="K1310" s="24"/>
      <c r="M1310" s="24"/>
      <c r="N1310" s="24"/>
      <c r="P1310" s="24"/>
    </row>
    <row r="1311" spans="2:16" x14ac:dyDescent="0.25">
      <c r="B1311" s="24"/>
      <c r="E1311" s="24"/>
      <c r="G1311" s="24"/>
      <c r="H1311" s="24"/>
      <c r="J1311" s="24"/>
      <c r="K1311" s="24"/>
      <c r="M1311" s="24"/>
      <c r="N1311" s="24"/>
      <c r="P1311" s="24"/>
    </row>
    <row r="1312" spans="2:16" x14ac:dyDescent="0.25">
      <c r="B1312" s="24"/>
      <c r="E1312" s="24"/>
      <c r="G1312" s="24"/>
      <c r="H1312" s="24"/>
      <c r="J1312" s="24"/>
      <c r="K1312" s="24"/>
      <c r="M1312" s="24"/>
      <c r="N1312" s="24"/>
      <c r="P1312" s="24"/>
    </row>
    <row r="1313" spans="2:16" x14ac:dyDescent="0.25">
      <c r="B1313" s="24"/>
      <c r="E1313" s="24"/>
      <c r="G1313" s="24"/>
      <c r="H1313" s="24"/>
      <c r="J1313" s="24"/>
      <c r="K1313" s="24"/>
      <c r="M1313" s="24"/>
      <c r="N1313" s="24"/>
      <c r="P1313" s="24"/>
    </row>
    <row r="1314" spans="2:16" x14ac:dyDescent="0.25">
      <c r="B1314" s="24"/>
      <c r="E1314" s="24"/>
      <c r="G1314" s="24"/>
      <c r="H1314" s="24"/>
      <c r="J1314" s="24"/>
      <c r="K1314" s="24"/>
      <c r="M1314" s="24"/>
      <c r="N1314" s="24"/>
      <c r="P1314" s="24"/>
    </row>
    <row r="1315" spans="2:16" x14ac:dyDescent="0.25">
      <c r="B1315" s="24"/>
      <c r="E1315" s="24"/>
      <c r="G1315" s="24"/>
      <c r="H1315" s="24"/>
      <c r="J1315" s="24"/>
      <c r="K1315" s="24"/>
      <c r="M1315" s="24"/>
      <c r="N1315" s="24"/>
      <c r="P1315" s="24"/>
    </row>
    <row r="1316" spans="2:16" x14ac:dyDescent="0.25">
      <c r="B1316" s="24"/>
      <c r="E1316" s="24"/>
      <c r="G1316" s="24"/>
      <c r="H1316" s="24"/>
      <c r="J1316" s="24"/>
      <c r="K1316" s="24"/>
      <c r="M1316" s="24"/>
      <c r="N1316" s="24"/>
      <c r="P1316" s="24"/>
    </row>
    <row r="1317" spans="2:16" x14ac:dyDescent="0.25">
      <c r="B1317" s="24"/>
      <c r="E1317" s="24"/>
      <c r="G1317" s="24"/>
      <c r="H1317" s="24"/>
      <c r="J1317" s="24"/>
      <c r="K1317" s="24"/>
      <c r="M1317" s="24"/>
      <c r="N1317" s="24"/>
      <c r="P1317" s="24"/>
    </row>
    <row r="1318" spans="2:16" x14ac:dyDescent="0.25">
      <c r="B1318" s="24"/>
      <c r="E1318" s="24"/>
      <c r="G1318" s="24"/>
      <c r="H1318" s="24"/>
      <c r="J1318" s="24"/>
      <c r="K1318" s="24"/>
      <c r="M1318" s="24"/>
      <c r="N1318" s="24"/>
      <c r="P1318" s="24"/>
    </row>
    <row r="1319" spans="2:16" x14ac:dyDescent="0.25">
      <c r="B1319" s="24"/>
      <c r="E1319" s="24"/>
      <c r="G1319" s="24"/>
      <c r="H1319" s="24"/>
      <c r="J1319" s="24"/>
      <c r="K1319" s="24"/>
      <c r="M1319" s="24"/>
      <c r="N1319" s="24"/>
      <c r="P1319" s="24"/>
    </row>
    <row r="1320" spans="2:16" x14ac:dyDescent="0.25">
      <c r="B1320" s="24"/>
      <c r="E1320" s="24"/>
      <c r="G1320" s="24"/>
      <c r="H1320" s="24"/>
      <c r="J1320" s="24"/>
      <c r="K1320" s="24"/>
      <c r="M1320" s="24"/>
      <c r="N1320" s="24"/>
      <c r="P1320" s="24"/>
    </row>
    <row r="1321" spans="2:16" x14ac:dyDescent="0.25">
      <c r="B1321" s="24"/>
      <c r="E1321" s="24"/>
      <c r="G1321" s="24"/>
      <c r="H1321" s="24"/>
      <c r="J1321" s="24"/>
      <c r="K1321" s="24"/>
      <c r="M1321" s="24"/>
      <c r="N1321" s="24"/>
      <c r="P1321" s="24"/>
    </row>
    <row r="1322" spans="2:16" x14ac:dyDescent="0.25">
      <c r="B1322" s="24"/>
      <c r="E1322" s="24"/>
      <c r="G1322" s="24"/>
      <c r="H1322" s="24"/>
      <c r="J1322" s="24"/>
      <c r="K1322" s="24"/>
      <c r="M1322" s="24"/>
      <c r="N1322" s="24"/>
      <c r="P1322" s="24"/>
    </row>
    <row r="1323" spans="2:16" x14ac:dyDescent="0.25">
      <c r="B1323" s="24"/>
      <c r="E1323" s="24"/>
      <c r="G1323" s="24"/>
      <c r="H1323" s="24"/>
      <c r="J1323" s="24"/>
      <c r="K1323" s="24"/>
      <c r="M1323" s="24"/>
      <c r="N1323" s="24"/>
      <c r="P1323" s="24"/>
    </row>
    <row r="1324" spans="2:16" x14ac:dyDescent="0.25">
      <c r="B1324" s="24"/>
      <c r="E1324" s="24"/>
      <c r="G1324" s="24"/>
      <c r="H1324" s="24"/>
      <c r="J1324" s="24"/>
      <c r="K1324" s="24"/>
      <c r="M1324" s="24"/>
      <c r="N1324" s="24"/>
      <c r="P1324" s="24"/>
    </row>
    <row r="1325" spans="2:16" x14ac:dyDescent="0.25">
      <c r="B1325" s="24"/>
      <c r="E1325" s="24"/>
      <c r="G1325" s="24"/>
      <c r="H1325" s="24"/>
      <c r="J1325" s="24"/>
      <c r="K1325" s="24"/>
      <c r="M1325" s="24"/>
      <c r="N1325" s="24"/>
      <c r="P1325" s="24"/>
    </row>
    <row r="1326" spans="2:16" x14ac:dyDescent="0.25">
      <c r="B1326" s="24"/>
      <c r="E1326" s="24"/>
      <c r="G1326" s="24"/>
      <c r="H1326" s="24"/>
      <c r="J1326" s="24"/>
      <c r="K1326" s="24"/>
      <c r="M1326" s="24"/>
      <c r="N1326" s="24"/>
      <c r="P1326" s="24"/>
    </row>
    <row r="1327" spans="2:16" x14ac:dyDescent="0.25">
      <c r="B1327" s="24"/>
      <c r="E1327" s="24"/>
      <c r="G1327" s="24"/>
      <c r="H1327" s="24"/>
      <c r="J1327" s="24"/>
      <c r="K1327" s="24"/>
      <c r="M1327" s="24"/>
      <c r="N1327" s="24"/>
      <c r="P1327" s="24"/>
    </row>
    <row r="1328" spans="2:16" x14ac:dyDescent="0.25">
      <c r="B1328" s="24"/>
      <c r="E1328" s="24"/>
      <c r="G1328" s="24"/>
      <c r="H1328" s="24"/>
      <c r="J1328" s="24"/>
      <c r="K1328" s="24"/>
      <c r="M1328" s="24"/>
      <c r="N1328" s="24"/>
      <c r="P1328" s="24"/>
    </row>
    <row r="1329" spans="2:16" x14ac:dyDescent="0.25">
      <c r="B1329" s="24"/>
      <c r="E1329" s="24"/>
      <c r="G1329" s="24"/>
      <c r="H1329" s="24"/>
      <c r="J1329" s="24"/>
      <c r="K1329" s="24"/>
      <c r="M1329" s="24"/>
      <c r="N1329" s="24"/>
      <c r="P1329" s="24"/>
    </row>
    <row r="1330" spans="2:16" x14ac:dyDescent="0.25">
      <c r="B1330" s="24"/>
      <c r="E1330" s="24"/>
      <c r="G1330" s="24"/>
      <c r="H1330" s="24"/>
      <c r="J1330" s="24"/>
      <c r="K1330" s="24"/>
      <c r="M1330" s="24"/>
      <c r="N1330" s="24"/>
      <c r="P1330" s="24"/>
    </row>
    <row r="1331" spans="2:16" x14ac:dyDescent="0.25">
      <c r="B1331" s="24"/>
      <c r="E1331" s="24"/>
      <c r="G1331" s="24"/>
      <c r="H1331" s="24"/>
      <c r="J1331" s="24"/>
      <c r="K1331" s="24"/>
      <c r="M1331" s="24"/>
      <c r="N1331" s="24"/>
      <c r="P1331" s="24"/>
    </row>
    <row r="1332" spans="2:16" x14ac:dyDescent="0.25">
      <c r="B1332" s="24"/>
      <c r="E1332" s="24"/>
      <c r="G1332" s="24"/>
      <c r="H1332" s="24"/>
      <c r="J1332" s="24"/>
      <c r="K1332" s="24"/>
      <c r="M1332" s="24"/>
      <c r="N1332" s="24"/>
      <c r="P1332" s="24"/>
    </row>
    <row r="1333" spans="2:16" x14ac:dyDescent="0.25">
      <c r="B1333" s="24"/>
      <c r="E1333" s="24"/>
      <c r="G1333" s="24"/>
      <c r="H1333" s="24"/>
      <c r="J1333" s="24"/>
      <c r="K1333" s="24"/>
      <c r="M1333" s="24"/>
      <c r="N1333" s="24"/>
      <c r="P1333" s="24"/>
    </row>
    <row r="1334" spans="2:16" x14ac:dyDescent="0.25">
      <c r="B1334" s="24"/>
      <c r="E1334" s="24"/>
      <c r="G1334" s="24"/>
      <c r="H1334" s="24"/>
      <c r="J1334" s="24"/>
      <c r="K1334" s="24"/>
      <c r="M1334" s="24"/>
      <c r="N1334" s="24"/>
      <c r="P1334" s="24"/>
    </row>
    <row r="1335" spans="2:16" x14ac:dyDescent="0.25">
      <c r="B1335" s="24"/>
      <c r="E1335" s="24"/>
      <c r="G1335" s="24"/>
      <c r="H1335" s="24"/>
      <c r="J1335" s="24"/>
      <c r="K1335" s="24"/>
      <c r="M1335" s="24"/>
      <c r="N1335" s="24"/>
      <c r="P1335" s="24"/>
    </row>
    <row r="1336" spans="2:16" x14ac:dyDescent="0.25">
      <c r="B1336" s="24"/>
      <c r="E1336" s="24"/>
      <c r="G1336" s="24"/>
      <c r="H1336" s="24"/>
      <c r="J1336" s="24"/>
      <c r="K1336" s="24"/>
      <c r="M1336" s="24"/>
      <c r="N1336" s="24"/>
      <c r="P1336" s="24"/>
    </row>
    <row r="1337" spans="2:16" x14ac:dyDescent="0.25">
      <c r="B1337" s="24"/>
      <c r="E1337" s="24"/>
      <c r="G1337" s="24"/>
      <c r="H1337" s="24"/>
      <c r="J1337" s="24"/>
      <c r="K1337" s="24"/>
      <c r="M1337" s="24"/>
      <c r="N1337" s="24"/>
      <c r="P1337" s="24"/>
    </row>
    <row r="1338" spans="2:16" x14ac:dyDescent="0.25">
      <c r="B1338" s="24"/>
      <c r="E1338" s="24"/>
      <c r="G1338" s="24"/>
      <c r="H1338" s="24"/>
      <c r="J1338" s="24"/>
      <c r="K1338" s="24"/>
      <c r="M1338" s="24"/>
      <c r="N1338" s="24"/>
      <c r="P1338" s="24"/>
    </row>
    <row r="1339" spans="2:16" x14ac:dyDescent="0.25">
      <c r="B1339" s="24"/>
      <c r="E1339" s="24"/>
      <c r="G1339" s="24"/>
      <c r="H1339" s="24"/>
      <c r="J1339" s="24"/>
      <c r="K1339" s="24"/>
      <c r="M1339" s="24"/>
      <c r="N1339" s="24"/>
      <c r="P1339" s="24"/>
    </row>
    <row r="1340" spans="2:16" x14ac:dyDescent="0.25">
      <c r="B1340" s="24"/>
      <c r="E1340" s="24"/>
      <c r="G1340" s="24"/>
      <c r="H1340" s="24"/>
      <c r="J1340" s="24"/>
      <c r="K1340" s="24"/>
      <c r="M1340" s="24"/>
      <c r="N1340" s="24"/>
      <c r="P1340" s="24"/>
    </row>
    <row r="1341" spans="2:16" x14ac:dyDescent="0.25">
      <c r="B1341" s="24"/>
      <c r="E1341" s="24"/>
      <c r="G1341" s="24"/>
      <c r="H1341" s="24"/>
      <c r="J1341" s="24"/>
      <c r="K1341" s="24"/>
      <c r="M1341" s="24"/>
      <c r="N1341" s="24"/>
      <c r="P1341" s="24"/>
    </row>
    <row r="1342" spans="2:16" x14ac:dyDescent="0.25">
      <c r="B1342" s="24"/>
      <c r="E1342" s="24"/>
      <c r="G1342" s="24"/>
      <c r="H1342" s="24"/>
      <c r="J1342" s="24"/>
      <c r="K1342" s="24"/>
      <c r="M1342" s="24"/>
      <c r="N1342" s="24"/>
      <c r="P1342" s="24"/>
    </row>
    <row r="1343" spans="2:16" x14ac:dyDescent="0.25">
      <c r="B1343" s="24"/>
      <c r="E1343" s="24"/>
      <c r="G1343" s="24"/>
      <c r="H1343" s="24"/>
      <c r="J1343" s="24"/>
      <c r="K1343" s="24"/>
      <c r="M1343" s="24"/>
      <c r="N1343" s="24"/>
      <c r="P1343" s="24"/>
    </row>
    <row r="1344" spans="2:16" x14ac:dyDescent="0.25">
      <c r="B1344" s="24"/>
      <c r="E1344" s="24"/>
      <c r="G1344" s="24"/>
      <c r="H1344" s="24"/>
      <c r="J1344" s="24"/>
      <c r="K1344" s="24"/>
      <c r="M1344" s="24"/>
      <c r="N1344" s="24"/>
      <c r="P1344" s="24"/>
    </row>
    <row r="1345" spans="2:16" x14ac:dyDescent="0.25">
      <c r="B1345" s="24"/>
      <c r="E1345" s="24"/>
      <c r="G1345" s="24"/>
      <c r="H1345" s="24"/>
      <c r="J1345" s="24"/>
      <c r="K1345" s="24"/>
      <c r="M1345" s="24"/>
      <c r="N1345" s="24"/>
      <c r="P1345" s="24"/>
    </row>
    <row r="1346" spans="2:16" x14ac:dyDescent="0.25">
      <c r="B1346" s="24"/>
      <c r="E1346" s="24"/>
      <c r="G1346" s="24"/>
      <c r="H1346" s="24"/>
      <c r="J1346" s="24"/>
      <c r="K1346" s="24"/>
      <c r="M1346" s="24"/>
      <c r="N1346" s="24"/>
      <c r="P1346" s="24"/>
    </row>
    <row r="1347" spans="2:16" x14ac:dyDescent="0.25">
      <c r="B1347" s="24"/>
      <c r="E1347" s="24"/>
      <c r="G1347" s="24"/>
      <c r="H1347" s="24"/>
      <c r="J1347" s="24"/>
      <c r="K1347" s="24"/>
      <c r="M1347" s="24"/>
      <c r="N1347" s="24"/>
      <c r="P1347" s="24"/>
    </row>
    <row r="1348" spans="2:16" x14ac:dyDescent="0.25">
      <c r="B1348" s="24"/>
      <c r="E1348" s="24"/>
      <c r="G1348" s="24"/>
      <c r="H1348" s="24"/>
      <c r="J1348" s="24"/>
      <c r="K1348" s="24"/>
      <c r="M1348" s="24"/>
      <c r="N1348" s="24"/>
      <c r="P1348" s="24"/>
    </row>
    <row r="1349" spans="2:16" x14ac:dyDescent="0.25">
      <c r="B1349" s="24"/>
      <c r="E1349" s="24"/>
      <c r="G1349" s="24"/>
      <c r="H1349" s="24"/>
      <c r="J1349" s="24"/>
      <c r="K1349" s="24"/>
      <c r="M1349" s="24"/>
      <c r="N1349" s="24"/>
      <c r="P1349" s="24"/>
    </row>
    <row r="1350" spans="2:16" x14ac:dyDescent="0.25">
      <c r="B1350" s="24"/>
      <c r="E1350" s="24"/>
      <c r="G1350" s="24"/>
      <c r="H1350" s="24"/>
      <c r="J1350" s="24"/>
      <c r="K1350" s="24"/>
      <c r="M1350" s="24"/>
      <c r="N1350" s="24"/>
      <c r="P1350" s="24"/>
    </row>
    <row r="1351" spans="2:16" x14ac:dyDescent="0.25">
      <c r="B1351" s="24"/>
      <c r="E1351" s="24"/>
      <c r="G1351" s="24"/>
      <c r="H1351" s="24"/>
      <c r="J1351" s="24"/>
      <c r="K1351" s="24"/>
      <c r="M1351" s="24"/>
      <c r="N1351" s="24"/>
      <c r="P1351" s="24"/>
    </row>
    <row r="1352" spans="2:16" x14ac:dyDescent="0.25">
      <c r="B1352" s="24"/>
      <c r="E1352" s="24"/>
      <c r="G1352" s="24"/>
      <c r="H1352" s="24"/>
      <c r="J1352" s="24"/>
      <c r="K1352" s="24"/>
      <c r="M1352" s="24"/>
      <c r="N1352" s="24"/>
      <c r="P1352" s="24"/>
    </row>
    <row r="1353" spans="2:16" x14ac:dyDescent="0.25">
      <c r="B1353" s="24"/>
      <c r="E1353" s="24"/>
      <c r="G1353" s="24"/>
      <c r="H1353" s="24"/>
      <c r="J1353" s="24"/>
      <c r="K1353" s="24"/>
      <c r="M1353" s="24"/>
      <c r="N1353" s="24"/>
      <c r="P1353" s="24"/>
    </row>
    <row r="1354" spans="2:16" x14ac:dyDescent="0.25">
      <c r="B1354" s="24"/>
      <c r="E1354" s="24"/>
      <c r="G1354" s="24"/>
      <c r="H1354" s="24"/>
      <c r="J1354" s="24"/>
      <c r="K1354" s="24"/>
      <c r="M1354" s="24"/>
      <c r="N1354" s="24"/>
      <c r="P1354" s="24"/>
    </row>
    <row r="1355" spans="2:16" x14ac:dyDescent="0.25">
      <c r="B1355" s="24"/>
      <c r="E1355" s="24"/>
      <c r="G1355" s="24"/>
      <c r="H1355" s="24"/>
      <c r="J1355" s="24"/>
      <c r="K1355" s="24"/>
      <c r="M1355" s="24"/>
      <c r="N1355" s="24"/>
      <c r="P1355" s="24"/>
    </row>
    <row r="1356" spans="2:16" x14ac:dyDescent="0.25">
      <c r="B1356" s="24"/>
      <c r="E1356" s="24"/>
      <c r="G1356" s="24"/>
      <c r="H1356" s="24"/>
      <c r="J1356" s="24"/>
      <c r="K1356" s="24"/>
      <c r="M1356" s="24"/>
      <c r="N1356" s="24"/>
      <c r="P1356" s="24"/>
    </row>
    <row r="1357" spans="2:16" x14ac:dyDescent="0.25">
      <c r="B1357" s="24"/>
      <c r="E1357" s="24"/>
      <c r="G1357" s="24"/>
      <c r="H1357" s="24"/>
      <c r="J1357" s="24"/>
      <c r="K1357" s="24"/>
      <c r="M1357" s="24"/>
      <c r="N1357" s="24"/>
      <c r="P1357" s="24"/>
    </row>
    <row r="1358" spans="2:16" x14ac:dyDescent="0.25">
      <c r="B1358" s="24"/>
      <c r="E1358" s="24"/>
      <c r="G1358" s="24"/>
      <c r="H1358" s="24"/>
      <c r="J1358" s="24"/>
      <c r="K1358" s="24"/>
      <c r="M1358" s="24"/>
      <c r="N1358" s="24"/>
      <c r="P1358" s="24"/>
    </row>
    <row r="1359" spans="2:16" x14ac:dyDescent="0.25">
      <c r="B1359" s="24"/>
      <c r="E1359" s="24"/>
      <c r="G1359" s="24"/>
      <c r="H1359" s="24"/>
      <c r="J1359" s="24"/>
      <c r="K1359" s="24"/>
      <c r="M1359" s="24"/>
      <c r="N1359" s="24"/>
      <c r="P1359" s="24"/>
    </row>
    <row r="1360" spans="2:16" x14ac:dyDescent="0.25">
      <c r="B1360" s="24"/>
      <c r="E1360" s="24"/>
      <c r="G1360" s="24"/>
      <c r="H1360" s="24"/>
      <c r="J1360" s="24"/>
      <c r="K1360" s="24"/>
      <c r="M1360" s="24"/>
      <c r="N1360" s="24"/>
      <c r="P1360" s="24"/>
    </row>
    <row r="1361" spans="2:16" x14ac:dyDescent="0.25">
      <c r="B1361" s="24"/>
      <c r="E1361" s="24"/>
      <c r="G1361" s="24"/>
      <c r="H1361" s="24"/>
      <c r="J1361" s="24"/>
      <c r="K1361" s="24"/>
      <c r="M1361" s="24"/>
      <c r="N1361" s="24"/>
      <c r="P1361" s="24"/>
    </row>
    <row r="1362" spans="2:16" x14ac:dyDescent="0.25">
      <c r="B1362" s="24"/>
      <c r="E1362" s="24"/>
      <c r="G1362" s="24"/>
      <c r="H1362" s="24"/>
      <c r="J1362" s="24"/>
      <c r="K1362" s="24"/>
      <c r="M1362" s="24"/>
      <c r="N1362" s="24"/>
      <c r="P1362" s="24"/>
    </row>
    <row r="1363" spans="2:16" x14ac:dyDescent="0.25">
      <c r="B1363" s="24"/>
      <c r="E1363" s="24"/>
      <c r="G1363" s="24"/>
      <c r="H1363" s="24"/>
      <c r="J1363" s="24"/>
      <c r="K1363" s="24"/>
      <c r="M1363" s="24"/>
      <c r="N1363" s="24"/>
      <c r="P1363" s="24"/>
    </row>
    <row r="1364" spans="2:16" x14ac:dyDescent="0.25">
      <c r="B1364" s="24"/>
      <c r="E1364" s="24"/>
      <c r="G1364" s="24"/>
      <c r="H1364" s="24"/>
      <c r="J1364" s="24"/>
      <c r="K1364" s="24"/>
      <c r="M1364" s="24"/>
      <c r="N1364" s="24"/>
      <c r="P1364" s="24"/>
    </row>
    <row r="1365" spans="2:16" x14ac:dyDescent="0.25">
      <c r="B1365" s="24"/>
      <c r="E1365" s="24"/>
      <c r="G1365" s="24"/>
      <c r="H1365" s="24"/>
      <c r="J1365" s="24"/>
      <c r="K1365" s="24"/>
      <c r="M1365" s="24"/>
      <c r="N1365" s="24"/>
      <c r="P1365" s="24"/>
    </row>
    <row r="1366" spans="2:16" x14ac:dyDescent="0.25">
      <c r="B1366" s="24"/>
      <c r="E1366" s="24"/>
      <c r="G1366" s="24"/>
      <c r="H1366" s="24"/>
      <c r="J1366" s="24"/>
      <c r="K1366" s="24"/>
      <c r="M1366" s="24"/>
      <c r="N1366" s="24"/>
      <c r="P1366" s="24"/>
    </row>
    <row r="1367" spans="2:16" x14ac:dyDescent="0.25">
      <c r="B1367" s="24"/>
      <c r="E1367" s="24"/>
      <c r="G1367" s="24"/>
      <c r="H1367" s="24"/>
      <c r="J1367" s="24"/>
      <c r="K1367" s="24"/>
      <c r="M1367" s="24"/>
      <c r="N1367" s="24"/>
      <c r="P1367" s="24"/>
    </row>
    <row r="1368" spans="2:16" x14ac:dyDescent="0.25">
      <c r="B1368" s="24"/>
      <c r="E1368" s="24"/>
      <c r="G1368" s="24"/>
      <c r="H1368" s="24"/>
      <c r="J1368" s="24"/>
      <c r="K1368" s="24"/>
      <c r="M1368" s="24"/>
      <c r="N1368" s="24"/>
      <c r="P1368" s="24"/>
    </row>
    <row r="1369" spans="2:16" x14ac:dyDescent="0.25">
      <c r="B1369" s="24"/>
      <c r="E1369" s="24"/>
      <c r="G1369" s="24"/>
      <c r="H1369" s="24"/>
      <c r="J1369" s="24"/>
      <c r="K1369" s="24"/>
      <c r="M1369" s="24"/>
      <c r="N1369" s="24"/>
      <c r="P1369" s="24"/>
    </row>
    <row r="1370" spans="2:16" x14ac:dyDescent="0.25">
      <c r="B1370" s="24"/>
      <c r="E1370" s="24"/>
      <c r="G1370" s="24"/>
      <c r="H1370" s="24"/>
      <c r="J1370" s="24"/>
      <c r="K1370" s="24"/>
      <c r="M1370" s="24"/>
      <c r="N1370" s="24"/>
      <c r="P1370" s="24"/>
    </row>
    <row r="1371" spans="2:16" x14ac:dyDescent="0.25">
      <c r="B1371" s="24"/>
      <c r="E1371" s="24"/>
      <c r="G1371" s="24"/>
      <c r="H1371" s="24"/>
      <c r="J1371" s="24"/>
      <c r="K1371" s="24"/>
      <c r="M1371" s="24"/>
      <c r="N1371" s="24"/>
      <c r="P1371" s="24"/>
    </row>
    <row r="1372" spans="2:16" x14ac:dyDescent="0.25">
      <c r="B1372" s="24"/>
      <c r="E1372" s="24"/>
      <c r="G1372" s="24"/>
      <c r="H1372" s="24"/>
      <c r="J1372" s="24"/>
      <c r="K1372" s="24"/>
      <c r="M1372" s="24"/>
      <c r="N1372" s="24"/>
      <c r="P1372" s="24"/>
    </row>
    <row r="1373" spans="2:16" x14ac:dyDescent="0.25">
      <c r="B1373" s="24"/>
      <c r="E1373" s="24"/>
      <c r="G1373" s="24"/>
      <c r="H1373" s="24"/>
      <c r="J1373" s="24"/>
      <c r="K1373" s="24"/>
      <c r="M1373" s="24"/>
      <c r="N1373" s="24"/>
      <c r="P1373" s="24"/>
    </row>
    <row r="1374" spans="2:16" x14ac:dyDescent="0.25">
      <c r="B1374" s="24"/>
      <c r="E1374" s="24"/>
      <c r="G1374" s="24"/>
      <c r="H1374" s="24"/>
      <c r="J1374" s="24"/>
      <c r="K1374" s="24"/>
      <c r="M1374" s="24"/>
      <c r="N1374" s="24"/>
      <c r="P1374" s="24"/>
    </row>
    <row r="1375" spans="2:16" x14ac:dyDescent="0.25">
      <c r="B1375" s="24"/>
      <c r="E1375" s="24"/>
      <c r="G1375" s="24"/>
      <c r="H1375" s="24"/>
      <c r="J1375" s="24"/>
      <c r="K1375" s="24"/>
      <c r="M1375" s="24"/>
      <c r="N1375" s="24"/>
      <c r="P1375" s="24"/>
    </row>
    <row r="1376" spans="2:16" x14ac:dyDescent="0.25">
      <c r="B1376" s="24"/>
      <c r="E1376" s="24"/>
      <c r="G1376" s="24"/>
      <c r="H1376" s="24"/>
      <c r="J1376" s="24"/>
      <c r="K1376" s="24"/>
      <c r="M1376" s="24"/>
      <c r="N1376" s="24"/>
      <c r="P1376" s="24"/>
    </row>
    <row r="1377" spans="2:16" x14ac:dyDescent="0.25">
      <c r="B1377" s="24"/>
      <c r="E1377" s="24"/>
      <c r="G1377" s="24"/>
      <c r="H1377" s="24"/>
      <c r="J1377" s="24"/>
      <c r="K1377" s="24"/>
      <c r="M1377" s="24"/>
      <c r="N1377" s="24"/>
      <c r="P1377" s="24"/>
    </row>
    <row r="1378" spans="2:16" x14ac:dyDescent="0.25">
      <c r="B1378" s="24"/>
      <c r="E1378" s="24"/>
      <c r="G1378" s="24"/>
      <c r="H1378" s="24"/>
      <c r="J1378" s="24"/>
      <c r="K1378" s="24"/>
      <c r="M1378" s="24"/>
      <c r="N1378" s="24"/>
      <c r="P1378" s="24"/>
    </row>
    <row r="1379" spans="2:16" x14ac:dyDescent="0.25">
      <c r="B1379" s="24"/>
      <c r="E1379" s="24"/>
      <c r="G1379" s="24"/>
      <c r="H1379" s="24"/>
      <c r="J1379" s="24"/>
      <c r="K1379" s="24"/>
      <c r="M1379" s="24"/>
      <c r="N1379" s="24"/>
      <c r="P1379" s="24"/>
    </row>
    <row r="1380" spans="2:16" x14ac:dyDescent="0.25">
      <c r="B1380" s="24"/>
      <c r="E1380" s="24"/>
      <c r="G1380" s="24"/>
      <c r="H1380" s="24"/>
      <c r="J1380" s="24"/>
      <c r="K1380" s="24"/>
      <c r="M1380" s="24"/>
      <c r="N1380" s="24"/>
      <c r="P1380" s="24"/>
    </row>
    <row r="1381" spans="2:16" x14ac:dyDescent="0.25">
      <c r="B1381" s="24"/>
      <c r="E1381" s="24"/>
      <c r="G1381" s="24"/>
      <c r="H1381" s="24"/>
      <c r="J1381" s="24"/>
      <c r="K1381" s="24"/>
      <c r="M1381" s="24"/>
      <c r="N1381" s="24"/>
      <c r="P1381" s="24"/>
    </row>
    <row r="1382" spans="2:16" x14ac:dyDescent="0.25">
      <c r="B1382" s="24"/>
      <c r="E1382" s="24"/>
      <c r="G1382" s="24"/>
      <c r="H1382" s="24"/>
      <c r="J1382" s="24"/>
      <c r="K1382" s="24"/>
      <c r="M1382" s="24"/>
      <c r="N1382" s="24"/>
      <c r="P1382" s="24"/>
    </row>
    <row r="1383" spans="2:16" x14ac:dyDescent="0.25">
      <c r="B1383" s="24"/>
      <c r="E1383" s="24"/>
      <c r="G1383" s="24"/>
      <c r="H1383" s="24"/>
      <c r="J1383" s="24"/>
      <c r="K1383" s="24"/>
      <c r="M1383" s="24"/>
      <c r="N1383" s="24"/>
      <c r="P1383" s="24"/>
    </row>
    <row r="1384" spans="2:16" x14ac:dyDescent="0.25">
      <c r="B1384" s="24"/>
      <c r="E1384" s="24"/>
      <c r="G1384" s="24"/>
      <c r="H1384" s="24"/>
      <c r="J1384" s="24"/>
      <c r="K1384" s="24"/>
      <c r="M1384" s="24"/>
      <c r="N1384" s="24"/>
      <c r="P1384" s="24"/>
    </row>
    <row r="1385" spans="2:16" x14ac:dyDescent="0.25">
      <c r="B1385" s="24"/>
      <c r="E1385" s="24"/>
      <c r="G1385" s="24"/>
      <c r="H1385" s="24"/>
      <c r="J1385" s="24"/>
      <c r="K1385" s="24"/>
      <c r="M1385" s="24"/>
      <c r="N1385" s="24"/>
      <c r="P1385" s="24"/>
    </row>
    <row r="1386" spans="2:16" x14ac:dyDescent="0.25">
      <c r="B1386" s="24"/>
      <c r="E1386" s="24"/>
      <c r="G1386" s="24"/>
      <c r="H1386" s="24"/>
      <c r="J1386" s="24"/>
      <c r="K1386" s="24"/>
      <c r="M1386" s="24"/>
      <c r="N1386" s="24"/>
      <c r="P1386" s="24"/>
    </row>
    <row r="1387" spans="2:16" x14ac:dyDescent="0.25">
      <c r="B1387" s="24"/>
      <c r="E1387" s="24"/>
      <c r="G1387" s="24"/>
      <c r="H1387" s="24"/>
      <c r="J1387" s="24"/>
      <c r="K1387" s="24"/>
      <c r="M1387" s="24"/>
      <c r="N1387" s="24"/>
      <c r="P1387" s="24"/>
    </row>
    <row r="1388" spans="2:16" x14ac:dyDescent="0.25">
      <c r="B1388" s="24"/>
      <c r="E1388" s="24"/>
      <c r="G1388" s="24"/>
      <c r="H1388" s="24"/>
      <c r="J1388" s="24"/>
      <c r="K1388" s="24"/>
      <c r="M1388" s="24"/>
      <c r="N1388" s="24"/>
      <c r="P1388" s="24"/>
    </row>
    <row r="1389" spans="2:16" x14ac:dyDescent="0.25">
      <c r="B1389" s="24"/>
      <c r="E1389" s="24"/>
      <c r="G1389" s="24"/>
      <c r="H1389" s="24"/>
      <c r="J1389" s="24"/>
      <c r="K1389" s="24"/>
      <c r="M1389" s="24"/>
      <c r="N1389" s="24"/>
      <c r="P1389" s="24"/>
    </row>
    <row r="1390" spans="2:16" x14ac:dyDescent="0.25">
      <c r="B1390" s="24"/>
      <c r="E1390" s="24"/>
      <c r="G1390" s="24"/>
      <c r="H1390" s="24"/>
      <c r="J1390" s="24"/>
      <c r="K1390" s="24"/>
      <c r="M1390" s="24"/>
      <c r="N1390" s="24"/>
      <c r="P1390" s="24"/>
    </row>
    <row r="1391" spans="2:16" x14ac:dyDescent="0.25">
      <c r="B1391" s="24"/>
      <c r="E1391" s="24"/>
      <c r="G1391" s="24"/>
      <c r="H1391" s="24"/>
      <c r="J1391" s="24"/>
      <c r="K1391" s="24"/>
      <c r="M1391" s="24"/>
      <c r="N1391" s="24"/>
      <c r="P1391" s="24"/>
    </row>
    <row r="1392" spans="2:16" x14ac:dyDescent="0.25">
      <c r="B1392" s="24"/>
      <c r="E1392" s="24"/>
      <c r="G1392" s="24"/>
      <c r="H1392" s="24"/>
      <c r="J1392" s="24"/>
      <c r="K1392" s="24"/>
      <c r="M1392" s="24"/>
      <c r="N1392" s="24"/>
      <c r="P1392" s="24"/>
    </row>
    <row r="1393" spans="2:16" x14ac:dyDescent="0.25">
      <c r="B1393" s="24"/>
      <c r="E1393" s="24"/>
      <c r="G1393" s="24"/>
      <c r="H1393" s="24"/>
      <c r="J1393" s="24"/>
      <c r="K1393" s="24"/>
      <c r="M1393" s="24"/>
      <c r="N1393" s="24"/>
      <c r="P1393" s="24"/>
    </row>
    <row r="1394" spans="2:16" x14ac:dyDescent="0.25">
      <c r="B1394" s="24"/>
      <c r="E1394" s="24"/>
      <c r="G1394" s="24"/>
      <c r="H1394" s="24"/>
      <c r="J1394" s="24"/>
      <c r="K1394" s="24"/>
      <c r="M1394" s="24"/>
      <c r="N1394" s="24"/>
      <c r="P1394" s="24"/>
    </row>
    <row r="1395" spans="2:16" x14ac:dyDescent="0.25">
      <c r="B1395" s="24"/>
      <c r="E1395" s="24"/>
      <c r="G1395" s="24"/>
      <c r="H1395" s="24"/>
      <c r="J1395" s="24"/>
      <c r="K1395" s="24"/>
      <c r="M1395" s="24"/>
      <c r="N1395" s="24"/>
      <c r="P1395" s="24"/>
    </row>
    <row r="1396" spans="2:16" x14ac:dyDescent="0.25">
      <c r="B1396" s="24"/>
      <c r="E1396" s="24"/>
      <c r="G1396" s="24"/>
      <c r="H1396" s="24"/>
      <c r="J1396" s="24"/>
      <c r="K1396" s="24"/>
      <c r="M1396" s="24"/>
      <c r="N1396" s="24"/>
      <c r="P1396" s="24"/>
    </row>
    <row r="1397" spans="2:16" x14ac:dyDescent="0.25">
      <c r="B1397" s="24"/>
      <c r="E1397" s="24"/>
      <c r="G1397" s="24"/>
      <c r="H1397" s="24"/>
      <c r="J1397" s="24"/>
      <c r="K1397" s="24"/>
      <c r="M1397" s="24"/>
      <c r="N1397" s="24"/>
      <c r="P1397" s="24"/>
    </row>
    <row r="1398" spans="2:16" x14ac:dyDescent="0.25">
      <c r="B1398" s="24"/>
      <c r="E1398" s="24"/>
      <c r="G1398" s="24"/>
      <c r="H1398" s="24"/>
      <c r="J1398" s="24"/>
      <c r="K1398" s="24"/>
      <c r="M1398" s="24"/>
      <c r="N1398" s="24"/>
      <c r="P1398" s="24"/>
    </row>
    <row r="1399" spans="2:16" x14ac:dyDescent="0.25">
      <c r="B1399" s="24"/>
      <c r="E1399" s="24"/>
      <c r="G1399" s="24"/>
      <c r="H1399" s="24"/>
      <c r="J1399" s="24"/>
      <c r="K1399" s="24"/>
      <c r="M1399" s="24"/>
      <c r="N1399" s="24"/>
      <c r="P1399" s="24"/>
    </row>
    <row r="1400" spans="2:16" x14ac:dyDescent="0.25">
      <c r="B1400" s="24"/>
      <c r="E1400" s="24"/>
      <c r="G1400" s="24"/>
      <c r="H1400" s="24"/>
      <c r="J1400" s="24"/>
      <c r="K1400" s="24"/>
      <c r="M1400" s="24"/>
      <c r="N1400" s="24"/>
      <c r="P1400" s="24"/>
    </row>
    <row r="1401" spans="2:16" x14ac:dyDescent="0.25">
      <c r="B1401" s="24"/>
      <c r="E1401" s="24"/>
      <c r="G1401" s="24"/>
      <c r="H1401" s="24"/>
      <c r="J1401" s="24"/>
      <c r="K1401" s="24"/>
      <c r="M1401" s="24"/>
      <c r="N1401" s="24"/>
      <c r="P1401" s="24"/>
    </row>
    <row r="1402" spans="2:16" x14ac:dyDescent="0.25">
      <c r="B1402" s="24"/>
      <c r="E1402" s="24"/>
      <c r="G1402" s="24"/>
      <c r="H1402" s="24"/>
      <c r="J1402" s="24"/>
      <c r="K1402" s="24"/>
      <c r="M1402" s="24"/>
      <c r="N1402" s="24"/>
      <c r="P1402" s="24"/>
    </row>
    <row r="1403" spans="2:16" x14ac:dyDescent="0.25">
      <c r="B1403" s="24"/>
      <c r="E1403" s="24"/>
      <c r="G1403" s="24"/>
      <c r="H1403" s="24"/>
      <c r="J1403" s="24"/>
      <c r="K1403" s="24"/>
      <c r="M1403" s="24"/>
      <c r="N1403" s="24"/>
      <c r="P1403" s="24"/>
    </row>
    <row r="1404" spans="2:16" x14ac:dyDescent="0.25">
      <c r="B1404" s="24"/>
      <c r="E1404" s="24"/>
      <c r="G1404" s="24"/>
      <c r="H1404" s="24"/>
      <c r="J1404" s="24"/>
      <c r="K1404" s="24"/>
      <c r="M1404" s="24"/>
      <c r="N1404" s="24"/>
      <c r="P1404" s="24"/>
    </row>
    <row r="1405" spans="2:16" x14ac:dyDescent="0.25">
      <c r="B1405" s="24"/>
      <c r="E1405" s="24"/>
      <c r="G1405" s="24"/>
      <c r="H1405" s="24"/>
      <c r="J1405" s="24"/>
      <c r="K1405" s="24"/>
      <c r="M1405" s="24"/>
      <c r="N1405" s="24"/>
      <c r="P1405" s="24"/>
    </row>
    <row r="1406" spans="2:16" x14ac:dyDescent="0.25">
      <c r="B1406" s="24"/>
      <c r="E1406" s="24"/>
      <c r="G1406" s="24"/>
      <c r="H1406" s="24"/>
      <c r="J1406" s="24"/>
      <c r="K1406" s="24"/>
      <c r="M1406" s="24"/>
      <c r="N1406" s="24"/>
      <c r="P1406" s="24"/>
    </row>
    <row r="1407" spans="2:16" x14ac:dyDescent="0.25">
      <c r="B1407" s="24"/>
      <c r="E1407" s="24"/>
      <c r="G1407" s="24"/>
      <c r="H1407" s="24"/>
      <c r="J1407" s="24"/>
      <c r="K1407" s="24"/>
      <c r="M1407" s="24"/>
      <c r="N1407" s="24"/>
      <c r="P1407" s="24"/>
    </row>
    <row r="1408" spans="2:16" x14ac:dyDescent="0.25">
      <c r="B1408" s="24"/>
      <c r="E1408" s="24"/>
      <c r="G1408" s="24"/>
      <c r="H1408" s="24"/>
      <c r="J1408" s="24"/>
      <c r="K1408" s="24"/>
      <c r="M1408" s="24"/>
      <c r="N1408" s="24"/>
      <c r="P1408" s="24"/>
    </row>
    <row r="1409" spans="2:16" x14ac:dyDescent="0.25">
      <c r="B1409" s="24"/>
      <c r="E1409" s="24"/>
      <c r="G1409" s="24"/>
      <c r="H1409" s="24"/>
      <c r="J1409" s="24"/>
      <c r="K1409" s="24"/>
      <c r="M1409" s="24"/>
      <c r="N1409" s="24"/>
      <c r="P1409" s="24"/>
    </row>
    <row r="1410" spans="2:16" x14ac:dyDescent="0.25">
      <c r="B1410" s="24"/>
      <c r="E1410" s="24"/>
      <c r="G1410" s="24"/>
      <c r="H1410" s="24"/>
      <c r="J1410" s="24"/>
      <c r="K1410" s="24"/>
      <c r="M1410" s="24"/>
      <c r="N1410" s="24"/>
      <c r="P1410" s="24"/>
    </row>
    <row r="1411" spans="2:16" x14ac:dyDescent="0.25">
      <c r="B1411" s="24"/>
      <c r="E1411" s="24"/>
      <c r="G1411" s="24"/>
      <c r="H1411" s="24"/>
      <c r="J1411" s="24"/>
      <c r="K1411" s="24"/>
      <c r="M1411" s="24"/>
      <c r="N1411" s="24"/>
      <c r="P1411" s="24"/>
    </row>
    <row r="1412" spans="2:16" x14ac:dyDescent="0.25">
      <c r="B1412" s="24"/>
      <c r="E1412" s="24"/>
      <c r="G1412" s="24"/>
      <c r="H1412" s="24"/>
      <c r="J1412" s="24"/>
      <c r="K1412" s="24"/>
      <c r="M1412" s="24"/>
      <c r="N1412" s="24"/>
      <c r="P1412" s="24"/>
    </row>
    <row r="1413" spans="2:16" x14ac:dyDescent="0.25">
      <c r="B1413" s="24"/>
      <c r="E1413" s="24"/>
      <c r="G1413" s="24"/>
      <c r="H1413" s="24"/>
      <c r="J1413" s="24"/>
      <c r="K1413" s="24"/>
      <c r="M1413" s="24"/>
      <c r="N1413" s="24"/>
      <c r="P1413" s="24"/>
    </row>
    <row r="1414" spans="2:16" x14ac:dyDescent="0.25">
      <c r="B1414" s="24"/>
      <c r="E1414" s="24"/>
      <c r="G1414" s="24"/>
      <c r="H1414" s="24"/>
      <c r="J1414" s="24"/>
      <c r="K1414" s="24"/>
      <c r="M1414" s="24"/>
      <c r="N1414" s="24"/>
      <c r="P1414" s="24"/>
    </row>
    <row r="1415" spans="2:16" x14ac:dyDescent="0.25">
      <c r="B1415" s="24"/>
      <c r="E1415" s="24"/>
      <c r="G1415" s="24"/>
      <c r="H1415" s="24"/>
      <c r="J1415" s="24"/>
      <c r="K1415" s="24"/>
      <c r="M1415" s="24"/>
      <c r="N1415" s="24"/>
      <c r="P1415" s="24"/>
    </row>
    <row r="1416" spans="2:16" x14ac:dyDescent="0.25">
      <c r="B1416" s="24"/>
      <c r="E1416" s="24"/>
      <c r="G1416" s="24"/>
      <c r="H1416" s="24"/>
      <c r="J1416" s="24"/>
      <c r="K1416" s="24"/>
      <c r="M1416" s="24"/>
      <c r="N1416" s="24"/>
      <c r="P1416" s="24"/>
    </row>
    <row r="1417" spans="2:16" x14ac:dyDescent="0.25">
      <c r="B1417" s="24"/>
      <c r="E1417" s="24"/>
      <c r="G1417" s="24"/>
      <c r="H1417" s="24"/>
      <c r="J1417" s="24"/>
      <c r="K1417" s="24"/>
      <c r="M1417" s="24"/>
      <c r="N1417" s="24"/>
      <c r="P1417" s="24"/>
    </row>
    <row r="1418" spans="2:16" x14ac:dyDescent="0.25">
      <c r="B1418" s="24"/>
      <c r="E1418" s="24"/>
      <c r="G1418" s="24"/>
      <c r="H1418" s="24"/>
      <c r="J1418" s="24"/>
      <c r="K1418" s="24"/>
      <c r="M1418" s="24"/>
      <c r="N1418" s="24"/>
      <c r="P1418" s="24"/>
    </row>
    <row r="1419" spans="2:16" x14ac:dyDescent="0.25">
      <c r="B1419" s="24"/>
      <c r="E1419" s="24"/>
      <c r="G1419" s="24"/>
      <c r="H1419" s="24"/>
      <c r="J1419" s="24"/>
      <c r="K1419" s="24"/>
      <c r="M1419" s="24"/>
      <c r="N1419" s="24"/>
      <c r="P1419" s="24"/>
    </row>
    <row r="1420" spans="2:16" x14ac:dyDescent="0.25">
      <c r="B1420" s="24"/>
      <c r="E1420" s="24"/>
      <c r="G1420" s="24"/>
      <c r="H1420" s="24"/>
      <c r="J1420" s="24"/>
      <c r="K1420" s="24"/>
      <c r="M1420" s="24"/>
      <c r="N1420" s="24"/>
      <c r="P1420" s="24"/>
    </row>
    <row r="1421" spans="2:16" x14ac:dyDescent="0.25">
      <c r="B1421" s="24"/>
      <c r="E1421" s="24"/>
      <c r="G1421" s="24"/>
      <c r="H1421" s="24"/>
      <c r="J1421" s="24"/>
      <c r="K1421" s="24"/>
      <c r="M1421" s="24"/>
      <c r="N1421" s="24"/>
      <c r="P1421" s="24"/>
    </row>
    <row r="1422" spans="2:16" x14ac:dyDescent="0.25">
      <c r="B1422" s="24"/>
      <c r="E1422" s="24"/>
      <c r="G1422" s="24"/>
      <c r="H1422" s="24"/>
      <c r="J1422" s="24"/>
      <c r="K1422" s="24"/>
      <c r="M1422" s="24"/>
      <c r="N1422" s="24"/>
      <c r="P1422" s="24"/>
    </row>
    <row r="1423" spans="2:16" x14ac:dyDescent="0.25">
      <c r="B1423" s="24"/>
      <c r="E1423" s="24"/>
      <c r="G1423" s="24"/>
      <c r="H1423" s="24"/>
      <c r="J1423" s="24"/>
      <c r="K1423" s="24"/>
      <c r="M1423" s="24"/>
      <c r="N1423" s="24"/>
      <c r="P1423" s="24"/>
    </row>
    <row r="1424" spans="2:16" x14ac:dyDescent="0.25">
      <c r="B1424" s="24"/>
      <c r="E1424" s="24"/>
      <c r="G1424" s="24"/>
      <c r="H1424" s="24"/>
      <c r="J1424" s="24"/>
      <c r="K1424" s="24"/>
      <c r="M1424" s="24"/>
      <c r="N1424" s="24"/>
      <c r="P1424" s="24"/>
    </row>
    <row r="1425" spans="2:16" x14ac:dyDescent="0.25">
      <c r="B1425" s="24"/>
      <c r="E1425" s="24"/>
      <c r="G1425" s="24"/>
      <c r="H1425" s="24"/>
      <c r="J1425" s="24"/>
      <c r="K1425" s="24"/>
      <c r="M1425" s="24"/>
      <c r="N1425" s="24"/>
      <c r="P1425" s="24"/>
    </row>
    <row r="1426" spans="2:16" x14ac:dyDescent="0.25">
      <c r="B1426" s="24"/>
      <c r="E1426" s="24"/>
      <c r="G1426" s="24"/>
      <c r="H1426" s="24"/>
      <c r="J1426" s="24"/>
      <c r="K1426" s="24"/>
      <c r="M1426" s="24"/>
      <c r="N1426" s="24"/>
      <c r="P1426" s="24"/>
    </row>
    <row r="1427" spans="2:16" x14ac:dyDescent="0.25">
      <c r="B1427" s="24"/>
      <c r="E1427" s="24"/>
      <c r="G1427" s="24"/>
      <c r="H1427" s="24"/>
      <c r="J1427" s="24"/>
      <c r="K1427" s="24"/>
      <c r="M1427" s="24"/>
      <c r="N1427" s="24"/>
      <c r="P1427" s="24"/>
    </row>
    <row r="1428" spans="2:16" x14ac:dyDescent="0.25">
      <c r="B1428" s="24"/>
      <c r="E1428" s="24"/>
      <c r="G1428" s="24"/>
      <c r="H1428" s="24"/>
      <c r="J1428" s="24"/>
      <c r="K1428" s="24"/>
      <c r="M1428" s="24"/>
      <c r="N1428" s="24"/>
      <c r="P1428" s="24"/>
    </row>
    <row r="1429" spans="2:16" x14ac:dyDescent="0.25">
      <c r="B1429" s="24"/>
      <c r="E1429" s="24"/>
      <c r="G1429" s="24"/>
      <c r="H1429" s="24"/>
      <c r="J1429" s="24"/>
      <c r="K1429" s="24"/>
      <c r="M1429" s="24"/>
      <c r="N1429" s="24"/>
      <c r="P1429" s="24"/>
    </row>
    <row r="1430" spans="2:16" x14ac:dyDescent="0.25">
      <c r="B1430" s="24"/>
      <c r="E1430" s="24"/>
      <c r="G1430" s="24"/>
      <c r="H1430" s="24"/>
      <c r="J1430" s="24"/>
      <c r="K1430" s="24"/>
      <c r="M1430" s="24"/>
      <c r="N1430" s="24"/>
      <c r="P1430" s="24"/>
    </row>
    <row r="1431" spans="2:16" x14ac:dyDescent="0.25">
      <c r="B1431" s="24"/>
      <c r="E1431" s="24"/>
      <c r="G1431" s="24"/>
      <c r="H1431" s="24"/>
      <c r="J1431" s="24"/>
      <c r="K1431" s="24"/>
      <c r="M1431" s="24"/>
      <c r="N1431" s="24"/>
      <c r="P1431" s="24"/>
    </row>
    <row r="1432" spans="2:16" x14ac:dyDescent="0.25">
      <c r="B1432" s="24"/>
      <c r="E1432" s="24"/>
      <c r="G1432" s="24"/>
      <c r="H1432" s="24"/>
      <c r="J1432" s="24"/>
      <c r="K1432" s="24"/>
      <c r="M1432" s="24"/>
      <c r="N1432" s="24"/>
      <c r="P1432" s="24"/>
    </row>
    <row r="1433" spans="2:16" x14ac:dyDescent="0.25">
      <c r="B1433" s="24"/>
      <c r="E1433" s="24"/>
      <c r="G1433" s="24"/>
      <c r="H1433" s="24"/>
      <c r="J1433" s="24"/>
      <c r="K1433" s="24"/>
      <c r="M1433" s="24"/>
      <c r="N1433" s="24"/>
      <c r="P1433" s="24"/>
    </row>
    <row r="1434" spans="2:16" x14ac:dyDescent="0.25">
      <c r="B1434" s="24"/>
      <c r="E1434" s="24"/>
      <c r="G1434" s="24"/>
      <c r="H1434" s="24"/>
      <c r="J1434" s="24"/>
      <c r="K1434" s="24"/>
      <c r="M1434" s="24"/>
      <c r="N1434" s="24"/>
      <c r="P1434" s="24"/>
    </row>
    <row r="1435" spans="2:16" x14ac:dyDescent="0.25">
      <c r="B1435" s="24"/>
      <c r="E1435" s="24"/>
      <c r="G1435" s="24"/>
      <c r="H1435" s="24"/>
      <c r="J1435" s="24"/>
      <c r="K1435" s="24"/>
      <c r="M1435" s="24"/>
      <c r="N1435" s="24"/>
      <c r="P1435" s="24"/>
    </row>
    <row r="1436" spans="2:16" x14ac:dyDescent="0.25">
      <c r="B1436" s="24"/>
      <c r="E1436" s="24"/>
      <c r="G1436" s="24"/>
      <c r="H1436" s="24"/>
      <c r="J1436" s="24"/>
      <c r="K1436" s="24"/>
      <c r="M1436" s="24"/>
      <c r="N1436" s="24"/>
      <c r="P1436" s="24"/>
    </row>
    <row r="1437" spans="2:16" x14ac:dyDescent="0.25">
      <c r="B1437" s="24"/>
      <c r="E1437" s="24"/>
      <c r="G1437" s="24"/>
      <c r="H1437" s="24"/>
      <c r="J1437" s="24"/>
      <c r="K1437" s="24"/>
      <c r="M1437" s="24"/>
      <c r="N1437" s="24"/>
      <c r="P1437" s="24"/>
    </row>
    <row r="1438" spans="2:16" x14ac:dyDescent="0.25">
      <c r="B1438" s="24"/>
      <c r="E1438" s="24"/>
      <c r="G1438" s="24"/>
      <c r="H1438" s="24"/>
      <c r="J1438" s="24"/>
      <c r="K1438" s="24"/>
      <c r="M1438" s="24"/>
      <c r="N1438" s="24"/>
      <c r="P1438" s="24"/>
    </row>
    <row r="1439" spans="2:16" x14ac:dyDescent="0.25">
      <c r="B1439" s="24"/>
      <c r="E1439" s="24"/>
      <c r="G1439" s="24"/>
      <c r="H1439" s="24"/>
      <c r="J1439" s="24"/>
      <c r="K1439" s="24"/>
      <c r="M1439" s="24"/>
      <c r="N1439" s="24"/>
      <c r="P1439" s="24"/>
    </row>
    <row r="1440" spans="2:16" x14ac:dyDescent="0.25">
      <c r="B1440" s="24"/>
      <c r="E1440" s="24"/>
      <c r="G1440" s="24"/>
      <c r="H1440" s="24"/>
      <c r="J1440" s="24"/>
      <c r="K1440" s="24"/>
      <c r="M1440" s="24"/>
      <c r="N1440" s="24"/>
      <c r="P1440" s="24"/>
    </row>
    <row r="1441" spans="2:16" x14ac:dyDescent="0.25">
      <c r="B1441" s="24"/>
      <c r="E1441" s="24"/>
      <c r="G1441" s="24"/>
      <c r="H1441" s="24"/>
      <c r="J1441" s="24"/>
      <c r="K1441" s="24"/>
      <c r="M1441" s="24"/>
      <c r="N1441" s="24"/>
      <c r="P1441" s="24"/>
    </row>
    <row r="1442" spans="2:16" x14ac:dyDescent="0.25">
      <c r="B1442" s="24"/>
      <c r="E1442" s="24"/>
      <c r="G1442" s="24"/>
      <c r="H1442" s="24"/>
      <c r="J1442" s="24"/>
      <c r="K1442" s="24"/>
      <c r="M1442" s="24"/>
      <c r="N1442" s="24"/>
      <c r="P1442" s="24"/>
    </row>
    <row r="1443" spans="2:16" x14ac:dyDescent="0.25">
      <c r="B1443" s="24"/>
      <c r="E1443" s="24"/>
      <c r="G1443" s="24"/>
      <c r="H1443" s="24"/>
      <c r="J1443" s="24"/>
      <c r="K1443" s="24"/>
      <c r="M1443" s="24"/>
      <c r="N1443" s="24"/>
      <c r="P1443" s="24"/>
    </row>
    <row r="1444" spans="2:16" x14ac:dyDescent="0.25">
      <c r="B1444" s="24"/>
      <c r="E1444" s="24"/>
      <c r="G1444" s="24"/>
      <c r="H1444" s="24"/>
      <c r="J1444" s="24"/>
      <c r="K1444" s="24"/>
      <c r="M1444" s="24"/>
      <c r="N1444" s="24"/>
      <c r="P1444" s="24"/>
    </row>
    <row r="1445" spans="2:16" x14ac:dyDescent="0.25">
      <c r="B1445" s="24"/>
      <c r="E1445" s="24"/>
      <c r="G1445" s="24"/>
      <c r="H1445" s="24"/>
      <c r="J1445" s="24"/>
      <c r="K1445" s="24"/>
      <c r="M1445" s="24"/>
      <c r="N1445" s="24"/>
      <c r="P1445" s="24"/>
    </row>
    <row r="1446" spans="2:16" x14ac:dyDescent="0.25">
      <c r="B1446" s="24"/>
      <c r="E1446" s="24"/>
      <c r="G1446" s="24"/>
      <c r="H1446" s="24"/>
      <c r="J1446" s="24"/>
      <c r="K1446" s="24"/>
      <c r="M1446" s="24"/>
      <c r="N1446" s="24"/>
      <c r="P1446" s="24"/>
    </row>
    <row r="1447" spans="2:16" x14ac:dyDescent="0.25">
      <c r="B1447" s="24"/>
      <c r="E1447" s="24"/>
      <c r="G1447" s="24"/>
      <c r="H1447" s="24"/>
      <c r="J1447" s="24"/>
      <c r="K1447" s="24"/>
      <c r="M1447" s="24"/>
      <c r="N1447" s="24"/>
      <c r="P1447" s="24"/>
    </row>
    <row r="1448" spans="2:16" x14ac:dyDescent="0.25">
      <c r="B1448" s="24"/>
      <c r="E1448" s="24"/>
      <c r="G1448" s="24"/>
      <c r="H1448" s="24"/>
      <c r="J1448" s="24"/>
      <c r="K1448" s="24"/>
      <c r="M1448" s="24"/>
      <c r="N1448" s="24"/>
      <c r="P1448" s="24"/>
    </row>
    <row r="1449" spans="2:16" x14ac:dyDescent="0.25">
      <c r="B1449" s="24"/>
      <c r="E1449" s="24"/>
      <c r="G1449" s="24"/>
      <c r="H1449" s="24"/>
      <c r="J1449" s="24"/>
      <c r="K1449" s="24"/>
      <c r="M1449" s="24"/>
      <c r="N1449" s="24"/>
      <c r="P1449" s="24"/>
    </row>
    <row r="1450" spans="2:16" x14ac:dyDescent="0.25">
      <c r="B1450" s="24"/>
      <c r="E1450" s="24"/>
      <c r="G1450" s="24"/>
      <c r="H1450" s="24"/>
      <c r="J1450" s="24"/>
      <c r="K1450" s="24"/>
      <c r="M1450" s="24"/>
      <c r="N1450" s="24"/>
      <c r="P1450" s="24"/>
    </row>
    <row r="1451" spans="2:16" x14ac:dyDescent="0.25">
      <c r="B1451" s="24"/>
      <c r="E1451" s="24"/>
      <c r="G1451" s="24"/>
      <c r="H1451" s="24"/>
      <c r="J1451" s="24"/>
      <c r="K1451" s="24"/>
      <c r="M1451" s="24"/>
      <c r="N1451" s="24"/>
      <c r="P1451" s="24"/>
    </row>
    <row r="1452" spans="2:16" x14ac:dyDescent="0.25">
      <c r="B1452" s="24"/>
      <c r="E1452" s="24"/>
      <c r="G1452" s="24"/>
      <c r="H1452" s="24"/>
      <c r="J1452" s="24"/>
      <c r="K1452" s="24"/>
      <c r="M1452" s="24"/>
      <c r="N1452" s="24"/>
      <c r="P1452" s="24"/>
    </row>
    <row r="1453" spans="2:16" x14ac:dyDescent="0.25">
      <c r="B1453" s="24"/>
      <c r="E1453" s="24"/>
      <c r="G1453" s="24"/>
      <c r="H1453" s="24"/>
      <c r="J1453" s="24"/>
      <c r="K1453" s="24"/>
      <c r="M1453" s="24"/>
      <c r="N1453" s="24"/>
      <c r="P1453" s="24"/>
    </row>
    <row r="1454" spans="2:16" x14ac:dyDescent="0.25">
      <c r="B1454" s="24"/>
      <c r="E1454" s="24"/>
      <c r="G1454" s="24"/>
      <c r="H1454" s="24"/>
      <c r="J1454" s="24"/>
      <c r="K1454" s="24"/>
      <c r="M1454" s="24"/>
      <c r="N1454" s="24"/>
      <c r="P1454" s="24"/>
    </row>
    <row r="1455" spans="2:16" x14ac:dyDescent="0.25">
      <c r="B1455" s="24"/>
      <c r="E1455" s="24"/>
      <c r="G1455" s="24"/>
      <c r="H1455" s="24"/>
      <c r="J1455" s="24"/>
      <c r="K1455" s="24"/>
      <c r="M1455" s="24"/>
      <c r="N1455" s="24"/>
      <c r="P1455" s="24"/>
    </row>
    <row r="1456" spans="2:16" x14ac:dyDescent="0.25">
      <c r="B1456" s="24"/>
      <c r="E1456" s="24"/>
      <c r="G1456" s="24"/>
      <c r="H1456" s="24"/>
      <c r="J1456" s="24"/>
      <c r="K1456" s="24"/>
      <c r="M1456" s="24"/>
      <c r="N1456" s="24"/>
      <c r="P1456" s="24"/>
    </row>
    <row r="1457" spans="2:16" x14ac:dyDescent="0.25">
      <c r="B1457" s="24"/>
      <c r="E1457" s="24"/>
      <c r="G1457" s="24"/>
      <c r="H1457" s="24"/>
      <c r="J1457" s="24"/>
      <c r="K1457" s="24"/>
      <c r="M1457" s="24"/>
      <c r="N1457" s="24"/>
      <c r="P1457" s="24"/>
    </row>
    <row r="1458" spans="2:16" x14ac:dyDescent="0.25">
      <c r="B1458" s="24"/>
      <c r="E1458" s="24"/>
      <c r="G1458" s="24"/>
      <c r="H1458" s="24"/>
      <c r="J1458" s="24"/>
      <c r="K1458" s="24"/>
      <c r="M1458" s="24"/>
      <c r="N1458" s="24"/>
      <c r="P1458" s="24"/>
    </row>
    <row r="1459" spans="2:16" x14ac:dyDescent="0.25">
      <c r="B1459" s="24"/>
      <c r="E1459" s="24"/>
      <c r="G1459" s="24"/>
      <c r="H1459" s="24"/>
      <c r="J1459" s="24"/>
      <c r="K1459" s="24"/>
      <c r="M1459" s="24"/>
      <c r="N1459" s="24"/>
      <c r="P1459" s="24"/>
    </row>
    <row r="1460" spans="2:16" x14ac:dyDescent="0.25">
      <c r="B1460" s="24"/>
      <c r="E1460" s="24"/>
      <c r="G1460" s="24"/>
      <c r="H1460" s="24"/>
      <c r="J1460" s="24"/>
      <c r="K1460" s="24"/>
      <c r="M1460" s="24"/>
      <c r="N1460" s="24"/>
      <c r="P1460" s="24"/>
    </row>
    <row r="1461" spans="2:16" x14ac:dyDescent="0.25">
      <c r="B1461" s="24"/>
      <c r="E1461" s="24"/>
      <c r="G1461" s="24"/>
      <c r="H1461" s="24"/>
      <c r="J1461" s="24"/>
      <c r="K1461" s="24"/>
      <c r="M1461" s="24"/>
      <c r="N1461" s="24"/>
      <c r="P1461" s="24"/>
    </row>
    <row r="1462" spans="2:16" x14ac:dyDescent="0.25">
      <c r="B1462" s="24"/>
      <c r="E1462" s="24"/>
      <c r="G1462" s="24"/>
      <c r="H1462" s="24"/>
      <c r="J1462" s="24"/>
      <c r="K1462" s="24"/>
      <c r="M1462" s="24"/>
      <c r="N1462" s="24"/>
      <c r="P1462" s="24"/>
    </row>
    <row r="1463" spans="2:16" x14ac:dyDescent="0.25">
      <c r="B1463" s="24"/>
      <c r="E1463" s="24"/>
      <c r="G1463" s="24"/>
      <c r="H1463" s="24"/>
      <c r="J1463" s="24"/>
      <c r="K1463" s="24"/>
      <c r="M1463" s="24"/>
      <c r="N1463" s="24"/>
      <c r="P1463" s="24"/>
    </row>
    <row r="1464" spans="2:16" x14ac:dyDescent="0.25">
      <c r="B1464" s="24"/>
      <c r="E1464" s="24"/>
      <c r="G1464" s="24"/>
      <c r="H1464" s="24"/>
      <c r="J1464" s="24"/>
      <c r="K1464" s="24"/>
      <c r="M1464" s="24"/>
      <c r="N1464" s="24"/>
      <c r="P1464" s="24"/>
    </row>
    <row r="1465" spans="2:16" x14ac:dyDescent="0.25">
      <c r="B1465" s="24"/>
      <c r="E1465" s="24"/>
      <c r="G1465" s="24"/>
      <c r="H1465" s="24"/>
      <c r="J1465" s="24"/>
      <c r="K1465" s="24"/>
      <c r="M1465" s="24"/>
      <c r="N1465" s="24"/>
      <c r="P1465" s="24"/>
    </row>
    <row r="1466" spans="2:16" x14ac:dyDescent="0.25">
      <c r="B1466" s="24"/>
      <c r="E1466" s="24"/>
      <c r="G1466" s="24"/>
      <c r="H1466" s="24"/>
      <c r="J1466" s="24"/>
      <c r="K1466" s="24"/>
      <c r="M1466" s="24"/>
      <c r="N1466" s="24"/>
      <c r="P1466" s="24"/>
    </row>
    <row r="1467" spans="2:16" x14ac:dyDescent="0.25">
      <c r="B1467" s="24"/>
      <c r="E1467" s="24"/>
      <c r="G1467" s="24"/>
      <c r="H1467" s="24"/>
      <c r="J1467" s="24"/>
      <c r="K1467" s="24"/>
      <c r="M1467" s="24"/>
      <c r="N1467" s="24"/>
      <c r="P1467" s="24"/>
    </row>
    <row r="1468" spans="2:16" x14ac:dyDescent="0.25">
      <c r="B1468" s="24"/>
      <c r="E1468" s="24"/>
      <c r="G1468" s="24"/>
      <c r="H1468" s="24"/>
      <c r="J1468" s="24"/>
      <c r="K1468" s="24"/>
      <c r="M1468" s="24"/>
      <c r="N1468" s="24"/>
      <c r="P1468" s="24"/>
    </row>
    <row r="1469" spans="2:16" x14ac:dyDescent="0.25">
      <c r="B1469" s="24"/>
      <c r="E1469" s="24"/>
      <c r="G1469" s="24"/>
      <c r="H1469" s="24"/>
      <c r="J1469" s="24"/>
      <c r="K1469" s="24"/>
      <c r="M1469" s="24"/>
      <c r="N1469" s="24"/>
      <c r="P1469" s="24"/>
    </row>
    <row r="1470" spans="2:16" x14ac:dyDescent="0.25">
      <c r="B1470" s="24"/>
      <c r="E1470" s="24"/>
      <c r="G1470" s="24"/>
      <c r="H1470" s="24"/>
      <c r="J1470" s="24"/>
      <c r="K1470" s="24"/>
      <c r="M1470" s="24"/>
      <c r="N1470" s="24"/>
      <c r="P1470" s="24"/>
    </row>
    <row r="1471" spans="2:16" x14ac:dyDescent="0.25">
      <c r="B1471" s="24"/>
      <c r="E1471" s="24"/>
      <c r="G1471" s="24"/>
      <c r="H1471" s="24"/>
      <c r="J1471" s="24"/>
      <c r="K1471" s="24"/>
      <c r="M1471" s="24"/>
      <c r="N1471" s="24"/>
      <c r="P1471" s="24"/>
    </row>
    <row r="1472" spans="2:16" x14ac:dyDescent="0.25">
      <c r="B1472" s="24"/>
      <c r="E1472" s="24"/>
      <c r="G1472" s="24"/>
      <c r="H1472" s="24"/>
      <c r="J1472" s="24"/>
      <c r="K1472" s="24"/>
      <c r="M1472" s="24"/>
      <c r="N1472" s="24"/>
      <c r="P1472" s="24"/>
    </row>
    <row r="1473" spans="2:16" x14ac:dyDescent="0.25">
      <c r="B1473" s="24"/>
      <c r="E1473" s="24"/>
      <c r="G1473" s="24"/>
      <c r="H1473" s="24"/>
      <c r="J1473" s="24"/>
      <c r="K1473" s="24"/>
      <c r="M1473" s="24"/>
      <c r="N1473" s="24"/>
      <c r="P1473" s="24"/>
    </row>
    <row r="1474" spans="2:16" x14ac:dyDescent="0.25">
      <c r="B1474" s="24"/>
      <c r="E1474" s="24"/>
      <c r="G1474" s="24"/>
      <c r="H1474" s="24"/>
      <c r="J1474" s="24"/>
      <c r="K1474" s="24"/>
      <c r="M1474" s="24"/>
      <c r="N1474" s="24"/>
      <c r="P1474" s="24"/>
    </row>
    <row r="1475" spans="2:16" x14ac:dyDescent="0.25">
      <c r="B1475" s="24"/>
      <c r="E1475" s="24"/>
      <c r="G1475" s="24"/>
      <c r="H1475" s="24"/>
      <c r="J1475" s="24"/>
      <c r="K1475" s="24"/>
      <c r="M1475" s="24"/>
      <c r="N1475" s="24"/>
      <c r="P1475" s="24"/>
    </row>
    <row r="1476" spans="2:16" x14ac:dyDescent="0.25">
      <c r="B1476" s="24"/>
      <c r="E1476" s="24"/>
      <c r="G1476" s="24"/>
      <c r="H1476" s="24"/>
      <c r="J1476" s="24"/>
      <c r="K1476" s="24"/>
      <c r="M1476" s="24"/>
      <c r="N1476" s="24"/>
      <c r="P1476" s="24"/>
    </row>
    <row r="1477" spans="2:16" x14ac:dyDescent="0.25">
      <c r="B1477" s="24"/>
      <c r="E1477" s="24"/>
      <c r="G1477" s="24"/>
      <c r="H1477" s="24"/>
      <c r="J1477" s="24"/>
      <c r="K1477" s="24"/>
      <c r="M1477" s="24"/>
      <c r="N1477" s="24"/>
      <c r="P1477" s="24"/>
    </row>
    <row r="1478" spans="2:16" x14ac:dyDescent="0.25">
      <c r="B1478" s="24"/>
      <c r="E1478" s="24"/>
      <c r="G1478" s="24"/>
      <c r="H1478" s="24"/>
      <c r="J1478" s="24"/>
      <c r="K1478" s="24"/>
      <c r="M1478" s="24"/>
      <c r="N1478" s="24"/>
      <c r="P1478" s="24"/>
    </row>
    <row r="1479" spans="2:16" x14ac:dyDescent="0.25">
      <c r="B1479" s="24"/>
      <c r="E1479" s="24"/>
      <c r="G1479" s="24"/>
      <c r="H1479" s="24"/>
      <c r="J1479" s="24"/>
      <c r="K1479" s="24"/>
      <c r="M1479" s="24"/>
      <c r="N1479" s="24"/>
      <c r="P1479" s="24"/>
    </row>
    <row r="1480" spans="2:16" x14ac:dyDescent="0.25">
      <c r="B1480" s="24"/>
      <c r="E1480" s="24"/>
      <c r="G1480" s="24"/>
      <c r="H1480" s="24"/>
      <c r="J1480" s="24"/>
      <c r="K1480" s="24"/>
      <c r="M1480" s="24"/>
      <c r="N1480" s="24"/>
      <c r="P1480" s="24"/>
    </row>
    <row r="1481" spans="2:16" x14ac:dyDescent="0.25">
      <c r="B1481" s="24"/>
      <c r="E1481" s="24"/>
      <c r="G1481" s="24"/>
      <c r="H1481" s="24"/>
      <c r="J1481" s="24"/>
      <c r="K1481" s="24"/>
      <c r="M1481" s="24"/>
      <c r="N1481" s="24"/>
      <c r="P1481" s="24"/>
    </row>
    <row r="1482" spans="2:16" x14ac:dyDescent="0.25">
      <c r="B1482" s="24"/>
      <c r="E1482" s="24"/>
      <c r="G1482" s="24"/>
      <c r="H1482" s="24"/>
      <c r="J1482" s="24"/>
      <c r="K1482" s="24"/>
      <c r="M1482" s="24"/>
      <c r="N1482" s="24"/>
      <c r="P1482" s="24"/>
    </row>
    <row r="1483" spans="2:16" x14ac:dyDescent="0.25">
      <c r="B1483" s="24"/>
      <c r="E1483" s="24"/>
      <c r="G1483" s="24"/>
      <c r="H1483" s="24"/>
      <c r="J1483" s="24"/>
      <c r="K1483" s="24"/>
      <c r="M1483" s="24"/>
      <c r="N1483" s="24"/>
      <c r="P1483" s="24"/>
    </row>
    <row r="1484" spans="2:16" x14ac:dyDescent="0.25">
      <c r="B1484" s="24"/>
      <c r="E1484" s="24"/>
      <c r="G1484" s="24"/>
      <c r="H1484" s="24"/>
      <c r="J1484" s="24"/>
      <c r="K1484" s="24"/>
      <c r="M1484" s="24"/>
      <c r="N1484" s="24"/>
      <c r="P1484" s="24"/>
    </row>
    <row r="1485" spans="2:16" x14ac:dyDescent="0.25">
      <c r="B1485" s="24"/>
      <c r="E1485" s="24"/>
      <c r="G1485" s="24"/>
      <c r="H1485" s="24"/>
      <c r="J1485" s="24"/>
      <c r="K1485" s="24"/>
      <c r="M1485" s="24"/>
      <c r="N1485" s="24"/>
      <c r="P1485" s="24"/>
    </row>
    <row r="1486" spans="2:16" x14ac:dyDescent="0.25">
      <c r="B1486" s="24"/>
      <c r="E1486" s="24"/>
      <c r="G1486" s="24"/>
      <c r="H1486" s="24"/>
      <c r="J1486" s="24"/>
      <c r="K1486" s="24"/>
      <c r="M1486" s="24"/>
      <c r="N1486" s="24"/>
      <c r="P1486" s="24"/>
    </row>
    <row r="1487" spans="2:16" x14ac:dyDescent="0.25">
      <c r="B1487" s="24"/>
      <c r="E1487" s="24"/>
      <c r="G1487" s="24"/>
      <c r="H1487" s="24"/>
      <c r="J1487" s="24"/>
      <c r="K1487" s="24"/>
      <c r="M1487" s="24"/>
      <c r="N1487" s="24"/>
      <c r="P1487" s="24"/>
    </row>
    <row r="1488" spans="2:16" x14ac:dyDescent="0.25">
      <c r="B1488" s="24"/>
      <c r="E1488" s="24"/>
      <c r="G1488" s="24"/>
      <c r="H1488" s="24"/>
      <c r="J1488" s="24"/>
      <c r="K1488" s="24"/>
      <c r="M1488" s="24"/>
      <c r="N1488" s="24"/>
      <c r="P1488" s="24"/>
    </row>
    <row r="1489" spans="2:16" x14ac:dyDescent="0.25">
      <c r="B1489" s="24"/>
      <c r="E1489" s="24"/>
      <c r="G1489" s="24"/>
      <c r="H1489" s="24"/>
      <c r="J1489" s="24"/>
      <c r="K1489" s="24"/>
      <c r="M1489" s="24"/>
      <c r="N1489" s="24"/>
      <c r="P1489" s="24"/>
    </row>
    <row r="1490" spans="2:16" x14ac:dyDescent="0.25">
      <c r="B1490" s="24"/>
      <c r="E1490" s="24"/>
      <c r="G1490" s="24"/>
      <c r="H1490" s="24"/>
      <c r="J1490" s="24"/>
      <c r="K1490" s="24"/>
      <c r="M1490" s="24"/>
      <c r="N1490" s="24"/>
      <c r="P1490" s="24"/>
    </row>
    <row r="1491" spans="2:16" x14ac:dyDescent="0.25">
      <c r="B1491" s="24"/>
      <c r="E1491" s="24"/>
      <c r="G1491" s="24"/>
      <c r="H1491" s="24"/>
      <c r="J1491" s="24"/>
      <c r="K1491" s="24"/>
      <c r="M1491" s="24"/>
      <c r="N1491" s="24"/>
      <c r="P1491" s="24"/>
    </row>
    <row r="1492" spans="2:16" x14ac:dyDescent="0.25">
      <c r="B1492" s="24"/>
      <c r="E1492" s="24"/>
      <c r="G1492" s="24"/>
      <c r="H1492" s="24"/>
      <c r="J1492" s="24"/>
      <c r="K1492" s="24"/>
      <c r="M1492" s="24"/>
      <c r="N1492" s="24"/>
      <c r="P1492" s="24"/>
    </row>
    <row r="1493" spans="2:16" x14ac:dyDescent="0.25">
      <c r="B1493" s="24"/>
      <c r="E1493" s="24"/>
      <c r="G1493" s="24"/>
      <c r="H1493" s="24"/>
      <c r="J1493" s="24"/>
      <c r="K1493" s="24"/>
      <c r="M1493" s="24"/>
      <c r="N1493" s="24"/>
      <c r="P1493" s="24"/>
    </row>
    <row r="1494" spans="2:16" x14ac:dyDescent="0.25">
      <c r="B1494" s="24"/>
      <c r="E1494" s="24"/>
      <c r="G1494" s="24"/>
      <c r="H1494" s="24"/>
      <c r="J1494" s="24"/>
      <c r="K1494" s="24"/>
      <c r="M1494" s="24"/>
      <c r="N1494" s="24"/>
      <c r="P1494" s="24"/>
    </row>
    <row r="1495" spans="2:16" x14ac:dyDescent="0.25">
      <c r="B1495" s="24"/>
      <c r="E1495" s="24"/>
      <c r="G1495" s="24"/>
      <c r="H1495" s="24"/>
      <c r="J1495" s="24"/>
      <c r="K1495" s="24"/>
      <c r="M1495" s="24"/>
      <c r="N1495" s="24"/>
      <c r="P1495" s="24"/>
    </row>
    <row r="1496" spans="2:16" x14ac:dyDescent="0.25">
      <c r="B1496" s="24"/>
      <c r="E1496" s="24"/>
      <c r="G1496" s="24"/>
      <c r="H1496" s="24"/>
      <c r="J1496" s="24"/>
      <c r="K1496" s="24"/>
      <c r="M1496" s="24"/>
      <c r="N1496" s="24"/>
      <c r="P1496" s="24"/>
    </row>
    <row r="1497" spans="2:16" x14ac:dyDescent="0.25">
      <c r="B1497" s="24"/>
      <c r="E1497" s="24"/>
      <c r="G1497" s="24"/>
      <c r="H1497" s="24"/>
      <c r="J1497" s="24"/>
      <c r="K1497" s="24"/>
      <c r="M1497" s="24"/>
      <c r="N1497" s="24"/>
      <c r="P1497" s="24"/>
    </row>
    <row r="1498" spans="2:16" x14ac:dyDescent="0.25">
      <c r="B1498" s="24"/>
      <c r="E1498" s="24"/>
      <c r="G1498" s="24"/>
      <c r="H1498" s="24"/>
      <c r="J1498" s="24"/>
      <c r="K1498" s="24"/>
      <c r="M1498" s="24"/>
      <c r="N1498" s="24"/>
      <c r="P1498" s="24"/>
    </row>
    <row r="1499" spans="2:16" x14ac:dyDescent="0.25">
      <c r="B1499" s="24"/>
      <c r="E1499" s="24"/>
      <c r="G1499" s="24"/>
      <c r="H1499" s="24"/>
      <c r="J1499" s="24"/>
      <c r="K1499" s="24"/>
      <c r="M1499" s="24"/>
      <c r="N1499" s="24"/>
      <c r="P1499" s="24"/>
    </row>
    <row r="1500" spans="2:16" x14ac:dyDescent="0.25">
      <c r="B1500" s="24"/>
      <c r="E1500" s="24"/>
      <c r="G1500" s="24"/>
      <c r="H1500" s="24"/>
      <c r="J1500" s="24"/>
      <c r="K1500" s="24"/>
      <c r="M1500" s="24"/>
      <c r="N1500" s="24"/>
      <c r="P1500" s="24"/>
    </row>
    <row r="1501" spans="2:16" x14ac:dyDescent="0.25">
      <c r="B1501" s="24"/>
      <c r="E1501" s="24"/>
      <c r="G1501" s="24"/>
      <c r="H1501" s="24"/>
      <c r="J1501" s="24"/>
      <c r="K1501" s="24"/>
      <c r="M1501" s="24"/>
      <c r="N1501" s="24"/>
      <c r="P1501" s="24"/>
    </row>
    <row r="1502" spans="2:16" x14ac:dyDescent="0.25">
      <c r="B1502" s="24"/>
      <c r="E1502" s="24"/>
      <c r="G1502" s="24"/>
      <c r="H1502" s="24"/>
      <c r="J1502" s="24"/>
      <c r="K1502" s="24"/>
      <c r="M1502" s="24"/>
      <c r="N1502" s="24"/>
      <c r="P1502" s="24"/>
    </row>
    <row r="1503" spans="2:16" x14ac:dyDescent="0.25">
      <c r="B1503" s="24"/>
      <c r="E1503" s="24"/>
      <c r="G1503" s="24"/>
      <c r="H1503" s="24"/>
      <c r="J1503" s="24"/>
      <c r="K1503" s="24"/>
      <c r="M1503" s="24"/>
      <c r="N1503" s="24"/>
      <c r="P1503" s="24"/>
    </row>
    <row r="1504" spans="2:16" x14ac:dyDescent="0.25">
      <c r="B1504" s="24"/>
      <c r="E1504" s="24"/>
      <c r="G1504" s="24"/>
      <c r="H1504" s="24"/>
      <c r="J1504" s="24"/>
      <c r="K1504" s="24"/>
      <c r="M1504" s="24"/>
      <c r="N1504" s="24"/>
      <c r="P1504" s="24"/>
    </row>
    <row r="1505" spans="2:16" x14ac:dyDescent="0.25">
      <c r="B1505" s="24"/>
      <c r="E1505" s="24"/>
      <c r="G1505" s="24"/>
      <c r="H1505" s="24"/>
      <c r="J1505" s="24"/>
      <c r="K1505" s="24"/>
      <c r="M1505" s="24"/>
      <c r="N1505" s="24"/>
      <c r="P1505" s="24"/>
    </row>
    <row r="1506" spans="2:16" x14ac:dyDescent="0.25">
      <c r="B1506" s="24"/>
      <c r="E1506" s="24"/>
      <c r="G1506" s="24"/>
      <c r="H1506" s="24"/>
      <c r="J1506" s="24"/>
      <c r="K1506" s="24"/>
      <c r="M1506" s="24"/>
      <c r="N1506" s="24"/>
      <c r="P1506" s="24"/>
    </row>
    <row r="1507" spans="2:16" x14ac:dyDescent="0.25">
      <c r="B1507" s="24"/>
      <c r="E1507" s="24"/>
      <c r="G1507" s="24"/>
      <c r="H1507" s="24"/>
      <c r="J1507" s="24"/>
      <c r="K1507" s="24"/>
      <c r="M1507" s="24"/>
      <c r="N1507" s="24"/>
      <c r="P1507" s="24"/>
    </row>
    <row r="1508" spans="2:16" x14ac:dyDescent="0.25">
      <c r="B1508" s="24"/>
      <c r="E1508" s="24"/>
      <c r="G1508" s="24"/>
      <c r="H1508" s="24"/>
      <c r="J1508" s="24"/>
      <c r="K1508" s="24"/>
      <c r="M1508" s="24"/>
      <c r="N1508" s="24"/>
      <c r="P1508" s="24"/>
    </row>
    <row r="1509" spans="2:16" x14ac:dyDescent="0.25">
      <c r="B1509" s="24"/>
      <c r="E1509" s="24"/>
      <c r="G1509" s="24"/>
      <c r="H1509" s="24"/>
      <c r="J1509" s="24"/>
      <c r="K1509" s="24"/>
      <c r="M1509" s="24"/>
      <c r="N1509" s="24"/>
      <c r="P1509" s="24"/>
    </row>
    <row r="1510" spans="2:16" x14ac:dyDescent="0.25">
      <c r="B1510" s="24"/>
      <c r="E1510" s="24"/>
      <c r="G1510" s="24"/>
      <c r="H1510" s="24"/>
      <c r="J1510" s="24"/>
      <c r="K1510" s="24"/>
      <c r="M1510" s="24"/>
      <c r="N1510" s="24"/>
      <c r="P1510" s="24"/>
    </row>
    <row r="1511" spans="2:16" x14ac:dyDescent="0.25">
      <c r="B1511" s="24"/>
      <c r="E1511" s="24"/>
      <c r="G1511" s="24"/>
      <c r="H1511" s="24"/>
      <c r="J1511" s="24"/>
      <c r="K1511" s="24"/>
      <c r="M1511" s="24"/>
      <c r="N1511" s="24"/>
      <c r="P1511" s="24"/>
    </row>
    <row r="1512" spans="2:16" x14ac:dyDescent="0.25">
      <c r="B1512" s="24"/>
      <c r="E1512" s="24"/>
      <c r="G1512" s="24"/>
      <c r="H1512" s="24"/>
      <c r="J1512" s="24"/>
      <c r="K1512" s="24"/>
      <c r="M1512" s="24"/>
      <c r="N1512" s="24"/>
      <c r="P1512" s="24"/>
    </row>
    <row r="1513" spans="2:16" x14ac:dyDescent="0.25">
      <c r="B1513" s="24"/>
      <c r="E1513" s="24"/>
      <c r="G1513" s="24"/>
      <c r="H1513" s="24"/>
      <c r="J1513" s="24"/>
      <c r="K1513" s="24"/>
      <c r="M1513" s="24"/>
      <c r="N1513" s="24"/>
      <c r="P1513" s="24"/>
    </row>
    <row r="1514" spans="2:16" x14ac:dyDescent="0.25">
      <c r="B1514" s="24"/>
      <c r="E1514" s="24"/>
      <c r="G1514" s="24"/>
      <c r="H1514" s="24"/>
      <c r="J1514" s="24"/>
      <c r="K1514" s="24"/>
      <c r="M1514" s="24"/>
      <c r="N1514" s="24"/>
      <c r="P1514" s="24"/>
    </row>
    <row r="1515" spans="2:16" x14ac:dyDescent="0.25">
      <c r="B1515" s="24"/>
      <c r="E1515" s="24"/>
      <c r="G1515" s="24"/>
      <c r="H1515" s="24"/>
      <c r="J1515" s="24"/>
      <c r="K1515" s="24"/>
      <c r="M1515" s="24"/>
      <c r="N1515" s="24"/>
      <c r="P1515" s="24"/>
    </row>
    <row r="1516" spans="2:16" x14ac:dyDescent="0.25">
      <c r="B1516" s="24"/>
      <c r="E1516" s="24"/>
      <c r="G1516" s="24"/>
      <c r="H1516" s="24"/>
      <c r="J1516" s="24"/>
      <c r="K1516" s="24"/>
      <c r="M1516" s="24"/>
      <c r="N1516" s="24"/>
      <c r="P1516" s="24"/>
    </row>
    <row r="1517" spans="2:16" x14ac:dyDescent="0.25">
      <c r="B1517" s="24"/>
      <c r="E1517" s="24"/>
      <c r="G1517" s="24"/>
      <c r="H1517" s="24"/>
      <c r="J1517" s="24"/>
      <c r="K1517" s="24"/>
      <c r="M1517" s="24"/>
      <c r="N1517" s="24"/>
      <c r="P1517" s="24"/>
    </row>
    <row r="1518" spans="2:16" x14ac:dyDescent="0.25">
      <c r="B1518" s="24"/>
      <c r="E1518" s="24"/>
      <c r="G1518" s="24"/>
      <c r="H1518" s="24"/>
      <c r="J1518" s="24"/>
      <c r="K1518" s="24"/>
      <c r="M1518" s="24"/>
      <c r="N1518" s="24"/>
      <c r="P1518" s="24"/>
    </row>
    <row r="1519" spans="2:16" x14ac:dyDescent="0.25">
      <c r="B1519" s="24"/>
      <c r="E1519" s="24"/>
      <c r="G1519" s="24"/>
      <c r="H1519" s="24"/>
      <c r="J1519" s="24"/>
      <c r="K1519" s="24"/>
      <c r="M1519" s="24"/>
      <c r="N1519" s="24"/>
      <c r="P1519" s="24"/>
    </row>
    <row r="1520" spans="2:16" x14ac:dyDescent="0.25">
      <c r="B1520" s="24"/>
      <c r="E1520" s="24"/>
      <c r="G1520" s="24"/>
      <c r="H1520" s="24"/>
      <c r="J1520" s="24"/>
      <c r="K1520" s="24"/>
      <c r="M1520" s="24"/>
      <c r="N1520" s="24"/>
      <c r="P1520" s="24"/>
    </row>
    <row r="1521" spans="2:16" x14ac:dyDescent="0.25">
      <c r="B1521" s="24"/>
      <c r="E1521" s="24"/>
      <c r="G1521" s="24"/>
      <c r="H1521" s="24"/>
      <c r="J1521" s="24"/>
      <c r="K1521" s="24"/>
      <c r="M1521" s="24"/>
      <c r="N1521" s="24"/>
      <c r="P1521" s="24"/>
    </row>
    <row r="1522" spans="2:16" x14ac:dyDescent="0.25">
      <c r="B1522" s="24"/>
      <c r="E1522" s="24"/>
      <c r="G1522" s="24"/>
      <c r="H1522" s="24"/>
      <c r="J1522" s="24"/>
      <c r="K1522" s="24"/>
      <c r="M1522" s="24"/>
      <c r="N1522" s="24"/>
      <c r="P1522" s="24"/>
    </row>
    <row r="1523" spans="2:16" x14ac:dyDescent="0.25">
      <c r="B1523" s="24"/>
      <c r="E1523" s="24"/>
      <c r="G1523" s="24"/>
      <c r="H1523" s="24"/>
      <c r="J1523" s="24"/>
      <c r="K1523" s="24"/>
      <c r="M1523" s="24"/>
      <c r="N1523" s="24"/>
      <c r="P1523" s="24"/>
    </row>
    <row r="1524" spans="2:16" x14ac:dyDescent="0.25">
      <c r="B1524" s="24"/>
      <c r="E1524" s="24"/>
      <c r="G1524" s="24"/>
      <c r="H1524" s="24"/>
      <c r="J1524" s="24"/>
      <c r="K1524" s="24"/>
      <c r="M1524" s="24"/>
      <c r="N1524" s="24"/>
      <c r="P1524" s="24"/>
    </row>
    <row r="1525" spans="2:16" x14ac:dyDescent="0.25">
      <c r="B1525" s="24"/>
      <c r="E1525" s="24"/>
      <c r="G1525" s="24"/>
      <c r="H1525" s="24"/>
      <c r="J1525" s="24"/>
      <c r="K1525" s="24"/>
      <c r="M1525" s="24"/>
      <c r="N1525" s="24"/>
      <c r="P1525" s="24"/>
    </row>
    <row r="1526" spans="2:16" x14ac:dyDescent="0.25">
      <c r="B1526" s="24"/>
      <c r="E1526" s="24"/>
      <c r="G1526" s="24"/>
      <c r="H1526" s="24"/>
      <c r="J1526" s="24"/>
      <c r="K1526" s="24"/>
      <c r="M1526" s="24"/>
      <c r="N1526" s="24"/>
      <c r="P1526" s="24"/>
    </row>
    <row r="1527" spans="2:16" x14ac:dyDescent="0.25">
      <c r="B1527" s="24"/>
      <c r="E1527" s="24"/>
      <c r="G1527" s="24"/>
      <c r="H1527" s="24"/>
      <c r="J1527" s="24"/>
      <c r="K1527" s="24"/>
      <c r="M1527" s="24"/>
      <c r="N1527" s="24"/>
      <c r="P1527" s="24"/>
    </row>
    <row r="1528" spans="2:16" x14ac:dyDescent="0.25">
      <c r="B1528" s="24"/>
      <c r="E1528" s="24"/>
      <c r="G1528" s="24"/>
      <c r="H1528" s="24"/>
      <c r="J1528" s="24"/>
      <c r="K1528" s="24"/>
      <c r="M1528" s="24"/>
      <c r="N1528" s="24"/>
      <c r="P1528" s="24"/>
    </row>
    <row r="1529" spans="2:16" x14ac:dyDescent="0.25">
      <c r="B1529" s="24"/>
      <c r="E1529" s="24"/>
      <c r="G1529" s="24"/>
      <c r="H1529" s="24"/>
      <c r="J1529" s="24"/>
      <c r="K1529" s="24"/>
      <c r="M1529" s="24"/>
      <c r="N1529" s="24"/>
      <c r="P1529" s="24"/>
    </row>
    <row r="1530" spans="2:16" x14ac:dyDescent="0.25">
      <c r="B1530" s="24"/>
      <c r="E1530" s="24"/>
      <c r="G1530" s="24"/>
      <c r="H1530" s="24"/>
      <c r="J1530" s="24"/>
      <c r="K1530" s="24"/>
      <c r="M1530" s="24"/>
      <c r="N1530" s="24"/>
      <c r="P1530" s="24"/>
    </row>
    <row r="1531" spans="2:16" x14ac:dyDescent="0.25">
      <c r="B1531" s="24"/>
      <c r="E1531" s="24"/>
      <c r="G1531" s="24"/>
      <c r="H1531" s="24"/>
      <c r="J1531" s="24"/>
      <c r="K1531" s="24"/>
      <c r="M1531" s="24"/>
      <c r="N1531" s="24"/>
      <c r="P1531" s="24"/>
    </row>
    <row r="1532" spans="2:16" x14ac:dyDescent="0.25">
      <c r="B1532" s="24"/>
      <c r="E1532" s="24"/>
      <c r="G1532" s="24"/>
      <c r="H1532" s="24"/>
      <c r="J1532" s="24"/>
      <c r="K1532" s="24"/>
      <c r="M1532" s="24"/>
      <c r="N1532" s="24"/>
      <c r="P1532" s="24"/>
    </row>
    <row r="1533" spans="2:16" x14ac:dyDescent="0.25">
      <c r="B1533" s="24"/>
      <c r="E1533" s="24"/>
      <c r="G1533" s="24"/>
      <c r="H1533" s="24"/>
      <c r="J1533" s="24"/>
      <c r="K1533" s="24"/>
      <c r="M1533" s="24"/>
      <c r="N1533" s="24"/>
      <c r="P1533" s="24"/>
    </row>
    <row r="1534" spans="2:16" x14ac:dyDescent="0.25">
      <c r="B1534" s="24"/>
      <c r="E1534" s="24"/>
      <c r="G1534" s="24"/>
      <c r="H1534" s="24"/>
      <c r="J1534" s="24"/>
      <c r="K1534" s="24"/>
      <c r="M1534" s="24"/>
      <c r="N1534" s="24"/>
      <c r="P1534" s="24"/>
    </row>
    <row r="1535" spans="2:16" x14ac:dyDescent="0.25">
      <c r="B1535" s="24"/>
      <c r="E1535" s="24"/>
      <c r="G1535" s="24"/>
      <c r="H1535" s="24"/>
      <c r="J1535" s="24"/>
      <c r="K1535" s="24"/>
      <c r="M1535" s="24"/>
      <c r="N1535" s="24"/>
      <c r="P1535" s="24"/>
    </row>
    <row r="1536" spans="2:16" x14ac:dyDescent="0.25">
      <c r="B1536" s="24"/>
      <c r="E1536" s="24"/>
      <c r="G1536" s="24"/>
      <c r="H1536" s="24"/>
      <c r="J1536" s="24"/>
      <c r="K1536" s="24"/>
      <c r="M1536" s="24"/>
      <c r="N1536" s="24"/>
      <c r="P1536" s="24"/>
    </row>
    <row r="1537" spans="2:16" x14ac:dyDescent="0.25">
      <c r="B1537" s="24"/>
      <c r="E1537" s="24"/>
      <c r="G1537" s="24"/>
      <c r="H1537" s="24"/>
      <c r="J1537" s="24"/>
      <c r="K1537" s="24"/>
      <c r="M1537" s="24"/>
      <c r="N1537" s="24"/>
      <c r="P1537" s="24"/>
    </row>
    <row r="1538" spans="2:16" x14ac:dyDescent="0.25">
      <c r="B1538" s="24"/>
      <c r="E1538" s="24"/>
      <c r="G1538" s="24"/>
      <c r="H1538" s="24"/>
      <c r="J1538" s="24"/>
      <c r="K1538" s="24"/>
      <c r="M1538" s="24"/>
      <c r="N1538" s="24"/>
      <c r="P1538" s="24"/>
    </row>
    <row r="1539" spans="2:16" x14ac:dyDescent="0.25">
      <c r="B1539" s="24"/>
      <c r="E1539" s="24"/>
      <c r="G1539" s="24"/>
      <c r="H1539" s="24"/>
      <c r="J1539" s="24"/>
      <c r="K1539" s="24"/>
      <c r="M1539" s="24"/>
      <c r="N1539" s="24"/>
      <c r="P1539" s="24"/>
    </row>
    <row r="1540" spans="2:16" x14ac:dyDescent="0.25">
      <c r="B1540" s="24"/>
      <c r="E1540" s="24"/>
      <c r="G1540" s="24"/>
      <c r="H1540" s="24"/>
      <c r="J1540" s="24"/>
      <c r="K1540" s="24"/>
      <c r="M1540" s="24"/>
      <c r="N1540" s="24"/>
      <c r="P1540" s="24"/>
    </row>
    <row r="1541" spans="2:16" x14ac:dyDescent="0.25">
      <c r="B1541" s="24"/>
      <c r="E1541" s="24"/>
      <c r="G1541" s="24"/>
      <c r="H1541" s="24"/>
      <c r="J1541" s="24"/>
      <c r="K1541" s="24"/>
      <c r="M1541" s="24"/>
      <c r="N1541" s="24"/>
      <c r="P1541" s="24"/>
    </row>
    <row r="1542" spans="2:16" x14ac:dyDescent="0.25">
      <c r="B1542" s="24"/>
      <c r="E1542" s="24"/>
      <c r="G1542" s="24"/>
      <c r="H1542" s="24"/>
      <c r="J1542" s="24"/>
      <c r="K1542" s="24"/>
      <c r="M1542" s="24"/>
      <c r="N1542" s="24"/>
      <c r="P1542" s="24"/>
    </row>
    <row r="1543" spans="2:16" x14ac:dyDescent="0.25">
      <c r="B1543" s="24"/>
      <c r="E1543" s="24"/>
      <c r="G1543" s="24"/>
      <c r="H1543" s="24"/>
      <c r="J1543" s="24"/>
      <c r="K1543" s="24"/>
      <c r="M1543" s="24"/>
      <c r="N1543" s="24"/>
      <c r="P1543" s="24"/>
    </row>
    <row r="1544" spans="2:16" x14ac:dyDescent="0.25">
      <c r="B1544" s="24"/>
      <c r="E1544" s="24"/>
      <c r="G1544" s="24"/>
      <c r="H1544" s="24"/>
      <c r="J1544" s="24"/>
      <c r="K1544" s="24"/>
      <c r="M1544" s="24"/>
      <c r="N1544" s="24"/>
      <c r="P1544" s="24"/>
    </row>
    <row r="1545" spans="2:16" x14ac:dyDescent="0.25">
      <c r="B1545" s="24"/>
      <c r="E1545" s="24"/>
      <c r="G1545" s="24"/>
      <c r="H1545" s="24"/>
      <c r="J1545" s="24"/>
      <c r="K1545" s="24"/>
      <c r="M1545" s="24"/>
      <c r="N1545" s="24"/>
      <c r="P1545" s="24"/>
    </row>
    <row r="1546" spans="2:16" x14ac:dyDescent="0.25">
      <c r="B1546" s="24"/>
      <c r="E1546" s="24"/>
      <c r="G1546" s="24"/>
      <c r="H1546" s="24"/>
      <c r="J1546" s="24"/>
      <c r="K1546" s="24"/>
      <c r="M1546" s="24"/>
      <c r="N1546" s="24"/>
      <c r="P1546" s="24"/>
    </row>
    <row r="1547" spans="2:16" x14ac:dyDescent="0.25">
      <c r="B1547" s="24"/>
      <c r="E1547" s="24"/>
      <c r="G1547" s="24"/>
      <c r="H1547" s="24"/>
      <c r="J1547" s="24"/>
      <c r="K1547" s="24"/>
      <c r="M1547" s="24"/>
      <c r="N1547" s="24"/>
      <c r="P1547" s="24"/>
    </row>
    <row r="1548" spans="2:16" x14ac:dyDescent="0.25">
      <c r="B1548" s="24"/>
      <c r="E1548" s="24"/>
      <c r="G1548" s="24"/>
      <c r="H1548" s="24"/>
      <c r="J1548" s="24"/>
      <c r="K1548" s="24"/>
      <c r="M1548" s="24"/>
      <c r="N1548" s="24"/>
      <c r="P1548" s="24"/>
    </row>
    <row r="1549" spans="2:16" x14ac:dyDescent="0.25">
      <c r="B1549" s="24"/>
      <c r="E1549" s="24"/>
      <c r="G1549" s="24"/>
      <c r="H1549" s="24"/>
      <c r="J1549" s="24"/>
      <c r="K1549" s="24"/>
      <c r="M1549" s="24"/>
      <c r="N1549" s="24"/>
      <c r="P1549" s="24"/>
    </row>
    <row r="1550" spans="2:16" x14ac:dyDescent="0.25">
      <c r="B1550" s="24"/>
      <c r="E1550" s="24"/>
      <c r="G1550" s="24"/>
      <c r="H1550" s="24"/>
      <c r="J1550" s="24"/>
      <c r="K1550" s="24"/>
      <c r="M1550" s="24"/>
      <c r="N1550" s="24"/>
      <c r="P1550" s="24"/>
    </row>
    <row r="1551" spans="2:16" x14ac:dyDescent="0.25">
      <c r="B1551" s="24"/>
      <c r="E1551" s="24"/>
      <c r="G1551" s="24"/>
      <c r="H1551" s="24"/>
      <c r="J1551" s="24"/>
      <c r="K1551" s="24"/>
      <c r="M1551" s="24"/>
      <c r="N1551" s="24"/>
      <c r="P1551" s="24"/>
    </row>
    <row r="1552" spans="2:16" x14ac:dyDescent="0.25">
      <c r="B1552" s="24"/>
      <c r="E1552" s="24"/>
      <c r="G1552" s="24"/>
      <c r="H1552" s="24"/>
      <c r="J1552" s="24"/>
      <c r="K1552" s="24"/>
      <c r="M1552" s="24"/>
      <c r="N1552" s="24"/>
      <c r="P1552" s="24"/>
    </row>
    <row r="1553" spans="2:16" x14ac:dyDescent="0.25">
      <c r="B1553" s="24"/>
      <c r="E1553" s="24"/>
      <c r="G1553" s="24"/>
      <c r="H1553" s="24"/>
      <c r="J1553" s="24"/>
      <c r="K1553" s="24"/>
      <c r="M1553" s="24"/>
      <c r="N1553" s="24"/>
      <c r="P1553" s="24"/>
    </row>
    <row r="1554" spans="2:16" x14ac:dyDescent="0.25">
      <c r="B1554" s="24"/>
      <c r="E1554" s="24"/>
      <c r="G1554" s="24"/>
      <c r="H1554" s="24"/>
      <c r="J1554" s="24"/>
      <c r="K1554" s="24"/>
      <c r="M1554" s="24"/>
      <c r="N1554" s="24"/>
      <c r="P1554" s="24"/>
    </row>
    <row r="1555" spans="2:16" x14ac:dyDescent="0.25">
      <c r="B1555" s="24"/>
      <c r="E1555" s="24"/>
      <c r="G1555" s="24"/>
      <c r="H1555" s="24"/>
      <c r="J1555" s="24"/>
      <c r="K1555" s="24"/>
      <c r="M1555" s="24"/>
      <c r="N1555" s="24"/>
      <c r="P1555" s="24"/>
    </row>
    <row r="1556" spans="2:16" x14ac:dyDescent="0.25">
      <c r="B1556" s="24"/>
      <c r="E1556" s="24"/>
      <c r="G1556" s="24"/>
      <c r="H1556" s="24"/>
      <c r="J1556" s="24"/>
      <c r="K1556" s="24"/>
      <c r="M1556" s="24"/>
      <c r="N1556" s="24"/>
      <c r="P1556" s="24"/>
    </row>
    <row r="1557" spans="2:16" x14ac:dyDescent="0.25">
      <c r="B1557" s="24"/>
      <c r="E1557" s="24"/>
      <c r="G1557" s="24"/>
      <c r="H1557" s="24"/>
      <c r="J1557" s="24"/>
      <c r="K1557" s="24"/>
      <c r="M1557" s="24"/>
      <c r="N1557" s="24"/>
      <c r="P1557" s="24"/>
    </row>
    <row r="1558" spans="2:16" x14ac:dyDescent="0.25">
      <c r="B1558" s="24"/>
      <c r="E1558" s="24"/>
      <c r="G1558" s="24"/>
      <c r="H1558" s="24"/>
      <c r="J1558" s="24"/>
      <c r="K1558" s="24"/>
      <c r="M1558" s="24"/>
      <c r="N1558" s="24"/>
      <c r="P1558" s="24"/>
    </row>
    <row r="1559" spans="2:16" x14ac:dyDescent="0.25">
      <c r="B1559" s="24"/>
      <c r="E1559" s="24"/>
      <c r="G1559" s="24"/>
      <c r="H1559" s="24"/>
      <c r="J1559" s="24"/>
      <c r="K1559" s="24"/>
      <c r="M1559" s="24"/>
      <c r="N1559" s="24"/>
      <c r="P1559" s="24"/>
    </row>
    <row r="1560" spans="2:16" x14ac:dyDescent="0.25">
      <c r="B1560" s="24"/>
      <c r="E1560" s="24"/>
      <c r="G1560" s="24"/>
      <c r="H1560" s="24"/>
      <c r="J1560" s="24"/>
      <c r="K1560" s="24"/>
      <c r="M1560" s="24"/>
      <c r="N1560" s="24"/>
      <c r="P1560" s="24"/>
    </row>
    <row r="1561" spans="2:16" x14ac:dyDescent="0.25">
      <c r="B1561" s="24"/>
      <c r="E1561" s="24"/>
      <c r="G1561" s="24"/>
      <c r="H1561" s="24"/>
      <c r="J1561" s="24"/>
      <c r="K1561" s="24"/>
      <c r="M1561" s="24"/>
      <c r="N1561" s="24"/>
      <c r="P1561" s="24"/>
    </row>
    <row r="1562" spans="2:16" x14ac:dyDescent="0.25">
      <c r="B1562" s="24"/>
      <c r="E1562" s="24"/>
      <c r="G1562" s="24"/>
      <c r="H1562" s="24"/>
      <c r="J1562" s="24"/>
      <c r="K1562" s="24"/>
      <c r="M1562" s="24"/>
      <c r="N1562" s="24"/>
      <c r="P1562" s="24"/>
    </row>
    <row r="1563" spans="2:16" x14ac:dyDescent="0.25">
      <c r="B1563" s="24"/>
      <c r="E1563" s="24"/>
      <c r="G1563" s="24"/>
      <c r="H1563" s="24"/>
      <c r="J1563" s="24"/>
      <c r="K1563" s="24"/>
      <c r="M1563" s="24"/>
      <c r="N1563" s="24"/>
      <c r="P1563" s="24"/>
    </row>
    <row r="1564" spans="2:16" x14ac:dyDescent="0.25">
      <c r="B1564" s="24"/>
      <c r="E1564" s="24"/>
      <c r="G1564" s="24"/>
      <c r="H1564" s="24"/>
      <c r="J1564" s="24"/>
      <c r="K1564" s="24"/>
      <c r="M1564" s="24"/>
      <c r="N1564" s="24"/>
      <c r="P1564" s="24"/>
    </row>
    <row r="1565" spans="2:16" x14ac:dyDescent="0.25">
      <c r="B1565" s="24"/>
      <c r="E1565" s="24"/>
      <c r="G1565" s="24"/>
      <c r="H1565" s="24"/>
      <c r="J1565" s="24"/>
      <c r="K1565" s="24"/>
      <c r="M1565" s="24"/>
      <c r="N1565" s="24"/>
      <c r="P1565" s="24"/>
    </row>
    <row r="1566" spans="2:16" x14ac:dyDescent="0.25">
      <c r="B1566" s="24"/>
      <c r="E1566" s="24"/>
      <c r="G1566" s="24"/>
      <c r="H1566" s="24"/>
      <c r="J1566" s="24"/>
      <c r="K1566" s="24"/>
      <c r="M1566" s="24"/>
      <c r="N1566" s="24"/>
      <c r="P1566" s="24"/>
    </row>
    <row r="1567" spans="2:16" x14ac:dyDescent="0.25">
      <c r="B1567" s="24"/>
      <c r="E1567" s="24"/>
      <c r="G1567" s="24"/>
      <c r="H1567" s="24"/>
      <c r="J1567" s="24"/>
      <c r="K1567" s="24"/>
      <c r="M1567" s="24"/>
      <c r="N1567" s="24"/>
      <c r="P1567" s="24"/>
    </row>
    <row r="1568" spans="2:16" x14ac:dyDescent="0.25">
      <c r="B1568" s="24"/>
      <c r="E1568" s="24"/>
      <c r="G1568" s="24"/>
      <c r="H1568" s="24"/>
      <c r="J1568" s="24"/>
      <c r="K1568" s="24"/>
      <c r="M1568" s="24"/>
      <c r="N1568" s="24"/>
      <c r="P1568" s="24"/>
    </row>
    <row r="1569" spans="2:16" x14ac:dyDescent="0.25">
      <c r="B1569" s="24"/>
      <c r="E1569" s="24"/>
      <c r="G1569" s="24"/>
      <c r="H1569" s="24"/>
      <c r="J1569" s="24"/>
      <c r="K1569" s="24"/>
      <c r="M1569" s="24"/>
      <c r="N1569" s="24"/>
      <c r="P1569" s="24"/>
    </row>
    <row r="1570" spans="2:16" x14ac:dyDescent="0.25">
      <c r="B1570" s="24"/>
      <c r="E1570" s="24"/>
      <c r="G1570" s="24"/>
      <c r="H1570" s="24"/>
      <c r="J1570" s="24"/>
      <c r="K1570" s="24"/>
      <c r="M1570" s="24"/>
      <c r="N1570" s="24"/>
      <c r="P1570" s="24"/>
    </row>
    <row r="1571" spans="2:16" x14ac:dyDescent="0.25">
      <c r="B1571" s="24"/>
      <c r="E1571" s="24"/>
      <c r="G1571" s="24"/>
      <c r="H1571" s="24"/>
      <c r="J1571" s="24"/>
      <c r="K1571" s="24"/>
      <c r="M1571" s="24"/>
      <c r="N1571" s="24"/>
      <c r="P1571" s="24"/>
    </row>
    <row r="1572" spans="2:16" x14ac:dyDescent="0.25">
      <c r="B1572" s="24"/>
      <c r="E1572" s="24"/>
      <c r="G1572" s="24"/>
      <c r="H1572" s="24"/>
      <c r="J1572" s="24"/>
      <c r="K1572" s="24"/>
      <c r="M1572" s="24"/>
      <c r="N1572" s="24"/>
      <c r="P1572" s="24"/>
    </row>
    <row r="1573" spans="2:16" x14ac:dyDescent="0.25">
      <c r="B1573" s="24"/>
      <c r="E1573" s="24"/>
      <c r="G1573" s="24"/>
      <c r="H1573" s="24"/>
      <c r="J1573" s="24"/>
      <c r="K1573" s="24"/>
      <c r="M1573" s="24"/>
      <c r="N1573" s="24"/>
      <c r="P1573" s="24"/>
    </row>
    <row r="1574" spans="2:16" x14ac:dyDescent="0.25">
      <c r="B1574" s="24"/>
      <c r="E1574" s="24"/>
      <c r="G1574" s="24"/>
      <c r="H1574" s="24"/>
      <c r="J1574" s="24"/>
      <c r="K1574" s="24"/>
      <c r="M1574" s="24"/>
      <c r="N1574" s="24"/>
      <c r="P1574" s="24"/>
    </row>
    <row r="1575" spans="2:16" x14ac:dyDescent="0.25">
      <c r="B1575" s="24"/>
      <c r="E1575" s="24"/>
      <c r="G1575" s="24"/>
      <c r="H1575" s="24"/>
      <c r="J1575" s="24"/>
      <c r="K1575" s="24"/>
      <c r="M1575" s="24"/>
      <c r="N1575" s="24"/>
      <c r="P1575" s="24"/>
    </row>
    <row r="1576" spans="2:16" x14ac:dyDescent="0.25">
      <c r="B1576" s="24"/>
      <c r="E1576" s="24"/>
      <c r="G1576" s="24"/>
      <c r="H1576" s="24"/>
      <c r="J1576" s="24"/>
      <c r="K1576" s="24"/>
      <c r="M1576" s="24"/>
      <c r="N1576" s="24"/>
      <c r="P1576" s="24"/>
    </row>
    <row r="1577" spans="2:16" x14ac:dyDescent="0.25">
      <c r="B1577" s="24"/>
      <c r="E1577" s="24"/>
      <c r="G1577" s="24"/>
      <c r="H1577" s="24"/>
      <c r="J1577" s="24"/>
      <c r="K1577" s="24"/>
      <c r="M1577" s="24"/>
      <c r="N1577" s="24"/>
      <c r="P1577" s="24"/>
    </row>
    <row r="1578" spans="2:16" x14ac:dyDescent="0.25">
      <c r="B1578" s="24"/>
      <c r="E1578" s="24"/>
      <c r="G1578" s="24"/>
      <c r="H1578" s="24"/>
      <c r="J1578" s="24"/>
      <c r="K1578" s="24"/>
      <c r="M1578" s="24"/>
      <c r="N1578" s="24"/>
      <c r="P1578" s="24"/>
    </row>
    <row r="1579" spans="2:16" x14ac:dyDescent="0.25">
      <c r="B1579" s="24"/>
      <c r="E1579" s="24"/>
      <c r="G1579" s="24"/>
      <c r="H1579" s="24"/>
      <c r="J1579" s="24"/>
      <c r="K1579" s="24"/>
      <c r="M1579" s="24"/>
      <c r="N1579" s="24"/>
      <c r="P1579" s="24"/>
    </row>
    <row r="1580" spans="2:16" x14ac:dyDescent="0.25">
      <c r="B1580" s="24"/>
      <c r="E1580" s="24"/>
      <c r="G1580" s="24"/>
      <c r="H1580" s="24"/>
      <c r="J1580" s="24"/>
      <c r="K1580" s="24"/>
      <c r="M1580" s="24"/>
      <c r="N1580" s="24"/>
      <c r="P1580" s="24"/>
    </row>
    <row r="1581" spans="2:16" x14ac:dyDescent="0.25">
      <c r="B1581" s="24"/>
      <c r="E1581" s="24"/>
      <c r="G1581" s="24"/>
      <c r="H1581" s="24"/>
      <c r="J1581" s="24"/>
      <c r="K1581" s="24"/>
      <c r="M1581" s="24"/>
      <c r="N1581" s="24"/>
      <c r="P1581" s="24"/>
    </row>
    <row r="1582" spans="2:16" x14ac:dyDescent="0.25">
      <c r="B1582" s="24"/>
      <c r="E1582" s="24"/>
      <c r="G1582" s="24"/>
      <c r="H1582" s="24"/>
      <c r="J1582" s="24"/>
      <c r="K1582" s="24"/>
      <c r="M1582" s="24"/>
      <c r="N1582" s="24"/>
      <c r="P1582" s="24"/>
    </row>
    <row r="1583" spans="2:16" x14ac:dyDescent="0.25">
      <c r="B1583" s="24"/>
      <c r="E1583" s="24"/>
      <c r="G1583" s="24"/>
      <c r="H1583" s="24"/>
      <c r="J1583" s="24"/>
      <c r="K1583" s="24"/>
      <c r="M1583" s="24"/>
      <c r="N1583" s="24"/>
      <c r="P1583" s="24"/>
    </row>
    <row r="1584" spans="2:16" x14ac:dyDescent="0.25">
      <c r="B1584" s="24"/>
      <c r="E1584" s="24"/>
      <c r="G1584" s="24"/>
      <c r="H1584" s="24"/>
      <c r="J1584" s="24"/>
      <c r="K1584" s="24"/>
      <c r="M1584" s="24"/>
      <c r="N1584" s="24"/>
      <c r="P1584" s="24"/>
    </row>
    <row r="1585" spans="2:16" x14ac:dyDescent="0.25">
      <c r="B1585" s="24"/>
      <c r="E1585" s="24"/>
      <c r="G1585" s="24"/>
      <c r="H1585" s="24"/>
      <c r="J1585" s="24"/>
      <c r="K1585" s="24"/>
      <c r="M1585" s="24"/>
      <c r="N1585" s="24"/>
      <c r="P1585" s="24"/>
    </row>
    <row r="1586" spans="2:16" x14ac:dyDescent="0.25">
      <c r="B1586" s="24"/>
      <c r="E1586" s="24"/>
      <c r="G1586" s="24"/>
      <c r="H1586" s="24"/>
      <c r="J1586" s="24"/>
      <c r="K1586" s="24"/>
      <c r="M1586" s="24"/>
      <c r="N1586" s="24"/>
      <c r="P1586" s="24"/>
    </row>
    <row r="1587" spans="2:16" x14ac:dyDescent="0.25">
      <c r="B1587" s="24"/>
      <c r="E1587" s="24"/>
      <c r="G1587" s="24"/>
      <c r="H1587" s="24"/>
      <c r="J1587" s="24"/>
      <c r="K1587" s="24"/>
      <c r="M1587" s="24"/>
      <c r="N1587" s="24"/>
      <c r="P1587" s="24"/>
    </row>
    <row r="1588" spans="2:16" x14ac:dyDescent="0.25">
      <c r="B1588" s="24"/>
      <c r="E1588" s="24"/>
      <c r="G1588" s="24"/>
      <c r="H1588" s="24"/>
      <c r="J1588" s="24"/>
      <c r="K1588" s="24"/>
      <c r="M1588" s="24"/>
      <c r="N1588" s="24"/>
      <c r="P1588" s="24"/>
    </row>
    <row r="1589" spans="2:16" x14ac:dyDescent="0.25">
      <c r="B1589" s="24"/>
      <c r="E1589" s="24"/>
      <c r="G1589" s="24"/>
      <c r="H1589" s="24"/>
      <c r="J1589" s="24"/>
      <c r="K1589" s="24"/>
      <c r="M1589" s="24"/>
      <c r="N1589" s="24"/>
      <c r="P1589" s="24"/>
    </row>
    <row r="1590" spans="2:16" x14ac:dyDescent="0.25">
      <c r="B1590" s="24"/>
      <c r="E1590" s="24"/>
      <c r="G1590" s="24"/>
      <c r="H1590" s="24"/>
      <c r="J1590" s="24"/>
      <c r="K1590" s="24"/>
      <c r="M1590" s="24"/>
      <c r="N1590" s="24"/>
      <c r="P1590" s="24"/>
    </row>
    <row r="1591" spans="2:16" x14ac:dyDescent="0.25">
      <c r="B1591" s="24"/>
      <c r="E1591" s="24"/>
      <c r="G1591" s="24"/>
      <c r="H1591" s="24"/>
      <c r="J1591" s="24"/>
      <c r="K1591" s="24"/>
      <c r="M1591" s="24"/>
      <c r="N1591" s="24"/>
      <c r="P1591" s="24"/>
    </row>
    <row r="1592" spans="2:16" x14ac:dyDescent="0.25">
      <c r="B1592" s="24"/>
      <c r="E1592" s="24"/>
      <c r="G1592" s="24"/>
      <c r="H1592" s="24"/>
      <c r="J1592" s="24"/>
      <c r="K1592" s="24"/>
      <c r="M1592" s="24"/>
      <c r="N1592" s="24"/>
      <c r="P1592" s="24"/>
    </row>
    <row r="1593" spans="2:16" x14ac:dyDescent="0.25">
      <c r="B1593" s="24"/>
      <c r="E1593" s="24"/>
      <c r="G1593" s="24"/>
      <c r="H1593" s="24"/>
      <c r="J1593" s="24"/>
      <c r="K1593" s="24"/>
      <c r="M1593" s="24"/>
      <c r="N1593" s="24"/>
      <c r="P1593" s="24"/>
    </row>
    <row r="1594" spans="2:16" x14ac:dyDescent="0.25">
      <c r="B1594" s="24"/>
      <c r="E1594" s="24"/>
      <c r="G1594" s="24"/>
      <c r="H1594" s="24"/>
      <c r="J1594" s="24"/>
      <c r="K1594" s="24"/>
      <c r="M1594" s="24"/>
      <c r="N1594" s="24"/>
      <c r="P1594" s="24"/>
    </row>
    <row r="1595" spans="2:16" x14ac:dyDescent="0.25">
      <c r="B1595" s="24"/>
      <c r="E1595" s="24"/>
      <c r="G1595" s="24"/>
      <c r="H1595" s="24"/>
      <c r="J1595" s="24"/>
      <c r="K1595" s="24"/>
      <c r="M1595" s="24"/>
      <c r="N1595" s="24"/>
      <c r="P1595" s="24"/>
    </row>
    <row r="1596" spans="2:16" x14ac:dyDescent="0.25">
      <c r="B1596" s="24"/>
      <c r="E1596" s="24"/>
      <c r="G1596" s="24"/>
      <c r="H1596" s="24"/>
      <c r="J1596" s="24"/>
      <c r="K1596" s="24"/>
      <c r="M1596" s="24"/>
      <c r="N1596" s="24"/>
      <c r="P1596" s="24"/>
    </row>
    <row r="1597" spans="2:16" x14ac:dyDescent="0.25">
      <c r="B1597" s="24"/>
      <c r="E1597" s="24"/>
      <c r="G1597" s="24"/>
      <c r="H1597" s="24"/>
      <c r="J1597" s="24"/>
      <c r="K1597" s="24"/>
      <c r="M1597" s="24"/>
      <c r="N1597" s="24"/>
      <c r="P1597" s="24"/>
    </row>
    <row r="1598" spans="2:16" x14ac:dyDescent="0.25">
      <c r="B1598" s="24"/>
      <c r="E1598" s="24"/>
      <c r="G1598" s="24"/>
      <c r="H1598" s="24"/>
      <c r="J1598" s="24"/>
      <c r="K1598" s="24"/>
      <c r="M1598" s="24"/>
      <c r="N1598" s="24"/>
      <c r="P1598" s="24"/>
    </row>
    <row r="1599" spans="2:16" x14ac:dyDescent="0.25">
      <c r="B1599" s="24"/>
      <c r="E1599" s="24"/>
      <c r="G1599" s="24"/>
      <c r="H1599" s="24"/>
      <c r="J1599" s="24"/>
      <c r="K1599" s="24"/>
      <c r="M1599" s="24"/>
      <c r="N1599" s="24"/>
      <c r="P1599" s="24"/>
    </row>
    <row r="1600" spans="2:16" x14ac:dyDescent="0.25">
      <c r="B1600" s="24"/>
      <c r="E1600" s="24"/>
      <c r="G1600" s="24"/>
      <c r="H1600" s="24"/>
      <c r="J1600" s="24"/>
      <c r="K1600" s="24"/>
      <c r="M1600" s="24"/>
      <c r="N1600" s="24"/>
      <c r="P1600" s="24"/>
    </row>
    <row r="1601" spans="2:16" x14ac:dyDescent="0.25">
      <c r="B1601" s="24"/>
      <c r="E1601" s="24"/>
      <c r="G1601" s="24"/>
      <c r="H1601" s="24"/>
      <c r="J1601" s="24"/>
      <c r="K1601" s="24"/>
      <c r="M1601" s="24"/>
      <c r="N1601" s="24"/>
      <c r="P1601" s="24"/>
    </row>
    <row r="1602" spans="2:16" x14ac:dyDescent="0.25">
      <c r="B1602" s="24"/>
      <c r="E1602" s="24"/>
      <c r="G1602" s="24"/>
      <c r="H1602" s="24"/>
      <c r="J1602" s="24"/>
      <c r="K1602" s="24"/>
      <c r="M1602" s="24"/>
      <c r="N1602" s="24"/>
      <c r="P1602" s="24"/>
    </row>
    <row r="1603" spans="2:16" x14ac:dyDescent="0.25">
      <c r="B1603" s="24"/>
      <c r="E1603" s="24"/>
      <c r="G1603" s="24"/>
      <c r="H1603" s="24"/>
      <c r="J1603" s="24"/>
      <c r="K1603" s="24"/>
      <c r="M1603" s="24"/>
      <c r="N1603" s="24"/>
      <c r="P1603" s="24"/>
    </row>
    <row r="1604" spans="2:16" x14ac:dyDescent="0.25">
      <c r="B1604" s="24"/>
      <c r="E1604" s="24"/>
      <c r="G1604" s="24"/>
      <c r="H1604" s="24"/>
      <c r="J1604" s="24"/>
      <c r="K1604" s="24"/>
      <c r="M1604" s="24"/>
      <c r="N1604" s="24"/>
      <c r="P1604" s="24"/>
    </row>
    <row r="1605" spans="2:16" x14ac:dyDescent="0.25">
      <c r="B1605" s="24"/>
      <c r="E1605" s="24"/>
      <c r="G1605" s="24"/>
      <c r="H1605" s="24"/>
      <c r="J1605" s="24"/>
      <c r="K1605" s="24"/>
      <c r="M1605" s="24"/>
      <c r="N1605" s="24"/>
      <c r="P1605" s="24"/>
    </row>
    <row r="1606" spans="2:16" x14ac:dyDescent="0.25">
      <c r="B1606" s="24"/>
      <c r="E1606" s="24"/>
      <c r="G1606" s="24"/>
      <c r="H1606" s="24"/>
      <c r="J1606" s="24"/>
      <c r="K1606" s="24"/>
      <c r="M1606" s="24"/>
      <c r="N1606" s="24"/>
      <c r="P1606" s="24"/>
    </row>
    <row r="1607" spans="2:16" x14ac:dyDescent="0.25">
      <c r="B1607" s="24"/>
      <c r="E1607" s="24"/>
      <c r="G1607" s="24"/>
      <c r="H1607" s="24"/>
      <c r="J1607" s="24"/>
      <c r="K1607" s="24"/>
      <c r="M1607" s="24"/>
      <c r="N1607" s="24"/>
      <c r="P1607" s="24"/>
    </row>
    <row r="1608" spans="2:16" x14ac:dyDescent="0.25">
      <c r="B1608" s="24"/>
      <c r="E1608" s="24"/>
      <c r="G1608" s="24"/>
      <c r="H1608" s="24"/>
      <c r="J1608" s="24"/>
      <c r="K1608" s="24"/>
      <c r="M1608" s="24"/>
      <c r="N1608" s="24"/>
      <c r="P1608" s="24"/>
    </row>
    <row r="1609" spans="2:16" x14ac:dyDescent="0.25">
      <c r="B1609" s="24"/>
      <c r="E1609" s="24"/>
      <c r="G1609" s="24"/>
      <c r="H1609" s="24"/>
      <c r="J1609" s="24"/>
      <c r="K1609" s="24"/>
      <c r="M1609" s="24"/>
      <c r="N1609" s="24"/>
      <c r="P1609" s="24"/>
    </row>
    <row r="1610" spans="2:16" x14ac:dyDescent="0.25">
      <c r="B1610" s="24"/>
      <c r="E1610" s="24"/>
      <c r="G1610" s="24"/>
      <c r="H1610" s="24"/>
      <c r="J1610" s="24"/>
      <c r="K1610" s="24"/>
      <c r="M1610" s="24"/>
      <c r="N1610" s="24"/>
      <c r="P1610" s="24"/>
    </row>
    <row r="1611" spans="2:16" x14ac:dyDescent="0.25">
      <c r="B1611" s="24"/>
      <c r="E1611" s="24"/>
      <c r="G1611" s="24"/>
      <c r="H1611" s="24"/>
      <c r="J1611" s="24"/>
      <c r="K1611" s="24"/>
      <c r="M1611" s="24"/>
      <c r="N1611" s="24"/>
      <c r="P1611" s="24"/>
    </row>
    <row r="1612" spans="2:16" x14ac:dyDescent="0.25">
      <c r="B1612" s="24"/>
      <c r="E1612" s="24"/>
      <c r="G1612" s="24"/>
      <c r="H1612" s="24"/>
      <c r="J1612" s="24"/>
      <c r="K1612" s="24"/>
      <c r="M1612" s="24"/>
      <c r="N1612" s="24"/>
      <c r="P1612" s="24"/>
    </row>
    <row r="1613" spans="2:16" x14ac:dyDescent="0.25">
      <c r="B1613" s="24"/>
      <c r="E1613" s="24"/>
      <c r="G1613" s="24"/>
      <c r="H1613" s="24"/>
      <c r="J1613" s="24"/>
      <c r="K1613" s="24"/>
      <c r="M1613" s="24"/>
      <c r="N1613" s="24"/>
      <c r="P1613" s="24"/>
    </row>
    <row r="1614" spans="2:16" x14ac:dyDescent="0.25">
      <c r="B1614" s="24"/>
      <c r="E1614" s="24"/>
      <c r="G1614" s="24"/>
      <c r="H1614" s="24"/>
      <c r="J1614" s="24"/>
      <c r="K1614" s="24"/>
      <c r="M1614" s="24"/>
      <c r="N1614" s="24"/>
      <c r="P1614" s="24"/>
    </row>
    <row r="1615" spans="2:16" x14ac:dyDescent="0.25">
      <c r="B1615" s="24"/>
      <c r="E1615" s="24"/>
      <c r="G1615" s="24"/>
      <c r="H1615" s="24"/>
      <c r="J1615" s="24"/>
      <c r="K1615" s="24"/>
      <c r="M1615" s="24"/>
      <c r="N1615" s="24"/>
      <c r="P1615" s="24"/>
    </row>
    <row r="1616" spans="2:16" x14ac:dyDescent="0.25">
      <c r="B1616" s="24"/>
      <c r="E1616" s="24"/>
      <c r="G1616" s="24"/>
      <c r="H1616" s="24"/>
      <c r="J1616" s="24"/>
      <c r="K1616" s="24"/>
      <c r="M1616" s="24"/>
      <c r="N1616" s="24"/>
      <c r="P1616" s="24"/>
    </row>
    <row r="1617" spans="2:16" x14ac:dyDescent="0.25">
      <c r="B1617" s="24"/>
      <c r="E1617" s="24"/>
      <c r="G1617" s="24"/>
      <c r="H1617" s="24"/>
      <c r="J1617" s="24"/>
      <c r="K1617" s="24"/>
      <c r="M1617" s="24"/>
      <c r="N1617" s="24"/>
      <c r="P1617" s="24"/>
    </row>
    <row r="1618" spans="2:16" x14ac:dyDescent="0.25">
      <c r="B1618" s="24"/>
      <c r="E1618" s="24"/>
      <c r="G1618" s="24"/>
      <c r="H1618" s="24"/>
      <c r="J1618" s="24"/>
      <c r="K1618" s="24"/>
      <c r="M1618" s="24"/>
      <c r="N1618" s="24"/>
      <c r="P1618" s="24"/>
    </row>
    <row r="1619" spans="2:16" x14ac:dyDescent="0.25">
      <c r="B1619" s="24"/>
      <c r="E1619" s="24"/>
      <c r="G1619" s="24"/>
      <c r="H1619" s="24"/>
      <c r="J1619" s="24"/>
      <c r="K1619" s="24"/>
      <c r="M1619" s="24"/>
      <c r="N1619" s="24"/>
      <c r="P1619" s="24"/>
    </row>
    <row r="1620" spans="2:16" x14ac:dyDescent="0.25">
      <c r="B1620" s="24"/>
      <c r="E1620" s="24"/>
      <c r="G1620" s="24"/>
      <c r="H1620" s="24"/>
      <c r="J1620" s="24"/>
      <c r="K1620" s="24"/>
      <c r="M1620" s="24"/>
      <c r="N1620" s="24"/>
      <c r="P1620" s="24"/>
    </row>
    <row r="1621" spans="2:16" x14ac:dyDescent="0.25">
      <c r="B1621" s="24"/>
      <c r="E1621" s="24"/>
      <c r="G1621" s="24"/>
      <c r="H1621" s="24"/>
      <c r="J1621" s="24"/>
      <c r="K1621" s="24"/>
      <c r="M1621" s="24"/>
      <c r="N1621" s="24"/>
      <c r="P1621" s="24"/>
    </row>
    <row r="1622" spans="2:16" x14ac:dyDescent="0.25">
      <c r="B1622" s="24"/>
      <c r="E1622" s="24"/>
      <c r="G1622" s="24"/>
      <c r="H1622" s="24"/>
      <c r="J1622" s="24"/>
      <c r="K1622" s="24"/>
      <c r="M1622" s="24"/>
      <c r="N1622" s="24"/>
      <c r="P1622" s="24"/>
    </row>
    <row r="1623" spans="2:16" x14ac:dyDescent="0.25">
      <c r="B1623" s="24"/>
      <c r="E1623" s="24"/>
      <c r="G1623" s="24"/>
      <c r="H1623" s="24"/>
      <c r="J1623" s="24"/>
      <c r="K1623" s="24"/>
      <c r="M1623" s="24"/>
      <c r="N1623" s="24"/>
      <c r="P1623" s="24"/>
    </row>
    <row r="1624" spans="2:16" x14ac:dyDescent="0.25">
      <c r="B1624" s="24"/>
      <c r="E1624" s="24"/>
      <c r="G1624" s="24"/>
      <c r="H1624" s="24"/>
      <c r="J1624" s="24"/>
      <c r="K1624" s="24"/>
      <c r="M1624" s="24"/>
      <c r="N1624" s="24"/>
      <c r="P1624" s="24"/>
    </row>
    <row r="1625" spans="2:16" x14ac:dyDescent="0.25">
      <c r="B1625" s="24"/>
      <c r="E1625" s="24"/>
      <c r="G1625" s="24"/>
      <c r="H1625" s="24"/>
      <c r="J1625" s="24"/>
      <c r="K1625" s="24"/>
      <c r="M1625" s="24"/>
      <c r="N1625" s="24"/>
      <c r="P1625" s="24"/>
    </row>
    <row r="1626" spans="2:16" x14ac:dyDescent="0.25">
      <c r="B1626" s="24"/>
      <c r="E1626" s="24"/>
      <c r="G1626" s="24"/>
      <c r="H1626" s="24"/>
      <c r="J1626" s="24"/>
      <c r="K1626" s="24"/>
      <c r="M1626" s="24"/>
      <c r="N1626" s="24"/>
      <c r="P1626" s="24"/>
    </row>
    <row r="1627" spans="2:16" x14ac:dyDescent="0.25">
      <c r="B1627" s="24"/>
      <c r="E1627" s="24"/>
      <c r="G1627" s="24"/>
      <c r="H1627" s="24"/>
      <c r="J1627" s="24"/>
      <c r="K1627" s="24"/>
      <c r="M1627" s="24"/>
      <c r="N1627" s="24"/>
      <c r="P1627" s="24"/>
    </row>
    <row r="1628" spans="2:16" x14ac:dyDescent="0.25">
      <c r="B1628" s="24"/>
      <c r="E1628" s="24"/>
      <c r="G1628" s="24"/>
      <c r="H1628" s="24"/>
      <c r="J1628" s="24"/>
      <c r="K1628" s="24"/>
      <c r="M1628" s="24"/>
      <c r="N1628" s="24"/>
      <c r="P1628" s="24"/>
    </row>
    <row r="1629" spans="2:16" x14ac:dyDescent="0.25">
      <c r="B1629" s="24"/>
      <c r="E1629" s="24"/>
      <c r="G1629" s="24"/>
      <c r="H1629" s="24"/>
      <c r="J1629" s="24"/>
      <c r="K1629" s="24"/>
      <c r="M1629" s="24"/>
      <c r="N1629" s="24"/>
      <c r="P1629" s="24"/>
    </row>
    <row r="1630" spans="2:16" x14ac:dyDescent="0.25">
      <c r="B1630" s="24"/>
      <c r="E1630" s="24"/>
      <c r="G1630" s="24"/>
      <c r="H1630" s="24"/>
      <c r="J1630" s="24"/>
      <c r="K1630" s="24"/>
      <c r="M1630" s="24"/>
      <c r="N1630" s="24"/>
      <c r="P1630" s="24"/>
    </row>
    <row r="1631" spans="2:16" x14ac:dyDescent="0.25">
      <c r="B1631" s="24"/>
      <c r="E1631" s="24"/>
      <c r="G1631" s="24"/>
      <c r="H1631" s="24"/>
      <c r="J1631" s="24"/>
      <c r="K1631" s="24"/>
      <c r="M1631" s="24"/>
      <c r="N1631" s="24"/>
      <c r="P1631" s="24"/>
    </row>
    <row r="1632" spans="2:16" x14ac:dyDescent="0.25">
      <c r="B1632" s="24"/>
      <c r="E1632" s="24"/>
      <c r="G1632" s="24"/>
      <c r="H1632" s="24"/>
      <c r="J1632" s="24"/>
      <c r="K1632" s="24"/>
      <c r="M1632" s="24"/>
      <c r="N1632" s="24"/>
      <c r="P1632" s="24"/>
    </row>
    <row r="1633" spans="2:16" x14ac:dyDescent="0.25">
      <c r="B1633" s="24"/>
      <c r="E1633" s="24"/>
      <c r="G1633" s="24"/>
      <c r="H1633" s="24"/>
      <c r="J1633" s="24"/>
      <c r="K1633" s="24"/>
      <c r="M1633" s="24"/>
      <c r="N1633" s="24"/>
      <c r="P1633" s="24"/>
    </row>
    <row r="1634" spans="2:16" x14ac:dyDescent="0.25">
      <c r="B1634" s="24"/>
      <c r="E1634" s="24"/>
      <c r="G1634" s="24"/>
      <c r="H1634" s="24"/>
      <c r="J1634" s="24"/>
      <c r="K1634" s="24"/>
      <c r="M1634" s="24"/>
      <c r="N1634" s="24"/>
      <c r="P1634" s="24"/>
    </row>
    <row r="1635" spans="2:16" x14ac:dyDescent="0.25">
      <c r="B1635" s="24"/>
      <c r="E1635" s="24"/>
      <c r="G1635" s="24"/>
      <c r="H1635" s="24"/>
      <c r="J1635" s="24"/>
      <c r="K1635" s="24"/>
      <c r="M1635" s="24"/>
      <c r="N1635" s="24"/>
      <c r="P1635" s="24"/>
    </row>
    <row r="1636" spans="2:16" x14ac:dyDescent="0.25">
      <c r="B1636" s="24"/>
      <c r="E1636" s="24"/>
      <c r="G1636" s="24"/>
      <c r="H1636" s="24"/>
      <c r="J1636" s="24"/>
      <c r="K1636" s="24"/>
      <c r="M1636" s="24"/>
      <c r="N1636" s="24"/>
      <c r="P1636" s="24"/>
    </row>
    <row r="1637" spans="2:16" x14ac:dyDescent="0.25">
      <c r="B1637" s="24"/>
      <c r="E1637" s="24"/>
      <c r="G1637" s="24"/>
      <c r="H1637" s="24"/>
      <c r="J1637" s="24"/>
      <c r="K1637" s="24"/>
      <c r="M1637" s="24"/>
      <c r="N1637" s="24"/>
      <c r="P1637" s="24"/>
    </row>
    <row r="1638" spans="2:16" x14ac:dyDescent="0.25">
      <c r="B1638" s="24"/>
      <c r="E1638" s="24"/>
      <c r="G1638" s="24"/>
      <c r="H1638" s="24"/>
      <c r="J1638" s="24"/>
      <c r="K1638" s="24"/>
      <c r="M1638" s="24"/>
      <c r="N1638" s="24"/>
      <c r="P1638" s="24"/>
    </row>
    <row r="1639" spans="2:16" x14ac:dyDescent="0.25">
      <c r="B1639" s="24"/>
      <c r="E1639" s="24"/>
      <c r="G1639" s="24"/>
      <c r="H1639" s="24"/>
      <c r="J1639" s="24"/>
      <c r="K1639" s="24"/>
      <c r="M1639" s="24"/>
      <c r="N1639" s="24"/>
      <c r="P1639" s="24"/>
    </row>
    <row r="1640" spans="2:16" x14ac:dyDescent="0.25">
      <c r="B1640" s="24"/>
      <c r="E1640" s="24"/>
      <c r="G1640" s="24"/>
      <c r="H1640" s="24"/>
      <c r="J1640" s="24"/>
      <c r="K1640" s="24"/>
      <c r="M1640" s="24"/>
      <c r="N1640" s="24"/>
      <c r="P1640" s="24"/>
    </row>
    <row r="1641" spans="2:16" x14ac:dyDescent="0.25">
      <c r="B1641" s="24"/>
      <c r="E1641" s="24"/>
      <c r="G1641" s="24"/>
      <c r="H1641" s="24"/>
      <c r="J1641" s="24"/>
      <c r="K1641" s="24"/>
      <c r="M1641" s="24"/>
      <c r="N1641" s="24"/>
      <c r="P1641" s="24"/>
    </row>
    <row r="1642" spans="2:16" x14ac:dyDescent="0.25">
      <c r="B1642" s="24"/>
      <c r="E1642" s="24"/>
      <c r="G1642" s="24"/>
      <c r="H1642" s="24"/>
      <c r="J1642" s="24"/>
      <c r="K1642" s="24"/>
      <c r="M1642" s="24"/>
      <c r="N1642" s="24"/>
      <c r="P1642" s="24"/>
    </row>
    <row r="1643" spans="2:16" x14ac:dyDescent="0.25">
      <c r="B1643" s="24"/>
      <c r="E1643" s="24"/>
      <c r="G1643" s="24"/>
      <c r="H1643" s="24"/>
      <c r="J1643" s="24"/>
      <c r="K1643" s="24"/>
      <c r="M1643" s="24"/>
      <c r="N1643" s="24"/>
      <c r="P1643" s="24"/>
    </row>
    <row r="1644" spans="2:16" x14ac:dyDescent="0.25">
      <c r="B1644" s="24"/>
      <c r="E1644" s="24"/>
      <c r="G1644" s="24"/>
      <c r="H1644" s="24"/>
      <c r="J1644" s="24"/>
      <c r="K1644" s="24"/>
      <c r="M1644" s="24"/>
      <c r="N1644" s="24"/>
      <c r="P1644" s="24"/>
    </row>
    <row r="1645" spans="2:16" x14ac:dyDescent="0.25">
      <c r="B1645" s="24"/>
      <c r="E1645" s="24"/>
      <c r="G1645" s="24"/>
      <c r="H1645" s="24"/>
      <c r="J1645" s="24"/>
      <c r="K1645" s="24"/>
      <c r="M1645" s="24"/>
      <c r="N1645" s="24"/>
      <c r="P1645" s="24"/>
    </row>
    <row r="1646" spans="2:16" x14ac:dyDescent="0.25">
      <c r="B1646" s="24"/>
      <c r="E1646" s="24"/>
      <c r="G1646" s="24"/>
      <c r="H1646" s="24"/>
      <c r="J1646" s="24"/>
      <c r="K1646" s="24"/>
      <c r="M1646" s="24"/>
      <c r="N1646" s="24"/>
      <c r="P1646" s="24"/>
    </row>
    <row r="1647" spans="2:16" x14ac:dyDescent="0.25">
      <c r="B1647" s="24"/>
      <c r="E1647" s="24"/>
      <c r="G1647" s="24"/>
      <c r="H1647" s="24"/>
      <c r="J1647" s="24"/>
      <c r="K1647" s="24"/>
      <c r="M1647" s="24"/>
      <c r="N1647" s="24"/>
      <c r="P1647" s="24"/>
    </row>
    <row r="1648" spans="2:16" x14ac:dyDescent="0.25">
      <c r="B1648" s="24"/>
      <c r="E1648" s="24"/>
      <c r="G1648" s="24"/>
      <c r="H1648" s="24"/>
      <c r="J1648" s="24"/>
      <c r="K1648" s="24"/>
      <c r="M1648" s="24"/>
      <c r="N1648" s="24"/>
      <c r="P1648" s="24"/>
    </row>
    <row r="1649" spans="2:16" x14ac:dyDescent="0.25">
      <c r="B1649" s="24"/>
      <c r="E1649" s="24"/>
      <c r="G1649" s="24"/>
      <c r="H1649" s="24"/>
      <c r="J1649" s="24"/>
      <c r="K1649" s="24"/>
      <c r="M1649" s="24"/>
      <c r="N1649" s="24"/>
      <c r="P1649" s="24"/>
    </row>
    <row r="1650" spans="2:16" x14ac:dyDescent="0.25">
      <c r="B1650" s="24"/>
      <c r="E1650" s="24"/>
      <c r="G1650" s="24"/>
      <c r="H1650" s="24"/>
      <c r="J1650" s="24"/>
      <c r="K1650" s="24"/>
      <c r="M1650" s="24"/>
      <c r="N1650" s="24"/>
      <c r="P1650" s="24"/>
    </row>
    <row r="1651" spans="2:16" x14ac:dyDescent="0.25">
      <c r="B1651" s="24"/>
      <c r="E1651" s="24"/>
      <c r="G1651" s="24"/>
      <c r="H1651" s="24"/>
      <c r="J1651" s="24"/>
      <c r="K1651" s="24"/>
      <c r="M1651" s="24"/>
      <c r="N1651" s="24"/>
      <c r="P1651" s="24"/>
    </row>
    <row r="1652" spans="2:16" x14ac:dyDescent="0.25">
      <c r="B1652" s="24"/>
      <c r="E1652" s="24"/>
      <c r="G1652" s="24"/>
      <c r="H1652" s="24"/>
      <c r="J1652" s="24"/>
      <c r="K1652" s="24"/>
      <c r="M1652" s="24"/>
      <c r="N1652" s="24"/>
      <c r="P1652" s="24"/>
    </row>
    <row r="1653" spans="2:16" x14ac:dyDescent="0.25">
      <c r="B1653" s="24"/>
      <c r="E1653" s="24"/>
      <c r="G1653" s="24"/>
      <c r="H1653" s="24"/>
      <c r="J1653" s="24"/>
      <c r="K1653" s="24"/>
      <c r="M1653" s="24"/>
      <c r="N1653" s="24"/>
      <c r="P1653" s="24"/>
    </row>
    <row r="1654" spans="2:16" x14ac:dyDescent="0.25">
      <c r="B1654" s="24"/>
      <c r="E1654" s="24"/>
      <c r="G1654" s="24"/>
      <c r="H1654" s="24"/>
      <c r="J1654" s="24"/>
      <c r="K1654" s="24"/>
      <c r="M1654" s="24"/>
      <c r="N1654" s="24"/>
      <c r="P1654" s="24"/>
    </row>
    <row r="1655" spans="2:16" x14ac:dyDescent="0.25">
      <c r="B1655" s="24"/>
      <c r="E1655" s="24"/>
      <c r="G1655" s="24"/>
      <c r="H1655" s="24"/>
      <c r="J1655" s="24"/>
      <c r="K1655" s="24"/>
      <c r="M1655" s="24"/>
      <c r="N1655" s="24"/>
      <c r="P1655" s="24"/>
    </row>
    <row r="1656" spans="2:16" x14ac:dyDescent="0.25">
      <c r="B1656" s="24"/>
      <c r="E1656" s="24"/>
      <c r="G1656" s="24"/>
      <c r="H1656" s="24"/>
      <c r="J1656" s="24"/>
      <c r="K1656" s="24"/>
      <c r="M1656" s="24"/>
      <c r="N1656" s="24"/>
      <c r="P1656" s="24"/>
    </row>
    <row r="1657" spans="2:16" x14ac:dyDescent="0.25">
      <c r="B1657" s="24"/>
      <c r="E1657" s="24"/>
      <c r="G1657" s="24"/>
      <c r="H1657" s="24"/>
      <c r="J1657" s="24"/>
      <c r="K1657" s="24"/>
      <c r="M1657" s="24"/>
      <c r="N1657" s="24"/>
      <c r="P1657" s="24"/>
    </row>
    <row r="1658" spans="2:16" x14ac:dyDescent="0.25">
      <c r="B1658" s="24"/>
      <c r="E1658" s="24"/>
      <c r="G1658" s="24"/>
      <c r="H1658" s="24"/>
      <c r="J1658" s="24"/>
      <c r="K1658" s="24"/>
      <c r="M1658" s="24"/>
      <c r="N1658" s="24"/>
      <c r="P1658" s="24"/>
    </row>
    <row r="1659" spans="2:16" x14ac:dyDescent="0.25">
      <c r="B1659" s="24"/>
      <c r="E1659" s="24"/>
      <c r="G1659" s="24"/>
      <c r="H1659" s="24"/>
      <c r="J1659" s="24"/>
      <c r="K1659" s="24"/>
      <c r="M1659" s="24"/>
      <c r="N1659" s="24"/>
      <c r="P1659" s="24"/>
    </row>
    <row r="1660" spans="2:16" x14ac:dyDescent="0.25">
      <c r="B1660" s="24"/>
      <c r="E1660" s="24"/>
      <c r="G1660" s="24"/>
      <c r="H1660" s="24"/>
      <c r="J1660" s="24"/>
      <c r="K1660" s="24"/>
      <c r="M1660" s="24"/>
      <c r="N1660" s="24"/>
      <c r="P1660" s="24"/>
    </row>
    <row r="1661" spans="2:16" x14ac:dyDescent="0.25">
      <c r="B1661" s="24"/>
      <c r="E1661" s="24"/>
      <c r="G1661" s="24"/>
      <c r="H1661" s="24"/>
      <c r="J1661" s="24"/>
      <c r="K1661" s="24"/>
      <c r="M1661" s="24"/>
      <c r="N1661" s="24"/>
      <c r="P1661" s="24"/>
    </row>
    <row r="1662" spans="2:16" x14ac:dyDescent="0.25">
      <c r="B1662" s="24"/>
      <c r="E1662" s="24"/>
      <c r="G1662" s="24"/>
      <c r="H1662" s="24"/>
      <c r="J1662" s="24"/>
      <c r="K1662" s="24"/>
      <c r="M1662" s="24"/>
      <c r="N1662" s="24"/>
      <c r="P1662" s="24"/>
    </row>
    <row r="1663" spans="2:16" x14ac:dyDescent="0.25">
      <c r="B1663" s="24"/>
      <c r="E1663" s="24"/>
      <c r="G1663" s="24"/>
      <c r="H1663" s="24"/>
      <c r="J1663" s="24"/>
      <c r="K1663" s="24"/>
      <c r="M1663" s="24"/>
      <c r="N1663" s="24"/>
      <c r="P1663" s="24"/>
    </row>
    <row r="1664" spans="2:16" x14ac:dyDescent="0.25">
      <c r="B1664" s="24"/>
      <c r="E1664" s="24"/>
      <c r="G1664" s="24"/>
      <c r="H1664" s="24"/>
      <c r="J1664" s="24"/>
      <c r="K1664" s="24"/>
      <c r="M1664" s="24"/>
      <c r="N1664" s="24"/>
      <c r="P1664" s="24"/>
    </row>
    <row r="1665" spans="2:16" x14ac:dyDescent="0.25">
      <c r="B1665" s="24"/>
      <c r="E1665" s="24"/>
      <c r="G1665" s="24"/>
      <c r="H1665" s="24"/>
      <c r="J1665" s="24"/>
      <c r="K1665" s="24"/>
      <c r="M1665" s="24"/>
      <c r="N1665" s="24"/>
      <c r="P1665" s="24"/>
    </row>
    <row r="1666" spans="2:16" x14ac:dyDescent="0.25">
      <c r="B1666" s="24"/>
      <c r="E1666" s="24"/>
      <c r="G1666" s="24"/>
      <c r="H1666" s="24"/>
      <c r="J1666" s="24"/>
      <c r="K1666" s="24"/>
      <c r="M1666" s="24"/>
      <c r="N1666" s="24"/>
      <c r="P1666" s="24"/>
    </row>
    <row r="1667" spans="2:16" x14ac:dyDescent="0.25">
      <c r="B1667" s="24"/>
      <c r="E1667" s="24"/>
      <c r="G1667" s="24"/>
      <c r="H1667" s="24"/>
      <c r="J1667" s="24"/>
      <c r="K1667" s="24"/>
      <c r="M1667" s="24"/>
      <c r="N1667" s="24"/>
      <c r="P1667" s="24"/>
    </row>
    <row r="1668" spans="2:16" x14ac:dyDescent="0.25">
      <c r="B1668" s="24"/>
      <c r="E1668" s="24"/>
      <c r="G1668" s="24"/>
      <c r="H1668" s="24"/>
      <c r="J1668" s="24"/>
      <c r="K1668" s="24"/>
      <c r="M1668" s="24"/>
      <c r="N1668" s="24"/>
      <c r="P1668" s="24"/>
    </row>
    <row r="1669" spans="2:16" x14ac:dyDescent="0.25">
      <c r="B1669" s="24"/>
      <c r="E1669" s="24"/>
      <c r="G1669" s="24"/>
      <c r="H1669" s="24"/>
      <c r="J1669" s="24"/>
      <c r="K1669" s="24"/>
      <c r="M1669" s="24"/>
      <c r="N1669" s="24"/>
      <c r="P1669" s="24"/>
    </row>
    <row r="1670" spans="2:16" x14ac:dyDescent="0.25">
      <c r="B1670" s="24"/>
      <c r="E1670" s="24"/>
      <c r="G1670" s="24"/>
      <c r="H1670" s="24"/>
      <c r="J1670" s="24"/>
      <c r="K1670" s="24"/>
      <c r="M1670" s="24"/>
      <c r="N1670" s="24"/>
      <c r="P1670" s="24"/>
    </row>
    <row r="1671" spans="2:16" x14ac:dyDescent="0.25">
      <c r="B1671" s="24"/>
      <c r="E1671" s="24"/>
      <c r="G1671" s="24"/>
      <c r="H1671" s="24"/>
      <c r="J1671" s="24"/>
      <c r="K1671" s="24"/>
      <c r="M1671" s="24"/>
      <c r="N1671" s="24"/>
      <c r="P1671" s="24"/>
    </row>
    <row r="1672" spans="2:16" x14ac:dyDescent="0.25">
      <c r="B1672" s="24"/>
      <c r="E1672" s="24"/>
      <c r="G1672" s="24"/>
      <c r="H1672" s="24"/>
      <c r="J1672" s="24"/>
      <c r="K1672" s="24"/>
      <c r="M1672" s="24"/>
      <c r="N1672" s="24"/>
      <c r="P1672" s="24"/>
    </row>
    <row r="1673" spans="2:16" x14ac:dyDescent="0.25">
      <c r="B1673" s="24"/>
      <c r="E1673" s="24"/>
      <c r="G1673" s="24"/>
      <c r="H1673" s="24"/>
      <c r="J1673" s="24"/>
      <c r="K1673" s="24"/>
      <c r="M1673" s="24"/>
      <c r="N1673" s="24"/>
      <c r="P1673" s="24"/>
    </row>
    <row r="1674" spans="2:16" x14ac:dyDescent="0.25">
      <c r="B1674" s="24"/>
      <c r="E1674" s="24"/>
      <c r="G1674" s="24"/>
      <c r="H1674" s="24"/>
      <c r="J1674" s="24"/>
      <c r="K1674" s="24"/>
      <c r="M1674" s="24"/>
      <c r="N1674" s="24"/>
      <c r="P1674" s="24"/>
    </row>
    <row r="1675" spans="2:16" x14ac:dyDescent="0.25">
      <c r="B1675" s="24"/>
      <c r="E1675" s="24"/>
      <c r="G1675" s="24"/>
      <c r="H1675" s="24"/>
      <c r="J1675" s="24"/>
      <c r="K1675" s="24"/>
      <c r="M1675" s="24"/>
      <c r="N1675" s="24"/>
      <c r="P1675" s="24"/>
    </row>
    <row r="1676" spans="2:16" x14ac:dyDescent="0.25">
      <c r="B1676" s="24"/>
      <c r="E1676" s="24"/>
      <c r="G1676" s="24"/>
      <c r="H1676" s="24"/>
      <c r="J1676" s="24"/>
      <c r="K1676" s="24"/>
      <c r="M1676" s="24"/>
      <c r="N1676" s="24"/>
      <c r="P1676" s="24"/>
    </row>
    <row r="1677" spans="2:16" x14ac:dyDescent="0.25">
      <c r="B1677" s="24"/>
      <c r="E1677" s="24"/>
      <c r="G1677" s="24"/>
      <c r="H1677" s="24"/>
      <c r="J1677" s="24"/>
      <c r="K1677" s="24"/>
      <c r="M1677" s="24"/>
      <c r="N1677" s="24"/>
      <c r="P1677" s="24"/>
    </row>
    <row r="1678" spans="2:16" x14ac:dyDescent="0.25">
      <c r="B1678" s="24"/>
      <c r="E1678" s="24"/>
      <c r="G1678" s="24"/>
      <c r="H1678" s="24"/>
      <c r="J1678" s="24"/>
      <c r="K1678" s="24"/>
      <c r="M1678" s="24"/>
      <c r="N1678" s="24"/>
      <c r="P1678" s="24"/>
    </row>
    <row r="1679" spans="2:16" x14ac:dyDescent="0.25">
      <c r="B1679" s="24"/>
      <c r="E1679" s="24"/>
      <c r="G1679" s="24"/>
      <c r="H1679" s="24"/>
      <c r="J1679" s="24"/>
      <c r="K1679" s="24"/>
      <c r="M1679" s="24"/>
      <c r="N1679" s="24"/>
      <c r="P1679" s="24"/>
    </row>
    <row r="1680" spans="2:16" x14ac:dyDescent="0.25">
      <c r="B1680" s="24"/>
      <c r="E1680" s="24"/>
      <c r="G1680" s="24"/>
      <c r="H1680" s="24"/>
      <c r="J1680" s="24"/>
      <c r="K1680" s="24"/>
      <c r="M1680" s="24"/>
      <c r="N1680" s="24"/>
      <c r="P1680" s="24"/>
    </row>
    <row r="1681" spans="2:16" x14ac:dyDescent="0.25">
      <c r="B1681" s="24"/>
      <c r="E1681" s="24"/>
      <c r="G1681" s="24"/>
      <c r="H1681" s="24"/>
      <c r="J1681" s="24"/>
      <c r="K1681" s="24"/>
      <c r="M1681" s="24"/>
      <c r="N1681" s="24"/>
      <c r="P1681" s="24"/>
    </row>
    <row r="1682" spans="2:16" x14ac:dyDescent="0.25">
      <c r="B1682" s="24"/>
      <c r="E1682" s="24"/>
      <c r="G1682" s="24"/>
      <c r="H1682" s="24"/>
      <c r="J1682" s="24"/>
      <c r="K1682" s="24"/>
      <c r="M1682" s="24"/>
      <c r="N1682" s="24"/>
      <c r="P1682" s="24"/>
    </row>
    <row r="1683" spans="2:16" x14ac:dyDescent="0.25">
      <c r="B1683" s="24"/>
      <c r="E1683" s="24"/>
      <c r="G1683" s="24"/>
      <c r="H1683" s="24"/>
      <c r="J1683" s="24"/>
      <c r="K1683" s="24"/>
      <c r="M1683" s="24"/>
      <c r="N1683" s="24"/>
      <c r="P1683" s="24"/>
    </row>
    <row r="1684" spans="2:16" x14ac:dyDescent="0.25">
      <c r="B1684" s="24"/>
      <c r="E1684" s="24"/>
      <c r="G1684" s="24"/>
      <c r="H1684" s="24"/>
      <c r="J1684" s="24"/>
      <c r="K1684" s="24"/>
      <c r="M1684" s="24"/>
      <c r="N1684" s="24"/>
      <c r="P1684" s="24"/>
    </row>
    <row r="1685" spans="2:16" x14ac:dyDescent="0.25">
      <c r="B1685" s="24"/>
      <c r="E1685" s="24"/>
      <c r="G1685" s="24"/>
      <c r="H1685" s="24"/>
      <c r="J1685" s="24"/>
      <c r="K1685" s="24"/>
      <c r="M1685" s="24"/>
      <c r="N1685" s="24"/>
      <c r="P1685" s="24"/>
    </row>
    <row r="1686" spans="2:16" x14ac:dyDescent="0.25">
      <c r="B1686" s="24"/>
      <c r="E1686" s="24"/>
      <c r="G1686" s="24"/>
      <c r="H1686" s="24"/>
      <c r="J1686" s="24"/>
      <c r="K1686" s="24"/>
      <c r="M1686" s="24"/>
      <c r="N1686" s="24"/>
      <c r="P1686" s="24"/>
    </row>
    <row r="1687" spans="2:16" x14ac:dyDescent="0.25">
      <c r="B1687" s="24"/>
      <c r="E1687" s="24"/>
      <c r="G1687" s="24"/>
      <c r="H1687" s="24"/>
      <c r="J1687" s="24"/>
      <c r="K1687" s="24"/>
      <c r="M1687" s="24"/>
      <c r="N1687" s="24"/>
      <c r="P1687" s="24"/>
    </row>
    <row r="1688" spans="2:16" x14ac:dyDescent="0.25">
      <c r="B1688" s="24"/>
      <c r="E1688" s="24"/>
      <c r="G1688" s="24"/>
      <c r="H1688" s="24"/>
      <c r="J1688" s="24"/>
      <c r="K1688" s="24"/>
      <c r="M1688" s="24"/>
      <c r="N1688" s="24"/>
      <c r="P1688" s="24"/>
    </row>
    <row r="1689" spans="2:16" x14ac:dyDescent="0.25">
      <c r="B1689" s="24"/>
      <c r="E1689" s="24"/>
      <c r="G1689" s="24"/>
      <c r="H1689" s="24"/>
      <c r="J1689" s="24"/>
      <c r="K1689" s="24"/>
      <c r="M1689" s="24"/>
      <c r="N1689" s="24"/>
      <c r="P1689" s="24"/>
    </row>
    <row r="1690" spans="2:16" x14ac:dyDescent="0.25">
      <c r="B1690" s="24"/>
      <c r="E1690" s="24"/>
      <c r="G1690" s="24"/>
      <c r="H1690" s="24"/>
      <c r="J1690" s="24"/>
      <c r="K1690" s="24"/>
      <c r="M1690" s="24"/>
      <c r="N1690" s="24"/>
      <c r="P1690" s="24"/>
    </row>
    <row r="1691" spans="2:16" x14ac:dyDescent="0.25">
      <c r="B1691" s="24"/>
      <c r="E1691" s="24"/>
      <c r="G1691" s="24"/>
      <c r="H1691" s="24"/>
      <c r="J1691" s="24"/>
      <c r="K1691" s="24"/>
      <c r="M1691" s="24"/>
      <c r="N1691" s="24"/>
      <c r="P1691" s="24"/>
    </row>
    <row r="1692" spans="2:16" x14ac:dyDescent="0.25">
      <c r="B1692" s="24"/>
      <c r="E1692" s="24"/>
      <c r="G1692" s="24"/>
      <c r="H1692" s="24"/>
      <c r="J1692" s="24"/>
      <c r="K1692" s="24"/>
      <c r="M1692" s="24"/>
      <c r="N1692" s="24"/>
      <c r="P1692" s="24"/>
    </row>
    <row r="1693" spans="2:16" x14ac:dyDescent="0.25">
      <c r="B1693" s="24"/>
      <c r="E1693" s="24"/>
      <c r="G1693" s="24"/>
      <c r="H1693" s="24"/>
      <c r="J1693" s="24"/>
      <c r="K1693" s="24"/>
      <c r="M1693" s="24"/>
      <c r="N1693" s="24"/>
      <c r="P1693" s="24"/>
    </row>
    <row r="1694" spans="2:16" x14ac:dyDescent="0.25">
      <c r="B1694" s="24"/>
      <c r="E1694" s="24"/>
      <c r="G1694" s="24"/>
      <c r="H1694" s="24"/>
      <c r="J1694" s="24"/>
      <c r="K1694" s="24"/>
      <c r="M1694" s="24"/>
      <c r="N1694" s="24"/>
      <c r="P1694" s="24"/>
    </row>
    <row r="1695" spans="2:16" x14ac:dyDescent="0.25">
      <c r="B1695" s="24"/>
      <c r="E1695" s="24"/>
      <c r="G1695" s="24"/>
      <c r="H1695" s="24"/>
      <c r="J1695" s="24"/>
      <c r="K1695" s="24"/>
      <c r="M1695" s="24"/>
      <c r="N1695" s="24"/>
      <c r="P1695" s="24"/>
    </row>
    <row r="1696" spans="2:16" x14ac:dyDescent="0.25">
      <c r="B1696" s="24"/>
      <c r="E1696" s="24"/>
      <c r="G1696" s="24"/>
      <c r="H1696" s="24"/>
      <c r="J1696" s="24"/>
      <c r="K1696" s="24"/>
      <c r="M1696" s="24"/>
      <c r="N1696" s="24"/>
      <c r="P1696" s="24"/>
    </row>
    <row r="1697" spans="2:16" x14ac:dyDescent="0.25">
      <c r="B1697" s="24"/>
      <c r="E1697" s="24"/>
      <c r="G1697" s="24"/>
      <c r="H1697" s="24"/>
      <c r="J1697" s="24"/>
      <c r="K1697" s="24"/>
      <c r="M1697" s="24"/>
      <c r="N1697" s="24"/>
      <c r="P1697" s="24"/>
    </row>
    <row r="1698" spans="2:16" x14ac:dyDescent="0.25">
      <c r="B1698" s="24"/>
      <c r="E1698" s="24"/>
      <c r="G1698" s="24"/>
      <c r="H1698" s="24"/>
      <c r="J1698" s="24"/>
      <c r="K1698" s="24"/>
      <c r="M1698" s="24"/>
      <c r="N1698" s="24"/>
      <c r="P1698" s="24"/>
    </row>
    <row r="1699" spans="2:16" x14ac:dyDescent="0.25">
      <c r="B1699" s="24"/>
      <c r="E1699" s="24"/>
      <c r="G1699" s="24"/>
      <c r="H1699" s="24"/>
      <c r="J1699" s="24"/>
      <c r="K1699" s="24"/>
      <c r="M1699" s="24"/>
      <c r="N1699" s="24"/>
      <c r="P1699" s="24"/>
    </row>
    <row r="1700" spans="2:16" x14ac:dyDescent="0.25">
      <c r="B1700" s="24"/>
      <c r="E1700" s="24"/>
      <c r="G1700" s="24"/>
      <c r="H1700" s="24"/>
      <c r="J1700" s="24"/>
      <c r="K1700" s="24"/>
      <c r="M1700" s="24"/>
      <c r="N1700" s="24"/>
      <c r="P1700" s="24"/>
    </row>
    <row r="1701" spans="2:16" x14ac:dyDescent="0.25">
      <c r="B1701" s="24"/>
      <c r="E1701" s="24"/>
      <c r="G1701" s="24"/>
      <c r="H1701" s="24"/>
      <c r="J1701" s="24"/>
      <c r="K1701" s="24"/>
      <c r="M1701" s="24"/>
      <c r="N1701" s="24"/>
      <c r="P1701" s="24"/>
    </row>
    <row r="1702" spans="2:16" x14ac:dyDescent="0.25">
      <c r="B1702" s="24"/>
      <c r="E1702" s="24"/>
      <c r="G1702" s="24"/>
      <c r="H1702" s="24"/>
      <c r="J1702" s="24"/>
      <c r="K1702" s="24"/>
      <c r="M1702" s="24"/>
      <c r="N1702" s="24"/>
      <c r="P1702" s="24"/>
    </row>
    <row r="1703" spans="2:16" x14ac:dyDescent="0.25">
      <c r="B1703" s="24"/>
      <c r="E1703" s="24"/>
      <c r="G1703" s="24"/>
      <c r="H1703" s="24"/>
      <c r="J1703" s="24"/>
      <c r="K1703" s="24"/>
      <c r="M1703" s="24"/>
      <c r="N1703" s="24"/>
      <c r="P1703" s="24"/>
    </row>
    <row r="1704" spans="2:16" x14ac:dyDescent="0.25">
      <c r="B1704" s="24"/>
      <c r="E1704" s="24"/>
      <c r="G1704" s="24"/>
      <c r="H1704" s="24"/>
      <c r="J1704" s="24"/>
      <c r="K1704" s="24"/>
      <c r="M1704" s="24"/>
      <c r="N1704" s="24"/>
      <c r="P1704" s="24"/>
    </row>
    <row r="1705" spans="2:16" x14ac:dyDescent="0.25">
      <c r="B1705" s="24"/>
      <c r="E1705" s="24"/>
      <c r="G1705" s="24"/>
      <c r="H1705" s="24"/>
      <c r="J1705" s="24"/>
      <c r="K1705" s="24"/>
      <c r="M1705" s="24"/>
      <c r="N1705" s="24"/>
      <c r="P1705" s="24"/>
    </row>
    <row r="1706" spans="2:16" x14ac:dyDescent="0.25">
      <c r="B1706" s="24"/>
      <c r="E1706" s="24"/>
      <c r="G1706" s="24"/>
      <c r="H1706" s="24"/>
      <c r="J1706" s="24"/>
      <c r="K1706" s="24"/>
      <c r="M1706" s="24"/>
      <c r="N1706" s="24"/>
      <c r="P1706" s="24"/>
    </row>
    <row r="1707" spans="2:16" x14ac:dyDescent="0.25">
      <c r="B1707" s="24"/>
      <c r="E1707" s="24"/>
      <c r="G1707" s="24"/>
      <c r="H1707" s="24"/>
      <c r="J1707" s="24"/>
      <c r="K1707" s="24"/>
      <c r="M1707" s="24"/>
      <c r="N1707" s="24"/>
      <c r="P1707" s="24"/>
    </row>
    <row r="1708" spans="2:16" x14ac:dyDescent="0.25">
      <c r="B1708" s="24"/>
      <c r="E1708" s="24"/>
      <c r="G1708" s="24"/>
      <c r="H1708" s="24"/>
      <c r="J1708" s="24"/>
      <c r="K1708" s="24"/>
      <c r="M1708" s="24"/>
      <c r="N1708" s="24"/>
      <c r="P1708" s="24"/>
    </row>
    <row r="1709" spans="2:16" x14ac:dyDescent="0.25">
      <c r="B1709" s="24"/>
      <c r="E1709" s="24"/>
      <c r="G1709" s="24"/>
      <c r="H1709" s="24"/>
      <c r="J1709" s="24"/>
      <c r="K1709" s="24"/>
      <c r="M1709" s="24"/>
      <c r="N1709" s="24"/>
      <c r="P1709" s="24"/>
    </row>
    <row r="1710" spans="2:16" x14ac:dyDescent="0.25">
      <c r="B1710" s="24"/>
      <c r="E1710" s="24"/>
      <c r="G1710" s="24"/>
      <c r="H1710" s="24"/>
      <c r="J1710" s="24"/>
      <c r="K1710" s="24"/>
      <c r="M1710" s="24"/>
      <c r="N1710" s="24"/>
      <c r="P1710" s="24"/>
    </row>
    <row r="1711" spans="2:16" x14ac:dyDescent="0.25">
      <c r="B1711" s="24"/>
      <c r="E1711" s="24"/>
      <c r="G1711" s="24"/>
      <c r="H1711" s="24"/>
      <c r="J1711" s="24"/>
      <c r="K1711" s="24"/>
      <c r="M1711" s="24"/>
      <c r="N1711" s="24"/>
      <c r="P1711" s="24"/>
    </row>
    <row r="1712" spans="2:16" x14ac:dyDescent="0.25">
      <c r="B1712" s="24"/>
      <c r="E1712" s="24"/>
      <c r="G1712" s="24"/>
      <c r="H1712" s="24"/>
      <c r="J1712" s="24"/>
      <c r="K1712" s="24"/>
      <c r="M1712" s="24"/>
      <c r="N1712" s="24"/>
      <c r="P1712" s="24"/>
    </row>
    <row r="1713" spans="2:16" x14ac:dyDescent="0.25">
      <c r="B1713" s="24"/>
      <c r="E1713" s="24"/>
      <c r="G1713" s="24"/>
      <c r="H1713" s="24"/>
      <c r="J1713" s="24"/>
      <c r="K1713" s="24"/>
      <c r="M1713" s="24"/>
      <c r="N1713" s="24"/>
      <c r="P1713" s="24"/>
    </row>
    <row r="1714" spans="2:16" x14ac:dyDescent="0.25">
      <c r="B1714" s="24"/>
      <c r="E1714" s="24"/>
      <c r="G1714" s="24"/>
      <c r="H1714" s="24"/>
      <c r="J1714" s="24"/>
      <c r="K1714" s="24"/>
      <c r="M1714" s="24"/>
      <c r="N1714" s="24"/>
      <c r="P1714" s="24"/>
    </row>
    <row r="1715" spans="2:16" x14ac:dyDescent="0.25">
      <c r="B1715" s="24"/>
      <c r="E1715" s="24"/>
      <c r="G1715" s="24"/>
      <c r="H1715" s="24"/>
      <c r="J1715" s="24"/>
      <c r="K1715" s="24"/>
      <c r="M1715" s="24"/>
      <c r="N1715" s="24"/>
      <c r="P1715" s="24"/>
    </row>
    <row r="1716" spans="2:16" x14ac:dyDescent="0.25">
      <c r="B1716" s="24"/>
      <c r="E1716" s="24"/>
      <c r="G1716" s="24"/>
      <c r="H1716" s="24"/>
      <c r="J1716" s="24"/>
      <c r="K1716" s="24"/>
      <c r="M1716" s="24"/>
      <c r="N1716" s="24"/>
      <c r="P1716" s="24"/>
    </row>
    <row r="1717" spans="2:16" x14ac:dyDescent="0.25">
      <c r="B1717" s="24"/>
      <c r="E1717" s="24"/>
      <c r="G1717" s="24"/>
      <c r="H1717" s="24"/>
      <c r="J1717" s="24"/>
      <c r="K1717" s="24"/>
      <c r="M1717" s="24"/>
      <c r="N1717" s="24"/>
      <c r="P1717" s="24"/>
    </row>
    <row r="1718" spans="2:16" x14ac:dyDescent="0.25">
      <c r="B1718" s="24"/>
      <c r="E1718" s="24"/>
      <c r="G1718" s="24"/>
      <c r="H1718" s="24"/>
      <c r="J1718" s="24"/>
      <c r="K1718" s="24"/>
      <c r="M1718" s="24"/>
      <c r="N1718" s="24"/>
      <c r="P1718" s="24"/>
    </row>
    <row r="1719" spans="2:16" x14ac:dyDescent="0.25">
      <c r="B1719" s="24"/>
      <c r="E1719" s="24"/>
      <c r="G1719" s="24"/>
      <c r="H1719" s="24"/>
      <c r="J1719" s="24"/>
      <c r="K1719" s="24"/>
      <c r="M1719" s="24"/>
      <c r="N1719" s="24"/>
      <c r="P1719" s="24"/>
    </row>
    <row r="1720" spans="2:16" x14ac:dyDescent="0.25">
      <c r="B1720" s="24"/>
      <c r="E1720" s="24"/>
      <c r="G1720" s="24"/>
      <c r="H1720" s="24"/>
      <c r="J1720" s="24"/>
      <c r="K1720" s="24"/>
      <c r="M1720" s="24"/>
      <c r="N1720" s="24"/>
      <c r="P1720" s="24"/>
    </row>
    <row r="1721" spans="2:16" x14ac:dyDescent="0.25">
      <c r="B1721" s="24"/>
      <c r="E1721" s="24"/>
      <c r="G1721" s="24"/>
      <c r="H1721" s="24"/>
      <c r="J1721" s="24"/>
      <c r="K1721" s="24"/>
      <c r="M1721" s="24"/>
      <c r="N1721" s="24"/>
      <c r="P1721" s="24"/>
    </row>
    <row r="1722" spans="2:16" x14ac:dyDescent="0.25">
      <c r="B1722" s="24"/>
      <c r="E1722" s="24"/>
      <c r="G1722" s="24"/>
      <c r="H1722" s="24"/>
      <c r="J1722" s="24"/>
      <c r="K1722" s="24"/>
      <c r="M1722" s="24"/>
      <c r="N1722" s="24"/>
      <c r="P1722" s="24"/>
    </row>
    <row r="1723" spans="2:16" x14ac:dyDescent="0.25">
      <c r="B1723" s="24"/>
      <c r="E1723" s="24"/>
      <c r="G1723" s="24"/>
      <c r="H1723" s="24"/>
      <c r="J1723" s="24"/>
      <c r="K1723" s="24"/>
      <c r="M1723" s="24"/>
      <c r="N1723" s="24"/>
      <c r="P1723" s="24"/>
    </row>
    <row r="1724" spans="2:16" x14ac:dyDescent="0.25">
      <c r="B1724" s="24"/>
      <c r="E1724" s="24"/>
      <c r="G1724" s="24"/>
      <c r="H1724" s="24"/>
      <c r="J1724" s="24"/>
      <c r="K1724" s="24"/>
      <c r="M1724" s="24"/>
      <c r="N1724" s="24"/>
      <c r="P1724" s="24"/>
    </row>
    <row r="1725" spans="2:16" x14ac:dyDescent="0.25">
      <c r="B1725" s="24"/>
      <c r="E1725" s="24"/>
      <c r="G1725" s="24"/>
      <c r="H1725" s="24"/>
      <c r="J1725" s="24"/>
      <c r="K1725" s="24"/>
      <c r="M1725" s="24"/>
      <c r="N1725" s="24"/>
      <c r="P1725" s="24"/>
    </row>
    <row r="1726" spans="2:16" x14ac:dyDescent="0.25">
      <c r="B1726" s="24"/>
      <c r="E1726" s="24"/>
      <c r="G1726" s="24"/>
      <c r="H1726" s="24"/>
      <c r="J1726" s="24"/>
      <c r="K1726" s="24"/>
      <c r="M1726" s="24"/>
      <c r="N1726" s="24"/>
      <c r="P1726" s="24"/>
    </row>
    <row r="1727" spans="2:16" x14ac:dyDescent="0.25">
      <c r="B1727" s="24"/>
      <c r="E1727" s="24"/>
      <c r="G1727" s="24"/>
      <c r="H1727" s="24"/>
      <c r="J1727" s="24"/>
      <c r="K1727" s="24"/>
      <c r="M1727" s="24"/>
      <c r="N1727" s="24"/>
      <c r="P1727" s="24"/>
    </row>
    <row r="1728" spans="2:16" x14ac:dyDescent="0.25">
      <c r="B1728" s="24"/>
      <c r="E1728" s="24"/>
      <c r="G1728" s="24"/>
      <c r="H1728" s="24"/>
      <c r="J1728" s="24"/>
      <c r="K1728" s="24"/>
      <c r="M1728" s="24"/>
      <c r="N1728" s="24"/>
      <c r="P1728" s="24"/>
    </row>
    <row r="1729" spans="2:16" x14ac:dyDescent="0.25">
      <c r="B1729" s="24"/>
      <c r="E1729" s="24"/>
      <c r="G1729" s="24"/>
      <c r="H1729" s="24"/>
      <c r="J1729" s="24"/>
      <c r="K1729" s="24"/>
      <c r="M1729" s="24"/>
      <c r="N1729" s="24"/>
      <c r="P1729" s="24"/>
    </row>
    <row r="1730" spans="2:16" x14ac:dyDescent="0.25">
      <c r="B1730" s="24"/>
      <c r="E1730" s="24"/>
      <c r="G1730" s="24"/>
      <c r="H1730" s="24"/>
      <c r="J1730" s="24"/>
      <c r="K1730" s="24"/>
      <c r="M1730" s="24"/>
      <c r="N1730" s="24"/>
      <c r="P1730" s="24"/>
    </row>
    <row r="1731" spans="2:16" x14ac:dyDescent="0.25">
      <c r="B1731" s="24"/>
      <c r="E1731" s="24"/>
      <c r="G1731" s="24"/>
      <c r="H1731" s="24"/>
      <c r="J1731" s="24"/>
      <c r="K1731" s="24"/>
      <c r="M1731" s="24"/>
      <c r="N1731" s="24"/>
      <c r="P1731" s="24"/>
    </row>
    <row r="1732" spans="2:16" x14ac:dyDescent="0.25">
      <c r="B1732" s="24"/>
      <c r="E1732" s="24"/>
      <c r="G1732" s="24"/>
      <c r="H1732" s="24"/>
      <c r="J1732" s="24"/>
      <c r="K1732" s="24"/>
      <c r="M1732" s="24"/>
      <c r="N1732" s="24"/>
      <c r="P1732" s="24"/>
    </row>
    <row r="1733" spans="2:16" x14ac:dyDescent="0.25">
      <c r="B1733" s="24"/>
      <c r="E1733" s="24"/>
      <c r="G1733" s="24"/>
      <c r="H1733" s="24"/>
      <c r="J1733" s="24"/>
      <c r="K1733" s="24"/>
      <c r="M1733" s="24"/>
      <c r="N1733" s="24"/>
      <c r="P1733" s="24"/>
    </row>
    <row r="1734" spans="2:16" x14ac:dyDescent="0.25">
      <c r="B1734" s="24"/>
      <c r="E1734" s="24"/>
      <c r="G1734" s="24"/>
      <c r="H1734" s="24"/>
      <c r="J1734" s="24"/>
      <c r="K1734" s="24"/>
      <c r="M1734" s="24"/>
      <c r="N1734" s="24"/>
      <c r="P1734" s="24"/>
    </row>
    <row r="1735" spans="2:16" x14ac:dyDescent="0.25">
      <c r="B1735" s="24"/>
      <c r="E1735" s="24"/>
      <c r="G1735" s="24"/>
      <c r="H1735" s="24"/>
      <c r="J1735" s="24"/>
      <c r="K1735" s="24"/>
      <c r="M1735" s="24"/>
      <c r="N1735" s="24"/>
      <c r="P1735" s="24"/>
    </row>
    <row r="1736" spans="2:16" x14ac:dyDescent="0.25">
      <c r="B1736" s="24"/>
      <c r="E1736" s="24"/>
      <c r="G1736" s="24"/>
      <c r="H1736" s="24"/>
      <c r="J1736" s="24"/>
      <c r="K1736" s="24"/>
      <c r="M1736" s="24"/>
      <c r="N1736" s="24"/>
      <c r="P1736" s="24"/>
    </row>
    <row r="1737" spans="2:16" x14ac:dyDescent="0.25">
      <c r="B1737" s="24"/>
      <c r="E1737" s="24"/>
      <c r="G1737" s="24"/>
      <c r="H1737" s="24"/>
      <c r="J1737" s="24"/>
      <c r="K1737" s="24"/>
      <c r="M1737" s="24"/>
      <c r="N1737" s="24"/>
      <c r="P1737" s="24"/>
    </row>
    <row r="1738" spans="2:16" x14ac:dyDescent="0.25">
      <c r="B1738" s="24"/>
      <c r="E1738" s="24"/>
      <c r="G1738" s="24"/>
      <c r="H1738" s="24"/>
      <c r="J1738" s="24"/>
      <c r="K1738" s="24"/>
      <c r="M1738" s="24"/>
      <c r="N1738" s="24"/>
      <c r="P1738" s="24"/>
    </row>
    <row r="1739" spans="2:16" x14ac:dyDescent="0.25">
      <c r="B1739" s="24"/>
      <c r="E1739" s="24"/>
      <c r="G1739" s="24"/>
      <c r="H1739" s="24"/>
      <c r="J1739" s="24"/>
      <c r="K1739" s="24"/>
      <c r="M1739" s="24"/>
      <c r="N1739" s="24"/>
      <c r="P1739" s="24"/>
    </row>
    <row r="1740" spans="2:16" x14ac:dyDescent="0.25">
      <c r="B1740" s="24"/>
      <c r="E1740" s="24"/>
      <c r="G1740" s="24"/>
      <c r="H1740" s="24"/>
      <c r="J1740" s="24"/>
      <c r="K1740" s="24"/>
      <c r="M1740" s="24"/>
      <c r="N1740" s="24"/>
      <c r="P1740" s="24"/>
    </row>
    <row r="1741" spans="2:16" x14ac:dyDescent="0.25">
      <c r="B1741" s="24"/>
      <c r="E1741" s="24"/>
      <c r="G1741" s="24"/>
      <c r="H1741" s="24"/>
      <c r="J1741" s="24"/>
      <c r="K1741" s="24"/>
      <c r="M1741" s="24"/>
      <c r="N1741" s="24"/>
      <c r="P1741" s="24"/>
    </row>
    <row r="1742" spans="2:16" x14ac:dyDescent="0.25">
      <c r="B1742" s="24"/>
      <c r="E1742" s="24"/>
      <c r="G1742" s="24"/>
      <c r="H1742" s="24"/>
      <c r="J1742" s="24"/>
      <c r="K1742" s="24"/>
      <c r="M1742" s="24"/>
      <c r="N1742" s="24"/>
      <c r="P1742" s="24"/>
    </row>
    <row r="1743" spans="2:16" x14ac:dyDescent="0.25">
      <c r="B1743" s="24"/>
      <c r="E1743" s="24"/>
      <c r="G1743" s="24"/>
      <c r="H1743" s="24"/>
      <c r="J1743" s="24"/>
      <c r="K1743" s="24"/>
      <c r="M1743" s="24"/>
      <c r="N1743" s="24"/>
      <c r="P1743" s="24"/>
    </row>
    <row r="1744" spans="2:16" x14ac:dyDescent="0.25">
      <c r="B1744" s="24"/>
      <c r="E1744" s="24"/>
      <c r="G1744" s="24"/>
      <c r="H1744" s="24"/>
      <c r="J1744" s="24"/>
      <c r="K1744" s="24"/>
      <c r="M1744" s="24"/>
      <c r="N1744" s="24"/>
      <c r="P1744" s="24"/>
    </row>
    <row r="1745" spans="2:16" x14ac:dyDescent="0.25">
      <c r="B1745" s="24"/>
      <c r="E1745" s="24"/>
      <c r="G1745" s="24"/>
      <c r="H1745" s="24"/>
      <c r="J1745" s="24"/>
      <c r="K1745" s="24"/>
      <c r="M1745" s="24"/>
      <c r="N1745" s="24"/>
      <c r="P1745" s="24"/>
    </row>
    <row r="1746" spans="2:16" x14ac:dyDescent="0.25">
      <c r="B1746" s="24"/>
      <c r="E1746" s="24"/>
      <c r="G1746" s="24"/>
      <c r="H1746" s="24"/>
      <c r="J1746" s="24"/>
      <c r="K1746" s="24"/>
      <c r="M1746" s="24"/>
      <c r="N1746" s="24"/>
      <c r="P1746" s="24"/>
    </row>
    <row r="1747" spans="2:16" x14ac:dyDescent="0.25">
      <c r="B1747" s="24"/>
      <c r="E1747" s="24"/>
      <c r="G1747" s="24"/>
      <c r="H1747" s="24"/>
      <c r="J1747" s="24"/>
      <c r="K1747" s="24"/>
      <c r="M1747" s="24"/>
      <c r="N1747" s="24"/>
      <c r="P1747" s="24"/>
    </row>
    <row r="1748" spans="2:16" x14ac:dyDescent="0.25">
      <c r="B1748" s="24"/>
      <c r="E1748" s="24"/>
      <c r="G1748" s="24"/>
      <c r="H1748" s="24"/>
      <c r="J1748" s="24"/>
      <c r="K1748" s="24"/>
      <c r="M1748" s="24"/>
      <c r="N1748" s="24"/>
      <c r="P1748" s="24"/>
    </row>
    <row r="1749" spans="2:16" x14ac:dyDescent="0.25">
      <c r="B1749" s="24"/>
      <c r="E1749" s="24"/>
      <c r="G1749" s="24"/>
      <c r="H1749" s="24"/>
      <c r="J1749" s="24"/>
      <c r="K1749" s="24"/>
      <c r="M1749" s="24"/>
      <c r="N1749" s="24"/>
      <c r="P1749" s="24"/>
    </row>
    <row r="1750" spans="2:16" x14ac:dyDescent="0.25">
      <c r="B1750" s="24"/>
      <c r="E1750" s="24"/>
      <c r="G1750" s="24"/>
      <c r="H1750" s="24"/>
      <c r="J1750" s="24"/>
      <c r="K1750" s="24"/>
      <c r="M1750" s="24"/>
      <c r="N1750" s="24"/>
      <c r="P1750" s="24"/>
    </row>
    <row r="1751" spans="2:16" x14ac:dyDescent="0.25">
      <c r="B1751" s="24"/>
      <c r="E1751" s="24"/>
      <c r="G1751" s="24"/>
      <c r="H1751" s="24"/>
      <c r="J1751" s="24"/>
      <c r="K1751" s="24"/>
      <c r="M1751" s="24"/>
      <c r="N1751" s="24"/>
      <c r="P1751" s="24"/>
    </row>
    <row r="1752" spans="2:16" x14ac:dyDescent="0.25">
      <c r="B1752" s="24"/>
      <c r="E1752" s="24"/>
      <c r="G1752" s="24"/>
      <c r="H1752" s="24"/>
      <c r="J1752" s="24"/>
      <c r="K1752" s="24"/>
      <c r="M1752" s="24"/>
      <c r="N1752" s="24"/>
      <c r="P1752" s="24"/>
    </row>
    <row r="1753" spans="2:16" x14ac:dyDescent="0.25">
      <c r="B1753" s="24"/>
      <c r="E1753" s="24"/>
      <c r="G1753" s="24"/>
      <c r="H1753" s="24"/>
      <c r="J1753" s="24"/>
      <c r="K1753" s="24"/>
      <c r="M1753" s="24"/>
      <c r="N1753" s="24"/>
      <c r="P1753" s="24"/>
    </row>
    <row r="1754" spans="2:16" x14ac:dyDescent="0.25">
      <c r="B1754" s="24"/>
      <c r="E1754" s="24"/>
      <c r="G1754" s="24"/>
      <c r="H1754" s="24"/>
      <c r="J1754" s="24"/>
      <c r="K1754" s="24"/>
      <c r="M1754" s="24"/>
      <c r="N1754" s="24"/>
      <c r="P1754" s="24"/>
    </row>
    <row r="1755" spans="2:16" x14ac:dyDescent="0.25">
      <c r="B1755" s="24"/>
      <c r="E1755" s="24"/>
      <c r="G1755" s="24"/>
      <c r="H1755" s="24"/>
      <c r="J1755" s="24"/>
      <c r="K1755" s="24"/>
      <c r="M1755" s="24"/>
      <c r="N1755" s="24"/>
      <c r="P1755" s="24"/>
    </row>
    <row r="1756" spans="2:16" x14ac:dyDescent="0.25">
      <c r="B1756" s="24"/>
      <c r="E1756" s="24"/>
      <c r="G1756" s="24"/>
      <c r="H1756" s="24"/>
      <c r="J1756" s="24"/>
      <c r="K1756" s="24"/>
      <c r="M1756" s="24"/>
      <c r="N1756" s="24"/>
      <c r="P1756" s="24"/>
    </row>
    <row r="1757" spans="2:16" x14ac:dyDescent="0.25">
      <c r="B1757" s="24"/>
      <c r="E1757" s="24"/>
      <c r="G1757" s="24"/>
      <c r="H1757" s="24"/>
      <c r="J1757" s="24"/>
      <c r="K1757" s="24"/>
      <c r="M1757" s="24"/>
      <c r="N1757" s="24"/>
      <c r="P1757" s="24"/>
    </row>
    <row r="1758" spans="2:16" x14ac:dyDescent="0.25">
      <c r="B1758" s="24"/>
      <c r="E1758" s="24"/>
      <c r="G1758" s="24"/>
      <c r="H1758" s="24"/>
      <c r="J1758" s="24"/>
      <c r="K1758" s="24"/>
      <c r="M1758" s="24"/>
      <c r="N1758" s="24"/>
      <c r="P1758" s="24"/>
    </row>
    <row r="1759" spans="2:16" x14ac:dyDescent="0.25">
      <c r="B1759" s="24"/>
      <c r="E1759" s="24"/>
      <c r="G1759" s="24"/>
      <c r="H1759" s="24"/>
      <c r="J1759" s="24"/>
      <c r="K1759" s="24"/>
      <c r="M1759" s="24"/>
      <c r="N1759" s="24"/>
      <c r="P1759" s="24"/>
    </row>
    <row r="1760" spans="2:16" x14ac:dyDescent="0.25">
      <c r="B1760" s="24"/>
      <c r="E1760" s="24"/>
      <c r="G1760" s="24"/>
      <c r="H1760" s="24"/>
      <c r="J1760" s="24"/>
      <c r="K1760" s="24"/>
      <c r="M1760" s="24"/>
      <c r="N1760" s="24"/>
      <c r="P1760" s="24"/>
    </row>
    <row r="1761" spans="2:16" x14ac:dyDescent="0.25">
      <c r="B1761" s="24"/>
      <c r="E1761" s="24"/>
      <c r="G1761" s="24"/>
      <c r="H1761" s="24"/>
      <c r="J1761" s="24"/>
      <c r="K1761" s="24"/>
      <c r="M1761" s="24"/>
      <c r="N1761" s="24"/>
      <c r="P1761" s="24"/>
    </row>
    <row r="1762" spans="2:16" x14ac:dyDescent="0.25">
      <c r="B1762" s="24"/>
      <c r="E1762" s="24"/>
      <c r="G1762" s="24"/>
      <c r="H1762" s="24"/>
      <c r="J1762" s="24"/>
      <c r="K1762" s="24"/>
      <c r="M1762" s="24"/>
      <c r="N1762" s="24"/>
      <c r="P1762" s="24"/>
    </row>
    <row r="1763" spans="2:16" x14ac:dyDescent="0.25">
      <c r="B1763" s="24"/>
      <c r="E1763" s="24"/>
      <c r="G1763" s="24"/>
      <c r="H1763" s="24"/>
      <c r="J1763" s="24"/>
      <c r="K1763" s="24"/>
      <c r="M1763" s="24"/>
      <c r="N1763" s="24"/>
      <c r="P1763" s="24"/>
    </row>
    <row r="1764" spans="2:16" x14ac:dyDescent="0.25">
      <c r="B1764" s="24"/>
      <c r="E1764" s="24"/>
      <c r="G1764" s="24"/>
      <c r="H1764" s="24"/>
      <c r="J1764" s="24"/>
      <c r="K1764" s="24"/>
      <c r="M1764" s="24"/>
      <c r="N1764" s="24"/>
      <c r="P1764" s="24"/>
    </row>
    <row r="1765" spans="2:16" x14ac:dyDescent="0.25">
      <c r="B1765" s="24"/>
      <c r="E1765" s="24"/>
      <c r="G1765" s="24"/>
      <c r="H1765" s="24"/>
      <c r="J1765" s="24"/>
      <c r="K1765" s="24"/>
      <c r="M1765" s="24"/>
      <c r="N1765" s="24"/>
      <c r="P1765" s="24"/>
    </row>
    <row r="1766" spans="2:16" x14ac:dyDescent="0.25">
      <c r="B1766" s="24"/>
      <c r="E1766" s="24"/>
      <c r="G1766" s="24"/>
      <c r="H1766" s="24"/>
      <c r="J1766" s="24"/>
      <c r="K1766" s="24"/>
      <c r="M1766" s="24"/>
      <c r="N1766" s="24"/>
      <c r="P1766" s="24"/>
    </row>
    <row r="1767" spans="2:16" x14ac:dyDescent="0.25">
      <c r="B1767" s="24"/>
      <c r="E1767" s="24"/>
      <c r="G1767" s="24"/>
      <c r="H1767" s="24"/>
      <c r="J1767" s="24"/>
      <c r="K1767" s="24"/>
      <c r="M1767" s="24"/>
      <c r="N1767" s="24"/>
      <c r="P1767" s="24"/>
    </row>
    <row r="1768" spans="2:16" x14ac:dyDescent="0.25">
      <c r="B1768" s="24"/>
      <c r="E1768" s="24"/>
      <c r="G1768" s="24"/>
      <c r="H1768" s="24"/>
      <c r="J1768" s="24"/>
      <c r="K1768" s="24"/>
      <c r="M1768" s="24"/>
      <c r="N1768" s="24"/>
      <c r="P1768" s="24"/>
    </row>
    <row r="1769" spans="2:16" x14ac:dyDescent="0.25">
      <c r="B1769" s="24"/>
      <c r="E1769" s="24"/>
      <c r="G1769" s="24"/>
      <c r="H1769" s="24"/>
      <c r="J1769" s="24"/>
      <c r="K1769" s="24"/>
      <c r="M1769" s="24"/>
      <c r="N1769" s="24"/>
      <c r="P1769" s="24"/>
    </row>
    <row r="1770" spans="2:16" x14ac:dyDescent="0.25">
      <c r="B1770" s="24"/>
      <c r="E1770" s="24"/>
      <c r="G1770" s="24"/>
      <c r="H1770" s="24"/>
      <c r="J1770" s="24"/>
      <c r="K1770" s="24"/>
      <c r="M1770" s="24"/>
      <c r="N1770" s="24"/>
      <c r="P1770" s="24"/>
    </row>
    <row r="1771" spans="2:16" x14ac:dyDescent="0.25">
      <c r="B1771" s="24"/>
      <c r="E1771" s="24"/>
      <c r="G1771" s="24"/>
      <c r="H1771" s="24"/>
      <c r="J1771" s="24"/>
      <c r="K1771" s="24"/>
      <c r="M1771" s="24"/>
      <c r="N1771" s="24"/>
      <c r="P1771" s="24"/>
    </row>
    <row r="1772" spans="2:16" x14ac:dyDescent="0.25">
      <c r="B1772" s="24"/>
      <c r="E1772" s="24"/>
      <c r="G1772" s="24"/>
      <c r="H1772" s="24"/>
      <c r="J1772" s="24"/>
      <c r="K1772" s="24"/>
      <c r="M1772" s="24"/>
      <c r="N1772" s="24"/>
      <c r="P1772" s="24"/>
    </row>
    <row r="1773" spans="2:16" x14ac:dyDescent="0.25">
      <c r="B1773" s="24"/>
      <c r="E1773" s="24"/>
      <c r="G1773" s="24"/>
      <c r="H1773" s="24"/>
      <c r="J1773" s="24"/>
      <c r="K1773" s="24"/>
      <c r="M1773" s="24"/>
      <c r="N1773" s="24"/>
      <c r="P1773" s="24"/>
    </row>
    <row r="1774" spans="2:16" x14ac:dyDescent="0.25">
      <c r="B1774" s="24"/>
      <c r="E1774" s="24"/>
      <c r="G1774" s="24"/>
      <c r="H1774" s="24"/>
      <c r="J1774" s="24"/>
      <c r="K1774" s="24"/>
      <c r="M1774" s="24"/>
      <c r="N1774" s="24"/>
      <c r="P1774" s="24"/>
    </row>
    <row r="1775" spans="2:16" x14ac:dyDescent="0.25">
      <c r="B1775" s="24"/>
      <c r="E1775" s="24"/>
      <c r="G1775" s="24"/>
      <c r="H1775" s="24"/>
      <c r="J1775" s="24"/>
      <c r="K1775" s="24"/>
      <c r="M1775" s="24"/>
      <c r="N1775" s="24"/>
      <c r="P1775" s="24"/>
    </row>
    <row r="1776" spans="2:16" x14ac:dyDescent="0.25">
      <c r="B1776" s="24"/>
      <c r="E1776" s="24"/>
      <c r="G1776" s="24"/>
      <c r="H1776" s="24"/>
      <c r="J1776" s="24"/>
      <c r="K1776" s="24"/>
      <c r="M1776" s="24"/>
      <c r="N1776" s="24"/>
      <c r="P1776" s="24"/>
    </row>
    <row r="1777" spans="2:16" x14ac:dyDescent="0.25">
      <c r="B1777" s="24"/>
      <c r="E1777" s="24"/>
      <c r="G1777" s="24"/>
      <c r="H1777" s="24"/>
      <c r="J1777" s="24"/>
      <c r="K1777" s="24"/>
      <c r="M1777" s="24"/>
      <c r="N1777" s="24"/>
      <c r="P1777" s="24"/>
    </row>
    <row r="1778" spans="2:16" x14ac:dyDescent="0.25">
      <c r="B1778" s="24"/>
      <c r="E1778" s="24"/>
      <c r="G1778" s="24"/>
      <c r="H1778" s="24"/>
      <c r="J1778" s="24"/>
      <c r="K1778" s="24"/>
      <c r="M1778" s="24"/>
      <c r="N1778" s="24"/>
      <c r="P1778" s="24"/>
    </row>
    <row r="1779" spans="2:16" x14ac:dyDescent="0.25">
      <c r="B1779" s="24"/>
      <c r="E1779" s="24"/>
      <c r="G1779" s="24"/>
      <c r="H1779" s="24"/>
      <c r="J1779" s="24"/>
      <c r="K1779" s="24"/>
      <c r="M1779" s="24"/>
      <c r="N1779" s="24"/>
      <c r="P1779" s="24"/>
    </row>
    <row r="1780" spans="2:16" x14ac:dyDescent="0.25">
      <c r="B1780" s="24"/>
      <c r="E1780" s="24"/>
      <c r="G1780" s="24"/>
      <c r="H1780" s="24"/>
      <c r="J1780" s="24"/>
      <c r="K1780" s="24"/>
      <c r="M1780" s="24"/>
      <c r="N1780" s="24"/>
      <c r="P1780" s="24"/>
    </row>
    <row r="1781" spans="2:16" x14ac:dyDescent="0.25">
      <c r="B1781" s="24"/>
      <c r="E1781" s="24"/>
      <c r="G1781" s="24"/>
      <c r="H1781" s="24"/>
      <c r="J1781" s="24"/>
      <c r="K1781" s="24"/>
      <c r="M1781" s="24"/>
      <c r="N1781" s="24"/>
      <c r="P1781" s="24"/>
    </row>
    <row r="1782" spans="2:16" x14ac:dyDescent="0.25">
      <c r="B1782" s="24"/>
      <c r="E1782" s="24"/>
      <c r="G1782" s="24"/>
      <c r="H1782" s="24"/>
      <c r="J1782" s="24"/>
      <c r="K1782" s="24"/>
      <c r="M1782" s="24"/>
      <c r="N1782" s="24"/>
      <c r="P1782" s="24"/>
    </row>
    <row r="1783" spans="2:16" x14ac:dyDescent="0.25">
      <c r="B1783" s="24"/>
      <c r="E1783" s="24"/>
      <c r="G1783" s="24"/>
      <c r="H1783" s="24"/>
      <c r="J1783" s="24"/>
      <c r="K1783" s="24"/>
      <c r="M1783" s="24"/>
      <c r="N1783" s="24"/>
      <c r="P1783" s="24"/>
    </row>
    <row r="1784" spans="2:16" x14ac:dyDescent="0.25">
      <c r="B1784" s="24"/>
      <c r="E1784" s="24"/>
      <c r="G1784" s="24"/>
      <c r="H1784" s="24"/>
      <c r="J1784" s="24"/>
      <c r="K1784" s="24"/>
      <c r="M1784" s="24"/>
      <c r="N1784" s="24"/>
      <c r="P1784" s="24"/>
    </row>
    <row r="1785" spans="2:16" x14ac:dyDescent="0.25">
      <c r="B1785" s="24"/>
      <c r="E1785" s="24"/>
      <c r="G1785" s="24"/>
      <c r="H1785" s="24"/>
      <c r="J1785" s="24"/>
      <c r="K1785" s="24"/>
      <c r="M1785" s="24"/>
      <c r="N1785" s="24"/>
      <c r="P1785" s="24"/>
    </row>
    <row r="1786" spans="2:16" x14ac:dyDescent="0.25">
      <c r="B1786" s="24"/>
      <c r="E1786" s="24"/>
      <c r="G1786" s="24"/>
      <c r="H1786" s="24"/>
      <c r="J1786" s="24"/>
      <c r="K1786" s="24"/>
      <c r="M1786" s="24"/>
      <c r="N1786" s="24"/>
      <c r="P1786" s="24"/>
    </row>
    <row r="1787" spans="2:16" x14ac:dyDescent="0.25">
      <c r="B1787" s="24"/>
      <c r="E1787" s="24"/>
      <c r="G1787" s="24"/>
      <c r="H1787" s="24"/>
      <c r="J1787" s="24"/>
      <c r="K1787" s="24"/>
      <c r="M1787" s="24"/>
      <c r="N1787" s="24"/>
      <c r="P1787" s="24"/>
    </row>
    <row r="1788" spans="2:16" x14ac:dyDescent="0.25">
      <c r="B1788" s="24"/>
      <c r="E1788" s="24"/>
      <c r="G1788" s="24"/>
      <c r="H1788" s="24"/>
      <c r="J1788" s="24"/>
      <c r="K1788" s="24"/>
      <c r="M1788" s="24"/>
      <c r="N1788" s="24"/>
      <c r="P1788" s="24"/>
    </row>
    <row r="1789" spans="2:16" x14ac:dyDescent="0.25">
      <c r="B1789" s="24"/>
      <c r="E1789" s="24"/>
      <c r="G1789" s="24"/>
      <c r="H1789" s="24"/>
      <c r="J1789" s="24"/>
      <c r="K1789" s="24"/>
      <c r="M1789" s="24"/>
      <c r="N1789" s="24"/>
      <c r="P1789" s="24"/>
    </row>
    <row r="1790" spans="2:16" x14ac:dyDescent="0.25">
      <c r="B1790" s="24"/>
      <c r="E1790" s="24"/>
      <c r="G1790" s="24"/>
      <c r="H1790" s="24"/>
      <c r="J1790" s="24"/>
      <c r="K1790" s="24"/>
      <c r="M1790" s="24"/>
      <c r="N1790" s="24"/>
      <c r="P1790" s="24"/>
    </row>
    <row r="1791" spans="2:16" x14ac:dyDescent="0.25">
      <c r="B1791" s="24"/>
      <c r="E1791" s="24"/>
      <c r="G1791" s="24"/>
      <c r="H1791" s="24"/>
      <c r="J1791" s="24"/>
      <c r="K1791" s="24"/>
      <c r="M1791" s="24"/>
      <c r="N1791" s="24"/>
      <c r="P1791" s="24"/>
    </row>
    <row r="1792" spans="2:16" x14ac:dyDescent="0.25">
      <c r="B1792" s="24"/>
      <c r="E1792" s="24"/>
      <c r="G1792" s="24"/>
      <c r="H1792" s="24"/>
      <c r="J1792" s="24"/>
      <c r="K1792" s="24"/>
      <c r="M1792" s="24"/>
      <c r="N1792" s="24"/>
      <c r="P1792" s="24"/>
    </row>
    <row r="1793" spans="2:16" x14ac:dyDescent="0.25">
      <c r="B1793" s="24"/>
      <c r="E1793" s="24"/>
      <c r="G1793" s="24"/>
      <c r="H1793" s="24"/>
      <c r="J1793" s="24"/>
      <c r="K1793" s="24"/>
      <c r="M1793" s="24"/>
      <c r="N1793" s="24"/>
      <c r="P1793" s="24"/>
    </row>
    <row r="1794" spans="2:16" x14ac:dyDescent="0.25">
      <c r="B1794" s="24"/>
      <c r="E1794" s="24"/>
      <c r="G1794" s="24"/>
      <c r="H1794" s="24"/>
      <c r="J1794" s="24"/>
      <c r="K1794" s="24"/>
      <c r="M1794" s="24"/>
      <c r="N1794" s="24"/>
      <c r="P1794" s="24"/>
    </row>
    <row r="1795" spans="2:16" x14ac:dyDescent="0.25">
      <c r="B1795" s="24"/>
      <c r="E1795" s="24"/>
      <c r="G1795" s="24"/>
      <c r="H1795" s="24"/>
      <c r="J1795" s="24"/>
      <c r="K1795" s="24"/>
      <c r="M1795" s="24"/>
      <c r="N1795" s="24"/>
      <c r="P1795" s="24"/>
    </row>
    <row r="1796" spans="2:16" x14ac:dyDescent="0.25">
      <c r="B1796" s="24"/>
      <c r="E1796" s="24"/>
      <c r="G1796" s="24"/>
      <c r="H1796" s="24"/>
      <c r="J1796" s="24"/>
      <c r="K1796" s="24"/>
      <c r="M1796" s="24"/>
      <c r="N1796" s="24"/>
      <c r="P1796" s="24"/>
    </row>
    <row r="1797" spans="2:16" x14ac:dyDescent="0.25">
      <c r="B1797" s="24"/>
      <c r="E1797" s="24"/>
      <c r="G1797" s="24"/>
      <c r="H1797" s="24"/>
      <c r="J1797" s="24"/>
      <c r="K1797" s="24"/>
      <c r="M1797" s="24"/>
      <c r="N1797" s="24"/>
      <c r="P1797" s="24"/>
    </row>
    <row r="1798" spans="2:16" x14ac:dyDescent="0.25">
      <c r="B1798" s="24"/>
      <c r="E1798" s="24"/>
      <c r="G1798" s="24"/>
      <c r="H1798" s="24"/>
      <c r="J1798" s="24"/>
      <c r="K1798" s="24"/>
      <c r="M1798" s="24"/>
      <c r="N1798" s="24"/>
      <c r="P1798" s="24"/>
    </row>
    <row r="1799" spans="2:16" x14ac:dyDescent="0.25">
      <c r="B1799" s="24"/>
      <c r="E1799" s="24"/>
      <c r="G1799" s="24"/>
      <c r="H1799" s="24"/>
      <c r="J1799" s="24"/>
      <c r="K1799" s="24"/>
      <c r="M1799" s="24"/>
      <c r="N1799" s="24"/>
      <c r="P1799" s="24"/>
    </row>
    <row r="1800" spans="2:16" x14ac:dyDescent="0.25">
      <c r="B1800" s="24"/>
      <c r="E1800" s="24"/>
      <c r="G1800" s="24"/>
      <c r="H1800" s="24"/>
      <c r="J1800" s="24"/>
      <c r="K1800" s="24"/>
      <c r="M1800" s="24"/>
      <c r="N1800" s="24"/>
      <c r="P1800" s="24"/>
    </row>
    <row r="1801" spans="2:16" x14ac:dyDescent="0.25">
      <c r="B1801" s="24"/>
      <c r="E1801" s="24"/>
      <c r="G1801" s="24"/>
      <c r="H1801" s="24"/>
      <c r="J1801" s="24"/>
      <c r="K1801" s="24"/>
      <c r="M1801" s="24"/>
      <c r="N1801" s="24"/>
      <c r="P1801" s="24"/>
    </row>
    <row r="1802" spans="2:16" x14ac:dyDescent="0.25">
      <c r="B1802" s="24"/>
      <c r="E1802" s="24"/>
      <c r="G1802" s="24"/>
      <c r="H1802" s="24"/>
      <c r="J1802" s="24"/>
      <c r="K1802" s="24"/>
      <c r="M1802" s="24"/>
      <c r="N1802" s="24"/>
      <c r="P1802" s="24"/>
    </row>
    <row r="1803" spans="2:16" x14ac:dyDescent="0.25">
      <c r="B1803" s="24"/>
      <c r="E1803" s="24"/>
      <c r="G1803" s="24"/>
      <c r="H1803" s="24"/>
      <c r="J1803" s="24"/>
      <c r="K1803" s="24"/>
      <c r="M1803" s="24"/>
      <c r="N1803" s="24"/>
      <c r="P1803" s="24"/>
    </row>
    <row r="1804" spans="2:16" x14ac:dyDescent="0.25">
      <c r="B1804" s="24"/>
      <c r="E1804" s="24"/>
      <c r="G1804" s="24"/>
      <c r="H1804" s="24"/>
      <c r="J1804" s="24"/>
      <c r="K1804" s="24"/>
      <c r="M1804" s="24"/>
      <c r="N1804" s="24"/>
      <c r="P1804" s="24"/>
    </row>
    <row r="1805" spans="2:16" x14ac:dyDescent="0.25">
      <c r="B1805" s="24"/>
      <c r="E1805" s="24"/>
      <c r="G1805" s="24"/>
      <c r="H1805" s="24"/>
      <c r="J1805" s="24"/>
      <c r="K1805" s="24"/>
      <c r="M1805" s="24"/>
      <c r="N1805" s="24"/>
      <c r="P1805" s="24"/>
    </row>
    <row r="1806" spans="2:16" x14ac:dyDescent="0.25">
      <c r="B1806" s="24"/>
      <c r="E1806" s="24"/>
      <c r="G1806" s="24"/>
      <c r="H1806" s="24"/>
      <c r="J1806" s="24"/>
      <c r="K1806" s="24"/>
      <c r="M1806" s="24"/>
      <c r="N1806" s="24"/>
      <c r="P1806" s="24"/>
    </row>
    <row r="1807" spans="2:16" x14ac:dyDescent="0.25">
      <c r="B1807" s="24"/>
      <c r="E1807" s="24"/>
      <c r="G1807" s="24"/>
      <c r="H1807" s="24"/>
      <c r="J1807" s="24"/>
      <c r="K1807" s="24"/>
      <c r="M1807" s="24"/>
      <c r="N1807" s="24"/>
      <c r="P1807" s="24"/>
    </row>
    <row r="1808" spans="2:16" x14ac:dyDescent="0.25">
      <c r="B1808" s="24"/>
      <c r="E1808" s="24"/>
      <c r="G1808" s="24"/>
      <c r="H1808" s="24"/>
      <c r="J1808" s="24"/>
      <c r="K1808" s="24"/>
      <c r="M1808" s="24"/>
      <c r="N1808" s="24"/>
      <c r="P1808" s="24"/>
    </row>
    <row r="1809" spans="2:16" x14ac:dyDescent="0.25">
      <c r="B1809" s="24"/>
      <c r="E1809" s="24"/>
      <c r="G1809" s="24"/>
      <c r="H1809" s="24"/>
      <c r="J1809" s="24"/>
      <c r="K1809" s="24"/>
      <c r="M1809" s="24"/>
      <c r="N1809" s="24"/>
      <c r="P1809" s="24"/>
    </row>
    <row r="1810" spans="2:16" x14ac:dyDescent="0.25">
      <c r="B1810" s="24"/>
      <c r="E1810" s="24"/>
      <c r="G1810" s="24"/>
      <c r="H1810" s="24"/>
      <c r="J1810" s="24"/>
      <c r="K1810" s="24"/>
      <c r="M1810" s="24"/>
      <c r="N1810" s="24"/>
      <c r="P1810" s="24"/>
    </row>
    <row r="1811" spans="2:16" x14ac:dyDescent="0.25">
      <c r="B1811" s="24"/>
      <c r="E1811" s="24"/>
      <c r="G1811" s="24"/>
      <c r="H1811" s="24"/>
      <c r="J1811" s="24"/>
      <c r="K1811" s="24"/>
      <c r="M1811" s="24"/>
      <c r="N1811" s="24"/>
      <c r="P1811" s="24"/>
    </row>
    <row r="1812" spans="2:16" x14ac:dyDescent="0.25">
      <c r="B1812" s="24"/>
      <c r="E1812" s="24"/>
      <c r="G1812" s="24"/>
      <c r="H1812" s="24"/>
      <c r="J1812" s="24"/>
      <c r="K1812" s="24"/>
      <c r="M1812" s="24"/>
      <c r="N1812" s="24"/>
      <c r="P1812" s="24"/>
    </row>
    <row r="1813" spans="2:16" x14ac:dyDescent="0.25">
      <c r="B1813" s="24"/>
      <c r="E1813" s="24"/>
      <c r="G1813" s="24"/>
      <c r="H1813" s="24"/>
      <c r="J1813" s="24"/>
      <c r="K1813" s="24"/>
      <c r="M1813" s="24"/>
      <c r="N1813" s="24"/>
      <c r="P1813" s="24"/>
    </row>
    <row r="1814" spans="2:16" x14ac:dyDescent="0.25">
      <c r="B1814" s="24"/>
      <c r="E1814" s="24"/>
      <c r="G1814" s="24"/>
      <c r="H1814" s="24"/>
      <c r="J1814" s="24"/>
      <c r="K1814" s="24"/>
      <c r="M1814" s="24"/>
      <c r="N1814" s="24"/>
      <c r="P1814" s="24"/>
    </row>
    <row r="1815" spans="2:16" x14ac:dyDescent="0.25">
      <c r="B1815" s="24"/>
      <c r="E1815" s="24"/>
      <c r="G1815" s="24"/>
      <c r="H1815" s="24"/>
      <c r="J1815" s="24"/>
      <c r="K1815" s="24"/>
      <c r="M1815" s="24"/>
      <c r="N1815" s="24"/>
      <c r="P1815" s="24"/>
    </row>
    <row r="1816" spans="2:16" x14ac:dyDescent="0.25">
      <c r="B1816" s="24"/>
      <c r="E1816" s="24"/>
      <c r="G1816" s="24"/>
      <c r="H1816" s="24"/>
      <c r="J1816" s="24"/>
      <c r="K1816" s="24"/>
      <c r="M1816" s="24"/>
      <c r="N1816" s="24"/>
      <c r="P1816" s="24"/>
    </row>
    <row r="1817" spans="2:16" x14ac:dyDescent="0.25">
      <c r="B1817" s="24"/>
      <c r="E1817" s="24"/>
      <c r="G1817" s="24"/>
      <c r="H1817" s="24"/>
      <c r="J1817" s="24"/>
      <c r="K1817" s="24"/>
      <c r="M1817" s="24"/>
      <c r="N1817" s="24"/>
      <c r="P1817" s="24"/>
    </row>
    <row r="1818" spans="2:16" x14ac:dyDescent="0.25">
      <c r="B1818" s="24"/>
      <c r="E1818" s="24"/>
      <c r="G1818" s="24"/>
      <c r="H1818" s="24"/>
      <c r="J1818" s="24"/>
      <c r="K1818" s="24"/>
      <c r="M1818" s="24"/>
      <c r="N1818" s="24"/>
      <c r="P1818" s="24"/>
    </row>
    <row r="1819" spans="2:16" x14ac:dyDescent="0.25">
      <c r="B1819" s="24"/>
      <c r="E1819" s="24"/>
      <c r="G1819" s="24"/>
      <c r="H1819" s="24"/>
      <c r="J1819" s="24"/>
      <c r="K1819" s="24"/>
      <c r="M1819" s="24"/>
      <c r="N1819" s="24"/>
      <c r="P1819" s="24"/>
    </row>
    <row r="1820" spans="2:16" x14ac:dyDescent="0.25">
      <c r="B1820" s="24"/>
      <c r="E1820" s="24"/>
      <c r="G1820" s="24"/>
      <c r="H1820" s="24"/>
      <c r="J1820" s="24"/>
      <c r="K1820" s="24"/>
      <c r="M1820" s="24"/>
      <c r="N1820" s="24"/>
      <c r="P1820" s="24"/>
    </row>
    <row r="1821" spans="2:16" x14ac:dyDescent="0.25">
      <c r="B1821" s="24"/>
      <c r="E1821" s="24"/>
      <c r="G1821" s="24"/>
      <c r="H1821" s="24"/>
      <c r="J1821" s="24"/>
      <c r="K1821" s="24"/>
      <c r="M1821" s="24"/>
      <c r="N1821" s="24"/>
      <c r="P1821" s="24"/>
    </row>
    <row r="1822" spans="2:16" x14ac:dyDescent="0.25">
      <c r="B1822" s="24"/>
      <c r="E1822" s="24"/>
      <c r="G1822" s="24"/>
      <c r="H1822" s="24"/>
      <c r="J1822" s="24"/>
      <c r="K1822" s="24"/>
      <c r="M1822" s="24"/>
      <c r="N1822" s="24"/>
      <c r="P1822" s="24"/>
    </row>
    <row r="1823" spans="2:16" x14ac:dyDescent="0.25">
      <c r="B1823" s="24"/>
      <c r="E1823" s="24"/>
      <c r="G1823" s="24"/>
      <c r="H1823" s="24"/>
      <c r="J1823" s="24"/>
      <c r="K1823" s="24"/>
      <c r="M1823" s="24"/>
      <c r="N1823" s="24"/>
      <c r="P1823" s="24"/>
    </row>
    <row r="1824" spans="2:16" x14ac:dyDescent="0.25">
      <c r="B1824" s="24"/>
      <c r="E1824" s="24"/>
      <c r="G1824" s="24"/>
      <c r="H1824" s="24"/>
      <c r="J1824" s="24"/>
      <c r="K1824" s="24"/>
      <c r="M1824" s="24"/>
      <c r="N1824" s="24"/>
      <c r="P1824" s="24"/>
    </row>
    <row r="1825" spans="2:16" x14ac:dyDescent="0.25">
      <c r="B1825" s="24"/>
      <c r="E1825" s="24"/>
      <c r="G1825" s="24"/>
      <c r="H1825" s="24"/>
      <c r="J1825" s="24"/>
      <c r="K1825" s="24"/>
      <c r="M1825" s="24"/>
      <c r="N1825" s="24"/>
      <c r="P1825" s="24"/>
    </row>
    <row r="1826" spans="2:16" x14ac:dyDescent="0.25">
      <c r="B1826" s="24"/>
      <c r="E1826" s="24"/>
      <c r="G1826" s="24"/>
      <c r="H1826" s="24"/>
      <c r="J1826" s="24"/>
      <c r="K1826" s="24"/>
      <c r="M1826" s="24"/>
      <c r="N1826" s="24"/>
      <c r="P1826" s="24"/>
    </row>
    <row r="1827" spans="2:16" x14ac:dyDescent="0.25">
      <c r="B1827" s="24"/>
      <c r="E1827" s="24"/>
      <c r="G1827" s="24"/>
      <c r="H1827" s="24"/>
      <c r="J1827" s="24"/>
      <c r="K1827" s="24"/>
      <c r="M1827" s="24"/>
      <c r="N1827" s="24"/>
      <c r="P1827" s="24"/>
    </row>
    <row r="1828" spans="2:16" x14ac:dyDescent="0.25">
      <c r="B1828" s="24"/>
      <c r="E1828" s="24"/>
      <c r="G1828" s="24"/>
      <c r="H1828" s="24"/>
      <c r="J1828" s="24"/>
      <c r="K1828" s="24"/>
      <c r="M1828" s="24"/>
      <c r="N1828" s="24"/>
      <c r="P1828" s="24"/>
    </row>
    <row r="1829" spans="2:16" x14ac:dyDescent="0.25">
      <c r="B1829" s="24"/>
      <c r="E1829" s="24"/>
      <c r="G1829" s="24"/>
      <c r="H1829" s="24"/>
      <c r="J1829" s="24"/>
      <c r="K1829" s="24"/>
      <c r="M1829" s="24"/>
      <c r="N1829" s="24"/>
      <c r="P1829" s="24"/>
    </row>
    <row r="1830" spans="2:16" x14ac:dyDescent="0.25">
      <c r="B1830" s="24"/>
      <c r="E1830" s="24"/>
      <c r="G1830" s="24"/>
      <c r="H1830" s="24"/>
      <c r="J1830" s="24"/>
      <c r="K1830" s="24"/>
      <c r="M1830" s="24"/>
      <c r="N1830" s="24"/>
      <c r="P1830" s="24"/>
    </row>
    <row r="1831" spans="2:16" x14ac:dyDescent="0.25">
      <c r="B1831" s="24"/>
      <c r="E1831" s="24"/>
      <c r="G1831" s="24"/>
      <c r="H1831" s="24"/>
      <c r="J1831" s="24"/>
      <c r="K1831" s="24"/>
      <c r="M1831" s="24"/>
      <c r="N1831" s="24"/>
      <c r="P1831" s="24"/>
    </row>
    <row r="1832" spans="2:16" x14ac:dyDescent="0.25">
      <c r="B1832" s="24"/>
      <c r="E1832" s="24"/>
      <c r="G1832" s="24"/>
      <c r="H1832" s="24"/>
      <c r="J1832" s="24"/>
      <c r="K1832" s="24"/>
      <c r="M1832" s="24"/>
      <c r="N1832" s="24"/>
      <c r="P1832" s="24"/>
    </row>
    <row r="1833" spans="2:16" x14ac:dyDescent="0.25">
      <c r="B1833" s="24"/>
      <c r="E1833" s="24"/>
      <c r="G1833" s="24"/>
      <c r="H1833" s="24"/>
      <c r="J1833" s="24"/>
      <c r="K1833" s="24"/>
      <c r="M1833" s="24"/>
      <c r="N1833" s="24"/>
      <c r="P1833" s="24"/>
    </row>
    <row r="1834" spans="2:16" x14ac:dyDescent="0.25">
      <c r="B1834" s="24"/>
      <c r="E1834" s="24"/>
      <c r="G1834" s="24"/>
      <c r="H1834" s="24"/>
      <c r="J1834" s="24"/>
      <c r="K1834" s="24"/>
      <c r="M1834" s="24"/>
      <c r="N1834" s="24"/>
      <c r="P1834" s="24"/>
    </row>
    <row r="1835" spans="2:16" x14ac:dyDescent="0.25">
      <c r="B1835" s="24"/>
      <c r="E1835" s="24"/>
      <c r="G1835" s="24"/>
      <c r="H1835" s="24"/>
      <c r="J1835" s="24"/>
      <c r="K1835" s="24"/>
      <c r="M1835" s="24"/>
      <c r="N1835" s="24"/>
      <c r="P1835" s="24"/>
    </row>
    <row r="1836" spans="2:16" x14ac:dyDescent="0.25">
      <c r="B1836" s="24"/>
      <c r="E1836" s="24"/>
      <c r="G1836" s="24"/>
      <c r="H1836" s="24"/>
      <c r="J1836" s="24"/>
      <c r="K1836" s="24"/>
      <c r="M1836" s="24"/>
      <c r="N1836" s="24"/>
      <c r="P1836" s="24"/>
    </row>
    <row r="1837" spans="2:16" x14ac:dyDescent="0.25">
      <c r="B1837" s="24"/>
      <c r="E1837" s="24"/>
      <c r="G1837" s="24"/>
      <c r="H1837" s="24"/>
      <c r="J1837" s="24"/>
      <c r="K1837" s="24"/>
      <c r="M1837" s="24"/>
      <c r="N1837" s="24"/>
      <c r="P1837" s="24"/>
    </row>
    <row r="1838" spans="2:16" x14ac:dyDescent="0.25">
      <c r="B1838" s="24"/>
      <c r="E1838" s="24"/>
      <c r="G1838" s="24"/>
      <c r="H1838" s="24"/>
      <c r="J1838" s="24"/>
      <c r="K1838" s="24"/>
      <c r="M1838" s="24"/>
      <c r="N1838" s="24"/>
      <c r="P1838" s="24"/>
    </row>
    <row r="1839" spans="2:16" x14ac:dyDescent="0.25">
      <c r="B1839" s="24"/>
      <c r="E1839" s="24"/>
      <c r="G1839" s="24"/>
      <c r="H1839" s="24"/>
      <c r="J1839" s="24"/>
      <c r="K1839" s="24"/>
      <c r="M1839" s="24"/>
      <c r="N1839" s="24"/>
      <c r="P1839" s="24"/>
    </row>
    <row r="1840" spans="2:16" x14ac:dyDescent="0.25">
      <c r="B1840" s="24"/>
      <c r="E1840" s="24"/>
      <c r="G1840" s="24"/>
      <c r="H1840" s="24"/>
      <c r="J1840" s="24"/>
      <c r="K1840" s="24"/>
      <c r="M1840" s="24"/>
      <c r="N1840" s="24"/>
      <c r="P1840" s="24"/>
    </row>
    <row r="1841" spans="2:16" x14ac:dyDescent="0.25">
      <c r="B1841" s="24"/>
      <c r="E1841" s="24"/>
      <c r="G1841" s="24"/>
      <c r="H1841" s="24"/>
      <c r="J1841" s="24"/>
      <c r="K1841" s="24"/>
      <c r="M1841" s="24"/>
      <c r="N1841" s="24"/>
      <c r="P1841" s="24"/>
    </row>
    <row r="1842" spans="2:16" x14ac:dyDescent="0.25">
      <c r="B1842" s="24"/>
      <c r="E1842" s="24"/>
      <c r="G1842" s="24"/>
      <c r="H1842" s="24"/>
      <c r="J1842" s="24"/>
      <c r="K1842" s="24"/>
      <c r="M1842" s="24"/>
      <c r="N1842" s="24"/>
      <c r="P1842" s="24"/>
    </row>
    <row r="1843" spans="2:16" x14ac:dyDescent="0.25">
      <c r="B1843" s="24"/>
      <c r="E1843" s="24"/>
      <c r="G1843" s="24"/>
      <c r="H1843" s="24"/>
      <c r="J1843" s="24"/>
      <c r="K1843" s="24"/>
      <c r="M1843" s="24"/>
      <c r="N1843" s="24"/>
      <c r="P1843" s="24"/>
    </row>
    <row r="1844" spans="2:16" x14ac:dyDescent="0.25">
      <c r="B1844" s="24"/>
      <c r="E1844" s="24"/>
      <c r="G1844" s="24"/>
      <c r="H1844" s="24"/>
      <c r="J1844" s="24"/>
      <c r="K1844" s="24"/>
      <c r="M1844" s="24"/>
      <c r="N1844" s="24"/>
      <c r="P1844" s="24"/>
    </row>
    <row r="1845" spans="2:16" x14ac:dyDescent="0.25">
      <c r="B1845" s="24"/>
      <c r="E1845" s="24"/>
      <c r="G1845" s="24"/>
      <c r="H1845" s="24"/>
      <c r="J1845" s="24"/>
      <c r="K1845" s="24"/>
      <c r="M1845" s="24"/>
      <c r="N1845" s="24"/>
      <c r="P1845" s="24"/>
    </row>
    <row r="1846" spans="2:16" x14ac:dyDescent="0.25">
      <c r="B1846" s="24"/>
      <c r="E1846" s="24"/>
      <c r="G1846" s="24"/>
      <c r="H1846" s="24"/>
      <c r="J1846" s="24"/>
      <c r="K1846" s="24"/>
      <c r="M1846" s="24"/>
      <c r="N1846" s="24"/>
      <c r="P1846" s="24"/>
    </row>
    <row r="1847" spans="2:16" x14ac:dyDescent="0.25">
      <c r="B1847" s="24"/>
      <c r="E1847" s="24"/>
      <c r="G1847" s="24"/>
      <c r="H1847" s="24"/>
      <c r="J1847" s="24"/>
      <c r="K1847" s="24"/>
      <c r="M1847" s="24"/>
      <c r="N1847" s="24"/>
      <c r="P1847" s="24"/>
    </row>
    <row r="1848" spans="2:16" x14ac:dyDescent="0.25">
      <c r="B1848" s="24"/>
      <c r="E1848" s="24"/>
      <c r="G1848" s="24"/>
      <c r="H1848" s="24"/>
      <c r="J1848" s="24"/>
      <c r="K1848" s="24"/>
      <c r="M1848" s="24"/>
      <c r="N1848" s="24"/>
      <c r="P1848" s="24"/>
    </row>
    <row r="1849" spans="2:16" x14ac:dyDescent="0.25">
      <c r="B1849" s="24"/>
      <c r="E1849" s="24"/>
      <c r="G1849" s="24"/>
      <c r="H1849" s="24"/>
      <c r="J1849" s="24"/>
      <c r="K1849" s="24"/>
      <c r="M1849" s="24"/>
      <c r="N1849" s="24"/>
      <c r="P1849" s="24"/>
    </row>
    <row r="1850" spans="2:16" x14ac:dyDescent="0.25">
      <c r="B1850" s="24"/>
      <c r="E1850" s="24"/>
      <c r="G1850" s="24"/>
      <c r="H1850" s="24"/>
      <c r="J1850" s="24"/>
      <c r="K1850" s="24"/>
      <c r="M1850" s="24"/>
      <c r="N1850" s="24"/>
      <c r="P1850" s="24"/>
    </row>
    <row r="1851" spans="2:16" x14ac:dyDescent="0.25">
      <c r="B1851" s="24"/>
      <c r="E1851" s="24"/>
      <c r="G1851" s="24"/>
      <c r="H1851" s="24"/>
      <c r="J1851" s="24"/>
      <c r="K1851" s="24"/>
      <c r="M1851" s="24"/>
      <c r="N1851" s="24"/>
      <c r="P1851" s="24"/>
    </row>
    <row r="1852" spans="2:16" x14ac:dyDescent="0.25">
      <c r="B1852" s="24"/>
      <c r="E1852" s="24"/>
      <c r="G1852" s="24"/>
      <c r="H1852" s="24"/>
      <c r="J1852" s="24"/>
      <c r="K1852" s="24"/>
      <c r="M1852" s="24"/>
      <c r="N1852" s="24"/>
      <c r="P1852" s="24"/>
    </row>
    <row r="1853" spans="2:16" x14ac:dyDescent="0.25">
      <c r="B1853" s="24"/>
      <c r="E1853" s="24"/>
      <c r="G1853" s="24"/>
      <c r="H1853" s="24"/>
      <c r="J1853" s="24"/>
      <c r="K1853" s="24"/>
      <c r="M1853" s="24"/>
      <c r="N1853" s="24"/>
      <c r="P1853" s="24"/>
    </row>
    <row r="1854" spans="2:16" x14ac:dyDescent="0.25">
      <c r="B1854" s="24"/>
      <c r="E1854" s="24"/>
      <c r="G1854" s="24"/>
      <c r="H1854" s="24"/>
      <c r="J1854" s="24"/>
      <c r="K1854" s="24"/>
      <c r="M1854" s="24"/>
      <c r="N1854" s="24"/>
      <c r="P1854" s="24"/>
    </row>
    <row r="1855" spans="2:16" x14ac:dyDescent="0.25">
      <c r="B1855" s="24"/>
      <c r="E1855" s="24"/>
      <c r="G1855" s="24"/>
      <c r="H1855" s="24"/>
      <c r="J1855" s="24"/>
      <c r="K1855" s="24"/>
      <c r="M1855" s="24"/>
      <c r="N1855" s="24"/>
      <c r="P1855" s="24"/>
    </row>
    <row r="1856" spans="2:16" x14ac:dyDescent="0.25">
      <c r="B1856" s="24"/>
      <c r="E1856" s="24"/>
      <c r="G1856" s="24"/>
      <c r="H1856" s="24"/>
      <c r="J1856" s="24"/>
      <c r="K1856" s="24"/>
      <c r="M1856" s="24"/>
      <c r="N1856" s="24"/>
      <c r="P1856" s="24"/>
    </row>
    <row r="1857" spans="2:16" x14ac:dyDescent="0.25">
      <c r="B1857" s="24"/>
      <c r="E1857" s="24"/>
      <c r="G1857" s="24"/>
      <c r="H1857" s="24"/>
      <c r="J1857" s="24"/>
      <c r="K1857" s="24"/>
      <c r="M1857" s="24"/>
      <c r="N1857" s="24"/>
      <c r="P1857" s="24"/>
    </row>
    <row r="1858" spans="2:16" x14ac:dyDescent="0.25">
      <c r="B1858" s="24"/>
      <c r="E1858" s="24"/>
      <c r="G1858" s="24"/>
      <c r="H1858" s="24"/>
      <c r="J1858" s="24"/>
      <c r="K1858" s="24"/>
      <c r="M1858" s="24"/>
      <c r="N1858" s="24"/>
      <c r="P1858" s="24"/>
    </row>
    <row r="1859" spans="2:16" x14ac:dyDescent="0.25">
      <c r="B1859" s="24"/>
      <c r="E1859" s="24"/>
      <c r="G1859" s="24"/>
      <c r="H1859" s="24"/>
      <c r="J1859" s="24"/>
      <c r="K1859" s="24"/>
      <c r="M1859" s="24"/>
      <c r="N1859" s="24"/>
      <c r="P1859" s="24"/>
    </row>
    <row r="1860" spans="2:16" x14ac:dyDescent="0.25">
      <c r="B1860" s="24"/>
      <c r="E1860" s="24"/>
      <c r="G1860" s="24"/>
      <c r="H1860" s="24"/>
      <c r="J1860" s="24"/>
      <c r="K1860" s="24"/>
      <c r="M1860" s="24"/>
      <c r="N1860" s="24"/>
      <c r="P1860" s="24"/>
    </row>
    <row r="1861" spans="2:16" x14ac:dyDescent="0.25">
      <c r="B1861" s="24"/>
      <c r="E1861" s="24"/>
      <c r="G1861" s="24"/>
      <c r="H1861" s="24"/>
      <c r="J1861" s="24"/>
      <c r="K1861" s="24"/>
      <c r="M1861" s="24"/>
      <c r="N1861" s="24"/>
      <c r="P1861" s="24"/>
    </row>
    <row r="1862" spans="2:16" x14ac:dyDescent="0.25">
      <c r="B1862" s="24"/>
      <c r="E1862" s="24"/>
      <c r="G1862" s="24"/>
      <c r="H1862" s="24"/>
      <c r="J1862" s="24"/>
      <c r="K1862" s="24"/>
      <c r="M1862" s="24"/>
      <c r="N1862" s="24"/>
      <c r="P1862" s="24"/>
    </row>
    <row r="1863" spans="2:16" x14ac:dyDescent="0.25">
      <c r="B1863" s="24"/>
      <c r="E1863" s="24"/>
      <c r="G1863" s="24"/>
      <c r="H1863" s="24"/>
      <c r="J1863" s="24"/>
      <c r="K1863" s="24"/>
      <c r="M1863" s="24"/>
      <c r="N1863" s="24"/>
      <c r="P1863" s="24"/>
    </row>
    <row r="1864" spans="2:16" x14ac:dyDescent="0.25">
      <c r="B1864" s="24"/>
      <c r="E1864" s="24"/>
      <c r="G1864" s="24"/>
      <c r="H1864" s="24"/>
      <c r="J1864" s="24"/>
      <c r="K1864" s="24"/>
      <c r="M1864" s="24"/>
      <c r="N1864" s="24"/>
      <c r="P1864" s="24"/>
    </row>
    <row r="1865" spans="2:16" x14ac:dyDescent="0.25">
      <c r="B1865" s="24"/>
      <c r="E1865" s="24"/>
      <c r="G1865" s="24"/>
      <c r="H1865" s="24"/>
      <c r="J1865" s="24"/>
      <c r="K1865" s="24"/>
      <c r="M1865" s="24"/>
      <c r="N1865" s="24"/>
      <c r="P1865" s="24"/>
    </row>
    <row r="1866" spans="2:16" x14ac:dyDescent="0.25">
      <c r="B1866" s="24"/>
      <c r="E1866" s="24"/>
      <c r="G1866" s="24"/>
      <c r="H1866" s="24"/>
      <c r="J1866" s="24"/>
      <c r="K1866" s="24"/>
      <c r="M1866" s="24"/>
      <c r="N1866" s="24"/>
      <c r="P1866" s="24"/>
    </row>
    <row r="1867" spans="2:16" x14ac:dyDescent="0.25">
      <c r="B1867" s="24"/>
      <c r="E1867" s="24"/>
      <c r="G1867" s="24"/>
      <c r="H1867" s="24"/>
      <c r="J1867" s="24"/>
      <c r="K1867" s="24"/>
      <c r="M1867" s="24"/>
      <c r="N1867" s="24"/>
      <c r="P1867" s="24"/>
    </row>
    <row r="1868" spans="2:16" x14ac:dyDescent="0.25">
      <c r="B1868" s="24"/>
      <c r="E1868" s="24"/>
      <c r="G1868" s="24"/>
      <c r="H1868" s="24"/>
      <c r="J1868" s="24"/>
      <c r="K1868" s="24"/>
      <c r="M1868" s="24"/>
      <c r="N1868" s="24"/>
      <c r="P1868" s="24"/>
    </row>
    <row r="1869" spans="2:16" x14ac:dyDescent="0.25">
      <c r="B1869" s="24"/>
      <c r="E1869" s="24"/>
      <c r="G1869" s="24"/>
      <c r="H1869" s="24"/>
      <c r="J1869" s="24"/>
      <c r="K1869" s="24"/>
      <c r="M1869" s="24"/>
      <c r="N1869" s="24"/>
      <c r="P1869" s="24"/>
    </row>
    <row r="1870" spans="2:16" x14ac:dyDescent="0.25">
      <c r="B1870" s="24"/>
      <c r="E1870" s="24"/>
      <c r="G1870" s="24"/>
      <c r="H1870" s="24"/>
      <c r="J1870" s="24"/>
      <c r="K1870" s="24"/>
      <c r="M1870" s="24"/>
      <c r="N1870" s="24"/>
      <c r="P1870" s="24"/>
    </row>
    <row r="1871" spans="2:16" x14ac:dyDescent="0.25">
      <c r="B1871" s="24"/>
      <c r="E1871" s="24"/>
      <c r="G1871" s="24"/>
      <c r="H1871" s="24"/>
      <c r="J1871" s="24"/>
      <c r="K1871" s="24"/>
      <c r="M1871" s="24"/>
      <c r="N1871" s="24"/>
      <c r="P1871" s="24"/>
    </row>
    <row r="1872" spans="2:16" x14ac:dyDescent="0.25">
      <c r="B1872" s="24"/>
      <c r="E1872" s="24"/>
      <c r="G1872" s="24"/>
      <c r="H1872" s="24"/>
      <c r="J1872" s="24"/>
      <c r="K1872" s="24"/>
      <c r="M1872" s="24"/>
      <c r="N1872" s="24"/>
      <c r="P1872" s="24"/>
    </row>
    <row r="1873" spans="2:16" x14ac:dyDescent="0.25">
      <c r="B1873" s="24"/>
      <c r="E1873" s="24"/>
      <c r="G1873" s="24"/>
      <c r="H1873" s="24"/>
      <c r="J1873" s="24"/>
      <c r="K1873" s="24"/>
      <c r="M1873" s="24"/>
      <c r="N1873" s="24"/>
      <c r="P1873" s="24"/>
    </row>
    <row r="1874" spans="2:16" x14ac:dyDescent="0.25">
      <c r="B1874" s="24"/>
      <c r="E1874" s="24"/>
      <c r="G1874" s="24"/>
      <c r="H1874" s="24"/>
      <c r="J1874" s="24"/>
      <c r="K1874" s="24"/>
      <c r="M1874" s="24"/>
      <c r="N1874" s="24"/>
      <c r="P1874" s="24"/>
    </row>
    <row r="1875" spans="2:16" x14ac:dyDescent="0.25">
      <c r="B1875" s="24"/>
      <c r="E1875" s="24"/>
      <c r="G1875" s="24"/>
      <c r="H1875" s="24"/>
      <c r="J1875" s="24"/>
      <c r="K1875" s="24"/>
      <c r="M1875" s="24"/>
      <c r="N1875" s="24"/>
      <c r="P1875" s="24"/>
    </row>
    <row r="1876" spans="2:16" x14ac:dyDescent="0.25">
      <c r="B1876" s="24"/>
      <c r="E1876" s="24"/>
      <c r="G1876" s="24"/>
      <c r="H1876" s="24"/>
      <c r="J1876" s="24"/>
      <c r="K1876" s="24"/>
      <c r="M1876" s="24"/>
      <c r="N1876" s="24"/>
      <c r="P1876" s="24"/>
    </row>
    <row r="1877" spans="2:16" x14ac:dyDescent="0.25">
      <c r="B1877" s="24"/>
      <c r="E1877" s="24"/>
      <c r="G1877" s="24"/>
      <c r="H1877" s="24"/>
      <c r="J1877" s="24"/>
      <c r="K1877" s="24"/>
      <c r="M1877" s="24"/>
      <c r="N1877" s="24"/>
      <c r="P1877" s="24"/>
    </row>
    <row r="1878" spans="2:16" x14ac:dyDescent="0.25">
      <c r="B1878" s="24"/>
      <c r="E1878" s="24"/>
      <c r="G1878" s="24"/>
      <c r="H1878" s="24"/>
      <c r="J1878" s="24"/>
      <c r="K1878" s="24"/>
      <c r="M1878" s="24"/>
      <c r="N1878" s="24"/>
      <c r="P1878" s="24"/>
    </row>
    <row r="1879" spans="2:16" x14ac:dyDescent="0.25">
      <c r="B1879" s="24"/>
      <c r="E1879" s="24"/>
      <c r="G1879" s="24"/>
      <c r="H1879" s="24"/>
      <c r="J1879" s="24"/>
      <c r="K1879" s="24"/>
      <c r="M1879" s="24"/>
      <c r="N1879" s="24"/>
      <c r="P1879" s="24"/>
    </row>
    <row r="1880" spans="2:16" x14ac:dyDescent="0.25">
      <c r="B1880" s="24"/>
      <c r="E1880" s="24"/>
      <c r="G1880" s="24"/>
      <c r="H1880" s="24"/>
      <c r="J1880" s="24"/>
      <c r="K1880" s="24"/>
      <c r="M1880" s="24"/>
      <c r="N1880" s="24"/>
      <c r="P1880" s="24"/>
    </row>
    <row r="1881" spans="2:16" x14ac:dyDescent="0.25">
      <c r="B1881" s="24"/>
      <c r="E1881" s="24"/>
      <c r="G1881" s="24"/>
      <c r="H1881" s="24"/>
      <c r="J1881" s="24"/>
      <c r="K1881" s="24"/>
      <c r="M1881" s="24"/>
      <c r="N1881" s="24"/>
      <c r="P1881" s="24"/>
    </row>
    <row r="1882" spans="2:16" x14ac:dyDescent="0.25">
      <c r="B1882" s="24"/>
      <c r="E1882" s="24"/>
      <c r="G1882" s="24"/>
      <c r="H1882" s="24"/>
      <c r="J1882" s="24"/>
      <c r="K1882" s="24"/>
      <c r="M1882" s="24"/>
      <c r="N1882" s="24"/>
      <c r="P1882" s="24"/>
    </row>
    <row r="1883" spans="2:16" x14ac:dyDescent="0.25">
      <c r="B1883" s="24"/>
      <c r="E1883" s="24"/>
      <c r="G1883" s="24"/>
      <c r="H1883" s="24"/>
      <c r="J1883" s="24"/>
      <c r="K1883" s="24"/>
      <c r="M1883" s="24"/>
      <c r="N1883" s="24"/>
      <c r="P1883" s="24"/>
    </row>
    <row r="1884" spans="2:16" x14ac:dyDescent="0.25">
      <c r="B1884" s="24"/>
      <c r="E1884" s="24"/>
      <c r="G1884" s="24"/>
      <c r="H1884" s="24"/>
      <c r="J1884" s="24"/>
      <c r="K1884" s="24"/>
      <c r="M1884" s="24"/>
      <c r="N1884" s="24"/>
      <c r="P1884" s="24"/>
    </row>
    <row r="1885" spans="2:16" x14ac:dyDescent="0.25">
      <c r="B1885" s="24"/>
      <c r="E1885" s="24"/>
      <c r="G1885" s="24"/>
      <c r="H1885" s="24"/>
      <c r="J1885" s="24"/>
      <c r="K1885" s="24"/>
      <c r="M1885" s="24"/>
      <c r="N1885" s="24"/>
      <c r="P1885" s="24"/>
    </row>
    <row r="1886" spans="2:16" x14ac:dyDescent="0.25">
      <c r="B1886" s="24"/>
      <c r="E1886" s="24"/>
      <c r="G1886" s="24"/>
      <c r="H1886" s="24"/>
      <c r="J1886" s="24"/>
      <c r="K1886" s="24"/>
      <c r="M1886" s="24"/>
      <c r="N1886" s="24"/>
      <c r="P1886" s="24"/>
    </row>
    <row r="1887" spans="2:16" x14ac:dyDescent="0.25">
      <c r="B1887" s="24"/>
      <c r="E1887" s="24"/>
      <c r="G1887" s="24"/>
      <c r="H1887" s="24"/>
      <c r="J1887" s="24"/>
      <c r="K1887" s="24"/>
      <c r="M1887" s="24"/>
      <c r="N1887" s="24"/>
      <c r="P1887" s="24"/>
    </row>
    <row r="1888" spans="2:16" x14ac:dyDescent="0.25">
      <c r="B1888" s="24"/>
      <c r="E1888" s="24"/>
      <c r="G1888" s="24"/>
      <c r="H1888" s="24"/>
      <c r="J1888" s="24"/>
      <c r="K1888" s="24"/>
      <c r="M1888" s="24"/>
      <c r="N1888" s="24"/>
      <c r="P1888" s="24"/>
    </row>
    <row r="1889" spans="2:16" x14ac:dyDescent="0.25">
      <c r="B1889" s="24"/>
      <c r="E1889" s="24"/>
      <c r="G1889" s="24"/>
      <c r="H1889" s="24"/>
      <c r="J1889" s="24"/>
      <c r="K1889" s="24"/>
      <c r="M1889" s="24"/>
      <c r="N1889" s="24"/>
      <c r="P1889" s="24"/>
    </row>
    <row r="1890" spans="2:16" x14ac:dyDescent="0.25">
      <c r="B1890" s="24"/>
      <c r="E1890" s="24"/>
      <c r="G1890" s="24"/>
      <c r="H1890" s="24"/>
      <c r="J1890" s="24"/>
      <c r="K1890" s="24"/>
      <c r="M1890" s="24"/>
      <c r="N1890" s="24"/>
      <c r="P1890" s="24"/>
    </row>
    <row r="1891" spans="2:16" x14ac:dyDescent="0.25">
      <c r="B1891" s="24"/>
      <c r="E1891" s="24"/>
      <c r="G1891" s="24"/>
      <c r="H1891" s="24"/>
      <c r="J1891" s="24"/>
      <c r="K1891" s="24"/>
      <c r="M1891" s="24"/>
      <c r="N1891" s="24"/>
      <c r="P1891" s="24"/>
    </row>
    <row r="1892" spans="2:16" x14ac:dyDescent="0.25">
      <c r="B1892" s="24"/>
      <c r="E1892" s="24"/>
      <c r="G1892" s="24"/>
      <c r="H1892" s="24"/>
      <c r="J1892" s="24"/>
      <c r="K1892" s="24"/>
      <c r="M1892" s="24"/>
      <c r="N1892" s="24"/>
      <c r="P1892" s="24"/>
    </row>
    <row r="1893" spans="2:16" x14ac:dyDescent="0.25">
      <c r="B1893" s="24"/>
      <c r="E1893" s="24"/>
      <c r="G1893" s="24"/>
      <c r="H1893" s="24"/>
      <c r="J1893" s="24"/>
      <c r="K1893" s="24"/>
      <c r="M1893" s="24"/>
      <c r="N1893" s="24"/>
      <c r="P1893" s="24"/>
    </row>
    <row r="1894" spans="2:16" x14ac:dyDescent="0.25">
      <c r="B1894" s="24"/>
      <c r="E1894" s="24"/>
      <c r="G1894" s="24"/>
      <c r="H1894" s="24"/>
      <c r="J1894" s="24"/>
      <c r="K1894" s="24"/>
      <c r="M1894" s="24"/>
      <c r="N1894" s="24"/>
      <c r="P1894" s="24"/>
    </row>
    <row r="1895" spans="2:16" x14ac:dyDescent="0.25">
      <c r="B1895" s="24"/>
      <c r="E1895" s="24"/>
      <c r="G1895" s="24"/>
      <c r="H1895" s="24"/>
      <c r="J1895" s="24"/>
      <c r="K1895" s="24"/>
      <c r="M1895" s="24"/>
      <c r="N1895" s="24"/>
      <c r="P1895" s="24"/>
    </row>
    <row r="1896" spans="2:16" x14ac:dyDescent="0.25">
      <c r="B1896" s="24"/>
      <c r="E1896" s="24"/>
      <c r="G1896" s="24"/>
      <c r="H1896" s="24"/>
      <c r="J1896" s="24"/>
      <c r="K1896" s="24"/>
      <c r="M1896" s="24"/>
      <c r="N1896" s="24"/>
      <c r="P1896" s="24"/>
    </row>
    <row r="1897" spans="2:16" x14ac:dyDescent="0.25">
      <c r="B1897" s="24"/>
      <c r="E1897" s="24"/>
      <c r="G1897" s="24"/>
      <c r="H1897" s="24"/>
      <c r="J1897" s="24"/>
      <c r="K1897" s="24"/>
      <c r="M1897" s="24"/>
      <c r="N1897" s="24"/>
      <c r="P1897" s="24"/>
    </row>
    <row r="1898" spans="2:16" x14ac:dyDescent="0.25">
      <c r="B1898" s="24"/>
      <c r="E1898" s="24"/>
      <c r="G1898" s="24"/>
      <c r="H1898" s="24"/>
      <c r="J1898" s="24"/>
      <c r="K1898" s="24"/>
      <c r="M1898" s="24"/>
      <c r="N1898" s="24"/>
      <c r="P1898" s="24"/>
    </row>
    <row r="1899" spans="2:16" x14ac:dyDescent="0.25">
      <c r="B1899" s="24"/>
      <c r="E1899" s="24"/>
      <c r="G1899" s="24"/>
      <c r="H1899" s="24"/>
      <c r="J1899" s="24"/>
      <c r="K1899" s="24"/>
      <c r="M1899" s="24"/>
      <c r="N1899" s="24"/>
      <c r="P1899" s="24"/>
    </row>
    <row r="1900" spans="2:16" x14ac:dyDescent="0.25">
      <c r="B1900" s="24"/>
      <c r="E1900" s="24"/>
      <c r="G1900" s="24"/>
      <c r="H1900" s="24"/>
      <c r="J1900" s="24"/>
      <c r="K1900" s="24"/>
      <c r="M1900" s="24"/>
      <c r="N1900" s="24"/>
      <c r="P1900" s="24"/>
    </row>
    <row r="1901" spans="2:16" x14ac:dyDescent="0.25">
      <c r="B1901" s="24"/>
      <c r="E1901" s="24"/>
      <c r="G1901" s="24"/>
      <c r="H1901" s="24"/>
      <c r="J1901" s="24"/>
      <c r="K1901" s="24"/>
      <c r="M1901" s="24"/>
      <c r="N1901" s="24"/>
      <c r="P1901" s="24"/>
    </row>
    <row r="1902" spans="2:16" x14ac:dyDescent="0.25">
      <c r="B1902" s="24"/>
      <c r="E1902" s="24"/>
      <c r="G1902" s="24"/>
      <c r="H1902" s="24"/>
      <c r="J1902" s="24"/>
      <c r="K1902" s="24"/>
      <c r="M1902" s="24"/>
      <c r="N1902" s="24"/>
      <c r="P1902" s="24"/>
    </row>
    <row r="1903" spans="2:16" x14ac:dyDescent="0.25">
      <c r="B1903" s="24"/>
      <c r="E1903" s="24"/>
      <c r="G1903" s="24"/>
      <c r="H1903" s="24"/>
      <c r="J1903" s="24"/>
      <c r="K1903" s="24"/>
      <c r="M1903" s="24"/>
      <c r="N1903" s="24"/>
      <c r="P1903" s="24"/>
    </row>
    <row r="1904" spans="2:16" x14ac:dyDescent="0.25">
      <c r="B1904" s="24"/>
      <c r="E1904" s="24"/>
      <c r="G1904" s="24"/>
      <c r="H1904" s="24"/>
      <c r="J1904" s="24"/>
      <c r="K1904" s="24"/>
      <c r="M1904" s="24"/>
      <c r="N1904" s="24"/>
      <c r="P1904" s="24"/>
    </row>
    <row r="1905" spans="2:16" x14ac:dyDescent="0.25">
      <c r="B1905" s="24"/>
      <c r="E1905" s="24"/>
      <c r="G1905" s="24"/>
      <c r="H1905" s="24"/>
      <c r="J1905" s="24"/>
      <c r="K1905" s="24"/>
      <c r="M1905" s="24"/>
      <c r="N1905" s="24"/>
      <c r="P1905" s="24"/>
    </row>
    <row r="1906" spans="2:16" x14ac:dyDescent="0.25">
      <c r="B1906" s="24"/>
      <c r="E1906" s="24"/>
      <c r="G1906" s="24"/>
      <c r="H1906" s="24"/>
      <c r="J1906" s="24"/>
      <c r="K1906" s="24"/>
      <c r="M1906" s="24"/>
      <c r="N1906" s="24"/>
      <c r="P1906" s="24"/>
    </row>
    <row r="1907" spans="2:16" x14ac:dyDescent="0.25">
      <c r="B1907" s="24"/>
      <c r="E1907" s="24"/>
      <c r="G1907" s="24"/>
      <c r="H1907" s="24"/>
      <c r="J1907" s="24"/>
      <c r="K1907" s="24"/>
      <c r="M1907" s="24"/>
      <c r="N1907" s="24"/>
      <c r="P1907" s="24"/>
    </row>
    <row r="1908" spans="2:16" x14ac:dyDescent="0.25">
      <c r="B1908" s="24"/>
      <c r="E1908" s="24"/>
      <c r="G1908" s="24"/>
      <c r="H1908" s="24"/>
      <c r="J1908" s="24"/>
      <c r="K1908" s="24"/>
      <c r="M1908" s="24"/>
      <c r="N1908" s="24"/>
      <c r="P1908" s="24"/>
    </row>
    <row r="1909" spans="2:16" x14ac:dyDescent="0.25">
      <c r="B1909" s="24"/>
      <c r="E1909" s="24"/>
      <c r="G1909" s="24"/>
      <c r="H1909" s="24"/>
      <c r="J1909" s="24"/>
      <c r="K1909" s="24"/>
      <c r="M1909" s="24"/>
      <c r="N1909" s="24"/>
      <c r="P1909" s="24"/>
    </row>
    <row r="1910" spans="2:16" x14ac:dyDescent="0.25">
      <c r="B1910" s="24"/>
      <c r="E1910" s="24"/>
      <c r="G1910" s="24"/>
      <c r="H1910" s="24"/>
      <c r="J1910" s="24"/>
      <c r="K1910" s="24"/>
      <c r="M1910" s="24"/>
      <c r="N1910" s="24"/>
      <c r="P1910" s="24"/>
    </row>
    <row r="1911" spans="2:16" x14ac:dyDescent="0.25">
      <c r="B1911" s="24"/>
      <c r="E1911" s="24"/>
      <c r="G1911" s="24"/>
      <c r="H1911" s="24"/>
      <c r="J1911" s="24"/>
      <c r="K1911" s="24"/>
      <c r="M1911" s="24"/>
      <c r="N1911" s="24"/>
      <c r="P1911" s="24"/>
    </row>
    <row r="1912" spans="2:16" x14ac:dyDescent="0.25">
      <c r="B1912" s="24"/>
      <c r="E1912" s="24"/>
      <c r="G1912" s="24"/>
      <c r="H1912" s="24"/>
      <c r="J1912" s="24"/>
      <c r="K1912" s="24"/>
      <c r="M1912" s="24"/>
      <c r="N1912" s="24"/>
      <c r="P1912" s="24"/>
    </row>
    <row r="1913" spans="2:16" x14ac:dyDescent="0.25">
      <c r="B1913" s="24"/>
      <c r="E1913" s="24"/>
      <c r="G1913" s="24"/>
      <c r="H1913" s="24"/>
      <c r="J1913" s="24"/>
      <c r="K1913" s="24"/>
      <c r="M1913" s="24"/>
      <c r="N1913" s="24"/>
      <c r="P1913" s="24"/>
    </row>
    <row r="1914" spans="2:16" x14ac:dyDescent="0.25">
      <c r="B1914" s="24"/>
      <c r="E1914" s="24"/>
      <c r="G1914" s="24"/>
      <c r="H1914" s="24"/>
      <c r="J1914" s="24"/>
      <c r="K1914" s="24"/>
      <c r="M1914" s="24"/>
      <c r="N1914" s="24"/>
      <c r="P1914" s="24"/>
    </row>
    <row r="1915" spans="2:16" x14ac:dyDescent="0.25">
      <c r="B1915" s="24"/>
      <c r="E1915" s="24"/>
      <c r="G1915" s="24"/>
      <c r="H1915" s="24"/>
      <c r="J1915" s="24"/>
      <c r="K1915" s="24"/>
      <c r="M1915" s="24"/>
      <c r="N1915" s="24"/>
      <c r="P1915" s="24"/>
    </row>
    <row r="1916" spans="2:16" x14ac:dyDescent="0.25">
      <c r="B1916" s="24"/>
      <c r="E1916" s="24"/>
      <c r="G1916" s="24"/>
      <c r="H1916" s="24"/>
      <c r="J1916" s="24"/>
      <c r="K1916" s="24"/>
      <c r="M1916" s="24"/>
      <c r="N1916" s="24"/>
      <c r="P1916" s="24"/>
    </row>
    <row r="1917" spans="2:16" x14ac:dyDescent="0.25">
      <c r="B1917" s="24"/>
      <c r="E1917" s="24"/>
      <c r="G1917" s="24"/>
      <c r="H1917" s="24"/>
      <c r="J1917" s="24"/>
      <c r="K1917" s="24"/>
      <c r="M1917" s="24"/>
      <c r="N1917" s="24"/>
      <c r="P1917" s="24"/>
    </row>
    <row r="1918" spans="2:16" x14ac:dyDescent="0.25">
      <c r="B1918" s="24"/>
      <c r="E1918" s="24"/>
      <c r="G1918" s="24"/>
      <c r="H1918" s="24"/>
      <c r="J1918" s="24"/>
      <c r="K1918" s="24"/>
      <c r="M1918" s="24"/>
      <c r="N1918" s="24"/>
      <c r="P1918" s="24"/>
    </row>
    <row r="1919" spans="2:16" x14ac:dyDescent="0.25">
      <c r="B1919" s="24"/>
      <c r="E1919" s="24"/>
      <c r="G1919" s="24"/>
      <c r="H1919" s="24"/>
      <c r="J1919" s="24"/>
      <c r="K1919" s="24"/>
      <c r="M1919" s="24"/>
      <c r="N1919" s="24"/>
      <c r="P1919" s="24"/>
    </row>
    <row r="1920" spans="2:16" x14ac:dyDescent="0.25">
      <c r="B1920" s="24"/>
      <c r="E1920" s="24"/>
      <c r="G1920" s="24"/>
      <c r="H1920" s="24"/>
      <c r="J1920" s="24"/>
      <c r="K1920" s="24"/>
      <c r="M1920" s="24"/>
      <c r="N1920" s="24"/>
      <c r="P1920" s="24"/>
    </row>
    <row r="1921" spans="2:16" x14ac:dyDescent="0.25">
      <c r="B1921" s="24"/>
      <c r="E1921" s="24"/>
      <c r="G1921" s="24"/>
      <c r="H1921" s="24"/>
      <c r="J1921" s="24"/>
      <c r="K1921" s="24"/>
      <c r="M1921" s="24"/>
      <c r="N1921" s="24"/>
      <c r="P1921" s="24"/>
    </row>
    <row r="1922" spans="2:16" x14ac:dyDescent="0.25">
      <c r="B1922" s="24"/>
      <c r="E1922" s="24"/>
      <c r="G1922" s="24"/>
      <c r="H1922" s="24"/>
      <c r="J1922" s="24"/>
      <c r="K1922" s="24"/>
      <c r="M1922" s="24"/>
      <c r="N1922" s="24"/>
      <c r="P1922" s="24"/>
    </row>
    <row r="1923" spans="2:16" x14ac:dyDescent="0.25">
      <c r="B1923" s="24"/>
      <c r="E1923" s="24"/>
      <c r="G1923" s="24"/>
      <c r="H1923" s="24"/>
      <c r="J1923" s="24"/>
      <c r="K1923" s="24"/>
      <c r="M1923" s="24"/>
      <c r="N1923" s="24"/>
      <c r="P1923" s="24"/>
    </row>
    <row r="1924" spans="2:16" x14ac:dyDescent="0.25">
      <c r="B1924" s="24"/>
      <c r="E1924" s="24"/>
      <c r="G1924" s="24"/>
      <c r="H1924" s="24"/>
      <c r="J1924" s="24"/>
      <c r="K1924" s="24"/>
      <c r="M1924" s="24"/>
      <c r="N1924" s="24"/>
      <c r="P1924" s="24"/>
    </row>
    <row r="1925" spans="2:16" x14ac:dyDescent="0.25">
      <c r="B1925" s="24"/>
      <c r="E1925" s="24"/>
      <c r="G1925" s="24"/>
      <c r="H1925" s="24"/>
      <c r="J1925" s="24"/>
      <c r="K1925" s="24"/>
      <c r="M1925" s="24"/>
      <c r="N1925" s="24"/>
      <c r="P1925" s="24"/>
    </row>
    <row r="1926" spans="2:16" x14ac:dyDescent="0.25">
      <c r="B1926" s="24"/>
      <c r="E1926" s="24"/>
      <c r="G1926" s="24"/>
      <c r="H1926" s="24"/>
      <c r="J1926" s="24"/>
      <c r="K1926" s="24"/>
      <c r="M1926" s="24"/>
      <c r="N1926" s="24"/>
      <c r="P1926" s="24"/>
    </row>
    <row r="1927" spans="2:16" x14ac:dyDescent="0.25">
      <c r="B1927" s="24"/>
      <c r="E1927" s="24"/>
      <c r="G1927" s="24"/>
      <c r="H1927" s="24"/>
      <c r="J1927" s="24"/>
      <c r="K1927" s="24"/>
      <c r="M1927" s="24"/>
      <c r="N1927" s="24"/>
      <c r="P1927" s="24"/>
    </row>
    <row r="1928" spans="2:16" x14ac:dyDescent="0.25">
      <c r="B1928" s="24"/>
      <c r="E1928" s="24"/>
      <c r="G1928" s="24"/>
      <c r="H1928" s="24"/>
      <c r="J1928" s="24"/>
      <c r="K1928" s="24"/>
      <c r="M1928" s="24"/>
      <c r="N1928" s="24"/>
      <c r="P1928" s="24"/>
    </row>
    <row r="1929" spans="2:16" x14ac:dyDescent="0.25">
      <c r="B1929" s="24"/>
      <c r="E1929" s="24"/>
      <c r="G1929" s="24"/>
      <c r="H1929" s="24"/>
      <c r="J1929" s="24"/>
      <c r="K1929" s="24"/>
      <c r="M1929" s="24"/>
      <c r="N1929" s="24"/>
      <c r="P1929" s="24"/>
    </row>
    <row r="1930" spans="2:16" x14ac:dyDescent="0.25">
      <c r="B1930" s="24"/>
      <c r="E1930" s="24"/>
      <c r="G1930" s="24"/>
      <c r="H1930" s="24"/>
      <c r="J1930" s="24"/>
      <c r="K1930" s="24"/>
      <c r="M1930" s="24"/>
      <c r="N1930" s="24"/>
      <c r="P1930" s="24"/>
    </row>
    <row r="1931" spans="2:16" x14ac:dyDescent="0.25">
      <c r="B1931" s="24"/>
      <c r="E1931" s="24"/>
      <c r="G1931" s="24"/>
      <c r="H1931" s="24"/>
      <c r="J1931" s="24"/>
      <c r="K1931" s="24"/>
      <c r="M1931" s="24"/>
      <c r="N1931" s="24"/>
      <c r="P1931" s="24"/>
    </row>
    <row r="1932" spans="2:16" x14ac:dyDescent="0.25">
      <c r="B1932" s="24"/>
      <c r="E1932" s="24"/>
      <c r="G1932" s="24"/>
      <c r="H1932" s="24"/>
      <c r="J1932" s="24"/>
      <c r="K1932" s="24"/>
      <c r="M1932" s="24"/>
      <c r="N1932" s="24"/>
      <c r="P1932" s="24"/>
    </row>
    <row r="1933" spans="2:16" x14ac:dyDescent="0.25">
      <c r="B1933" s="24"/>
      <c r="E1933" s="24"/>
      <c r="G1933" s="24"/>
      <c r="H1933" s="24"/>
      <c r="J1933" s="24"/>
      <c r="K1933" s="24"/>
      <c r="M1933" s="24"/>
      <c r="N1933" s="24"/>
      <c r="P1933" s="24"/>
    </row>
    <row r="1934" spans="2:16" x14ac:dyDescent="0.25">
      <c r="B1934" s="24"/>
      <c r="E1934" s="24"/>
      <c r="G1934" s="24"/>
      <c r="H1934" s="24"/>
      <c r="J1934" s="24"/>
      <c r="K1934" s="24"/>
      <c r="M1934" s="24"/>
      <c r="N1934" s="24"/>
      <c r="P1934" s="24"/>
    </row>
    <row r="1935" spans="2:16" x14ac:dyDescent="0.25">
      <c r="B1935" s="24"/>
      <c r="E1935" s="24"/>
      <c r="G1935" s="24"/>
      <c r="H1935" s="24"/>
      <c r="J1935" s="24"/>
      <c r="K1935" s="24"/>
      <c r="M1935" s="24"/>
      <c r="N1935" s="24"/>
      <c r="P1935" s="24"/>
    </row>
    <row r="1936" spans="2:16" x14ac:dyDescent="0.25">
      <c r="B1936" s="24"/>
      <c r="E1936" s="24"/>
      <c r="G1936" s="24"/>
      <c r="H1936" s="24"/>
      <c r="J1936" s="24"/>
      <c r="K1936" s="24"/>
      <c r="M1936" s="24"/>
      <c r="N1936" s="24"/>
      <c r="P1936" s="24"/>
    </row>
    <row r="1937" spans="2:16" x14ac:dyDescent="0.25">
      <c r="B1937" s="24"/>
      <c r="E1937" s="24"/>
      <c r="G1937" s="24"/>
      <c r="H1937" s="24"/>
      <c r="J1937" s="24"/>
      <c r="K1937" s="24"/>
      <c r="M1937" s="24"/>
      <c r="N1937" s="24"/>
      <c r="P1937" s="24"/>
    </row>
    <row r="1938" spans="2:16" x14ac:dyDescent="0.25">
      <c r="B1938" s="24"/>
      <c r="E1938" s="24"/>
      <c r="G1938" s="24"/>
      <c r="H1938" s="24"/>
      <c r="J1938" s="24"/>
      <c r="K1938" s="24"/>
      <c r="M1938" s="24"/>
      <c r="N1938" s="24"/>
      <c r="P1938" s="24"/>
    </row>
    <row r="1939" spans="2:16" x14ac:dyDescent="0.25">
      <c r="B1939" s="24"/>
      <c r="E1939" s="24"/>
      <c r="G1939" s="24"/>
      <c r="H1939" s="24"/>
      <c r="J1939" s="24"/>
      <c r="K1939" s="24"/>
      <c r="M1939" s="24"/>
      <c r="N1939" s="24"/>
      <c r="P1939" s="24"/>
    </row>
    <row r="1940" spans="2:16" x14ac:dyDescent="0.25">
      <c r="B1940" s="24"/>
      <c r="E1940" s="24"/>
      <c r="G1940" s="24"/>
      <c r="H1940" s="24"/>
      <c r="J1940" s="24"/>
      <c r="K1940" s="24"/>
      <c r="M1940" s="24"/>
      <c r="N1940" s="24"/>
      <c r="P1940" s="24"/>
    </row>
    <row r="1941" spans="2:16" x14ac:dyDescent="0.25">
      <c r="B1941" s="24"/>
      <c r="E1941" s="24"/>
      <c r="G1941" s="24"/>
      <c r="H1941" s="24"/>
      <c r="J1941" s="24"/>
      <c r="K1941" s="24"/>
      <c r="M1941" s="24"/>
      <c r="N1941" s="24"/>
      <c r="P1941" s="24"/>
    </row>
    <row r="1942" spans="2:16" x14ac:dyDescent="0.25">
      <c r="B1942" s="24"/>
      <c r="E1942" s="24"/>
      <c r="G1942" s="24"/>
      <c r="H1942" s="24"/>
      <c r="J1942" s="24"/>
      <c r="K1942" s="24"/>
      <c r="M1942" s="24"/>
      <c r="N1942" s="24"/>
      <c r="P1942" s="24"/>
    </row>
    <row r="1943" spans="2:16" x14ac:dyDescent="0.25">
      <c r="B1943" s="24"/>
      <c r="E1943" s="24"/>
      <c r="G1943" s="24"/>
      <c r="H1943" s="24"/>
      <c r="J1943" s="24"/>
      <c r="K1943" s="24"/>
      <c r="M1943" s="24"/>
      <c r="N1943" s="24"/>
      <c r="P1943" s="24"/>
    </row>
    <row r="1944" spans="2:16" x14ac:dyDescent="0.25">
      <c r="B1944" s="24"/>
      <c r="E1944" s="24"/>
      <c r="G1944" s="24"/>
      <c r="H1944" s="24"/>
      <c r="J1944" s="24"/>
      <c r="K1944" s="24"/>
      <c r="M1944" s="24"/>
      <c r="N1944" s="24"/>
      <c r="P1944" s="24"/>
    </row>
    <row r="1945" spans="2:16" x14ac:dyDescent="0.25">
      <c r="B1945" s="24"/>
      <c r="E1945" s="24"/>
      <c r="G1945" s="24"/>
      <c r="H1945" s="24"/>
      <c r="J1945" s="24"/>
      <c r="K1945" s="24"/>
      <c r="M1945" s="24"/>
      <c r="N1945" s="24"/>
      <c r="P1945" s="24"/>
    </row>
    <row r="1946" spans="2:16" x14ac:dyDescent="0.25">
      <c r="B1946" s="24"/>
      <c r="E1946" s="24"/>
      <c r="G1946" s="24"/>
      <c r="H1946" s="24"/>
      <c r="J1946" s="24"/>
      <c r="K1946" s="24"/>
      <c r="M1946" s="24"/>
      <c r="N1946" s="24"/>
      <c r="P1946" s="24"/>
    </row>
    <row r="1947" spans="2:16" x14ac:dyDescent="0.25">
      <c r="B1947" s="24"/>
      <c r="E1947" s="24"/>
      <c r="G1947" s="24"/>
      <c r="H1947" s="24"/>
      <c r="J1947" s="24"/>
      <c r="K1947" s="24"/>
      <c r="M1947" s="24"/>
      <c r="N1947" s="24"/>
      <c r="P1947" s="24"/>
    </row>
    <row r="1948" spans="2:16" x14ac:dyDescent="0.25">
      <c r="B1948" s="24"/>
      <c r="E1948" s="24"/>
      <c r="G1948" s="24"/>
      <c r="H1948" s="24"/>
      <c r="J1948" s="24"/>
      <c r="K1948" s="24"/>
      <c r="M1948" s="24"/>
      <c r="N1948" s="24"/>
      <c r="P1948" s="24"/>
    </row>
    <row r="1949" spans="2:16" x14ac:dyDescent="0.25">
      <c r="B1949" s="24"/>
      <c r="E1949" s="24"/>
      <c r="G1949" s="24"/>
      <c r="H1949" s="24"/>
      <c r="J1949" s="24"/>
      <c r="K1949" s="24"/>
      <c r="M1949" s="24"/>
      <c r="N1949" s="24"/>
      <c r="P1949" s="24"/>
    </row>
    <row r="1950" spans="2:16" x14ac:dyDescent="0.25">
      <c r="B1950" s="24"/>
      <c r="E1950" s="24"/>
      <c r="G1950" s="24"/>
      <c r="H1950" s="24"/>
      <c r="J1950" s="24"/>
      <c r="K1950" s="24"/>
      <c r="M1950" s="24"/>
      <c r="N1950" s="24"/>
      <c r="P1950" s="24"/>
    </row>
    <row r="1951" spans="2:16" x14ac:dyDescent="0.25">
      <c r="B1951" s="24"/>
      <c r="E1951" s="24"/>
      <c r="G1951" s="24"/>
      <c r="H1951" s="24"/>
      <c r="J1951" s="24"/>
      <c r="K1951" s="24"/>
      <c r="M1951" s="24"/>
      <c r="N1951" s="24"/>
      <c r="P1951" s="24"/>
    </row>
    <row r="1952" spans="2:16" x14ac:dyDescent="0.25">
      <c r="B1952" s="24"/>
      <c r="E1952" s="24"/>
      <c r="G1952" s="24"/>
      <c r="H1952" s="24"/>
      <c r="J1952" s="24"/>
      <c r="K1952" s="24"/>
      <c r="M1952" s="24"/>
      <c r="N1952" s="24"/>
      <c r="P1952" s="24"/>
    </row>
    <row r="1953" spans="2:16" x14ac:dyDescent="0.25">
      <c r="B1953" s="24"/>
      <c r="E1953" s="24"/>
      <c r="G1953" s="24"/>
      <c r="H1953" s="24"/>
      <c r="J1953" s="24"/>
      <c r="K1953" s="24"/>
      <c r="M1953" s="24"/>
      <c r="N1953" s="24"/>
      <c r="P1953" s="24"/>
    </row>
    <row r="1954" spans="2:16" x14ac:dyDescent="0.25">
      <c r="B1954" s="24"/>
      <c r="E1954" s="24"/>
      <c r="G1954" s="24"/>
      <c r="H1954" s="24"/>
      <c r="J1954" s="24"/>
      <c r="K1954" s="24"/>
      <c r="M1954" s="24"/>
      <c r="N1954" s="24"/>
      <c r="P1954" s="24"/>
    </row>
    <row r="1955" spans="2:16" x14ac:dyDescent="0.25">
      <c r="B1955" s="24"/>
      <c r="E1955" s="24"/>
      <c r="G1955" s="24"/>
      <c r="H1955" s="24"/>
      <c r="J1955" s="24"/>
      <c r="K1955" s="24"/>
      <c r="M1955" s="24"/>
      <c r="N1955" s="24"/>
      <c r="P1955" s="24"/>
    </row>
    <row r="1956" spans="2:16" x14ac:dyDescent="0.25">
      <c r="B1956" s="24"/>
      <c r="E1956" s="24"/>
      <c r="G1956" s="24"/>
      <c r="H1956" s="24"/>
      <c r="J1956" s="24"/>
      <c r="K1956" s="24"/>
      <c r="M1956" s="24"/>
      <c r="N1956" s="24"/>
      <c r="P1956" s="24"/>
    </row>
    <row r="1957" spans="2:16" x14ac:dyDescent="0.25">
      <c r="B1957" s="24"/>
      <c r="E1957" s="24"/>
      <c r="G1957" s="24"/>
      <c r="H1957" s="24"/>
      <c r="J1957" s="24"/>
      <c r="K1957" s="24"/>
      <c r="M1957" s="24"/>
      <c r="N1957" s="24"/>
      <c r="P1957" s="24"/>
    </row>
    <row r="1958" spans="2:16" x14ac:dyDescent="0.25">
      <c r="B1958" s="24"/>
      <c r="E1958" s="24"/>
      <c r="G1958" s="24"/>
      <c r="H1958" s="24"/>
      <c r="J1958" s="24"/>
      <c r="K1958" s="24"/>
      <c r="M1958" s="24"/>
      <c r="N1958" s="24"/>
      <c r="P1958" s="24"/>
    </row>
    <row r="1959" spans="2:16" x14ac:dyDescent="0.25">
      <c r="B1959" s="24"/>
      <c r="E1959" s="24"/>
      <c r="G1959" s="24"/>
      <c r="H1959" s="24"/>
      <c r="J1959" s="24"/>
      <c r="K1959" s="24"/>
      <c r="M1959" s="24"/>
      <c r="N1959" s="24"/>
      <c r="P1959" s="24"/>
    </row>
    <row r="1960" spans="2:16" x14ac:dyDescent="0.25">
      <c r="B1960" s="24"/>
      <c r="E1960" s="24"/>
      <c r="G1960" s="24"/>
      <c r="H1960" s="24"/>
      <c r="J1960" s="24"/>
      <c r="K1960" s="24"/>
      <c r="M1960" s="24"/>
      <c r="N1960" s="24"/>
      <c r="P1960" s="24"/>
    </row>
    <row r="1961" spans="2:16" x14ac:dyDescent="0.25">
      <c r="B1961" s="24"/>
      <c r="E1961" s="24"/>
      <c r="G1961" s="24"/>
      <c r="H1961" s="24"/>
      <c r="J1961" s="24"/>
      <c r="K1961" s="24"/>
      <c r="M1961" s="24"/>
      <c r="N1961" s="24"/>
      <c r="P1961" s="24"/>
    </row>
    <row r="1962" spans="2:16" x14ac:dyDescent="0.25">
      <c r="B1962" s="24"/>
      <c r="E1962" s="24"/>
      <c r="G1962" s="24"/>
      <c r="H1962" s="24"/>
      <c r="J1962" s="24"/>
      <c r="K1962" s="24"/>
      <c r="M1962" s="24"/>
      <c r="N1962" s="24"/>
      <c r="P1962" s="24"/>
    </row>
    <row r="1963" spans="2:16" x14ac:dyDescent="0.25">
      <c r="B1963" s="24"/>
      <c r="E1963" s="24"/>
      <c r="G1963" s="24"/>
      <c r="H1963" s="24"/>
      <c r="J1963" s="24"/>
      <c r="K1963" s="24"/>
      <c r="M1963" s="24"/>
      <c r="N1963" s="24"/>
      <c r="P1963" s="24"/>
    </row>
    <row r="1964" spans="2:16" x14ac:dyDescent="0.25">
      <c r="B1964" s="24"/>
      <c r="E1964" s="24"/>
      <c r="G1964" s="24"/>
      <c r="H1964" s="24"/>
      <c r="J1964" s="24"/>
      <c r="K1964" s="24"/>
      <c r="M1964" s="24"/>
      <c r="N1964" s="24"/>
      <c r="P1964" s="24"/>
    </row>
    <row r="1965" spans="2:16" x14ac:dyDescent="0.25">
      <c r="B1965" s="24"/>
      <c r="E1965" s="24"/>
      <c r="G1965" s="24"/>
      <c r="H1965" s="24"/>
      <c r="J1965" s="24"/>
      <c r="K1965" s="24"/>
      <c r="M1965" s="24"/>
      <c r="N1965" s="24"/>
      <c r="P1965" s="24"/>
    </row>
    <row r="1966" spans="2:16" x14ac:dyDescent="0.25">
      <c r="B1966" s="24"/>
      <c r="E1966" s="24"/>
      <c r="G1966" s="24"/>
      <c r="H1966" s="24"/>
      <c r="J1966" s="24"/>
      <c r="K1966" s="24"/>
      <c r="M1966" s="24"/>
      <c r="N1966" s="24"/>
      <c r="P1966" s="24"/>
    </row>
    <row r="1967" spans="2:16" x14ac:dyDescent="0.25">
      <c r="B1967" s="24"/>
      <c r="E1967" s="24"/>
      <c r="G1967" s="24"/>
      <c r="H1967" s="24"/>
      <c r="J1967" s="24"/>
      <c r="K1967" s="24"/>
      <c r="M1967" s="24"/>
      <c r="N1967" s="24"/>
      <c r="P1967" s="24"/>
    </row>
    <row r="1968" spans="2:16" x14ac:dyDescent="0.25">
      <c r="B1968" s="24"/>
      <c r="E1968" s="24"/>
      <c r="G1968" s="24"/>
      <c r="H1968" s="24"/>
      <c r="J1968" s="24"/>
      <c r="K1968" s="24"/>
      <c r="M1968" s="24"/>
      <c r="N1968" s="24"/>
      <c r="P1968" s="24"/>
    </row>
    <row r="1969" spans="2:16" x14ac:dyDescent="0.25">
      <c r="B1969" s="24"/>
      <c r="E1969" s="24"/>
      <c r="G1969" s="24"/>
      <c r="H1969" s="24"/>
      <c r="J1969" s="24"/>
      <c r="K1969" s="24"/>
      <c r="M1969" s="24"/>
      <c r="N1969" s="24"/>
      <c r="P1969" s="24"/>
    </row>
    <row r="1970" spans="2:16" x14ac:dyDescent="0.25">
      <c r="B1970" s="24"/>
      <c r="E1970" s="24"/>
      <c r="G1970" s="24"/>
      <c r="H1970" s="24"/>
      <c r="J1970" s="24"/>
      <c r="K1970" s="24"/>
      <c r="M1970" s="24"/>
      <c r="N1970" s="24"/>
      <c r="P1970" s="24"/>
    </row>
    <row r="1971" spans="2:16" x14ac:dyDescent="0.25">
      <c r="B1971" s="24"/>
      <c r="E1971" s="24"/>
      <c r="G1971" s="24"/>
      <c r="H1971" s="24"/>
      <c r="J1971" s="24"/>
      <c r="K1971" s="24"/>
      <c r="M1971" s="24"/>
      <c r="N1971" s="24"/>
      <c r="P1971" s="24"/>
    </row>
    <row r="1972" spans="2:16" x14ac:dyDescent="0.25">
      <c r="B1972" s="24"/>
      <c r="E1972" s="24"/>
      <c r="G1972" s="24"/>
      <c r="H1972" s="24"/>
      <c r="J1972" s="24"/>
      <c r="K1972" s="24"/>
      <c r="M1972" s="24"/>
      <c r="N1972" s="24"/>
      <c r="P1972" s="24"/>
    </row>
    <row r="1973" spans="2:16" x14ac:dyDescent="0.25">
      <c r="B1973" s="24"/>
      <c r="E1973" s="24"/>
      <c r="G1973" s="24"/>
      <c r="H1973" s="24"/>
      <c r="J1973" s="24"/>
      <c r="K1973" s="24"/>
      <c r="M1973" s="24"/>
      <c r="N1973" s="24"/>
      <c r="P1973" s="24"/>
    </row>
    <row r="1974" spans="2:16" x14ac:dyDescent="0.25">
      <c r="B1974" s="24"/>
      <c r="E1974" s="24"/>
      <c r="G1974" s="24"/>
      <c r="H1974" s="24"/>
      <c r="J1974" s="24"/>
      <c r="K1974" s="24"/>
      <c r="M1974" s="24"/>
      <c r="N1974" s="24"/>
      <c r="P1974" s="24"/>
    </row>
    <row r="1975" spans="2:16" x14ac:dyDescent="0.25">
      <c r="B1975" s="24"/>
      <c r="E1975" s="24"/>
      <c r="G1975" s="24"/>
      <c r="H1975" s="24"/>
      <c r="J1975" s="24"/>
      <c r="K1975" s="24"/>
      <c r="M1975" s="24"/>
      <c r="N1975" s="24"/>
      <c r="P1975" s="24"/>
    </row>
    <row r="1976" spans="2:16" x14ac:dyDescent="0.25">
      <c r="B1976" s="24"/>
      <c r="E1976" s="24"/>
      <c r="G1976" s="24"/>
      <c r="H1976" s="24"/>
      <c r="J1976" s="24"/>
      <c r="K1976" s="24"/>
      <c r="M1976" s="24"/>
      <c r="N1976" s="24"/>
      <c r="P1976" s="24"/>
    </row>
    <row r="1977" spans="2:16" x14ac:dyDescent="0.25">
      <c r="B1977" s="24"/>
      <c r="E1977" s="24"/>
      <c r="G1977" s="24"/>
      <c r="H1977" s="24"/>
      <c r="J1977" s="24"/>
      <c r="K1977" s="24"/>
      <c r="M1977" s="24"/>
      <c r="N1977" s="24"/>
      <c r="P1977" s="24"/>
    </row>
    <row r="1978" spans="2:16" x14ac:dyDescent="0.25">
      <c r="B1978" s="24"/>
      <c r="E1978" s="24"/>
      <c r="G1978" s="24"/>
      <c r="H1978" s="24"/>
      <c r="J1978" s="24"/>
      <c r="K1978" s="24"/>
      <c r="M1978" s="24"/>
      <c r="N1978" s="24"/>
      <c r="P1978" s="24"/>
    </row>
    <row r="1979" spans="2:16" x14ac:dyDescent="0.25">
      <c r="B1979" s="24"/>
      <c r="E1979" s="24"/>
      <c r="G1979" s="24"/>
      <c r="H1979" s="24"/>
      <c r="J1979" s="24"/>
      <c r="K1979" s="24"/>
      <c r="M1979" s="24"/>
      <c r="N1979" s="24"/>
      <c r="P1979" s="24"/>
    </row>
    <row r="1980" spans="2:16" x14ac:dyDescent="0.25">
      <c r="B1980" s="24"/>
      <c r="E1980" s="24"/>
      <c r="G1980" s="24"/>
      <c r="H1980" s="24"/>
      <c r="J1980" s="24"/>
      <c r="K1980" s="24"/>
      <c r="M1980" s="24"/>
      <c r="N1980" s="24"/>
      <c r="P1980" s="24"/>
    </row>
    <row r="1981" spans="2:16" x14ac:dyDescent="0.25">
      <c r="B1981" s="24"/>
      <c r="E1981" s="24"/>
      <c r="G1981" s="24"/>
      <c r="H1981" s="24"/>
      <c r="J1981" s="24"/>
      <c r="K1981" s="24"/>
      <c r="M1981" s="24"/>
      <c r="N1981" s="24"/>
      <c r="P1981" s="24"/>
    </row>
    <row r="1982" spans="2:16" x14ac:dyDescent="0.25">
      <c r="B1982" s="24"/>
      <c r="E1982" s="24"/>
      <c r="G1982" s="24"/>
      <c r="H1982" s="24"/>
      <c r="J1982" s="24"/>
      <c r="K1982" s="24"/>
      <c r="M1982" s="24"/>
      <c r="N1982" s="24"/>
      <c r="P1982" s="24"/>
    </row>
    <row r="1983" spans="2:16" x14ac:dyDescent="0.25">
      <c r="B1983" s="24"/>
      <c r="E1983" s="24"/>
      <c r="G1983" s="24"/>
      <c r="H1983" s="24"/>
      <c r="J1983" s="24"/>
      <c r="K1983" s="24"/>
      <c r="M1983" s="24"/>
      <c r="N1983" s="24"/>
      <c r="P1983" s="24"/>
    </row>
    <row r="1984" spans="2:16" x14ac:dyDescent="0.25">
      <c r="B1984" s="24"/>
      <c r="E1984" s="24"/>
      <c r="G1984" s="24"/>
      <c r="H1984" s="24"/>
      <c r="J1984" s="24"/>
      <c r="K1984" s="24"/>
      <c r="M1984" s="24"/>
      <c r="N1984" s="24"/>
      <c r="P1984" s="24"/>
    </row>
    <row r="1985" spans="2:16" x14ac:dyDescent="0.25">
      <c r="B1985" s="24"/>
      <c r="E1985" s="24"/>
      <c r="G1985" s="24"/>
      <c r="H1985" s="24"/>
      <c r="J1985" s="24"/>
      <c r="K1985" s="24"/>
      <c r="M1985" s="24"/>
      <c r="N1985" s="24"/>
      <c r="P1985" s="24"/>
    </row>
    <row r="1986" spans="2:16" x14ac:dyDescent="0.25">
      <c r="B1986" s="24"/>
      <c r="E1986" s="24"/>
      <c r="G1986" s="24"/>
      <c r="H1986" s="24"/>
      <c r="J1986" s="24"/>
      <c r="K1986" s="24"/>
      <c r="M1986" s="24"/>
      <c r="N1986" s="24"/>
      <c r="P1986" s="24"/>
    </row>
    <row r="1987" spans="2:16" x14ac:dyDescent="0.25">
      <c r="B1987" s="24"/>
      <c r="E1987" s="24"/>
      <c r="G1987" s="24"/>
      <c r="H1987" s="24"/>
      <c r="J1987" s="24"/>
      <c r="K1987" s="24"/>
      <c r="M1987" s="24"/>
      <c r="N1987" s="24"/>
      <c r="P1987" s="24"/>
    </row>
    <row r="1988" spans="2:16" x14ac:dyDescent="0.25">
      <c r="B1988" s="24"/>
      <c r="E1988" s="24"/>
      <c r="G1988" s="24"/>
      <c r="H1988" s="24"/>
      <c r="J1988" s="24"/>
      <c r="K1988" s="24"/>
      <c r="M1988" s="24"/>
      <c r="N1988" s="24"/>
      <c r="P1988" s="24"/>
    </row>
    <row r="1989" spans="2:16" x14ac:dyDescent="0.25">
      <c r="B1989" s="24"/>
      <c r="E1989" s="24"/>
      <c r="G1989" s="24"/>
      <c r="H1989" s="24"/>
      <c r="J1989" s="24"/>
      <c r="K1989" s="24"/>
      <c r="M1989" s="24"/>
      <c r="N1989" s="24"/>
      <c r="P1989" s="24"/>
    </row>
    <row r="1990" spans="2:16" x14ac:dyDescent="0.25">
      <c r="B1990" s="24"/>
      <c r="E1990" s="24"/>
      <c r="G1990" s="24"/>
      <c r="H1990" s="24"/>
      <c r="J1990" s="24"/>
      <c r="K1990" s="24"/>
      <c r="M1990" s="24"/>
      <c r="N1990" s="24"/>
      <c r="P1990" s="24"/>
    </row>
    <row r="1991" spans="2:16" x14ac:dyDescent="0.25">
      <c r="B1991" s="24"/>
      <c r="E1991" s="24"/>
      <c r="G1991" s="24"/>
      <c r="H1991" s="24"/>
      <c r="J1991" s="24"/>
      <c r="K1991" s="24"/>
      <c r="M1991" s="24"/>
      <c r="N1991" s="24"/>
      <c r="P1991" s="24"/>
    </row>
    <row r="1992" spans="2:16" x14ac:dyDescent="0.25">
      <c r="B1992" s="24"/>
      <c r="E1992" s="24"/>
      <c r="G1992" s="24"/>
      <c r="H1992" s="24"/>
      <c r="J1992" s="24"/>
      <c r="K1992" s="24"/>
      <c r="M1992" s="24"/>
      <c r="N1992" s="24"/>
      <c r="P1992" s="24"/>
    </row>
    <row r="1993" spans="2:16" x14ac:dyDescent="0.25">
      <c r="B1993" s="24"/>
      <c r="E1993" s="24"/>
      <c r="G1993" s="24"/>
      <c r="H1993" s="24"/>
      <c r="J1993" s="24"/>
      <c r="K1993" s="24"/>
      <c r="M1993" s="24"/>
      <c r="N1993" s="24"/>
      <c r="P1993" s="24"/>
    </row>
    <row r="1994" spans="2:16" x14ac:dyDescent="0.25">
      <c r="B1994" s="24"/>
      <c r="E1994" s="24"/>
      <c r="G1994" s="24"/>
      <c r="H1994" s="24"/>
      <c r="J1994" s="24"/>
      <c r="K1994" s="24"/>
      <c r="M1994" s="24"/>
      <c r="N1994" s="24"/>
      <c r="P1994" s="24"/>
    </row>
    <row r="1995" spans="2:16" x14ac:dyDescent="0.25">
      <c r="B1995" s="24"/>
      <c r="E1995" s="24"/>
      <c r="G1995" s="24"/>
      <c r="H1995" s="24"/>
      <c r="J1995" s="24"/>
      <c r="K1995" s="24"/>
      <c r="M1995" s="24"/>
      <c r="N1995" s="24"/>
      <c r="P1995" s="24"/>
    </row>
    <row r="1996" spans="2:16" x14ac:dyDescent="0.25">
      <c r="B1996" s="24"/>
      <c r="E1996" s="24"/>
      <c r="G1996" s="24"/>
      <c r="H1996" s="24"/>
      <c r="J1996" s="24"/>
      <c r="K1996" s="24"/>
      <c r="M1996" s="24"/>
      <c r="N1996" s="24"/>
      <c r="P1996" s="24"/>
    </row>
    <row r="1997" spans="2:16" x14ac:dyDescent="0.25">
      <c r="B1997" s="24"/>
      <c r="E1997" s="24"/>
      <c r="G1997" s="24"/>
      <c r="H1997" s="24"/>
      <c r="J1997" s="24"/>
      <c r="K1997" s="24"/>
      <c r="M1997" s="24"/>
      <c r="N1997" s="24"/>
      <c r="P1997" s="24"/>
    </row>
    <row r="1998" spans="2:16" x14ac:dyDescent="0.25">
      <c r="B1998" s="24"/>
      <c r="E1998" s="24"/>
      <c r="G1998" s="24"/>
      <c r="H1998" s="24"/>
      <c r="J1998" s="24"/>
      <c r="K1998" s="24"/>
      <c r="M1998" s="24"/>
      <c r="N1998" s="24"/>
      <c r="P1998" s="24"/>
    </row>
    <row r="1999" spans="2:16" x14ac:dyDescent="0.25">
      <c r="B1999" s="24"/>
      <c r="E1999" s="24"/>
      <c r="G1999" s="24"/>
      <c r="H1999" s="24"/>
      <c r="J1999" s="24"/>
      <c r="K1999" s="24"/>
      <c r="M1999" s="24"/>
      <c r="N1999" s="24"/>
      <c r="P1999" s="24"/>
    </row>
    <row r="2000" spans="2:16" x14ac:dyDescent="0.25">
      <c r="B2000" s="24"/>
      <c r="E2000" s="24"/>
      <c r="G2000" s="24"/>
      <c r="H2000" s="24"/>
      <c r="J2000" s="24"/>
      <c r="K2000" s="24"/>
      <c r="M2000" s="24"/>
      <c r="N2000" s="24"/>
      <c r="P2000" s="24"/>
    </row>
    <row r="2001" spans="2:16" x14ac:dyDescent="0.25">
      <c r="B2001" s="24"/>
      <c r="E2001" s="24"/>
      <c r="G2001" s="24"/>
      <c r="H2001" s="24"/>
      <c r="J2001" s="24"/>
      <c r="K2001" s="24"/>
      <c r="M2001" s="24"/>
      <c r="N2001" s="24"/>
      <c r="P2001" s="24"/>
    </row>
    <row r="2002" spans="2:16" x14ac:dyDescent="0.25">
      <c r="B2002" s="24"/>
      <c r="E2002" s="24"/>
      <c r="G2002" s="24"/>
      <c r="H2002" s="24"/>
      <c r="J2002" s="24"/>
      <c r="K2002" s="24"/>
      <c r="M2002" s="24"/>
      <c r="N2002" s="24"/>
      <c r="P2002" s="24"/>
    </row>
    <row r="2003" spans="2:16" x14ac:dyDescent="0.25">
      <c r="B2003" s="24"/>
      <c r="E2003" s="24"/>
      <c r="G2003" s="24"/>
      <c r="H2003" s="24"/>
      <c r="J2003" s="24"/>
      <c r="K2003" s="24"/>
      <c r="M2003" s="24"/>
      <c r="N2003" s="24"/>
      <c r="P2003" s="24"/>
    </row>
    <row r="2004" spans="2:16" x14ac:dyDescent="0.25">
      <c r="B2004" s="24"/>
      <c r="E2004" s="24"/>
      <c r="G2004" s="24"/>
      <c r="H2004" s="24"/>
      <c r="J2004" s="24"/>
      <c r="K2004" s="24"/>
      <c r="M2004" s="24"/>
      <c r="N2004" s="24"/>
      <c r="P2004" s="24"/>
    </row>
    <row r="2005" spans="2:16" x14ac:dyDescent="0.25">
      <c r="B2005" s="24"/>
      <c r="E2005" s="24"/>
      <c r="G2005" s="24"/>
      <c r="H2005" s="24"/>
      <c r="J2005" s="24"/>
      <c r="K2005" s="24"/>
      <c r="M2005" s="24"/>
      <c r="N2005" s="24"/>
      <c r="P2005" s="24"/>
    </row>
    <row r="2006" spans="2:16" x14ac:dyDescent="0.25">
      <c r="B2006" s="24"/>
      <c r="E2006" s="24"/>
      <c r="G2006" s="24"/>
      <c r="H2006" s="24"/>
      <c r="J2006" s="24"/>
      <c r="K2006" s="24"/>
      <c r="M2006" s="24"/>
      <c r="N2006" s="24"/>
      <c r="P2006" s="24"/>
    </row>
    <row r="2007" spans="2:16" x14ac:dyDescent="0.25">
      <c r="B2007" s="24"/>
      <c r="E2007" s="24"/>
      <c r="G2007" s="24"/>
      <c r="H2007" s="24"/>
      <c r="J2007" s="24"/>
      <c r="K2007" s="24"/>
      <c r="M2007" s="24"/>
      <c r="N2007" s="24"/>
      <c r="P2007" s="24"/>
    </row>
    <row r="2008" spans="2:16" x14ac:dyDescent="0.25">
      <c r="B2008" s="24"/>
      <c r="E2008" s="24"/>
      <c r="G2008" s="24"/>
      <c r="H2008" s="24"/>
      <c r="J2008" s="24"/>
      <c r="K2008" s="24"/>
      <c r="M2008" s="24"/>
      <c r="N2008" s="24"/>
      <c r="P2008" s="24"/>
    </row>
    <row r="2009" spans="2:16" x14ac:dyDescent="0.25">
      <c r="B2009" s="24"/>
      <c r="E2009" s="24"/>
      <c r="G2009" s="24"/>
      <c r="H2009" s="24"/>
      <c r="J2009" s="24"/>
      <c r="K2009" s="24"/>
      <c r="M2009" s="24"/>
      <c r="N2009" s="24"/>
      <c r="P2009" s="24"/>
    </row>
    <row r="2010" spans="2:16" x14ac:dyDescent="0.25">
      <c r="B2010" s="24"/>
      <c r="E2010" s="24"/>
      <c r="G2010" s="24"/>
      <c r="H2010" s="24"/>
      <c r="J2010" s="24"/>
      <c r="K2010" s="24"/>
      <c r="M2010" s="24"/>
      <c r="N2010" s="24"/>
      <c r="P2010" s="24"/>
    </row>
    <row r="2011" spans="2:16" x14ac:dyDescent="0.25">
      <c r="B2011" s="24"/>
      <c r="E2011" s="24"/>
      <c r="G2011" s="24"/>
      <c r="H2011" s="24"/>
      <c r="J2011" s="24"/>
      <c r="K2011" s="24"/>
      <c r="M2011" s="24"/>
      <c r="N2011" s="24"/>
      <c r="P2011" s="24"/>
    </row>
    <row r="2012" spans="2:16" x14ac:dyDescent="0.25">
      <c r="B2012" s="24"/>
      <c r="E2012" s="24"/>
      <c r="G2012" s="24"/>
      <c r="H2012" s="24"/>
      <c r="J2012" s="24"/>
      <c r="K2012" s="24"/>
      <c r="M2012" s="24"/>
      <c r="N2012" s="24"/>
      <c r="P2012" s="24"/>
    </row>
    <row r="2013" spans="2:16" x14ac:dyDescent="0.25">
      <c r="B2013" s="24"/>
      <c r="E2013" s="24"/>
      <c r="G2013" s="24"/>
      <c r="H2013" s="24"/>
      <c r="J2013" s="24"/>
      <c r="K2013" s="24"/>
      <c r="M2013" s="24"/>
      <c r="N2013" s="24"/>
      <c r="P2013" s="24"/>
    </row>
    <row r="2014" spans="2:16" x14ac:dyDescent="0.25">
      <c r="B2014" s="24"/>
      <c r="E2014" s="24"/>
      <c r="G2014" s="24"/>
      <c r="H2014" s="24"/>
      <c r="J2014" s="24"/>
      <c r="K2014" s="24"/>
      <c r="M2014" s="24"/>
      <c r="N2014" s="24"/>
      <c r="P2014" s="24"/>
    </row>
    <row r="2015" spans="2:16" x14ac:dyDescent="0.25">
      <c r="B2015" s="24"/>
      <c r="E2015" s="24"/>
      <c r="G2015" s="24"/>
      <c r="H2015" s="24"/>
      <c r="J2015" s="24"/>
      <c r="K2015" s="24"/>
      <c r="M2015" s="24"/>
      <c r="N2015" s="24"/>
      <c r="P2015" s="24"/>
    </row>
    <row r="2016" spans="2:16" x14ac:dyDescent="0.25">
      <c r="B2016" s="24"/>
      <c r="E2016" s="24"/>
      <c r="G2016" s="24"/>
      <c r="H2016" s="24"/>
      <c r="J2016" s="24"/>
      <c r="K2016" s="24"/>
      <c r="M2016" s="24"/>
      <c r="N2016" s="24"/>
      <c r="P2016" s="24"/>
    </row>
    <row r="2017" spans="2:16" x14ac:dyDescent="0.25">
      <c r="B2017" s="24"/>
      <c r="E2017" s="24"/>
      <c r="G2017" s="24"/>
      <c r="H2017" s="24"/>
      <c r="J2017" s="24"/>
      <c r="K2017" s="24"/>
      <c r="M2017" s="24"/>
      <c r="N2017" s="24"/>
      <c r="P2017" s="24"/>
    </row>
    <row r="2018" spans="2:16" x14ac:dyDescent="0.25">
      <c r="B2018" s="24"/>
      <c r="E2018" s="24"/>
      <c r="G2018" s="24"/>
      <c r="H2018" s="24"/>
      <c r="J2018" s="24"/>
      <c r="K2018" s="24"/>
      <c r="M2018" s="24"/>
      <c r="N2018" s="24"/>
      <c r="P2018" s="24"/>
    </row>
    <row r="2019" spans="2:16" x14ac:dyDescent="0.25">
      <c r="B2019" s="24"/>
      <c r="E2019" s="24"/>
      <c r="G2019" s="24"/>
      <c r="H2019" s="24"/>
      <c r="J2019" s="24"/>
      <c r="K2019" s="24"/>
      <c r="M2019" s="24"/>
      <c r="N2019" s="24"/>
      <c r="P2019" s="24"/>
    </row>
    <row r="2020" spans="2:16" x14ac:dyDescent="0.25">
      <c r="B2020" s="24"/>
      <c r="E2020" s="24"/>
      <c r="G2020" s="24"/>
      <c r="H2020" s="24"/>
      <c r="J2020" s="24"/>
      <c r="K2020" s="24"/>
      <c r="M2020" s="24"/>
      <c r="N2020" s="24"/>
      <c r="P2020" s="24"/>
    </row>
    <row r="2021" spans="2:16" x14ac:dyDescent="0.25">
      <c r="B2021" s="24"/>
      <c r="E2021" s="24"/>
      <c r="G2021" s="24"/>
      <c r="H2021" s="24"/>
      <c r="J2021" s="24"/>
      <c r="K2021" s="24"/>
      <c r="M2021" s="24"/>
      <c r="N2021" s="24"/>
      <c r="P2021" s="24"/>
    </row>
    <row r="2022" spans="2:16" x14ac:dyDescent="0.25">
      <c r="B2022" s="24"/>
      <c r="E2022" s="24"/>
      <c r="G2022" s="24"/>
      <c r="H2022" s="24"/>
      <c r="J2022" s="24"/>
      <c r="K2022" s="24"/>
      <c r="M2022" s="24"/>
      <c r="N2022" s="24"/>
      <c r="P2022" s="24"/>
    </row>
    <row r="2023" spans="2:16" x14ac:dyDescent="0.25">
      <c r="B2023" s="24"/>
      <c r="E2023" s="24"/>
      <c r="G2023" s="24"/>
      <c r="H2023" s="24"/>
      <c r="J2023" s="24"/>
      <c r="K2023" s="24"/>
      <c r="M2023" s="24"/>
      <c r="N2023" s="24"/>
      <c r="P2023" s="24"/>
    </row>
    <row r="2024" spans="2:16" x14ac:dyDescent="0.25">
      <c r="B2024" s="24"/>
      <c r="E2024" s="24"/>
      <c r="G2024" s="24"/>
      <c r="H2024" s="24"/>
      <c r="J2024" s="24"/>
      <c r="K2024" s="24"/>
      <c r="M2024" s="24"/>
      <c r="N2024" s="24"/>
      <c r="P2024" s="24"/>
    </row>
    <row r="2025" spans="2:16" x14ac:dyDescent="0.25">
      <c r="B2025" s="24"/>
      <c r="E2025" s="24"/>
      <c r="G2025" s="24"/>
      <c r="H2025" s="24"/>
      <c r="J2025" s="24"/>
      <c r="K2025" s="24"/>
      <c r="M2025" s="24"/>
      <c r="N2025" s="24"/>
      <c r="P2025" s="24"/>
    </row>
    <row r="2026" spans="2:16" x14ac:dyDescent="0.25">
      <c r="B2026" s="24"/>
      <c r="E2026" s="24"/>
      <c r="G2026" s="24"/>
      <c r="H2026" s="24"/>
      <c r="J2026" s="24"/>
      <c r="K2026" s="24"/>
      <c r="M2026" s="24"/>
      <c r="N2026" s="24"/>
      <c r="P2026" s="24"/>
    </row>
    <row r="2027" spans="2:16" x14ac:dyDescent="0.25">
      <c r="B2027" s="24"/>
      <c r="E2027" s="24"/>
      <c r="G2027" s="24"/>
      <c r="H2027" s="24"/>
      <c r="J2027" s="24"/>
      <c r="K2027" s="24"/>
      <c r="M2027" s="24"/>
      <c r="N2027" s="24"/>
      <c r="P2027" s="24"/>
    </row>
    <row r="2028" spans="2:16" x14ac:dyDescent="0.25">
      <c r="B2028" s="24"/>
      <c r="E2028" s="24"/>
      <c r="G2028" s="24"/>
      <c r="H2028" s="24"/>
      <c r="J2028" s="24"/>
      <c r="K2028" s="24"/>
      <c r="M2028" s="24"/>
      <c r="N2028" s="24"/>
      <c r="P2028" s="24"/>
    </row>
    <row r="2029" spans="2:16" x14ac:dyDescent="0.25">
      <c r="B2029" s="24"/>
      <c r="E2029" s="24"/>
      <c r="G2029" s="24"/>
      <c r="H2029" s="24"/>
      <c r="J2029" s="24"/>
      <c r="K2029" s="24"/>
      <c r="M2029" s="24"/>
      <c r="N2029" s="24"/>
      <c r="P2029" s="24"/>
    </row>
    <row r="2030" spans="2:16" x14ac:dyDescent="0.25">
      <c r="B2030" s="24"/>
      <c r="E2030" s="24"/>
      <c r="G2030" s="24"/>
      <c r="H2030" s="24"/>
      <c r="J2030" s="24"/>
      <c r="K2030" s="24"/>
      <c r="M2030" s="24"/>
      <c r="N2030" s="24"/>
      <c r="P2030" s="24"/>
    </row>
    <row r="2031" spans="2:16" x14ac:dyDescent="0.25">
      <c r="B2031" s="24"/>
      <c r="E2031" s="24"/>
      <c r="G2031" s="24"/>
      <c r="H2031" s="24"/>
      <c r="J2031" s="24"/>
      <c r="K2031" s="24"/>
      <c r="M2031" s="24"/>
      <c r="N2031" s="24"/>
      <c r="P2031" s="24"/>
    </row>
    <row r="2032" spans="2:16" x14ac:dyDescent="0.25">
      <c r="B2032" s="24"/>
      <c r="E2032" s="24"/>
      <c r="G2032" s="24"/>
      <c r="H2032" s="24"/>
      <c r="J2032" s="24"/>
      <c r="K2032" s="24"/>
      <c r="M2032" s="24"/>
      <c r="N2032" s="24"/>
      <c r="P2032" s="24"/>
    </row>
    <row r="2033" spans="2:16" x14ac:dyDescent="0.25">
      <c r="B2033" s="24"/>
      <c r="E2033" s="24"/>
      <c r="G2033" s="24"/>
      <c r="H2033" s="24"/>
      <c r="J2033" s="24"/>
      <c r="K2033" s="24"/>
      <c r="M2033" s="24"/>
      <c r="N2033" s="24"/>
      <c r="P2033" s="24"/>
    </row>
    <row r="2034" spans="2:16" x14ac:dyDescent="0.25">
      <c r="B2034" s="24"/>
      <c r="E2034" s="24"/>
      <c r="G2034" s="24"/>
      <c r="H2034" s="24"/>
      <c r="J2034" s="24"/>
      <c r="K2034" s="24"/>
      <c r="M2034" s="24"/>
      <c r="N2034" s="24"/>
      <c r="P2034" s="24"/>
    </row>
    <row r="2035" spans="2:16" x14ac:dyDescent="0.25">
      <c r="B2035" s="24"/>
      <c r="E2035" s="24"/>
      <c r="G2035" s="24"/>
      <c r="H2035" s="24"/>
      <c r="J2035" s="24"/>
      <c r="K2035" s="24"/>
      <c r="M2035" s="24"/>
      <c r="N2035" s="24"/>
      <c r="P2035" s="24"/>
    </row>
    <row r="2036" spans="2:16" x14ac:dyDescent="0.25">
      <c r="B2036" s="24"/>
      <c r="E2036" s="24"/>
      <c r="G2036" s="24"/>
      <c r="H2036" s="24"/>
      <c r="J2036" s="24"/>
      <c r="K2036" s="24"/>
      <c r="M2036" s="24"/>
      <c r="N2036" s="24"/>
      <c r="P2036" s="24"/>
    </row>
    <row r="2037" spans="2:16" x14ac:dyDescent="0.25">
      <c r="B2037" s="24"/>
      <c r="E2037" s="24"/>
      <c r="G2037" s="24"/>
      <c r="H2037" s="24"/>
      <c r="J2037" s="24"/>
      <c r="K2037" s="24"/>
      <c r="M2037" s="24"/>
      <c r="N2037" s="24"/>
      <c r="P2037" s="24"/>
    </row>
    <row r="2038" spans="2:16" x14ac:dyDescent="0.25">
      <c r="B2038" s="24"/>
      <c r="E2038" s="24"/>
      <c r="G2038" s="24"/>
      <c r="H2038" s="24"/>
      <c r="J2038" s="24"/>
      <c r="K2038" s="24"/>
      <c r="M2038" s="24"/>
      <c r="N2038" s="24"/>
      <c r="P2038" s="24"/>
    </row>
    <row r="2039" spans="2:16" x14ac:dyDescent="0.25">
      <c r="B2039" s="24"/>
      <c r="E2039" s="24"/>
      <c r="G2039" s="24"/>
      <c r="H2039" s="24"/>
      <c r="J2039" s="24"/>
      <c r="K2039" s="24"/>
      <c r="M2039" s="24"/>
      <c r="N2039" s="24"/>
      <c r="P2039" s="24"/>
    </row>
    <row r="2040" spans="2:16" x14ac:dyDescent="0.25">
      <c r="B2040" s="24"/>
      <c r="E2040" s="24"/>
      <c r="G2040" s="24"/>
      <c r="H2040" s="24"/>
      <c r="J2040" s="24"/>
      <c r="K2040" s="24"/>
      <c r="M2040" s="24"/>
      <c r="N2040" s="24"/>
      <c r="P2040" s="24"/>
    </row>
    <row r="2041" spans="2:16" x14ac:dyDescent="0.25">
      <c r="B2041" s="24"/>
      <c r="E2041" s="24"/>
      <c r="G2041" s="24"/>
      <c r="H2041" s="24"/>
      <c r="J2041" s="24"/>
      <c r="K2041" s="24"/>
      <c r="M2041" s="24"/>
      <c r="N2041" s="24"/>
      <c r="P2041" s="24"/>
    </row>
    <row r="2042" spans="2:16" x14ac:dyDescent="0.25">
      <c r="B2042" s="24"/>
      <c r="E2042" s="24"/>
      <c r="G2042" s="24"/>
      <c r="H2042" s="24"/>
      <c r="J2042" s="24"/>
      <c r="K2042" s="24"/>
      <c r="M2042" s="24"/>
      <c r="N2042" s="24"/>
      <c r="P2042" s="24"/>
    </row>
    <row r="2043" spans="2:16" x14ac:dyDescent="0.25">
      <c r="B2043" s="24"/>
      <c r="E2043" s="24"/>
      <c r="G2043" s="24"/>
      <c r="H2043" s="24"/>
      <c r="J2043" s="24"/>
      <c r="K2043" s="24"/>
      <c r="M2043" s="24"/>
      <c r="N2043" s="24"/>
      <c r="P2043" s="24"/>
    </row>
    <row r="2044" spans="2:16" x14ac:dyDescent="0.25">
      <c r="B2044" s="24"/>
      <c r="E2044" s="24"/>
      <c r="G2044" s="24"/>
      <c r="H2044" s="24"/>
      <c r="J2044" s="24"/>
      <c r="K2044" s="24"/>
      <c r="M2044" s="24"/>
      <c r="N2044" s="24"/>
      <c r="P2044" s="24"/>
    </row>
    <row r="2045" spans="2:16" x14ac:dyDescent="0.25">
      <c r="B2045" s="24"/>
      <c r="E2045" s="24"/>
      <c r="G2045" s="24"/>
      <c r="H2045" s="24"/>
      <c r="J2045" s="24"/>
      <c r="K2045" s="24"/>
      <c r="M2045" s="24"/>
      <c r="N2045" s="24"/>
      <c r="P2045" s="24"/>
    </row>
    <row r="2046" spans="2:16" x14ac:dyDescent="0.25">
      <c r="B2046" s="24"/>
      <c r="E2046" s="24"/>
      <c r="G2046" s="24"/>
      <c r="H2046" s="24"/>
      <c r="J2046" s="24"/>
      <c r="K2046" s="24"/>
      <c r="M2046" s="24"/>
      <c r="N2046" s="24"/>
      <c r="P2046" s="24"/>
    </row>
    <row r="2047" spans="2:16" x14ac:dyDescent="0.25">
      <c r="B2047" s="24"/>
      <c r="E2047" s="24"/>
      <c r="G2047" s="24"/>
      <c r="H2047" s="24"/>
      <c r="J2047" s="24"/>
      <c r="K2047" s="24"/>
      <c r="M2047" s="24"/>
      <c r="N2047" s="24"/>
      <c r="P2047" s="24"/>
    </row>
    <row r="2048" spans="2:16" x14ac:dyDescent="0.25">
      <c r="B2048" s="24"/>
      <c r="E2048" s="24"/>
      <c r="G2048" s="24"/>
      <c r="H2048" s="24"/>
      <c r="J2048" s="24"/>
      <c r="K2048" s="24"/>
      <c r="M2048" s="24"/>
      <c r="N2048" s="24"/>
      <c r="P2048" s="24"/>
    </row>
    <row r="2049" spans="2:16" x14ac:dyDescent="0.25">
      <c r="B2049" s="24"/>
      <c r="E2049" s="24"/>
      <c r="G2049" s="24"/>
      <c r="H2049" s="24"/>
      <c r="J2049" s="24"/>
      <c r="K2049" s="24"/>
      <c r="M2049" s="24"/>
      <c r="N2049" s="24"/>
      <c r="P2049" s="24"/>
    </row>
    <row r="2050" spans="2:16" x14ac:dyDescent="0.25">
      <c r="B2050" s="24"/>
      <c r="E2050" s="24"/>
      <c r="G2050" s="24"/>
      <c r="H2050" s="24"/>
      <c r="J2050" s="24"/>
      <c r="K2050" s="24"/>
      <c r="M2050" s="24"/>
      <c r="N2050" s="24"/>
      <c r="P2050" s="24"/>
    </row>
    <row r="2051" spans="2:16" x14ac:dyDescent="0.25">
      <c r="B2051" s="24"/>
      <c r="E2051" s="24"/>
      <c r="G2051" s="24"/>
      <c r="H2051" s="24"/>
      <c r="J2051" s="24"/>
      <c r="K2051" s="24"/>
      <c r="M2051" s="24"/>
      <c r="N2051" s="24"/>
      <c r="P2051" s="24"/>
    </row>
    <row r="2052" spans="2:16" x14ac:dyDescent="0.25">
      <c r="B2052" s="24"/>
      <c r="E2052" s="24"/>
      <c r="G2052" s="24"/>
      <c r="H2052" s="24"/>
      <c r="J2052" s="24"/>
      <c r="K2052" s="24"/>
      <c r="M2052" s="24"/>
      <c r="N2052" s="24"/>
      <c r="P2052" s="24"/>
    </row>
    <row r="2053" spans="2:16" x14ac:dyDescent="0.25">
      <c r="B2053" s="24"/>
      <c r="E2053" s="24"/>
      <c r="G2053" s="24"/>
      <c r="H2053" s="24"/>
      <c r="J2053" s="24"/>
      <c r="K2053" s="24"/>
      <c r="M2053" s="24"/>
      <c r="N2053" s="24"/>
      <c r="P2053" s="24"/>
    </row>
    <row r="2054" spans="2:16" x14ac:dyDescent="0.25">
      <c r="B2054" s="24"/>
      <c r="E2054" s="24"/>
      <c r="G2054" s="24"/>
      <c r="H2054" s="24"/>
      <c r="J2054" s="24"/>
      <c r="K2054" s="24"/>
      <c r="M2054" s="24"/>
      <c r="N2054" s="24"/>
      <c r="P2054" s="24"/>
    </row>
    <row r="2055" spans="2:16" x14ac:dyDescent="0.25">
      <c r="B2055" s="24"/>
      <c r="E2055" s="24"/>
      <c r="G2055" s="24"/>
      <c r="H2055" s="24"/>
      <c r="J2055" s="24"/>
      <c r="K2055" s="24"/>
      <c r="M2055" s="24"/>
      <c r="N2055" s="24"/>
      <c r="P2055" s="24"/>
    </row>
    <row r="2056" spans="2:16" x14ac:dyDescent="0.25">
      <c r="B2056" s="24"/>
      <c r="E2056" s="24"/>
      <c r="G2056" s="24"/>
      <c r="H2056" s="24"/>
      <c r="J2056" s="24"/>
      <c r="K2056" s="24"/>
      <c r="M2056" s="24"/>
      <c r="N2056" s="24"/>
      <c r="P2056" s="24"/>
    </row>
    <row r="2057" spans="2:16" x14ac:dyDescent="0.25">
      <c r="B2057" s="24"/>
      <c r="E2057" s="24"/>
      <c r="G2057" s="24"/>
      <c r="H2057" s="24"/>
      <c r="J2057" s="24"/>
      <c r="K2057" s="24"/>
      <c r="M2057" s="24"/>
      <c r="N2057" s="24"/>
      <c r="P2057" s="24"/>
    </row>
    <row r="2058" spans="2:16" x14ac:dyDescent="0.25">
      <c r="B2058" s="24"/>
      <c r="E2058" s="24"/>
      <c r="G2058" s="24"/>
      <c r="H2058" s="24"/>
      <c r="J2058" s="24"/>
      <c r="K2058" s="24"/>
      <c r="M2058" s="24"/>
      <c r="N2058" s="24"/>
      <c r="P2058" s="24"/>
    </row>
    <row r="2059" spans="2:16" x14ac:dyDescent="0.25">
      <c r="B2059" s="24"/>
      <c r="E2059" s="24"/>
      <c r="G2059" s="24"/>
      <c r="H2059" s="24"/>
      <c r="J2059" s="24"/>
      <c r="K2059" s="24"/>
      <c r="M2059" s="24"/>
      <c r="N2059" s="24"/>
      <c r="P2059" s="24"/>
    </row>
    <row r="2060" spans="2:16" x14ac:dyDescent="0.25">
      <c r="B2060" s="24"/>
      <c r="E2060" s="24"/>
      <c r="G2060" s="24"/>
      <c r="H2060" s="24"/>
      <c r="J2060" s="24"/>
      <c r="K2060" s="24"/>
      <c r="M2060" s="24"/>
      <c r="N2060" s="24"/>
      <c r="P2060" s="24"/>
    </row>
    <row r="2061" spans="2:16" x14ac:dyDescent="0.25">
      <c r="B2061" s="24"/>
      <c r="E2061" s="24"/>
      <c r="G2061" s="24"/>
      <c r="H2061" s="24"/>
      <c r="J2061" s="24"/>
      <c r="K2061" s="24"/>
      <c r="M2061" s="24"/>
      <c r="N2061" s="24"/>
      <c r="P2061" s="24"/>
    </row>
    <row r="2062" spans="2:16" x14ac:dyDescent="0.25">
      <c r="B2062" s="24"/>
      <c r="E2062" s="24"/>
      <c r="G2062" s="24"/>
      <c r="H2062" s="24"/>
      <c r="J2062" s="24"/>
      <c r="K2062" s="24"/>
      <c r="M2062" s="24"/>
      <c r="N2062" s="24"/>
      <c r="P2062" s="24"/>
    </row>
    <row r="2063" spans="2:16" x14ac:dyDescent="0.25">
      <c r="B2063" s="24"/>
      <c r="E2063" s="24"/>
      <c r="G2063" s="24"/>
      <c r="H2063" s="24"/>
      <c r="J2063" s="24"/>
      <c r="K2063" s="24"/>
      <c r="M2063" s="24"/>
      <c r="N2063" s="24"/>
      <c r="P2063" s="24"/>
    </row>
    <row r="2064" spans="2:16" x14ac:dyDescent="0.25">
      <c r="B2064" s="24"/>
      <c r="E2064" s="24"/>
      <c r="G2064" s="24"/>
      <c r="H2064" s="24"/>
      <c r="J2064" s="24"/>
      <c r="K2064" s="24"/>
      <c r="M2064" s="24"/>
      <c r="N2064" s="24"/>
      <c r="P2064" s="24"/>
    </row>
    <row r="2065" spans="2:16" x14ac:dyDescent="0.25">
      <c r="B2065" s="24"/>
      <c r="E2065" s="24"/>
      <c r="G2065" s="24"/>
      <c r="H2065" s="24"/>
      <c r="J2065" s="24"/>
      <c r="K2065" s="24"/>
      <c r="M2065" s="24"/>
      <c r="N2065" s="24"/>
      <c r="P2065" s="24"/>
    </row>
    <row r="2066" spans="2:16" x14ac:dyDescent="0.25">
      <c r="B2066" s="24"/>
      <c r="E2066" s="24"/>
      <c r="G2066" s="24"/>
      <c r="H2066" s="24"/>
      <c r="J2066" s="24"/>
      <c r="K2066" s="24"/>
      <c r="M2066" s="24"/>
      <c r="N2066" s="24"/>
      <c r="P2066" s="24"/>
    </row>
    <row r="2067" spans="2:16" x14ac:dyDescent="0.25">
      <c r="B2067" s="24"/>
      <c r="E2067" s="24"/>
      <c r="G2067" s="24"/>
      <c r="H2067" s="24"/>
      <c r="J2067" s="24"/>
      <c r="K2067" s="24"/>
      <c r="M2067" s="24"/>
      <c r="N2067" s="24"/>
      <c r="P2067" s="24"/>
    </row>
    <row r="2068" spans="2:16" x14ac:dyDescent="0.25">
      <c r="B2068" s="24"/>
      <c r="E2068" s="24"/>
      <c r="G2068" s="24"/>
      <c r="H2068" s="24"/>
      <c r="J2068" s="24"/>
      <c r="K2068" s="24"/>
      <c r="M2068" s="24"/>
      <c r="N2068" s="24"/>
      <c r="P2068" s="24"/>
    </row>
    <row r="2069" spans="2:16" x14ac:dyDescent="0.25">
      <c r="B2069" s="24"/>
      <c r="E2069" s="24"/>
      <c r="G2069" s="24"/>
      <c r="H2069" s="24"/>
      <c r="J2069" s="24"/>
      <c r="K2069" s="24"/>
      <c r="M2069" s="24"/>
      <c r="N2069" s="24"/>
      <c r="P2069" s="24"/>
    </row>
    <row r="2070" spans="2:16" x14ac:dyDescent="0.25">
      <c r="B2070" s="24"/>
      <c r="E2070" s="24"/>
      <c r="G2070" s="24"/>
      <c r="H2070" s="24"/>
      <c r="J2070" s="24"/>
      <c r="K2070" s="24"/>
      <c r="M2070" s="24"/>
      <c r="N2070" s="24"/>
      <c r="P2070" s="24"/>
    </row>
    <row r="2071" spans="2:16" x14ac:dyDescent="0.25">
      <c r="B2071" s="24"/>
      <c r="E2071" s="24"/>
      <c r="G2071" s="24"/>
      <c r="H2071" s="24"/>
      <c r="J2071" s="24"/>
      <c r="K2071" s="24"/>
      <c r="M2071" s="24"/>
      <c r="N2071" s="24"/>
      <c r="P2071" s="24"/>
    </row>
    <row r="2072" spans="2:16" x14ac:dyDescent="0.25">
      <c r="B2072" s="24"/>
      <c r="E2072" s="24"/>
      <c r="G2072" s="24"/>
      <c r="H2072" s="24"/>
      <c r="J2072" s="24"/>
      <c r="K2072" s="24"/>
      <c r="M2072" s="24"/>
      <c r="N2072" s="24"/>
      <c r="P2072" s="24"/>
    </row>
    <row r="2073" spans="2:16" x14ac:dyDescent="0.25">
      <c r="B2073" s="24"/>
      <c r="E2073" s="24"/>
      <c r="G2073" s="24"/>
      <c r="H2073" s="24"/>
      <c r="J2073" s="24"/>
      <c r="K2073" s="24"/>
      <c r="M2073" s="24"/>
      <c r="N2073" s="24"/>
      <c r="P2073" s="24"/>
    </row>
    <row r="2074" spans="2:16" x14ac:dyDescent="0.25">
      <c r="B2074" s="24"/>
      <c r="E2074" s="24"/>
      <c r="G2074" s="24"/>
      <c r="H2074" s="24"/>
      <c r="J2074" s="24"/>
      <c r="K2074" s="24"/>
      <c r="M2074" s="24"/>
      <c r="N2074" s="24"/>
      <c r="P2074" s="24"/>
    </row>
    <row r="2075" spans="2:16" x14ac:dyDescent="0.25">
      <c r="B2075" s="24"/>
      <c r="E2075" s="24"/>
      <c r="G2075" s="24"/>
      <c r="H2075" s="24"/>
      <c r="J2075" s="24"/>
      <c r="K2075" s="24"/>
      <c r="M2075" s="24"/>
      <c r="N2075" s="24"/>
      <c r="P2075" s="24"/>
    </row>
    <row r="2076" spans="2:16" x14ac:dyDescent="0.25">
      <c r="B2076" s="24"/>
      <c r="E2076" s="24"/>
      <c r="G2076" s="24"/>
      <c r="H2076" s="24"/>
      <c r="J2076" s="24"/>
      <c r="K2076" s="24"/>
      <c r="M2076" s="24"/>
      <c r="N2076" s="24"/>
      <c r="P2076" s="24"/>
    </row>
    <row r="2077" spans="2:16" x14ac:dyDescent="0.25">
      <c r="B2077" s="24"/>
      <c r="E2077" s="24"/>
      <c r="G2077" s="24"/>
      <c r="H2077" s="24"/>
      <c r="J2077" s="24"/>
      <c r="K2077" s="24"/>
      <c r="M2077" s="24"/>
      <c r="N2077" s="24"/>
      <c r="P2077" s="24"/>
    </row>
    <row r="2078" spans="2:16" x14ac:dyDescent="0.25">
      <c r="B2078" s="24"/>
      <c r="E2078" s="24"/>
      <c r="G2078" s="24"/>
      <c r="H2078" s="24"/>
      <c r="J2078" s="24"/>
      <c r="K2078" s="24"/>
      <c r="M2078" s="24"/>
      <c r="N2078" s="24"/>
      <c r="P2078" s="24"/>
    </row>
    <row r="2079" spans="2:16" x14ac:dyDescent="0.25">
      <c r="B2079" s="24"/>
      <c r="E2079" s="24"/>
      <c r="G2079" s="24"/>
      <c r="H2079" s="24"/>
      <c r="J2079" s="24"/>
      <c r="K2079" s="24"/>
      <c r="M2079" s="24"/>
      <c r="N2079" s="24"/>
      <c r="P2079" s="24"/>
    </row>
    <row r="2080" spans="2:16" x14ac:dyDescent="0.25">
      <c r="B2080" s="24"/>
      <c r="E2080" s="24"/>
      <c r="G2080" s="24"/>
      <c r="H2080" s="24"/>
      <c r="J2080" s="24"/>
      <c r="K2080" s="24"/>
      <c r="M2080" s="24"/>
      <c r="N2080" s="24"/>
      <c r="P2080" s="24"/>
    </row>
    <row r="2081" spans="2:16" x14ac:dyDescent="0.25">
      <c r="B2081" s="24"/>
      <c r="E2081" s="24"/>
      <c r="G2081" s="24"/>
      <c r="H2081" s="24"/>
      <c r="J2081" s="24"/>
      <c r="K2081" s="24"/>
      <c r="M2081" s="24"/>
      <c r="N2081" s="24"/>
      <c r="P2081" s="24"/>
    </row>
    <row r="2082" spans="2:16" x14ac:dyDescent="0.25">
      <c r="B2082" s="24"/>
      <c r="E2082" s="24"/>
      <c r="G2082" s="24"/>
      <c r="H2082" s="24"/>
      <c r="J2082" s="24"/>
      <c r="K2082" s="24"/>
      <c r="M2082" s="24"/>
      <c r="N2082" s="24"/>
      <c r="P2082" s="24"/>
    </row>
    <row r="2083" spans="2:16" x14ac:dyDescent="0.25">
      <c r="B2083" s="24"/>
      <c r="E2083" s="24"/>
      <c r="G2083" s="24"/>
      <c r="H2083" s="24"/>
      <c r="J2083" s="24"/>
      <c r="K2083" s="24"/>
      <c r="M2083" s="24"/>
      <c r="N2083" s="24"/>
      <c r="P2083" s="24"/>
    </row>
    <row r="2084" spans="2:16" x14ac:dyDescent="0.25">
      <c r="B2084" s="24"/>
      <c r="E2084" s="24"/>
      <c r="G2084" s="24"/>
      <c r="H2084" s="24"/>
      <c r="J2084" s="24"/>
      <c r="K2084" s="24"/>
      <c r="M2084" s="24"/>
      <c r="N2084" s="24"/>
      <c r="P2084" s="24"/>
    </row>
    <row r="2085" spans="2:16" x14ac:dyDescent="0.25">
      <c r="B2085" s="24"/>
      <c r="E2085" s="24"/>
      <c r="G2085" s="24"/>
      <c r="H2085" s="24"/>
      <c r="J2085" s="24"/>
      <c r="K2085" s="24"/>
      <c r="M2085" s="24"/>
      <c r="N2085" s="24"/>
      <c r="P2085" s="24"/>
    </row>
    <row r="2086" spans="2:16" x14ac:dyDescent="0.25">
      <c r="B2086" s="24"/>
      <c r="E2086" s="24"/>
      <c r="G2086" s="24"/>
      <c r="H2086" s="24"/>
      <c r="J2086" s="24"/>
      <c r="K2086" s="24"/>
      <c r="M2086" s="24"/>
      <c r="N2086" s="24"/>
      <c r="P2086" s="24"/>
    </row>
    <row r="2087" spans="2:16" x14ac:dyDescent="0.25">
      <c r="B2087" s="24"/>
      <c r="E2087" s="24"/>
      <c r="G2087" s="24"/>
      <c r="H2087" s="24"/>
      <c r="J2087" s="24"/>
      <c r="K2087" s="24"/>
      <c r="M2087" s="24"/>
      <c r="N2087" s="24"/>
      <c r="P2087" s="24"/>
    </row>
    <row r="2088" spans="2:16" x14ac:dyDescent="0.25">
      <c r="B2088" s="24"/>
      <c r="E2088" s="24"/>
      <c r="G2088" s="24"/>
      <c r="H2088" s="24"/>
      <c r="J2088" s="24"/>
      <c r="K2088" s="24"/>
      <c r="M2088" s="24"/>
      <c r="N2088" s="24"/>
      <c r="P2088" s="24"/>
    </row>
    <row r="2089" spans="2:16" x14ac:dyDescent="0.25">
      <c r="B2089" s="24"/>
      <c r="E2089" s="24"/>
      <c r="G2089" s="24"/>
      <c r="H2089" s="24"/>
      <c r="J2089" s="24"/>
      <c r="K2089" s="24"/>
      <c r="M2089" s="24"/>
      <c r="N2089" s="24"/>
      <c r="P2089" s="24"/>
    </row>
    <row r="2090" spans="2:16" x14ac:dyDescent="0.25">
      <c r="B2090" s="24"/>
      <c r="E2090" s="24"/>
      <c r="G2090" s="24"/>
      <c r="H2090" s="24"/>
      <c r="J2090" s="24"/>
      <c r="K2090" s="24"/>
      <c r="M2090" s="24"/>
      <c r="N2090" s="24"/>
      <c r="P2090" s="24"/>
    </row>
    <row r="2091" spans="2:16" x14ac:dyDescent="0.25">
      <c r="B2091" s="24"/>
      <c r="E2091" s="24"/>
      <c r="G2091" s="24"/>
      <c r="H2091" s="24"/>
      <c r="J2091" s="24"/>
      <c r="K2091" s="24"/>
      <c r="M2091" s="24"/>
      <c r="N2091" s="24"/>
      <c r="P2091" s="24"/>
    </row>
    <row r="2092" spans="2:16" x14ac:dyDescent="0.25">
      <c r="B2092" s="24"/>
      <c r="E2092" s="24"/>
      <c r="G2092" s="24"/>
      <c r="H2092" s="24"/>
      <c r="J2092" s="24"/>
      <c r="K2092" s="24"/>
      <c r="M2092" s="24"/>
      <c r="N2092" s="24"/>
      <c r="P2092" s="24"/>
    </row>
    <row r="2093" spans="2:16" x14ac:dyDescent="0.25">
      <c r="B2093" s="24"/>
      <c r="E2093" s="24"/>
      <c r="G2093" s="24"/>
      <c r="H2093" s="24"/>
      <c r="J2093" s="24"/>
      <c r="K2093" s="24"/>
      <c r="M2093" s="24"/>
      <c r="N2093" s="24"/>
      <c r="P2093" s="24"/>
    </row>
    <row r="2094" spans="2:16" x14ac:dyDescent="0.25">
      <c r="B2094" s="24"/>
      <c r="E2094" s="24"/>
      <c r="G2094" s="24"/>
      <c r="H2094" s="24"/>
      <c r="J2094" s="24"/>
      <c r="K2094" s="24"/>
      <c r="M2094" s="24"/>
      <c r="N2094" s="24"/>
      <c r="P2094" s="24"/>
    </row>
    <row r="2095" spans="2:16" x14ac:dyDescent="0.25">
      <c r="B2095" s="24"/>
      <c r="E2095" s="24"/>
      <c r="G2095" s="24"/>
      <c r="H2095" s="24"/>
      <c r="J2095" s="24"/>
      <c r="K2095" s="24"/>
      <c r="M2095" s="24"/>
      <c r="N2095" s="24"/>
      <c r="P2095" s="24"/>
    </row>
    <row r="2096" spans="2:16" x14ac:dyDescent="0.25">
      <c r="B2096" s="24"/>
      <c r="E2096" s="24"/>
      <c r="G2096" s="24"/>
      <c r="H2096" s="24"/>
      <c r="J2096" s="24"/>
      <c r="K2096" s="24"/>
      <c r="M2096" s="24"/>
      <c r="N2096" s="24"/>
      <c r="P2096" s="24"/>
    </row>
    <row r="2097" spans="2:16" x14ac:dyDescent="0.25">
      <c r="B2097" s="24"/>
      <c r="E2097" s="24"/>
      <c r="G2097" s="24"/>
      <c r="H2097" s="24"/>
      <c r="J2097" s="24"/>
      <c r="K2097" s="24"/>
      <c r="M2097" s="24"/>
      <c r="N2097" s="24"/>
      <c r="P2097" s="24"/>
    </row>
    <row r="2098" spans="2:16" x14ac:dyDescent="0.25">
      <c r="B2098" s="24"/>
      <c r="E2098" s="24"/>
      <c r="G2098" s="24"/>
      <c r="H2098" s="24"/>
      <c r="J2098" s="24"/>
      <c r="K2098" s="24"/>
      <c r="M2098" s="24"/>
      <c r="N2098" s="24"/>
      <c r="P2098" s="24"/>
    </row>
    <row r="2099" spans="2:16" x14ac:dyDescent="0.25">
      <c r="B2099" s="24"/>
      <c r="E2099" s="24"/>
      <c r="G2099" s="24"/>
      <c r="H2099" s="24"/>
      <c r="J2099" s="24"/>
      <c r="K2099" s="24"/>
      <c r="M2099" s="24"/>
      <c r="N2099" s="24"/>
      <c r="P2099" s="24"/>
    </row>
    <row r="2100" spans="2:16" x14ac:dyDescent="0.25">
      <c r="B2100" s="24"/>
      <c r="E2100" s="24"/>
      <c r="G2100" s="24"/>
      <c r="H2100" s="24"/>
      <c r="J2100" s="24"/>
      <c r="K2100" s="24"/>
      <c r="M2100" s="24"/>
      <c r="N2100" s="24"/>
      <c r="P2100" s="24"/>
    </row>
    <row r="2101" spans="2:16" x14ac:dyDescent="0.25">
      <c r="B2101" s="24"/>
      <c r="E2101" s="24"/>
      <c r="G2101" s="24"/>
      <c r="H2101" s="24"/>
      <c r="J2101" s="24"/>
      <c r="K2101" s="24"/>
      <c r="M2101" s="24"/>
      <c r="N2101" s="24"/>
      <c r="P2101" s="24"/>
    </row>
    <row r="2102" spans="2:16" x14ac:dyDescent="0.25">
      <c r="B2102" s="24"/>
      <c r="E2102" s="24"/>
      <c r="G2102" s="24"/>
      <c r="H2102" s="24"/>
      <c r="J2102" s="24"/>
      <c r="K2102" s="24"/>
      <c r="M2102" s="24"/>
      <c r="N2102" s="24"/>
      <c r="P2102" s="24"/>
    </row>
    <row r="2103" spans="2:16" x14ac:dyDescent="0.25">
      <c r="B2103" s="24"/>
      <c r="E2103" s="24"/>
      <c r="G2103" s="24"/>
      <c r="H2103" s="24"/>
      <c r="J2103" s="24"/>
      <c r="K2103" s="24"/>
      <c r="M2103" s="24"/>
      <c r="N2103" s="24"/>
      <c r="P2103" s="24"/>
    </row>
    <row r="2104" spans="2:16" x14ac:dyDescent="0.25">
      <c r="B2104" s="24"/>
      <c r="E2104" s="24"/>
      <c r="G2104" s="24"/>
      <c r="H2104" s="24"/>
      <c r="J2104" s="24"/>
      <c r="K2104" s="24"/>
      <c r="M2104" s="24"/>
      <c r="N2104" s="24"/>
      <c r="P2104" s="24"/>
    </row>
    <row r="2105" spans="2:16" x14ac:dyDescent="0.25">
      <c r="B2105" s="24"/>
      <c r="E2105" s="24"/>
      <c r="G2105" s="24"/>
      <c r="H2105" s="24"/>
      <c r="J2105" s="24"/>
      <c r="K2105" s="24"/>
      <c r="M2105" s="24"/>
      <c r="N2105" s="24"/>
      <c r="P2105" s="24"/>
    </row>
    <row r="2106" spans="2:16" x14ac:dyDescent="0.25">
      <c r="B2106" s="24"/>
      <c r="E2106" s="24"/>
      <c r="G2106" s="24"/>
      <c r="H2106" s="24"/>
      <c r="J2106" s="24"/>
      <c r="K2106" s="24"/>
      <c r="M2106" s="24"/>
      <c r="N2106" s="24"/>
      <c r="P2106" s="24"/>
    </row>
    <row r="2107" spans="2:16" x14ac:dyDescent="0.25">
      <c r="B2107" s="24"/>
      <c r="E2107" s="24"/>
      <c r="G2107" s="24"/>
      <c r="H2107" s="24"/>
      <c r="J2107" s="24"/>
      <c r="K2107" s="24"/>
      <c r="M2107" s="24"/>
      <c r="N2107" s="24"/>
      <c r="P2107" s="24"/>
    </row>
    <row r="2108" spans="2:16" x14ac:dyDescent="0.25">
      <c r="B2108" s="24"/>
      <c r="E2108" s="24"/>
      <c r="G2108" s="24"/>
      <c r="H2108" s="24"/>
      <c r="J2108" s="24"/>
      <c r="K2108" s="24"/>
      <c r="M2108" s="24"/>
      <c r="N2108" s="24"/>
      <c r="P2108" s="24"/>
    </row>
    <row r="2109" spans="2:16" x14ac:dyDescent="0.25">
      <c r="B2109" s="24"/>
      <c r="E2109" s="24"/>
      <c r="G2109" s="24"/>
      <c r="H2109" s="24"/>
      <c r="J2109" s="24"/>
      <c r="K2109" s="24"/>
      <c r="M2109" s="24"/>
      <c r="N2109" s="24"/>
      <c r="P2109" s="24"/>
    </row>
    <row r="2110" spans="2:16" x14ac:dyDescent="0.25">
      <c r="B2110" s="24"/>
      <c r="E2110" s="24"/>
      <c r="G2110" s="24"/>
      <c r="H2110" s="24"/>
      <c r="J2110" s="24"/>
      <c r="K2110" s="24"/>
      <c r="M2110" s="24"/>
      <c r="N2110" s="24"/>
      <c r="P2110" s="24"/>
    </row>
    <row r="2111" spans="2:16" x14ac:dyDescent="0.25">
      <c r="B2111" s="24"/>
      <c r="E2111" s="24"/>
      <c r="G2111" s="24"/>
      <c r="H2111" s="24"/>
      <c r="J2111" s="24"/>
      <c r="K2111" s="24"/>
      <c r="M2111" s="24"/>
      <c r="N2111" s="24"/>
      <c r="P2111" s="24"/>
    </row>
    <row r="2112" spans="2:16" x14ac:dyDescent="0.25">
      <c r="B2112" s="24"/>
      <c r="E2112" s="24"/>
      <c r="G2112" s="24"/>
      <c r="H2112" s="24"/>
      <c r="J2112" s="24"/>
      <c r="K2112" s="24"/>
      <c r="M2112" s="24"/>
      <c r="N2112" s="24"/>
      <c r="P2112" s="24"/>
    </row>
    <row r="2113" spans="2:16" x14ac:dyDescent="0.25">
      <c r="B2113" s="24"/>
      <c r="E2113" s="24"/>
      <c r="G2113" s="24"/>
      <c r="H2113" s="24"/>
      <c r="J2113" s="24"/>
      <c r="K2113" s="24"/>
      <c r="M2113" s="24"/>
      <c r="N2113" s="24"/>
      <c r="P2113" s="24"/>
    </row>
    <row r="2114" spans="2:16" x14ac:dyDescent="0.25">
      <c r="B2114" s="24"/>
      <c r="E2114" s="24"/>
      <c r="G2114" s="24"/>
      <c r="H2114" s="24"/>
      <c r="J2114" s="24"/>
      <c r="K2114" s="24"/>
      <c r="M2114" s="24"/>
      <c r="N2114" s="24"/>
      <c r="P2114" s="24"/>
    </row>
    <row r="2115" spans="2:16" x14ac:dyDescent="0.25">
      <c r="B2115" s="24"/>
      <c r="E2115" s="24"/>
      <c r="G2115" s="24"/>
      <c r="H2115" s="24"/>
      <c r="J2115" s="24"/>
      <c r="K2115" s="24"/>
      <c r="M2115" s="24"/>
      <c r="N2115" s="24"/>
      <c r="P2115" s="24"/>
    </row>
    <row r="2116" spans="2:16" x14ac:dyDescent="0.25">
      <c r="B2116" s="24"/>
      <c r="E2116" s="24"/>
      <c r="G2116" s="24"/>
      <c r="H2116" s="24"/>
      <c r="J2116" s="24"/>
      <c r="K2116" s="24"/>
      <c r="M2116" s="24"/>
      <c r="N2116" s="24"/>
      <c r="P2116" s="24"/>
    </row>
    <row r="2117" spans="2:16" x14ac:dyDescent="0.25">
      <c r="B2117" s="24"/>
      <c r="E2117" s="24"/>
      <c r="G2117" s="24"/>
      <c r="H2117" s="24"/>
      <c r="J2117" s="24"/>
      <c r="K2117" s="24"/>
      <c r="M2117" s="24"/>
      <c r="N2117" s="24"/>
      <c r="P2117" s="24"/>
    </row>
    <row r="2118" spans="2:16" x14ac:dyDescent="0.25">
      <c r="B2118" s="24"/>
      <c r="E2118" s="24"/>
      <c r="G2118" s="24"/>
      <c r="H2118" s="24"/>
      <c r="J2118" s="24"/>
      <c r="K2118" s="24"/>
      <c r="M2118" s="24"/>
      <c r="N2118" s="24"/>
      <c r="P2118" s="24"/>
    </row>
    <row r="2119" spans="2:16" x14ac:dyDescent="0.25">
      <c r="B2119" s="24"/>
      <c r="E2119" s="24"/>
      <c r="G2119" s="24"/>
      <c r="H2119" s="24"/>
      <c r="J2119" s="24"/>
      <c r="K2119" s="24"/>
      <c r="M2119" s="24"/>
      <c r="N2119" s="24"/>
      <c r="P2119" s="24"/>
    </row>
    <row r="2120" spans="2:16" x14ac:dyDescent="0.25">
      <c r="B2120" s="24"/>
      <c r="E2120" s="24"/>
      <c r="G2120" s="24"/>
      <c r="H2120" s="24"/>
      <c r="J2120" s="24"/>
      <c r="K2120" s="24"/>
      <c r="M2120" s="24"/>
      <c r="N2120" s="24"/>
      <c r="P2120" s="24"/>
    </row>
    <row r="2121" spans="2:16" x14ac:dyDescent="0.25">
      <c r="B2121" s="24"/>
      <c r="E2121" s="24"/>
      <c r="G2121" s="24"/>
      <c r="H2121" s="24"/>
      <c r="J2121" s="24"/>
      <c r="K2121" s="24"/>
      <c r="M2121" s="24"/>
      <c r="N2121" s="24"/>
      <c r="P2121" s="24"/>
    </row>
    <row r="2122" spans="2:16" x14ac:dyDescent="0.25">
      <c r="B2122" s="24"/>
      <c r="E2122" s="24"/>
      <c r="G2122" s="24"/>
      <c r="H2122" s="24"/>
      <c r="J2122" s="24"/>
      <c r="K2122" s="24"/>
      <c r="M2122" s="24"/>
      <c r="N2122" s="24"/>
      <c r="P2122" s="24"/>
    </row>
    <row r="2123" spans="2:16" x14ac:dyDescent="0.25">
      <c r="B2123" s="24"/>
      <c r="E2123" s="24"/>
      <c r="G2123" s="24"/>
      <c r="H2123" s="24"/>
      <c r="J2123" s="24"/>
      <c r="K2123" s="24"/>
      <c r="M2123" s="24"/>
      <c r="N2123" s="24"/>
      <c r="P2123" s="24"/>
    </row>
    <row r="2124" spans="2:16" x14ac:dyDescent="0.25">
      <c r="B2124" s="24"/>
      <c r="E2124" s="24"/>
      <c r="G2124" s="24"/>
      <c r="H2124" s="24"/>
      <c r="J2124" s="24"/>
      <c r="K2124" s="24"/>
      <c r="M2124" s="24"/>
      <c r="N2124" s="24"/>
      <c r="P2124" s="24"/>
    </row>
    <row r="2125" spans="2:16" x14ac:dyDescent="0.25">
      <c r="B2125" s="24"/>
      <c r="E2125" s="24"/>
      <c r="G2125" s="24"/>
      <c r="H2125" s="24"/>
      <c r="J2125" s="24"/>
      <c r="K2125" s="24"/>
      <c r="M2125" s="24"/>
      <c r="N2125" s="24"/>
      <c r="P2125" s="24"/>
    </row>
    <row r="2126" spans="2:16" x14ac:dyDescent="0.25">
      <c r="B2126" s="24"/>
      <c r="E2126" s="24"/>
      <c r="G2126" s="24"/>
      <c r="H2126" s="24"/>
      <c r="J2126" s="24"/>
      <c r="K2126" s="24"/>
      <c r="M2126" s="24"/>
      <c r="N2126" s="24"/>
      <c r="P2126" s="24"/>
    </row>
    <row r="2127" spans="2:16" x14ac:dyDescent="0.25">
      <c r="B2127" s="24"/>
      <c r="E2127" s="24"/>
      <c r="G2127" s="24"/>
      <c r="H2127" s="24"/>
      <c r="J2127" s="24"/>
      <c r="K2127" s="24"/>
      <c r="M2127" s="24"/>
      <c r="N2127" s="24"/>
      <c r="P2127" s="24"/>
    </row>
    <row r="2128" spans="2:16" x14ac:dyDescent="0.25">
      <c r="B2128" s="24"/>
      <c r="E2128" s="24"/>
      <c r="G2128" s="24"/>
      <c r="H2128" s="24"/>
      <c r="J2128" s="24"/>
      <c r="K2128" s="24"/>
      <c r="M2128" s="24"/>
      <c r="N2128" s="24"/>
      <c r="P2128" s="24"/>
    </row>
    <row r="2129" spans="2:16" x14ac:dyDescent="0.25">
      <c r="B2129" s="24"/>
      <c r="E2129" s="24"/>
      <c r="G2129" s="24"/>
      <c r="H2129" s="24"/>
      <c r="J2129" s="24"/>
      <c r="K2129" s="24"/>
      <c r="M2129" s="24"/>
      <c r="N2129" s="24"/>
      <c r="P2129" s="24"/>
    </row>
    <row r="2130" spans="2:16" x14ac:dyDescent="0.25">
      <c r="B2130" s="24"/>
      <c r="E2130" s="24"/>
      <c r="G2130" s="24"/>
      <c r="H2130" s="24"/>
      <c r="J2130" s="24"/>
      <c r="K2130" s="24"/>
      <c r="M2130" s="24"/>
      <c r="N2130" s="24"/>
      <c r="P2130" s="24"/>
    </row>
    <row r="2131" spans="2:16" x14ac:dyDescent="0.25">
      <c r="B2131" s="24"/>
      <c r="E2131" s="24"/>
      <c r="G2131" s="24"/>
      <c r="H2131" s="24"/>
      <c r="J2131" s="24"/>
      <c r="K2131" s="24"/>
      <c r="M2131" s="24"/>
      <c r="N2131" s="24"/>
      <c r="P2131" s="24"/>
    </row>
    <row r="2132" spans="2:16" x14ac:dyDescent="0.25">
      <c r="B2132" s="24"/>
      <c r="E2132" s="24"/>
      <c r="G2132" s="24"/>
      <c r="H2132" s="24"/>
      <c r="J2132" s="24"/>
      <c r="K2132" s="24"/>
      <c r="M2132" s="24"/>
      <c r="N2132" s="24"/>
      <c r="P2132" s="24"/>
    </row>
    <row r="2133" spans="2:16" x14ac:dyDescent="0.25">
      <c r="B2133" s="24"/>
      <c r="E2133" s="24"/>
      <c r="G2133" s="24"/>
      <c r="H2133" s="24"/>
      <c r="J2133" s="24"/>
      <c r="K2133" s="24"/>
      <c r="M2133" s="24"/>
      <c r="N2133" s="24"/>
      <c r="P2133" s="24"/>
    </row>
    <row r="2134" spans="2:16" x14ac:dyDescent="0.25">
      <c r="B2134" s="24"/>
      <c r="E2134" s="24"/>
      <c r="G2134" s="24"/>
      <c r="H2134" s="24"/>
      <c r="J2134" s="24"/>
      <c r="K2134" s="24"/>
      <c r="M2134" s="24"/>
      <c r="N2134" s="24"/>
      <c r="P2134" s="24"/>
    </row>
    <row r="2135" spans="2:16" x14ac:dyDescent="0.25">
      <c r="B2135" s="24"/>
      <c r="E2135" s="24"/>
      <c r="G2135" s="24"/>
      <c r="H2135" s="24"/>
      <c r="J2135" s="24"/>
      <c r="K2135" s="24"/>
      <c r="M2135" s="24"/>
      <c r="N2135" s="24"/>
      <c r="P2135" s="24"/>
    </row>
    <row r="2136" spans="2:16" x14ac:dyDescent="0.25">
      <c r="B2136" s="24"/>
      <c r="E2136" s="24"/>
      <c r="G2136" s="24"/>
      <c r="H2136" s="24"/>
      <c r="J2136" s="24"/>
      <c r="K2136" s="24"/>
      <c r="M2136" s="24"/>
      <c r="N2136" s="24"/>
      <c r="P2136" s="24"/>
    </row>
    <row r="2137" spans="2:16" x14ac:dyDescent="0.25">
      <c r="B2137" s="24"/>
      <c r="E2137" s="24"/>
      <c r="G2137" s="24"/>
      <c r="H2137" s="24"/>
      <c r="J2137" s="24"/>
      <c r="K2137" s="24"/>
      <c r="M2137" s="24"/>
      <c r="N2137" s="24"/>
      <c r="P2137" s="24"/>
    </row>
    <row r="2138" spans="2:16" x14ac:dyDescent="0.25">
      <c r="B2138" s="24"/>
      <c r="E2138" s="24"/>
      <c r="G2138" s="24"/>
      <c r="H2138" s="24"/>
      <c r="J2138" s="24"/>
      <c r="K2138" s="24"/>
      <c r="M2138" s="24"/>
      <c r="N2138" s="24"/>
      <c r="P2138" s="24"/>
    </row>
    <row r="2139" spans="2:16" x14ac:dyDescent="0.25">
      <c r="B2139" s="24"/>
      <c r="E2139" s="24"/>
      <c r="G2139" s="24"/>
      <c r="H2139" s="24"/>
      <c r="J2139" s="24"/>
      <c r="K2139" s="24"/>
      <c r="M2139" s="24"/>
      <c r="N2139" s="24"/>
      <c r="P2139" s="24"/>
    </row>
    <row r="2140" spans="2:16" x14ac:dyDescent="0.25">
      <c r="B2140" s="24"/>
      <c r="E2140" s="24"/>
      <c r="G2140" s="24"/>
      <c r="H2140" s="24"/>
      <c r="J2140" s="24"/>
      <c r="K2140" s="24"/>
      <c r="M2140" s="24"/>
      <c r="N2140" s="24"/>
      <c r="P2140" s="24"/>
    </row>
    <row r="2141" spans="2:16" x14ac:dyDescent="0.25">
      <c r="B2141" s="24"/>
      <c r="E2141" s="24"/>
      <c r="G2141" s="24"/>
      <c r="H2141" s="24"/>
      <c r="J2141" s="24"/>
      <c r="K2141" s="24"/>
      <c r="M2141" s="24"/>
      <c r="N2141" s="24"/>
      <c r="P2141" s="24"/>
    </row>
    <row r="2142" spans="2:16" x14ac:dyDescent="0.25">
      <c r="B2142" s="24"/>
      <c r="E2142" s="24"/>
      <c r="G2142" s="24"/>
      <c r="H2142" s="24"/>
      <c r="J2142" s="24"/>
      <c r="K2142" s="24"/>
      <c r="M2142" s="24"/>
      <c r="N2142" s="24"/>
      <c r="P2142" s="24"/>
    </row>
    <row r="2143" spans="2:16" x14ac:dyDescent="0.25">
      <c r="B2143" s="24"/>
      <c r="E2143" s="24"/>
      <c r="G2143" s="24"/>
      <c r="H2143" s="24"/>
      <c r="J2143" s="24"/>
      <c r="K2143" s="24"/>
      <c r="M2143" s="24"/>
      <c r="N2143" s="24"/>
      <c r="P2143" s="24"/>
    </row>
    <row r="2144" spans="2:16" x14ac:dyDescent="0.25">
      <c r="B2144" s="24"/>
      <c r="E2144" s="24"/>
      <c r="G2144" s="24"/>
      <c r="H2144" s="24"/>
      <c r="J2144" s="24"/>
      <c r="K2144" s="24"/>
      <c r="M2144" s="24"/>
      <c r="N2144" s="24"/>
      <c r="P2144" s="24"/>
    </row>
    <row r="2145" spans="2:16" x14ac:dyDescent="0.25">
      <c r="B2145" s="24"/>
      <c r="E2145" s="24"/>
      <c r="G2145" s="24"/>
      <c r="H2145" s="24"/>
      <c r="J2145" s="24"/>
      <c r="K2145" s="24"/>
      <c r="M2145" s="24"/>
      <c r="N2145" s="24"/>
      <c r="P2145" s="24"/>
    </row>
    <row r="2146" spans="2:16" x14ac:dyDescent="0.25">
      <c r="B2146" s="24"/>
      <c r="E2146" s="24"/>
      <c r="G2146" s="24"/>
      <c r="H2146" s="24"/>
      <c r="J2146" s="24"/>
      <c r="K2146" s="24"/>
      <c r="M2146" s="24"/>
      <c r="N2146" s="24"/>
      <c r="P2146" s="24"/>
    </row>
    <row r="2147" spans="2:16" x14ac:dyDescent="0.25">
      <c r="B2147" s="24"/>
      <c r="E2147" s="24"/>
      <c r="G2147" s="24"/>
      <c r="H2147" s="24"/>
      <c r="J2147" s="24"/>
      <c r="K2147" s="24"/>
      <c r="M2147" s="24"/>
      <c r="N2147" s="24"/>
      <c r="P2147" s="24"/>
    </row>
    <row r="2148" spans="2:16" x14ac:dyDescent="0.25">
      <c r="B2148" s="24"/>
      <c r="E2148" s="24"/>
      <c r="G2148" s="24"/>
      <c r="H2148" s="24"/>
      <c r="J2148" s="24"/>
      <c r="K2148" s="24"/>
      <c r="M2148" s="24"/>
      <c r="N2148" s="24"/>
      <c r="P2148" s="24"/>
    </row>
    <row r="2149" spans="2:16" x14ac:dyDescent="0.25">
      <c r="B2149" s="24"/>
      <c r="E2149" s="24"/>
      <c r="G2149" s="24"/>
      <c r="H2149" s="24"/>
      <c r="J2149" s="24"/>
      <c r="K2149" s="24"/>
      <c r="M2149" s="24"/>
      <c r="N2149" s="24"/>
      <c r="P2149" s="24"/>
    </row>
    <row r="2150" spans="2:16" x14ac:dyDescent="0.25">
      <c r="B2150" s="24"/>
      <c r="E2150" s="24"/>
      <c r="G2150" s="24"/>
      <c r="H2150" s="24"/>
      <c r="J2150" s="24"/>
      <c r="K2150" s="24"/>
      <c r="M2150" s="24"/>
      <c r="N2150" s="24"/>
      <c r="P2150" s="24"/>
    </row>
    <row r="2151" spans="2:16" x14ac:dyDescent="0.25">
      <c r="B2151" s="24"/>
      <c r="E2151" s="24"/>
      <c r="G2151" s="24"/>
      <c r="H2151" s="24"/>
      <c r="J2151" s="24"/>
      <c r="K2151" s="24"/>
      <c r="M2151" s="24"/>
      <c r="N2151" s="24"/>
      <c r="P2151" s="24"/>
    </row>
    <row r="2152" spans="2:16" x14ac:dyDescent="0.25">
      <c r="B2152" s="24"/>
      <c r="E2152" s="24"/>
      <c r="G2152" s="24"/>
      <c r="H2152" s="24"/>
      <c r="J2152" s="24"/>
      <c r="K2152" s="24"/>
      <c r="M2152" s="24"/>
      <c r="N2152" s="24"/>
      <c r="P2152" s="24"/>
    </row>
    <row r="2153" spans="2:16" x14ac:dyDescent="0.25">
      <c r="B2153" s="24"/>
      <c r="E2153" s="24"/>
      <c r="G2153" s="24"/>
      <c r="H2153" s="24"/>
      <c r="J2153" s="24"/>
      <c r="K2153" s="24"/>
      <c r="M2153" s="24"/>
      <c r="N2153" s="24"/>
      <c r="P2153" s="24"/>
    </row>
    <row r="2154" spans="2:16" x14ac:dyDescent="0.25">
      <c r="B2154" s="24"/>
      <c r="E2154" s="24"/>
      <c r="G2154" s="24"/>
      <c r="H2154" s="24"/>
      <c r="J2154" s="24"/>
      <c r="K2154" s="24"/>
      <c r="M2154" s="24"/>
      <c r="N2154" s="24"/>
      <c r="P2154" s="24"/>
    </row>
    <row r="2155" spans="2:16" x14ac:dyDescent="0.25">
      <c r="B2155" s="24"/>
      <c r="E2155" s="24"/>
      <c r="G2155" s="24"/>
      <c r="H2155" s="24"/>
      <c r="J2155" s="24"/>
      <c r="K2155" s="24"/>
      <c r="M2155" s="24"/>
      <c r="N2155" s="24"/>
      <c r="P2155" s="24"/>
    </row>
    <row r="2156" spans="2:16" x14ac:dyDescent="0.25">
      <c r="B2156" s="24"/>
      <c r="E2156" s="24"/>
      <c r="G2156" s="24"/>
      <c r="H2156" s="24"/>
      <c r="J2156" s="24"/>
      <c r="K2156" s="24"/>
      <c r="M2156" s="24"/>
      <c r="N2156" s="24"/>
      <c r="P2156" s="24"/>
    </row>
    <row r="2157" spans="2:16" x14ac:dyDescent="0.25">
      <c r="B2157" s="24"/>
      <c r="E2157" s="24"/>
      <c r="G2157" s="24"/>
      <c r="H2157" s="24"/>
      <c r="J2157" s="24"/>
      <c r="K2157" s="24"/>
      <c r="M2157" s="24"/>
      <c r="N2157" s="24"/>
      <c r="P2157" s="24"/>
    </row>
    <row r="2158" spans="2:16" x14ac:dyDescent="0.25">
      <c r="B2158" s="24"/>
      <c r="E2158" s="24"/>
      <c r="G2158" s="24"/>
      <c r="H2158" s="24"/>
      <c r="J2158" s="24"/>
      <c r="K2158" s="24"/>
      <c r="M2158" s="24"/>
      <c r="N2158" s="24"/>
      <c r="P2158" s="24"/>
    </row>
    <row r="2159" spans="2:16" x14ac:dyDescent="0.25">
      <c r="B2159" s="24"/>
      <c r="E2159" s="24"/>
      <c r="G2159" s="24"/>
      <c r="H2159" s="24"/>
      <c r="J2159" s="24"/>
      <c r="K2159" s="24"/>
      <c r="M2159" s="24"/>
      <c r="N2159" s="24"/>
      <c r="P2159" s="24"/>
    </row>
    <row r="2160" spans="2:16" x14ac:dyDescent="0.25">
      <c r="B2160" s="24"/>
      <c r="E2160" s="24"/>
      <c r="G2160" s="24"/>
      <c r="H2160" s="24"/>
      <c r="J2160" s="24"/>
      <c r="K2160" s="24"/>
      <c r="M2160" s="24"/>
      <c r="N2160" s="24"/>
      <c r="P2160" s="24"/>
    </row>
    <row r="2161" spans="2:16" x14ac:dyDescent="0.25">
      <c r="B2161" s="24"/>
      <c r="E2161" s="24"/>
      <c r="G2161" s="24"/>
      <c r="H2161" s="24"/>
      <c r="J2161" s="24"/>
      <c r="K2161" s="24"/>
      <c r="M2161" s="24"/>
      <c r="N2161" s="24"/>
      <c r="P2161" s="24"/>
    </row>
    <row r="2162" spans="2:16" x14ac:dyDescent="0.25">
      <c r="B2162" s="24"/>
      <c r="E2162" s="24"/>
      <c r="G2162" s="24"/>
      <c r="H2162" s="24"/>
      <c r="J2162" s="24"/>
      <c r="K2162" s="24"/>
      <c r="M2162" s="24"/>
      <c r="N2162" s="24"/>
      <c r="P2162" s="24"/>
    </row>
    <row r="2163" spans="2:16" x14ac:dyDescent="0.25">
      <c r="B2163" s="24"/>
      <c r="E2163" s="24"/>
      <c r="G2163" s="24"/>
      <c r="H2163" s="24"/>
      <c r="J2163" s="24"/>
      <c r="K2163" s="24"/>
      <c r="M2163" s="24"/>
      <c r="N2163" s="24"/>
      <c r="P2163" s="24"/>
    </row>
    <row r="2164" spans="2:16" x14ac:dyDescent="0.25">
      <c r="B2164" s="24"/>
      <c r="E2164" s="24"/>
      <c r="G2164" s="24"/>
      <c r="H2164" s="24"/>
      <c r="J2164" s="24"/>
      <c r="K2164" s="24"/>
      <c r="M2164" s="24"/>
      <c r="N2164" s="24"/>
      <c r="P2164" s="24"/>
    </row>
    <row r="2165" spans="2:16" x14ac:dyDescent="0.25">
      <c r="B2165" s="24"/>
      <c r="E2165" s="24"/>
      <c r="G2165" s="24"/>
      <c r="H2165" s="24"/>
      <c r="J2165" s="24"/>
      <c r="K2165" s="24"/>
      <c r="M2165" s="24"/>
      <c r="N2165" s="24"/>
      <c r="P2165" s="24"/>
    </row>
    <row r="2166" spans="2:16" x14ac:dyDescent="0.25">
      <c r="B2166" s="24"/>
      <c r="E2166" s="24"/>
      <c r="G2166" s="24"/>
      <c r="H2166" s="24"/>
      <c r="J2166" s="24"/>
      <c r="K2166" s="24"/>
      <c r="M2166" s="24"/>
      <c r="N2166" s="24"/>
      <c r="P2166" s="24"/>
    </row>
    <row r="2167" spans="2:16" x14ac:dyDescent="0.25">
      <c r="B2167" s="24"/>
      <c r="E2167" s="24"/>
      <c r="G2167" s="24"/>
      <c r="H2167" s="24"/>
      <c r="J2167" s="24"/>
      <c r="K2167" s="24"/>
      <c r="M2167" s="24"/>
      <c r="N2167" s="24"/>
      <c r="P2167" s="24"/>
    </row>
    <row r="2168" spans="2:16" x14ac:dyDescent="0.25">
      <c r="B2168" s="24"/>
      <c r="E2168" s="24"/>
      <c r="G2168" s="24"/>
      <c r="H2168" s="24"/>
      <c r="J2168" s="24"/>
      <c r="K2168" s="24"/>
      <c r="M2168" s="24"/>
      <c r="N2168" s="24"/>
      <c r="P2168" s="24"/>
    </row>
    <row r="2169" spans="2:16" x14ac:dyDescent="0.25">
      <c r="B2169" s="24"/>
      <c r="E2169" s="24"/>
      <c r="G2169" s="24"/>
      <c r="H2169" s="24"/>
      <c r="J2169" s="24"/>
      <c r="K2169" s="24"/>
      <c r="M2169" s="24"/>
      <c r="N2169" s="24"/>
      <c r="P2169" s="24"/>
    </row>
    <row r="2170" spans="2:16" x14ac:dyDescent="0.25">
      <c r="B2170" s="24"/>
      <c r="E2170" s="24"/>
      <c r="G2170" s="24"/>
      <c r="H2170" s="24"/>
      <c r="J2170" s="24"/>
      <c r="K2170" s="24"/>
      <c r="M2170" s="24"/>
      <c r="N2170" s="24"/>
      <c r="P2170" s="24"/>
    </row>
    <row r="2171" spans="2:16" x14ac:dyDescent="0.25">
      <c r="B2171" s="24"/>
      <c r="E2171" s="24"/>
      <c r="G2171" s="24"/>
      <c r="H2171" s="24"/>
      <c r="J2171" s="24"/>
      <c r="K2171" s="24"/>
      <c r="M2171" s="24"/>
      <c r="N2171" s="24"/>
      <c r="P2171" s="24"/>
    </row>
    <row r="2172" spans="2:16" x14ac:dyDescent="0.25">
      <c r="B2172" s="24"/>
      <c r="E2172" s="24"/>
      <c r="G2172" s="24"/>
      <c r="H2172" s="24"/>
      <c r="J2172" s="24"/>
      <c r="K2172" s="24"/>
      <c r="M2172" s="24"/>
      <c r="N2172" s="24"/>
      <c r="P2172" s="24"/>
    </row>
    <row r="2173" spans="2:16" x14ac:dyDescent="0.25">
      <c r="B2173" s="24"/>
      <c r="E2173" s="24"/>
      <c r="G2173" s="24"/>
      <c r="H2173" s="24"/>
      <c r="J2173" s="24"/>
      <c r="K2173" s="24"/>
      <c r="M2173" s="24"/>
      <c r="N2173" s="24"/>
      <c r="P2173" s="24"/>
    </row>
    <row r="2174" spans="2:16" x14ac:dyDescent="0.25">
      <c r="B2174" s="24"/>
      <c r="E2174" s="24"/>
      <c r="G2174" s="24"/>
      <c r="H2174" s="24"/>
      <c r="J2174" s="24"/>
      <c r="K2174" s="24"/>
      <c r="M2174" s="24"/>
      <c r="N2174" s="24"/>
      <c r="P2174" s="24"/>
    </row>
    <row r="2175" spans="2:16" x14ac:dyDescent="0.25">
      <c r="B2175" s="24"/>
      <c r="E2175" s="24"/>
      <c r="G2175" s="24"/>
      <c r="H2175" s="24"/>
      <c r="J2175" s="24"/>
      <c r="K2175" s="24"/>
      <c r="M2175" s="24"/>
      <c r="N2175" s="24"/>
      <c r="P2175" s="24"/>
    </row>
    <row r="2176" spans="2:16" x14ac:dyDescent="0.25">
      <c r="B2176" s="24"/>
      <c r="E2176" s="24"/>
      <c r="G2176" s="24"/>
      <c r="H2176" s="24"/>
      <c r="J2176" s="24"/>
      <c r="K2176" s="24"/>
      <c r="M2176" s="24"/>
      <c r="N2176" s="24"/>
      <c r="P2176" s="24"/>
    </row>
    <row r="2177" spans="2:16" x14ac:dyDescent="0.25">
      <c r="B2177" s="24"/>
      <c r="E2177" s="24"/>
      <c r="G2177" s="24"/>
      <c r="H2177" s="24"/>
      <c r="J2177" s="24"/>
      <c r="K2177" s="24"/>
      <c r="M2177" s="24"/>
      <c r="N2177" s="24"/>
      <c r="P2177" s="24"/>
    </row>
    <row r="2178" spans="2:16" x14ac:dyDescent="0.25">
      <c r="B2178" s="24"/>
      <c r="E2178" s="24"/>
      <c r="G2178" s="24"/>
      <c r="H2178" s="24"/>
      <c r="J2178" s="24"/>
      <c r="K2178" s="24"/>
      <c r="M2178" s="24"/>
      <c r="N2178" s="24"/>
      <c r="P2178" s="24"/>
    </row>
    <row r="2179" spans="2:16" x14ac:dyDescent="0.25">
      <c r="B2179" s="24"/>
      <c r="E2179" s="24"/>
      <c r="G2179" s="24"/>
      <c r="H2179" s="24"/>
      <c r="J2179" s="24"/>
      <c r="K2179" s="24"/>
      <c r="M2179" s="24"/>
      <c r="N2179" s="24"/>
      <c r="P2179" s="24"/>
    </row>
    <row r="2180" spans="2:16" x14ac:dyDescent="0.25">
      <c r="B2180" s="24"/>
      <c r="E2180" s="24"/>
      <c r="G2180" s="24"/>
      <c r="H2180" s="24"/>
      <c r="J2180" s="24"/>
      <c r="K2180" s="24"/>
      <c r="M2180" s="24"/>
      <c r="N2180" s="24"/>
      <c r="P2180" s="24"/>
    </row>
    <row r="2181" spans="2:16" x14ac:dyDescent="0.25">
      <c r="B2181" s="24"/>
      <c r="E2181" s="24"/>
      <c r="G2181" s="24"/>
      <c r="H2181" s="24"/>
      <c r="J2181" s="24"/>
      <c r="K2181" s="24"/>
      <c r="M2181" s="24"/>
      <c r="N2181" s="24"/>
      <c r="P2181" s="24"/>
    </row>
    <row r="2182" spans="2:16" x14ac:dyDescent="0.25">
      <c r="B2182" s="24"/>
      <c r="E2182" s="24"/>
      <c r="G2182" s="24"/>
      <c r="H2182" s="24"/>
      <c r="J2182" s="24"/>
      <c r="K2182" s="24"/>
      <c r="M2182" s="24"/>
      <c r="N2182" s="24"/>
      <c r="P2182" s="24"/>
    </row>
    <row r="2183" spans="2:16" x14ac:dyDescent="0.25">
      <c r="B2183" s="24"/>
      <c r="E2183" s="24"/>
      <c r="G2183" s="24"/>
      <c r="H2183" s="24"/>
      <c r="J2183" s="24"/>
      <c r="K2183" s="24"/>
      <c r="M2183" s="24"/>
      <c r="N2183" s="24"/>
      <c r="P2183" s="24"/>
    </row>
    <row r="2184" spans="2:16" x14ac:dyDescent="0.25">
      <c r="B2184" s="24"/>
      <c r="E2184" s="24"/>
      <c r="G2184" s="24"/>
      <c r="H2184" s="24"/>
      <c r="J2184" s="24"/>
      <c r="K2184" s="24"/>
      <c r="M2184" s="24"/>
      <c r="N2184" s="24"/>
      <c r="P2184" s="24"/>
    </row>
    <row r="2185" spans="2:16" x14ac:dyDescent="0.25">
      <c r="B2185" s="24"/>
      <c r="E2185" s="24"/>
      <c r="G2185" s="24"/>
      <c r="H2185" s="24"/>
      <c r="J2185" s="24"/>
      <c r="K2185" s="24"/>
      <c r="M2185" s="24"/>
      <c r="N2185" s="24"/>
      <c r="P2185" s="24"/>
    </row>
    <row r="2186" spans="2:16" x14ac:dyDescent="0.25">
      <c r="B2186" s="24"/>
      <c r="E2186" s="24"/>
      <c r="G2186" s="24"/>
      <c r="H2186" s="24"/>
      <c r="J2186" s="24"/>
      <c r="K2186" s="24"/>
      <c r="M2186" s="24"/>
      <c r="N2186" s="24"/>
      <c r="P2186" s="24"/>
    </row>
    <row r="2187" spans="2:16" x14ac:dyDescent="0.25">
      <c r="B2187" s="24"/>
      <c r="E2187" s="24"/>
      <c r="G2187" s="24"/>
      <c r="H2187" s="24"/>
      <c r="J2187" s="24"/>
      <c r="K2187" s="24"/>
      <c r="M2187" s="24"/>
      <c r="N2187" s="24"/>
      <c r="P2187" s="24"/>
    </row>
    <row r="2188" spans="2:16" x14ac:dyDescent="0.25">
      <c r="B2188" s="24"/>
      <c r="E2188" s="24"/>
      <c r="G2188" s="24"/>
      <c r="H2188" s="24"/>
      <c r="J2188" s="24"/>
      <c r="K2188" s="24"/>
      <c r="M2188" s="24"/>
      <c r="N2188" s="24"/>
      <c r="P2188" s="24"/>
    </row>
    <row r="2189" spans="2:16" x14ac:dyDescent="0.25">
      <c r="B2189" s="24"/>
      <c r="E2189" s="24"/>
      <c r="G2189" s="24"/>
      <c r="H2189" s="24"/>
      <c r="J2189" s="24"/>
      <c r="K2189" s="24"/>
      <c r="M2189" s="24"/>
      <c r="N2189" s="24"/>
      <c r="P2189" s="24"/>
    </row>
    <row r="2190" spans="2:16" x14ac:dyDescent="0.25">
      <c r="B2190" s="24"/>
      <c r="E2190" s="24"/>
      <c r="G2190" s="24"/>
      <c r="H2190" s="24"/>
      <c r="J2190" s="24"/>
      <c r="K2190" s="24"/>
      <c r="M2190" s="24"/>
      <c r="N2190" s="24"/>
      <c r="P2190" s="24"/>
    </row>
    <row r="2191" spans="2:16" x14ac:dyDescent="0.25">
      <c r="B2191" s="24"/>
      <c r="E2191" s="24"/>
      <c r="G2191" s="24"/>
      <c r="H2191" s="24"/>
      <c r="J2191" s="24"/>
      <c r="K2191" s="24"/>
      <c r="M2191" s="24"/>
      <c r="N2191" s="24"/>
      <c r="P2191" s="24"/>
    </row>
    <row r="2192" spans="2:16" x14ac:dyDescent="0.25">
      <c r="B2192" s="24"/>
      <c r="E2192" s="24"/>
      <c r="G2192" s="24"/>
      <c r="H2192" s="24"/>
      <c r="J2192" s="24"/>
      <c r="K2192" s="24"/>
      <c r="M2192" s="24"/>
      <c r="N2192" s="24"/>
      <c r="P2192" s="24"/>
    </row>
    <row r="2193" spans="2:16" x14ac:dyDescent="0.25">
      <c r="B2193" s="24"/>
      <c r="E2193" s="24"/>
      <c r="G2193" s="24"/>
      <c r="H2193" s="24"/>
      <c r="J2193" s="24"/>
      <c r="K2193" s="24"/>
      <c r="M2193" s="24"/>
      <c r="N2193" s="24"/>
      <c r="P2193" s="24"/>
    </row>
    <row r="2194" spans="2:16" x14ac:dyDescent="0.25">
      <c r="B2194" s="24"/>
      <c r="E2194" s="24"/>
      <c r="G2194" s="24"/>
      <c r="H2194" s="24"/>
      <c r="J2194" s="24"/>
      <c r="K2194" s="24"/>
      <c r="M2194" s="24"/>
      <c r="N2194" s="24"/>
      <c r="P2194" s="24"/>
    </row>
    <row r="2195" spans="2:16" x14ac:dyDescent="0.25">
      <c r="B2195" s="24"/>
      <c r="E2195" s="24"/>
      <c r="G2195" s="24"/>
      <c r="H2195" s="24"/>
      <c r="J2195" s="24"/>
      <c r="K2195" s="24"/>
      <c r="M2195" s="24"/>
      <c r="N2195" s="24"/>
      <c r="P2195" s="24"/>
    </row>
    <row r="2196" spans="2:16" x14ac:dyDescent="0.25">
      <c r="B2196" s="24"/>
      <c r="E2196" s="24"/>
      <c r="G2196" s="24"/>
      <c r="H2196" s="24"/>
      <c r="J2196" s="24"/>
      <c r="K2196" s="24"/>
      <c r="M2196" s="24"/>
      <c r="N2196" s="24"/>
      <c r="P2196" s="24"/>
    </row>
    <row r="2197" spans="2:16" x14ac:dyDescent="0.25">
      <c r="B2197" s="24"/>
      <c r="E2197" s="24"/>
      <c r="G2197" s="24"/>
      <c r="H2197" s="24"/>
      <c r="J2197" s="24"/>
      <c r="K2197" s="24"/>
      <c r="M2197" s="24"/>
      <c r="N2197" s="24"/>
      <c r="P2197" s="24"/>
    </row>
    <row r="2198" spans="2:16" x14ac:dyDescent="0.25">
      <c r="B2198" s="24"/>
      <c r="E2198" s="24"/>
      <c r="G2198" s="24"/>
      <c r="H2198" s="24"/>
      <c r="J2198" s="24"/>
      <c r="K2198" s="24"/>
      <c r="M2198" s="24"/>
      <c r="N2198" s="24"/>
      <c r="P2198" s="24"/>
    </row>
    <row r="2199" spans="2:16" x14ac:dyDescent="0.25">
      <c r="B2199" s="24"/>
      <c r="E2199" s="24"/>
      <c r="G2199" s="24"/>
      <c r="H2199" s="24"/>
      <c r="J2199" s="24"/>
      <c r="K2199" s="24"/>
      <c r="M2199" s="24"/>
      <c r="N2199" s="24"/>
      <c r="P2199" s="24"/>
    </row>
    <row r="2200" spans="2:16" x14ac:dyDescent="0.25">
      <c r="B2200" s="24"/>
      <c r="E2200" s="24"/>
      <c r="G2200" s="24"/>
      <c r="H2200" s="24"/>
      <c r="J2200" s="24"/>
      <c r="K2200" s="24"/>
      <c r="M2200" s="24"/>
      <c r="N2200" s="24"/>
      <c r="P2200" s="24"/>
    </row>
    <row r="2201" spans="2:16" x14ac:dyDescent="0.25">
      <c r="B2201" s="24"/>
      <c r="E2201" s="24"/>
      <c r="G2201" s="24"/>
      <c r="H2201" s="24"/>
      <c r="J2201" s="24"/>
      <c r="K2201" s="24"/>
      <c r="M2201" s="24"/>
      <c r="N2201" s="24"/>
      <c r="P2201" s="24"/>
    </row>
    <row r="2202" spans="2:16" x14ac:dyDescent="0.25">
      <c r="B2202" s="24"/>
      <c r="E2202" s="24"/>
      <c r="G2202" s="24"/>
      <c r="H2202" s="24"/>
      <c r="J2202" s="24"/>
      <c r="K2202" s="24"/>
      <c r="M2202" s="24"/>
      <c r="N2202" s="24"/>
      <c r="P2202" s="24"/>
    </row>
    <row r="2203" spans="2:16" x14ac:dyDescent="0.25">
      <c r="B2203" s="24"/>
      <c r="E2203" s="24"/>
      <c r="G2203" s="24"/>
      <c r="H2203" s="24"/>
      <c r="J2203" s="24"/>
      <c r="K2203" s="24"/>
      <c r="M2203" s="24"/>
      <c r="N2203" s="24"/>
      <c r="P2203" s="24"/>
    </row>
    <row r="2204" spans="2:16" x14ac:dyDescent="0.25">
      <c r="B2204" s="24"/>
      <c r="E2204" s="24"/>
      <c r="G2204" s="24"/>
      <c r="H2204" s="24"/>
      <c r="J2204" s="24"/>
      <c r="K2204" s="24"/>
      <c r="M2204" s="24"/>
      <c r="N2204" s="24"/>
      <c r="P2204" s="24"/>
    </row>
    <row r="2205" spans="2:16" x14ac:dyDescent="0.25">
      <c r="B2205" s="24"/>
      <c r="E2205" s="24"/>
      <c r="G2205" s="24"/>
      <c r="H2205" s="24"/>
      <c r="J2205" s="24"/>
      <c r="K2205" s="24"/>
      <c r="M2205" s="24"/>
      <c r="N2205" s="24"/>
      <c r="P2205" s="24"/>
    </row>
    <row r="2206" spans="2:16" x14ac:dyDescent="0.25">
      <c r="B2206" s="24"/>
      <c r="E2206" s="24"/>
      <c r="G2206" s="24"/>
      <c r="H2206" s="24"/>
      <c r="J2206" s="24"/>
      <c r="K2206" s="24"/>
      <c r="M2206" s="24"/>
      <c r="N2206" s="24"/>
      <c r="P2206" s="24"/>
    </row>
    <row r="2207" spans="2:16" x14ac:dyDescent="0.25">
      <c r="B2207" s="24"/>
      <c r="E2207" s="24"/>
      <c r="G2207" s="24"/>
      <c r="H2207" s="24"/>
      <c r="J2207" s="24"/>
      <c r="K2207" s="24"/>
      <c r="M2207" s="24"/>
      <c r="N2207" s="24"/>
      <c r="P2207" s="24"/>
    </row>
    <row r="2208" spans="2:16" x14ac:dyDescent="0.25">
      <c r="B2208" s="24"/>
      <c r="E2208" s="24"/>
      <c r="G2208" s="24"/>
      <c r="H2208" s="24"/>
      <c r="J2208" s="24"/>
      <c r="K2208" s="24"/>
      <c r="M2208" s="24"/>
      <c r="N2208" s="24"/>
      <c r="P2208" s="24"/>
    </row>
    <row r="2209" spans="2:16" x14ac:dyDescent="0.25">
      <c r="B2209" s="24"/>
      <c r="E2209" s="24"/>
      <c r="G2209" s="24"/>
      <c r="H2209" s="24"/>
      <c r="J2209" s="24"/>
      <c r="K2209" s="24"/>
      <c r="M2209" s="24"/>
      <c r="N2209" s="24"/>
      <c r="P2209" s="24"/>
    </row>
    <row r="2210" spans="2:16" x14ac:dyDescent="0.25">
      <c r="B2210" s="24"/>
      <c r="E2210" s="24"/>
      <c r="G2210" s="24"/>
      <c r="H2210" s="24"/>
      <c r="J2210" s="24"/>
      <c r="K2210" s="24"/>
      <c r="M2210" s="24"/>
      <c r="N2210" s="24"/>
      <c r="P2210" s="24"/>
    </row>
    <row r="2211" spans="2:16" x14ac:dyDescent="0.25">
      <c r="B2211" s="24"/>
      <c r="E2211" s="24"/>
      <c r="G2211" s="24"/>
      <c r="H2211" s="24"/>
      <c r="J2211" s="24"/>
      <c r="K2211" s="24"/>
      <c r="M2211" s="24"/>
      <c r="N2211" s="24"/>
      <c r="P2211" s="24"/>
    </row>
    <row r="2212" spans="2:16" x14ac:dyDescent="0.25">
      <c r="B2212" s="24"/>
      <c r="E2212" s="24"/>
      <c r="G2212" s="24"/>
      <c r="H2212" s="24"/>
      <c r="J2212" s="24"/>
      <c r="K2212" s="24"/>
      <c r="M2212" s="24"/>
      <c r="N2212" s="24"/>
      <c r="P2212" s="24"/>
    </row>
    <row r="2213" spans="2:16" x14ac:dyDescent="0.25">
      <c r="B2213" s="24"/>
      <c r="E2213" s="24"/>
      <c r="G2213" s="24"/>
      <c r="H2213" s="24"/>
      <c r="J2213" s="24"/>
      <c r="K2213" s="24"/>
      <c r="M2213" s="24"/>
      <c r="N2213" s="24"/>
      <c r="P2213" s="24"/>
    </row>
    <row r="2214" spans="2:16" x14ac:dyDescent="0.25">
      <c r="B2214" s="24"/>
      <c r="E2214" s="24"/>
      <c r="G2214" s="24"/>
      <c r="H2214" s="24"/>
      <c r="J2214" s="24"/>
      <c r="K2214" s="24"/>
      <c r="M2214" s="24"/>
      <c r="N2214" s="24"/>
      <c r="P2214" s="24"/>
    </row>
    <row r="2215" spans="2:16" x14ac:dyDescent="0.25">
      <c r="B2215" s="24"/>
      <c r="E2215" s="24"/>
      <c r="G2215" s="24"/>
      <c r="H2215" s="24"/>
      <c r="J2215" s="24"/>
      <c r="K2215" s="24"/>
      <c r="M2215" s="24"/>
      <c r="N2215" s="24"/>
      <c r="P2215" s="24"/>
    </row>
    <row r="2216" spans="2:16" x14ac:dyDescent="0.25">
      <c r="B2216" s="24"/>
      <c r="E2216" s="24"/>
      <c r="G2216" s="24"/>
      <c r="H2216" s="24"/>
      <c r="J2216" s="24"/>
      <c r="K2216" s="24"/>
      <c r="M2216" s="24"/>
      <c r="N2216" s="24"/>
      <c r="P2216" s="24"/>
    </row>
    <row r="2217" spans="2:16" x14ac:dyDescent="0.25">
      <c r="B2217" s="24"/>
      <c r="E2217" s="24"/>
      <c r="G2217" s="24"/>
      <c r="H2217" s="24"/>
      <c r="J2217" s="24"/>
      <c r="K2217" s="24"/>
      <c r="M2217" s="24"/>
      <c r="N2217" s="24"/>
      <c r="P2217" s="24"/>
    </row>
    <row r="2218" spans="2:16" x14ac:dyDescent="0.25">
      <c r="B2218" s="24"/>
      <c r="E2218" s="24"/>
      <c r="G2218" s="24"/>
      <c r="H2218" s="24"/>
      <c r="J2218" s="24"/>
      <c r="K2218" s="24"/>
      <c r="M2218" s="24"/>
      <c r="N2218" s="24"/>
      <c r="P2218" s="24"/>
    </row>
    <row r="2219" spans="2:16" x14ac:dyDescent="0.25">
      <c r="B2219" s="24"/>
      <c r="E2219" s="24"/>
      <c r="G2219" s="24"/>
      <c r="H2219" s="24"/>
      <c r="J2219" s="24"/>
      <c r="K2219" s="24"/>
      <c r="M2219" s="24"/>
      <c r="N2219" s="24"/>
      <c r="P2219" s="24"/>
    </row>
    <row r="2220" spans="2:16" x14ac:dyDescent="0.25">
      <c r="B2220" s="24"/>
      <c r="E2220" s="24"/>
      <c r="G2220" s="24"/>
      <c r="H2220" s="24"/>
      <c r="J2220" s="24"/>
      <c r="K2220" s="24"/>
      <c r="M2220" s="24"/>
      <c r="N2220" s="24"/>
      <c r="P2220" s="24"/>
    </row>
    <row r="2221" spans="2:16" x14ac:dyDescent="0.25">
      <c r="B2221" s="24"/>
      <c r="E2221" s="24"/>
      <c r="G2221" s="24"/>
      <c r="H2221" s="24"/>
      <c r="J2221" s="24"/>
      <c r="K2221" s="24"/>
      <c r="M2221" s="24"/>
      <c r="N2221" s="24"/>
      <c r="P2221" s="24"/>
    </row>
    <row r="2222" spans="2:16" x14ac:dyDescent="0.25">
      <c r="B2222" s="24"/>
      <c r="E2222" s="24"/>
      <c r="G2222" s="24"/>
      <c r="H2222" s="24"/>
      <c r="J2222" s="24"/>
      <c r="K2222" s="24"/>
      <c r="M2222" s="24"/>
      <c r="N2222" s="24"/>
      <c r="P2222" s="24"/>
    </row>
    <row r="2223" spans="2:16" x14ac:dyDescent="0.25">
      <c r="B2223" s="24"/>
      <c r="E2223" s="24"/>
      <c r="G2223" s="24"/>
      <c r="H2223" s="24"/>
      <c r="J2223" s="24"/>
      <c r="K2223" s="24"/>
      <c r="M2223" s="24"/>
      <c r="N2223" s="24"/>
      <c r="P2223" s="24"/>
    </row>
    <row r="2224" spans="2:16" x14ac:dyDescent="0.25">
      <c r="B2224" s="24"/>
      <c r="E2224" s="24"/>
      <c r="G2224" s="24"/>
      <c r="H2224" s="24"/>
      <c r="J2224" s="24"/>
      <c r="K2224" s="24"/>
      <c r="M2224" s="24"/>
      <c r="N2224" s="24"/>
      <c r="P2224" s="24"/>
    </row>
    <row r="2225" spans="2:16" x14ac:dyDescent="0.25">
      <c r="B2225" s="24"/>
      <c r="E2225" s="24"/>
      <c r="G2225" s="24"/>
      <c r="H2225" s="24"/>
      <c r="J2225" s="24"/>
      <c r="K2225" s="24"/>
      <c r="M2225" s="24"/>
      <c r="N2225" s="24"/>
      <c r="P2225" s="24"/>
    </row>
    <row r="2226" spans="2:16" x14ac:dyDescent="0.25">
      <c r="B2226" s="24"/>
      <c r="E2226" s="24"/>
      <c r="G2226" s="24"/>
      <c r="H2226" s="24"/>
      <c r="J2226" s="24"/>
      <c r="K2226" s="24"/>
      <c r="M2226" s="24"/>
      <c r="N2226" s="24"/>
      <c r="P2226" s="24"/>
    </row>
    <row r="2227" spans="2:16" x14ac:dyDescent="0.25">
      <c r="B2227" s="24"/>
      <c r="E2227" s="24"/>
      <c r="G2227" s="24"/>
      <c r="H2227" s="24"/>
      <c r="J2227" s="24"/>
      <c r="K2227" s="24"/>
      <c r="M2227" s="24"/>
      <c r="N2227" s="24"/>
      <c r="P2227" s="24"/>
    </row>
    <row r="2228" spans="2:16" x14ac:dyDescent="0.25">
      <c r="B2228" s="24"/>
      <c r="E2228" s="24"/>
      <c r="G2228" s="24"/>
      <c r="H2228" s="24"/>
      <c r="J2228" s="24"/>
      <c r="K2228" s="24"/>
      <c r="M2228" s="24"/>
      <c r="N2228" s="24"/>
      <c r="P2228" s="24"/>
    </row>
    <row r="2229" spans="2:16" x14ac:dyDescent="0.25">
      <c r="B2229" s="24"/>
      <c r="E2229" s="24"/>
      <c r="G2229" s="24"/>
      <c r="H2229" s="24"/>
      <c r="J2229" s="24"/>
      <c r="K2229" s="24"/>
      <c r="M2229" s="24"/>
      <c r="N2229" s="24"/>
      <c r="P2229" s="24"/>
    </row>
    <row r="2230" spans="2:16" x14ac:dyDescent="0.25">
      <c r="B2230" s="24"/>
      <c r="E2230" s="24"/>
      <c r="G2230" s="24"/>
      <c r="H2230" s="24"/>
      <c r="J2230" s="24"/>
      <c r="K2230" s="24"/>
      <c r="M2230" s="24"/>
      <c r="N2230" s="24"/>
      <c r="P2230" s="24"/>
    </row>
    <row r="2231" spans="2:16" x14ac:dyDescent="0.25">
      <c r="B2231" s="24"/>
      <c r="E2231" s="24"/>
      <c r="G2231" s="24"/>
      <c r="H2231" s="24"/>
      <c r="J2231" s="24"/>
      <c r="K2231" s="24"/>
      <c r="M2231" s="24"/>
      <c r="N2231" s="24"/>
      <c r="P2231" s="24"/>
    </row>
    <row r="2232" spans="2:16" x14ac:dyDescent="0.25">
      <c r="B2232" s="24"/>
      <c r="E2232" s="24"/>
      <c r="G2232" s="24"/>
      <c r="H2232" s="24"/>
      <c r="J2232" s="24"/>
      <c r="K2232" s="24"/>
      <c r="M2232" s="24"/>
      <c r="N2232" s="24"/>
      <c r="P2232" s="24"/>
    </row>
    <row r="2233" spans="2:16" x14ac:dyDescent="0.25">
      <c r="B2233" s="24"/>
      <c r="E2233" s="24"/>
      <c r="G2233" s="24"/>
      <c r="H2233" s="24"/>
      <c r="J2233" s="24"/>
      <c r="K2233" s="24"/>
      <c r="M2233" s="24"/>
      <c r="N2233" s="24"/>
      <c r="P2233" s="24"/>
    </row>
    <row r="2234" spans="2:16" x14ac:dyDescent="0.25">
      <c r="B2234" s="24"/>
      <c r="E2234" s="24"/>
      <c r="G2234" s="24"/>
      <c r="H2234" s="24"/>
      <c r="J2234" s="24"/>
      <c r="K2234" s="24"/>
      <c r="M2234" s="24"/>
      <c r="N2234" s="24"/>
      <c r="P2234" s="24"/>
    </row>
    <row r="2235" spans="2:16" x14ac:dyDescent="0.25">
      <c r="B2235" s="24"/>
      <c r="E2235" s="24"/>
      <c r="G2235" s="24"/>
      <c r="H2235" s="24"/>
      <c r="J2235" s="24"/>
      <c r="K2235" s="24"/>
      <c r="M2235" s="24"/>
      <c r="N2235" s="24"/>
      <c r="P2235" s="24"/>
    </row>
    <row r="2236" spans="2:16" x14ac:dyDescent="0.25">
      <c r="B2236" s="24"/>
      <c r="E2236" s="24"/>
      <c r="G2236" s="24"/>
      <c r="H2236" s="24"/>
      <c r="J2236" s="24"/>
      <c r="K2236" s="24"/>
      <c r="M2236" s="24"/>
      <c r="N2236" s="24"/>
      <c r="P2236" s="24"/>
    </row>
    <row r="2237" spans="2:16" x14ac:dyDescent="0.25">
      <c r="B2237" s="24"/>
      <c r="E2237" s="24"/>
      <c r="G2237" s="24"/>
      <c r="H2237" s="24"/>
      <c r="J2237" s="24"/>
      <c r="K2237" s="24"/>
      <c r="M2237" s="24"/>
      <c r="N2237" s="24"/>
      <c r="P2237" s="24"/>
    </row>
    <row r="2238" spans="2:16" x14ac:dyDescent="0.25">
      <c r="B2238" s="24"/>
      <c r="E2238" s="24"/>
      <c r="G2238" s="24"/>
      <c r="H2238" s="24"/>
      <c r="J2238" s="24"/>
      <c r="K2238" s="24"/>
      <c r="M2238" s="24"/>
      <c r="N2238" s="24"/>
      <c r="P2238" s="24"/>
    </row>
    <row r="2239" spans="2:16" x14ac:dyDescent="0.25">
      <c r="B2239" s="24"/>
      <c r="E2239" s="24"/>
      <c r="G2239" s="24"/>
      <c r="H2239" s="24"/>
      <c r="J2239" s="24"/>
      <c r="K2239" s="24"/>
      <c r="M2239" s="24"/>
      <c r="N2239" s="24"/>
      <c r="P2239" s="24"/>
    </row>
    <row r="2240" spans="2:16" x14ac:dyDescent="0.25">
      <c r="B2240" s="24"/>
      <c r="E2240" s="24"/>
      <c r="G2240" s="24"/>
      <c r="H2240" s="24"/>
      <c r="J2240" s="24"/>
      <c r="K2240" s="24"/>
      <c r="M2240" s="24"/>
      <c r="N2240" s="24"/>
      <c r="P2240" s="24"/>
    </row>
    <row r="2241" spans="2:16" x14ac:dyDescent="0.25">
      <c r="B2241" s="24"/>
      <c r="E2241" s="24"/>
      <c r="G2241" s="24"/>
      <c r="H2241" s="24"/>
      <c r="J2241" s="24"/>
      <c r="K2241" s="24"/>
      <c r="M2241" s="24"/>
      <c r="N2241" s="24"/>
      <c r="P2241" s="24"/>
    </row>
    <row r="2242" spans="2:16" x14ac:dyDescent="0.25">
      <c r="B2242" s="24"/>
      <c r="E2242" s="24"/>
      <c r="G2242" s="24"/>
      <c r="H2242" s="24"/>
      <c r="J2242" s="24"/>
      <c r="K2242" s="24"/>
      <c r="M2242" s="24"/>
      <c r="N2242" s="24"/>
      <c r="P2242" s="24"/>
    </row>
    <row r="2243" spans="2:16" x14ac:dyDescent="0.25">
      <c r="B2243" s="24"/>
      <c r="E2243" s="24"/>
      <c r="G2243" s="24"/>
      <c r="H2243" s="24"/>
      <c r="J2243" s="24"/>
      <c r="K2243" s="24"/>
      <c r="M2243" s="24"/>
      <c r="N2243" s="24"/>
      <c r="P2243" s="24"/>
    </row>
    <row r="2244" spans="2:16" x14ac:dyDescent="0.25">
      <c r="B2244" s="24"/>
      <c r="E2244" s="24"/>
      <c r="G2244" s="24"/>
      <c r="H2244" s="24"/>
      <c r="J2244" s="24"/>
      <c r="K2244" s="24"/>
      <c r="M2244" s="24"/>
      <c r="N2244" s="24"/>
      <c r="P2244" s="24"/>
    </row>
    <row r="2245" spans="2:16" x14ac:dyDescent="0.25">
      <c r="B2245" s="24"/>
      <c r="E2245" s="24"/>
      <c r="G2245" s="24"/>
      <c r="H2245" s="24"/>
      <c r="J2245" s="24"/>
      <c r="K2245" s="24"/>
      <c r="M2245" s="24"/>
      <c r="N2245" s="24"/>
      <c r="P2245" s="24"/>
    </row>
    <row r="2246" spans="2:16" x14ac:dyDescent="0.25">
      <c r="B2246" s="24"/>
      <c r="E2246" s="24"/>
      <c r="G2246" s="24"/>
      <c r="H2246" s="24"/>
      <c r="J2246" s="24"/>
      <c r="K2246" s="24"/>
      <c r="M2246" s="24"/>
      <c r="N2246" s="24"/>
      <c r="P2246" s="24"/>
    </row>
    <row r="2247" spans="2:16" x14ac:dyDescent="0.25">
      <c r="B2247" s="24"/>
      <c r="E2247" s="24"/>
      <c r="G2247" s="24"/>
      <c r="H2247" s="24"/>
      <c r="J2247" s="24"/>
      <c r="K2247" s="24"/>
      <c r="M2247" s="24"/>
      <c r="N2247" s="24"/>
      <c r="P2247" s="24"/>
    </row>
    <row r="2248" spans="2:16" x14ac:dyDescent="0.25">
      <c r="B2248" s="24"/>
      <c r="E2248" s="24"/>
      <c r="G2248" s="24"/>
      <c r="H2248" s="24"/>
      <c r="J2248" s="24"/>
      <c r="K2248" s="24"/>
      <c r="M2248" s="24"/>
      <c r="N2248" s="24"/>
      <c r="P2248" s="24"/>
    </row>
    <row r="2249" spans="2:16" x14ac:dyDescent="0.25">
      <c r="B2249" s="24"/>
      <c r="E2249" s="24"/>
      <c r="G2249" s="24"/>
      <c r="H2249" s="24"/>
      <c r="J2249" s="24"/>
      <c r="K2249" s="24"/>
      <c r="M2249" s="24"/>
      <c r="N2249" s="24"/>
      <c r="P2249" s="24"/>
    </row>
    <row r="2250" spans="2:16" x14ac:dyDescent="0.25">
      <c r="B2250" s="24"/>
      <c r="E2250" s="24"/>
      <c r="G2250" s="24"/>
      <c r="H2250" s="24"/>
      <c r="J2250" s="24"/>
      <c r="K2250" s="24"/>
      <c r="M2250" s="24"/>
      <c r="N2250" s="24"/>
      <c r="P2250" s="24"/>
    </row>
    <row r="2251" spans="2:16" x14ac:dyDescent="0.25">
      <c r="B2251" s="24"/>
      <c r="E2251" s="24"/>
      <c r="G2251" s="24"/>
      <c r="H2251" s="24"/>
      <c r="J2251" s="24"/>
      <c r="K2251" s="24"/>
      <c r="M2251" s="24"/>
      <c r="N2251" s="24"/>
      <c r="P2251" s="24"/>
    </row>
    <row r="2252" spans="2:16" x14ac:dyDescent="0.25">
      <c r="B2252" s="24"/>
      <c r="E2252" s="24"/>
      <c r="G2252" s="24"/>
      <c r="H2252" s="24"/>
      <c r="J2252" s="24"/>
      <c r="K2252" s="24"/>
      <c r="M2252" s="24"/>
      <c r="N2252" s="24"/>
      <c r="P2252" s="24"/>
    </row>
    <row r="2253" spans="2:16" x14ac:dyDescent="0.25">
      <c r="B2253" s="24"/>
      <c r="E2253" s="24"/>
      <c r="G2253" s="24"/>
      <c r="H2253" s="24"/>
      <c r="J2253" s="24"/>
      <c r="K2253" s="24"/>
      <c r="M2253" s="24"/>
      <c r="N2253" s="24"/>
      <c r="P2253" s="24"/>
    </row>
    <row r="2254" spans="2:16" x14ac:dyDescent="0.25">
      <c r="B2254" s="24"/>
      <c r="E2254" s="24"/>
      <c r="G2254" s="24"/>
      <c r="H2254" s="24"/>
      <c r="J2254" s="24"/>
      <c r="K2254" s="24"/>
      <c r="M2254" s="24"/>
      <c r="N2254" s="24"/>
      <c r="P2254" s="24"/>
    </row>
    <row r="2255" spans="2:16" x14ac:dyDescent="0.25">
      <c r="B2255" s="24"/>
      <c r="E2255" s="24"/>
      <c r="G2255" s="24"/>
      <c r="H2255" s="24"/>
      <c r="J2255" s="24"/>
      <c r="K2255" s="24"/>
      <c r="M2255" s="24"/>
      <c r="N2255" s="24"/>
      <c r="P2255" s="24"/>
    </row>
    <row r="2256" spans="2:16" x14ac:dyDescent="0.25">
      <c r="B2256" s="24"/>
      <c r="E2256" s="24"/>
      <c r="G2256" s="24"/>
      <c r="H2256" s="24"/>
      <c r="J2256" s="24"/>
      <c r="K2256" s="24"/>
      <c r="M2256" s="24"/>
      <c r="N2256" s="24"/>
      <c r="P2256" s="24"/>
    </row>
    <row r="2257" spans="2:16" x14ac:dyDescent="0.25">
      <c r="B2257" s="24"/>
      <c r="E2257" s="24"/>
      <c r="G2257" s="24"/>
      <c r="H2257" s="24"/>
      <c r="J2257" s="24"/>
      <c r="K2257" s="24"/>
      <c r="M2257" s="24"/>
      <c r="N2257" s="24"/>
      <c r="P2257" s="24"/>
    </row>
    <row r="2258" spans="2:16" x14ac:dyDescent="0.25">
      <c r="B2258" s="24"/>
      <c r="E2258" s="24"/>
      <c r="G2258" s="24"/>
      <c r="H2258" s="24"/>
      <c r="J2258" s="24"/>
      <c r="K2258" s="24"/>
      <c r="M2258" s="24"/>
      <c r="N2258" s="24"/>
      <c r="P2258" s="24"/>
    </row>
    <row r="2259" spans="2:16" x14ac:dyDescent="0.25">
      <c r="B2259" s="24"/>
      <c r="E2259" s="24"/>
      <c r="G2259" s="24"/>
      <c r="H2259" s="24"/>
      <c r="J2259" s="24"/>
      <c r="K2259" s="24"/>
      <c r="M2259" s="24"/>
      <c r="N2259" s="24"/>
      <c r="P2259" s="24"/>
    </row>
    <row r="2260" spans="2:16" x14ac:dyDescent="0.25">
      <c r="B2260" s="24"/>
      <c r="E2260" s="24"/>
      <c r="G2260" s="24"/>
      <c r="H2260" s="24"/>
      <c r="J2260" s="24"/>
      <c r="K2260" s="24"/>
      <c r="M2260" s="24"/>
      <c r="N2260" s="24"/>
      <c r="P2260" s="24"/>
    </row>
    <row r="2261" spans="2:16" x14ac:dyDescent="0.25">
      <c r="B2261" s="24"/>
      <c r="E2261" s="24"/>
      <c r="G2261" s="24"/>
      <c r="H2261" s="24"/>
      <c r="J2261" s="24"/>
      <c r="K2261" s="24"/>
      <c r="M2261" s="24"/>
      <c r="N2261" s="24"/>
      <c r="P2261" s="24"/>
    </row>
    <row r="2262" spans="2:16" x14ac:dyDescent="0.25">
      <c r="B2262" s="24"/>
      <c r="E2262" s="24"/>
      <c r="G2262" s="24"/>
      <c r="H2262" s="24"/>
      <c r="J2262" s="24"/>
      <c r="K2262" s="24"/>
      <c r="M2262" s="24"/>
      <c r="N2262" s="24"/>
      <c r="P2262" s="24"/>
    </row>
    <row r="2263" spans="2:16" x14ac:dyDescent="0.25">
      <c r="B2263" s="24"/>
      <c r="E2263" s="24"/>
      <c r="G2263" s="24"/>
      <c r="H2263" s="24"/>
      <c r="J2263" s="24"/>
      <c r="K2263" s="24"/>
      <c r="M2263" s="24"/>
      <c r="N2263" s="24"/>
      <c r="P2263" s="24"/>
    </row>
    <row r="2264" spans="2:16" x14ac:dyDescent="0.25">
      <c r="B2264" s="24"/>
      <c r="E2264" s="24"/>
      <c r="G2264" s="24"/>
      <c r="H2264" s="24"/>
      <c r="J2264" s="24"/>
      <c r="K2264" s="24"/>
      <c r="M2264" s="24"/>
      <c r="N2264" s="24"/>
      <c r="P2264" s="24"/>
    </row>
    <row r="2265" spans="2:16" x14ac:dyDescent="0.25">
      <c r="B2265" s="24"/>
      <c r="E2265" s="24"/>
      <c r="G2265" s="24"/>
      <c r="H2265" s="24"/>
      <c r="J2265" s="24"/>
      <c r="K2265" s="24"/>
      <c r="M2265" s="24"/>
      <c r="N2265" s="24"/>
      <c r="P2265" s="24"/>
    </row>
    <row r="2266" spans="2:16" x14ac:dyDescent="0.25">
      <c r="B2266" s="24"/>
      <c r="E2266" s="24"/>
      <c r="G2266" s="24"/>
      <c r="H2266" s="24"/>
      <c r="J2266" s="24"/>
      <c r="K2266" s="24"/>
      <c r="M2266" s="24"/>
      <c r="N2266" s="24"/>
      <c r="P2266" s="24"/>
    </row>
    <row r="2267" spans="2:16" x14ac:dyDescent="0.25">
      <c r="B2267" s="24"/>
      <c r="E2267" s="24"/>
      <c r="G2267" s="24"/>
      <c r="H2267" s="24"/>
      <c r="J2267" s="24"/>
      <c r="K2267" s="24"/>
      <c r="M2267" s="24"/>
      <c r="N2267" s="24"/>
      <c r="P2267" s="24"/>
    </row>
    <row r="2268" spans="2:16" x14ac:dyDescent="0.25">
      <c r="B2268" s="24"/>
      <c r="E2268" s="24"/>
      <c r="G2268" s="24"/>
      <c r="H2268" s="24"/>
      <c r="J2268" s="24"/>
      <c r="K2268" s="24"/>
      <c r="M2268" s="24"/>
      <c r="N2268" s="24"/>
      <c r="P2268" s="24"/>
    </row>
    <row r="2269" spans="2:16" x14ac:dyDescent="0.25">
      <c r="B2269" s="24"/>
      <c r="E2269" s="24"/>
      <c r="G2269" s="24"/>
      <c r="H2269" s="24"/>
      <c r="J2269" s="24"/>
      <c r="K2269" s="24"/>
      <c r="M2269" s="24"/>
      <c r="N2269" s="24"/>
      <c r="P2269" s="24"/>
    </row>
    <row r="2270" spans="2:16" x14ac:dyDescent="0.25">
      <c r="B2270" s="24"/>
      <c r="E2270" s="24"/>
      <c r="G2270" s="24"/>
      <c r="H2270" s="24"/>
      <c r="J2270" s="24"/>
      <c r="K2270" s="24"/>
      <c r="M2270" s="24"/>
      <c r="N2270" s="24"/>
      <c r="P2270" s="24"/>
    </row>
    <row r="2271" spans="2:16" x14ac:dyDescent="0.25">
      <c r="B2271" s="24"/>
      <c r="E2271" s="24"/>
      <c r="G2271" s="24"/>
      <c r="H2271" s="24"/>
      <c r="J2271" s="24"/>
      <c r="K2271" s="24"/>
      <c r="M2271" s="24"/>
      <c r="N2271" s="24"/>
      <c r="P2271" s="24"/>
    </row>
    <row r="2272" spans="2:16" x14ac:dyDescent="0.25">
      <c r="B2272" s="24"/>
      <c r="E2272" s="24"/>
      <c r="G2272" s="24"/>
      <c r="H2272" s="24"/>
      <c r="J2272" s="24"/>
      <c r="K2272" s="24"/>
      <c r="M2272" s="24"/>
      <c r="N2272" s="24"/>
      <c r="P2272" s="24"/>
    </row>
    <row r="2273" spans="2:16" x14ac:dyDescent="0.25">
      <c r="B2273" s="24"/>
      <c r="E2273" s="24"/>
      <c r="G2273" s="24"/>
      <c r="H2273" s="24"/>
      <c r="J2273" s="24"/>
      <c r="K2273" s="24"/>
      <c r="M2273" s="24"/>
      <c r="N2273" s="24"/>
      <c r="P2273" s="24"/>
    </row>
    <row r="2274" spans="2:16" x14ac:dyDescent="0.25">
      <c r="B2274" s="24"/>
      <c r="E2274" s="24"/>
      <c r="G2274" s="24"/>
      <c r="H2274" s="24"/>
      <c r="J2274" s="24"/>
      <c r="K2274" s="24"/>
      <c r="M2274" s="24"/>
      <c r="N2274" s="24"/>
      <c r="P2274" s="24"/>
    </row>
    <row r="2275" spans="2:16" x14ac:dyDescent="0.25">
      <c r="B2275" s="24"/>
      <c r="E2275" s="24"/>
      <c r="G2275" s="24"/>
      <c r="H2275" s="24"/>
      <c r="J2275" s="24"/>
      <c r="K2275" s="24"/>
      <c r="M2275" s="24"/>
      <c r="N2275" s="24"/>
      <c r="P2275" s="24"/>
    </row>
    <row r="2276" spans="2:16" x14ac:dyDescent="0.25">
      <c r="B2276" s="24"/>
      <c r="E2276" s="24"/>
      <c r="G2276" s="24"/>
      <c r="H2276" s="24"/>
      <c r="J2276" s="24"/>
      <c r="K2276" s="24"/>
      <c r="M2276" s="24"/>
      <c r="N2276" s="24"/>
      <c r="P2276" s="24"/>
    </row>
    <row r="2277" spans="2:16" x14ac:dyDescent="0.25">
      <c r="B2277" s="24"/>
      <c r="E2277" s="24"/>
      <c r="G2277" s="24"/>
      <c r="H2277" s="24"/>
      <c r="J2277" s="24"/>
      <c r="K2277" s="24"/>
      <c r="M2277" s="24"/>
      <c r="N2277" s="24"/>
      <c r="P2277" s="24"/>
    </row>
    <row r="2278" spans="2:16" x14ac:dyDescent="0.25">
      <c r="B2278" s="24"/>
      <c r="E2278" s="24"/>
      <c r="G2278" s="24"/>
      <c r="H2278" s="24"/>
      <c r="J2278" s="24"/>
      <c r="K2278" s="24"/>
      <c r="M2278" s="24"/>
      <c r="N2278" s="24"/>
      <c r="P2278" s="24"/>
    </row>
    <row r="2279" spans="2:16" x14ac:dyDescent="0.25">
      <c r="B2279" s="24"/>
      <c r="E2279" s="24"/>
      <c r="G2279" s="24"/>
      <c r="H2279" s="24"/>
      <c r="J2279" s="24"/>
      <c r="K2279" s="24"/>
      <c r="M2279" s="24"/>
      <c r="N2279" s="24"/>
      <c r="P2279" s="24"/>
    </row>
    <row r="2280" spans="2:16" x14ac:dyDescent="0.25">
      <c r="B2280" s="24"/>
      <c r="E2280" s="24"/>
      <c r="G2280" s="24"/>
      <c r="H2280" s="24"/>
      <c r="J2280" s="24"/>
      <c r="K2280" s="24"/>
      <c r="M2280" s="24"/>
      <c r="N2280" s="24"/>
      <c r="P2280" s="24"/>
    </row>
    <row r="2281" spans="2:16" x14ac:dyDescent="0.25">
      <c r="B2281" s="24"/>
      <c r="E2281" s="24"/>
      <c r="G2281" s="24"/>
      <c r="H2281" s="24"/>
      <c r="J2281" s="24"/>
      <c r="K2281" s="24"/>
      <c r="M2281" s="24"/>
      <c r="N2281" s="24"/>
      <c r="P2281" s="24"/>
    </row>
    <row r="2282" spans="2:16" x14ac:dyDescent="0.25">
      <c r="B2282" s="24"/>
      <c r="E2282" s="24"/>
      <c r="G2282" s="24"/>
      <c r="H2282" s="24"/>
      <c r="J2282" s="24"/>
      <c r="K2282" s="24"/>
      <c r="M2282" s="24"/>
      <c r="N2282" s="24"/>
      <c r="P2282" s="24"/>
    </row>
    <row r="2283" spans="2:16" x14ac:dyDescent="0.25">
      <c r="B2283" s="24"/>
      <c r="E2283" s="24"/>
      <c r="G2283" s="24"/>
      <c r="H2283" s="24"/>
      <c r="J2283" s="24"/>
      <c r="K2283" s="24"/>
      <c r="M2283" s="24"/>
      <c r="N2283" s="24"/>
      <c r="P2283" s="24"/>
    </row>
    <row r="2284" spans="2:16" x14ac:dyDescent="0.25">
      <c r="B2284" s="24"/>
      <c r="E2284" s="24"/>
      <c r="G2284" s="24"/>
      <c r="H2284" s="24"/>
      <c r="J2284" s="24"/>
      <c r="K2284" s="24"/>
      <c r="M2284" s="24"/>
      <c r="N2284" s="24"/>
      <c r="P2284" s="24"/>
    </row>
    <row r="2285" spans="2:16" x14ac:dyDescent="0.25">
      <c r="B2285" s="24"/>
      <c r="E2285" s="24"/>
      <c r="G2285" s="24"/>
      <c r="H2285" s="24"/>
      <c r="J2285" s="24"/>
      <c r="K2285" s="24"/>
      <c r="M2285" s="24"/>
      <c r="N2285" s="24"/>
      <c r="P2285" s="24"/>
    </row>
    <row r="2286" spans="2:16" x14ac:dyDescent="0.25">
      <c r="B2286" s="24"/>
      <c r="E2286" s="24"/>
      <c r="G2286" s="24"/>
      <c r="H2286" s="24"/>
      <c r="J2286" s="24"/>
      <c r="K2286" s="24"/>
      <c r="M2286" s="24"/>
      <c r="N2286" s="24"/>
      <c r="P2286" s="24"/>
    </row>
    <row r="2287" spans="2:16" x14ac:dyDescent="0.25">
      <c r="B2287" s="24"/>
      <c r="E2287" s="24"/>
      <c r="G2287" s="24"/>
      <c r="H2287" s="24"/>
      <c r="J2287" s="24"/>
      <c r="K2287" s="24"/>
      <c r="M2287" s="24"/>
      <c r="N2287" s="24"/>
      <c r="P2287" s="24"/>
    </row>
    <row r="2288" spans="2:16" x14ac:dyDescent="0.25">
      <c r="B2288" s="24"/>
      <c r="E2288" s="24"/>
      <c r="G2288" s="24"/>
      <c r="H2288" s="24"/>
      <c r="J2288" s="24"/>
      <c r="K2288" s="24"/>
      <c r="M2288" s="24"/>
      <c r="N2288" s="24"/>
      <c r="P2288" s="24"/>
    </row>
    <row r="2289" spans="2:16" x14ac:dyDescent="0.25">
      <c r="B2289" s="24"/>
      <c r="E2289" s="24"/>
      <c r="G2289" s="24"/>
      <c r="H2289" s="24"/>
      <c r="J2289" s="24"/>
      <c r="K2289" s="24"/>
      <c r="M2289" s="24"/>
      <c r="N2289" s="24"/>
      <c r="P2289" s="24"/>
    </row>
    <row r="2290" spans="2:16" x14ac:dyDescent="0.25">
      <c r="B2290" s="24"/>
      <c r="E2290" s="24"/>
      <c r="G2290" s="24"/>
      <c r="H2290" s="24"/>
      <c r="J2290" s="24"/>
      <c r="K2290" s="24"/>
      <c r="M2290" s="24"/>
      <c r="N2290" s="24"/>
      <c r="P2290" s="24"/>
    </row>
    <row r="2291" spans="2:16" x14ac:dyDescent="0.25">
      <c r="B2291" s="24"/>
      <c r="E2291" s="24"/>
      <c r="G2291" s="24"/>
      <c r="H2291" s="24"/>
      <c r="J2291" s="24"/>
      <c r="K2291" s="24"/>
      <c r="M2291" s="24"/>
      <c r="N2291" s="24"/>
      <c r="P2291" s="24"/>
    </row>
    <row r="2292" spans="2:16" x14ac:dyDescent="0.25">
      <c r="B2292" s="24"/>
      <c r="E2292" s="24"/>
      <c r="G2292" s="24"/>
      <c r="H2292" s="24"/>
      <c r="J2292" s="24"/>
      <c r="K2292" s="24"/>
      <c r="M2292" s="24"/>
      <c r="N2292" s="24"/>
      <c r="P2292" s="24"/>
    </row>
    <row r="2293" spans="2:16" x14ac:dyDescent="0.25">
      <c r="B2293" s="24"/>
      <c r="E2293" s="24"/>
      <c r="G2293" s="24"/>
      <c r="H2293" s="24"/>
      <c r="J2293" s="24"/>
      <c r="K2293" s="24"/>
      <c r="M2293" s="24"/>
      <c r="N2293" s="24"/>
      <c r="P2293" s="24"/>
    </row>
    <row r="2294" spans="2:16" x14ac:dyDescent="0.25">
      <c r="B2294" s="24"/>
      <c r="E2294" s="24"/>
      <c r="G2294" s="24"/>
      <c r="H2294" s="24"/>
      <c r="J2294" s="24"/>
      <c r="K2294" s="24"/>
      <c r="M2294" s="24"/>
      <c r="N2294" s="24"/>
      <c r="P2294" s="24"/>
    </row>
    <row r="2295" spans="2:16" x14ac:dyDescent="0.25">
      <c r="B2295" s="24"/>
      <c r="E2295" s="24"/>
      <c r="G2295" s="24"/>
      <c r="H2295" s="24"/>
      <c r="J2295" s="24"/>
      <c r="K2295" s="24"/>
      <c r="M2295" s="24"/>
      <c r="N2295" s="24"/>
      <c r="P2295" s="24"/>
    </row>
    <row r="2296" spans="2:16" x14ac:dyDescent="0.25">
      <c r="B2296" s="24"/>
      <c r="E2296" s="24"/>
      <c r="G2296" s="24"/>
      <c r="H2296" s="24"/>
      <c r="J2296" s="24"/>
      <c r="K2296" s="24"/>
      <c r="M2296" s="24"/>
      <c r="N2296" s="24"/>
      <c r="P2296" s="24"/>
    </row>
    <row r="2297" spans="2:16" x14ac:dyDescent="0.25">
      <c r="B2297" s="24"/>
      <c r="E2297" s="24"/>
      <c r="G2297" s="24"/>
      <c r="H2297" s="24"/>
      <c r="J2297" s="24"/>
      <c r="K2297" s="24"/>
      <c r="M2297" s="24"/>
      <c r="N2297" s="24"/>
      <c r="P2297" s="24"/>
    </row>
    <row r="2298" spans="2:16" x14ac:dyDescent="0.25">
      <c r="B2298" s="24"/>
      <c r="E2298" s="24"/>
      <c r="G2298" s="24"/>
      <c r="H2298" s="24"/>
      <c r="J2298" s="24"/>
      <c r="K2298" s="24"/>
      <c r="M2298" s="24"/>
      <c r="N2298" s="24"/>
      <c r="P2298" s="24"/>
    </row>
    <row r="2299" spans="2:16" x14ac:dyDescent="0.25">
      <c r="B2299" s="24"/>
      <c r="E2299" s="24"/>
      <c r="G2299" s="24"/>
      <c r="H2299" s="24"/>
      <c r="J2299" s="24"/>
      <c r="K2299" s="24"/>
      <c r="M2299" s="24"/>
      <c r="N2299" s="24"/>
      <c r="P2299" s="24"/>
    </row>
    <row r="2300" spans="2:16" x14ac:dyDescent="0.25">
      <c r="B2300" s="24"/>
      <c r="E2300" s="24"/>
      <c r="G2300" s="24"/>
      <c r="H2300" s="24"/>
      <c r="J2300" s="24"/>
      <c r="K2300" s="24"/>
      <c r="M2300" s="24"/>
      <c r="N2300" s="24"/>
      <c r="P2300" s="24"/>
    </row>
    <row r="2301" spans="2:16" x14ac:dyDescent="0.25">
      <c r="B2301" s="24"/>
      <c r="E2301" s="24"/>
      <c r="G2301" s="24"/>
      <c r="H2301" s="24"/>
      <c r="J2301" s="24"/>
      <c r="K2301" s="24"/>
      <c r="M2301" s="24"/>
      <c r="N2301" s="24"/>
      <c r="P2301" s="24"/>
    </row>
    <row r="2302" spans="2:16" x14ac:dyDescent="0.25">
      <c r="B2302" s="24"/>
      <c r="E2302" s="24"/>
      <c r="G2302" s="24"/>
      <c r="H2302" s="24"/>
      <c r="J2302" s="24"/>
      <c r="K2302" s="24"/>
      <c r="M2302" s="24"/>
      <c r="N2302" s="24"/>
      <c r="P2302" s="24"/>
    </row>
    <row r="2303" spans="2:16" x14ac:dyDescent="0.25">
      <c r="B2303" s="24"/>
      <c r="E2303" s="24"/>
      <c r="G2303" s="24"/>
      <c r="H2303" s="24"/>
      <c r="J2303" s="24"/>
      <c r="K2303" s="24"/>
      <c r="M2303" s="24"/>
      <c r="N2303" s="24"/>
      <c r="P2303" s="24"/>
    </row>
    <row r="2304" spans="2:16" x14ac:dyDescent="0.25">
      <c r="B2304" s="24"/>
      <c r="E2304" s="24"/>
      <c r="G2304" s="24"/>
      <c r="H2304" s="24"/>
      <c r="J2304" s="24"/>
      <c r="K2304" s="24"/>
      <c r="M2304" s="24"/>
      <c r="N2304" s="24"/>
      <c r="P2304" s="24"/>
    </row>
    <row r="2305" spans="2:16" x14ac:dyDescent="0.25">
      <c r="B2305" s="24"/>
      <c r="E2305" s="24"/>
      <c r="G2305" s="24"/>
      <c r="H2305" s="24"/>
      <c r="J2305" s="24"/>
      <c r="K2305" s="24"/>
      <c r="M2305" s="24"/>
      <c r="N2305" s="24"/>
      <c r="P2305" s="24"/>
    </row>
    <row r="2306" spans="2:16" x14ac:dyDescent="0.25">
      <c r="B2306" s="24"/>
      <c r="E2306" s="24"/>
      <c r="G2306" s="24"/>
      <c r="H2306" s="24"/>
      <c r="J2306" s="24"/>
      <c r="K2306" s="24"/>
      <c r="M2306" s="24"/>
      <c r="N2306" s="24"/>
      <c r="P2306" s="24"/>
    </row>
    <row r="2307" spans="2:16" x14ac:dyDescent="0.25">
      <c r="B2307" s="24"/>
      <c r="E2307" s="24"/>
      <c r="G2307" s="24"/>
      <c r="H2307" s="24"/>
      <c r="J2307" s="24"/>
      <c r="K2307" s="24"/>
      <c r="M2307" s="24"/>
      <c r="N2307" s="24"/>
      <c r="P2307" s="24"/>
    </row>
    <row r="2308" spans="2:16" x14ac:dyDescent="0.25">
      <c r="B2308" s="24"/>
      <c r="E2308" s="24"/>
      <c r="G2308" s="24"/>
      <c r="H2308" s="24"/>
      <c r="J2308" s="24"/>
      <c r="K2308" s="24"/>
      <c r="M2308" s="24"/>
      <c r="N2308" s="24"/>
      <c r="P2308" s="24"/>
    </row>
    <row r="2309" spans="2:16" x14ac:dyDescent="0.25">
      <c r="B2309" s="24"/>
      <c r="E2309" s="24"/>
      <c r="G2309" s="24"/>
      <c r="H2309" s="24"/>
      <c r="J2309" s="24"/>
      <c r="K2309" s="24"/>
      <c r="M2309" s="24"/>
      <c r="N2309" s="24"/>
      <c r="P2309" s="24"/>
    </row>
    <row r="2310" spans="2:16" x14ac:dyDescent="0.25">
      <c r="B2310" s="24"/>
      <c r="E2310" s="24"/>
      <c r="G2310" s="24"/>
      <c r="H2310" s="24"/>
      <c r="J2310" s="24"/>
      <c r="K2310" s="24"/>
      <c r="M2310" s="24"/>
      <c r="N2310" s="24"/>
      <c r="P2310" s="24"/>
    </row>
    <row r="2311" spans="2:16" x14ac:dyDescent="0.25">
      <c r="B2311" s="24"/>
      <c r="E2311" s="24"/>
      <c r="G2311" s="24"/>
      <c r="H2311" s="24"/>
      <c r="J2311" s="24"/>
      <c r="K2311" s="24"/>
      <c r="M2311" s="24"/>
      <c r="N2311" s="24"/>
      <c r="P2311" s="24"/>
    </row>
    <row r="2312" spans="2:16" x14ac:dyDescent="0.25">
      <c r="B2312" s="24"/>
      <c r="E2312" s="24"/>
      <c r="G2312" s="24"/>
      <c r="H2312" s="24"/>
      <c r="J2312" s="24"/>
      <c r="K2312" s="24"/>
      <c r="M2312" s="24"/>
      <c r="N2312" s="24"/>
      <c r="P2312" s="24"/>
    </row>
    <row r="2313" spans="2:16" x14ac:dyDescent="0.25">
      <c r="B2313" s="24"/>
      <c r="E2313" s="24"/>
      <c r="G2313" s="24"/>
      <c r="H2313" s="24"/>
      <c r="J2313" s="24"/>
      <c r="K2313" s="24"/>
      <c r="M2313" s="24"/>
      <c r="N2313" s="24"/>
      <c r="P2313" s="24"/>
    </row>
    <row r="2314" spans="2:16" x14ac:dyDescent="0.25">
      <c r="B2314" s="24"/>
      <c r="E2314" s="24"/>
      <c r="G2314" s="24"/>
      <c r="H2314" s="24"/>
      <c r="J2314" s="24"/>
      <c r="K2314" s="24"/>
      <c r="M2314" s="24"/>
      <c r="N2314" s="24"/>
      <c r="P2314" s="24"/>
    </row>
    <row r="2315" spans="2:16" x14ac:dyDescent="0.25">
      <c r="B2315" s="24"/>
      <c r="E2315" s="24"/>
      <c r="G2315" s="24"/>
      <c r="H2315" s="24"/>
      <c r="J2315" s="24"/>
      <c r="K2315" s="24"/>
      <c r="M2315" s="24"/>
      <c r="N2315" s="24"/>
      <c r="P2315" s="24"/>
    </row>
    <row r="2316" spans="2:16" x14ac:dyDescent="0.25">
      <c r="B2316" s="24"/>
      <c r="E2316" s="24"/>
      <c r="G2316" s="24"/>
      <c r="H2316" s="24"/>
      <c r="J2316" s="24"/>
      <c r="K2316" s="24"/>
      <c r="M2316" s="24"/>
      <c r="N2316" s="24"/>
      <c r="P2316" s="24"/>
    </row>
    <row r="2317" spans="2:16" x14ac:dyDescent="0.25">
      <c r="B2317" s="24"/>
      <c r="E2317" s="24"/>
      <c r="G2317" s="24"/>
      <c r="H2317" s="24"/>
      <c r="J2317" s="24"/>
      <c r="K2317" s="24"/>
      <c r="M2317" s="24"/>
      <c r="N2317" s="24"/>
      <c r="P2317" s="24"/>
    </row>
    <row r="2318" spans="2:16" x14ac:dyDescent="0.25">
      <c r="B2318" s="24"/>
      <c r="E2318" s="24"/>
      <c r="G2318" s="24"/>
      <c r="H2318" s="24"/>
      <c r="J2318" s="24"/>
      <c r="K2318" s="24"/>
      <c r="M2318" s="24"/>
      <c r="N2318" s="24"/>
      <c r="P2318" s="24"/>
    </row>
    <row r="2319" spans="2:16" x14ac:dyDescent="0.25">
      <c r="B2319" s="24"/>
      <c r="E2319" s="24"/>
      <c r="G2319" s="24"/>
      <c r="H2319" s="24"/>
      <c r="J2319" s="24"/>
      <c r="K2319" s="24"/>
      <c r="M2319" s="24"/>
      <c r="N2319" s="24"/>
      <c r="P2319" s="24"/>
    </row>
    <row r="2320" spans="2:16" x14ac:dyDescent="0.25">
      <c r="B2320" s="24"/>
      <c r="E2320" s="24"/>
      <c r="G2320" s="24"/>
      <c r="H2320" s="24"/>
      <c r="J2320" s="24"/>
      <c r="K2320" s="24"/>
      <c r="M2320" s="24"/>
      <c r="N2320" s="24"/>
      <c r="P2320" s="24"/>
    </row>
    <row r="2321" spans="2:16" x14ac:dyDescent="0.25">
      <c r="B2321" s="24"/>
      <c r="E2321" s="24"/>
      <c r="G2321" s="24"/>
      <c r="H2321" s="24"/>
      <c r="J2321" s="24"/>
      <c r="K2321" s="24"/>
      <c r="M2321" s="24"/>
      <c r="N2321" s="24"/>
      <c r="P2321" s="24"/>
    </row>
    <row r="2322" spans="2:16" x14ac:dyDescent="0.25">
      <c r="B2322" s="24"/>
      <c r="E2322" s="24"/>
      <c r="G2322" s="24"/>
      <c r="H2322" s="24"/>
      <c r="J2322" s="24"/>
      <c r="K2322" s="24"/>
      <c r="M2322" s="24"/>
      <c r="N2322" s="24"/>
      <c r="P2322" s="24"/>
    </row>
    <row r="2323" spans="2:16" x14ac:dyDescent="0.25">
      <c r="B2323" s="24"/>
      <c r="E2323" s="24"/>
      <c r="G2323" s="24"/>
      <c r="H2323" s="24"/>
      <c r="J2323" s="24"/>
      <c r="K2323" s="24"/>
      <c r="M2323" s="24"/>
      <c r="N2323" s="24"/>
      <c r="P2323" s="24"/>
    </row>
    <row r="2324" spans="2:16" x14ac:dyDescent="0.25">
      <c r="B2324" s="24"/>
      <c r="E2324" s="24"/>
      <c r="G2324" s="24"/>
      <c r="H2324" s="24"/>
      <c r="J2324" s="24"/>
      <c r="K2324" s="24"/>
      <c r="M2324" s="24"/>
      <c r="N2324" s="24"/>
      <c r="P2324" s="24"/>
    </row>
    <row r="2325" spans="2:16" x14ac:dyDescent="0.25">
      <c r="B2325" s="24"/>
      <c r="E2325" s="24"/>
      <c r="G2325" s="24"/>
      <c r="H2325" s="24"/>
      <c r="J2325" s="24"/>
      <c r="K2325" s="24"/>
      <c r="M2325" s="24"/>
      <c r="N2325" s="24"/>
      <c r="P2325" s="24"/>
    </row>
    <row r="2326" spans="2:16" x14ac:dyDescent="0.25">
      <c r="B2326" s="24"/>
      <c r="E2326" s="24"/>
      <c r="G2326" s="24"/>
      <c r="H2326" s="24"/>
      <c r="J2326" s="24"/>
      <c r="K2326" s="24"/>
      <c r="M2326" s="24"/>
      <c r="N2326" s="24"/>
      <c r="P2326" s="24"/>
    </row>
    <row r="2327" spans="2:16" x14ac:dyDescent="0.25">
      <c r="B2327" s="24"/>
      <c r="E2327" s="24"/>
      <c r="G2327" s="24"/>
      <c r="H2327" s="24"/>
      <c r="J2327" s="24"/>
      <c r="K2327" s="24"/>
      <c r="M2327" s="24"/>
      <c r="N2327" s="24"/>
      <c r="P2327" s="24"/>
    </row>
    <row r="2328" spans="2:16" x14ac:dyDescent="0.25">
      <c r="B2328" s="24"/>
      <c r="E2328" s="24"/>
      <c r="G2328" s="24"/>
      <c r="H2328" s="24"/>
      <c r="J2328" s="24"/>
      <c r="K2328" s="24"/>
      <c r="M2328" s="24"/>
      <c r="N2328" s="24"/>
      <c r="P2328" s="24"/>
    </row>
    <row r="2329" spans="2:16" x14ac:dyDescent="0.25">
      <c r="B2329" s="24"/>
      <c r="E2329" s="24"/>
      <c r="G2329" s="24"/>
      <c r="H2329" s="24"/>
      <c r="J2329" s="24"/>
      <c r="K2329" s="24"/>
      <c r="M2329" s="24"/>
      <c r="N2329" s="24"/>
      <c r="P2329" s="24"/>
    </row>
    <row r="2330" spans="2:16" x14ac:dyDescent="0.25">
      <c r="B2330" s="24"/>
      <c r="E2330" s="24"/>
      <c r="G2330" s="24"/>
      <c r="H2330" s="24"/>
      <c r="J2330" s="24"/>
      <c r="K2330" s="24"/>
      <c r="M2330" s="24"/>
      <c r="N2330" s="24"/>
      <c r="P2330" s="24"/>
    </row>
    <row r="2331" spans="2:16" x14ac:dyDescent="0.25">
      <c r="B2331" s="24"/>
      <c r="E2331" s="24"/>
      <c r="G2331" s="24"/>
      <c r="H2331" s="24"/>
      <c r="J2331" s="24"/>
      <c r="K2331" s="24"/>
      <c r="M2331" s="24"/>
      <c r="N2331" s="24"/>
      <c r="P2331" s="24"/>
    </row>
    <row r="2332" spans="2:16" x14ac:dyDescent="0.25">
      <c r="B2332" s="24"/>
      <c r="E2332" s="24"/>
      <c r="G2332" s="24"/>
      <c r="H2332" s="24"/>
      <c r="J2332" s="24"/>
      <c r="K2332" s="24"/>
      <c r="M2332" s="24"/>
      <c r="N2332" s="24"/>
      <c r="P2332" s="24"/>
    </row>
    <row r="2333" spans="2:16" x14ac:dyDescent="0.25">
      <c r="B2333" s="24"/>
      <c r="E2333" s="24"/>
      <c r="G2333" s="24"/>
      <c r="H2333" s="24"/>
      <c r="J2333" s="24"/>
      <c r="K2333" s="24"/>
      <c r="M2333" s="24"/>
      <c r="N2333" s="24"/>
      <c r="P2333" s="24"/>
    </row>
    <row r="2334" spans="2:16" x14ac:dyDescent="0.25">
      <c r="B2334" s="24"/>
      <c r="E2334" s="24"/>
      <c r="G2334" s="24"/>
      <c r="H2334" s="24"/>
      <c r="J2334" s="24"/>
      <c r="K2334" s="24"/>
      <c r="M2334" s="24"/>
      <c r="N2334" s="24"/>
      <c r="P2334" s="24"/>
    </row>
    <row r="2335" spans="2:16" x14ac:dyDescent="0.25">
      <c r="B2335" s="24"/>
      <c r="E2335" s="24"/>
      <c r="G2335" s="24"/>
      <c r="H2335" s="24"/>
      <c r="J2335" s="24"/>
      <c r="K2335" s="24"/>
      <c r="M2335" s="24"/>
      <c r="N2335" s="24"/>
      <c r="P2335" s="24"/>
    </row>
    <row r="2336" spans="2:16" x14ac:dyDescent="0.25">
      <c r="B2336" s="24"/>
      <c r="E2336" s="24"/>
      <c r="G2336" s="24"/>
      <c r="H2336" s="24"/>
      <c r="J2336" s="24"/>
      <c r="K2336" s="24"/>
      <c r="M2336" s="24"/>
      <c r="N2336" s="24"/>
      <c r="P2336" s="24"/>
    </row>
    <row r="2337" spans="2:16" x14ac:dyDescent="0.25">
      <c r="B2337" s="24"/>
      <c r="E2337" s="24"/>
      <c r="G2337" s="24"/>
      <c r="H2337" s="24"/>
      <c r="J2337" s="24"/>
      <c r="K2337" s="24"/>
      <c r="M2337" s="24"/>
      <c r="N2337" s="24"/>
      <c r="P2337" s="24"/>
    </row>
    <row r="2338" spans="2:16" x14ac:dyDescent="0.25">
      <c r="B2338" s="24"/>
      <c r="E2338" s="24"/>
      <c r="G2338" s="24"/>
      <c r="H2338" s="24"/>
      <c r="J2338" s="24"/>
      <c r="K2338" s="24"/>
      <c r="M2338" s="24"/>
      <c r="N2338" s="24"/>
      <c r="P2338" s="24"/>
    </row>
    <row r="2339" spans="2:16" x14ac:dyDescent="0.25">
      <c r="B2339" s="24"/>
      <c r="E2339" s="24"/>
      <c r="G2339" s="24"/>
      <c r="H2339" s="24"/>
      <c r="J2339" s="24"/>
      <c r="K2339" s="24"/>
      <c r="M2339" s="24"/>
      <c r="N2339" s="24"/>
      <c r="P2339" s="24"/>
    </row>
    <row r="2340" spans="2:16" x14ac:dyDescent="0.25">
      <c r="B2340" s="24"/>
      <c r="E2340" s="24"/>
      <c r="G2340" s="24"/>
      <c r="H2340" s="24"/>
      <c r="J2340" s="24"/>
      <c r="K2340" s="24"/>
      <c r="M2340" s="24"/>
      <c r="N2340" s="24"/>
      <c r="P2340" s="24"/>
    </row>
    <row r="2341" spans="2:16" x14ac:dyDescent="0.25">
      <c r="B2341" s="24"/>
      <c r="E2341" s="24"/>
      <c r="G2341" s="24"/>
      <c r="H2341" s="24"/>
      <c r="J2341" s="24"/>
      <c r="K2341" s="24"/>
      <c r="M2341" s="24"/>
      <c r="N2341" s="24"/>
      <c r="P2341" s="24"/>
    </row>
    <row r="2342" spans="2:16" x14ac:dyDescent="0.25">
      <c r="B2342" s="24"/>
      <c r="E2342" s="24"/>
      <c r="G2342" s="24"/>
      <c r="H2342" s="24"/>
      <c r="J2342" s="24"/>
      <c r="K2342" s="24"/>
      <c r="M2342" s="24"/>
      <c r="N2342" s="24"/>
      <c r="P2342" s="24"/>
    </row>
    <row r="2343" spans="2:16" x14ac:dyDescent="0.25">
      <c r="B2343" s="24"/>
      <c r="E2343" s="24"/>
      <c r="G2343" s="24"/>
      <c r="H2343" s="24"/>
      <c r="J2343" s="24"/>
      <c r="K2343" s="24"/>
      <c r="M2343" s="24"/>
      <c r="N2343" s="24"/>
      <c r="P2343" s="24"/>
    </row>
    <row r="2344" spans="2:16" x14ac:dyDescent="0.25">
      <c r="B2344" s="24"/>
      <c r="E2344" s="24"/>
      <c r="G2344" s="24"/>
      <c r="H2344" s="24"/>
      <c r="J2344" s="24"/>
      <c r="K2344" s="24"/>
      <c r="M2344" s="24"/>
      <c r="N2344" s="24"/>
      <c r="P2344" s="24"/>
    </row>
    <row r="2345" spans="2:16" x14ac:dyDescent="0.25">
      <c r="B2345" s="24"/>
      <c r="E2345" s="24"/>
      <c r="G2345" s="24"/>
      <c r="H2345" s="24"/>
      <c r="J2345" s="24"/>
      <c r="K2345" s="24"/>
      <c r="M2345" s="24"/>
      <c r="N2345" s="24"/>
      <c r="P2345" s="24"/>
    </row>
    <row r="2346" spans="2:16" x14ac:dyDescent="0.25">
      <c r="B2346" s="24"/>
      <c r="E2346" s="24"/>
      <c r="G2346" s="24"/>
      <c r="H2346" s="24"/>
      <c r="J2346" s="24"/>
      <c r="K2346" s="24"/>
      <c r="M2346" s="24"/>
      <c r="N2346" s="24"/>
      <c r="P2346" s="24"/>
    </row>
    <row r="2347" spans="2:16" x14ac:dyDescent="0.25">
      <c r="B2347" s="24"/>
      <c r="E2347" s="24"/>
      <c r="G2347" s="24"/>
      <c r="H2347" s="24"/>
      <c r="J2347" s="24"/>
      <c r="K2347" s="24"/>
      <c r="M2347" s="24"/>
      <c r="N2347" s="24"/>
      <c r="P2347" s="24"/>
    </row>
    <row r="2348" spans="2:16" x14ac:dyDescent="0.25">
      <c r="B2348" s="24"/>
      <c r="E2348" s="24"/>
      <c r="G2348" s="24"/>
      <c r="H2348" s="24"/>
      <c r="J2348" s="24"/>
      <c r="K2348" s="24"/>
      <c r="M2348" s="24"/>
      <c r="N2348" s="24"/>
      <c r="P2348" s="24"/>
    </row>
    <row r="2349" spans="2:16" x14ac:dyDescent="0.25">
      <c r="B2349" s="24"/>
      <c r="E2349" s="24"/>
      <c r="G2349" s="24"/>
      <c r="H2349" s="24"/>
      <c r="J2349" s="24"/>
      <c r="K2349" s="24"/>
      <c r="M2349" s="24"/>
      <c r="N2349" s="24"/>
      <c r="P2349" s="24"/>
    </row>
    <row r="2350" spans="2:16" x14ac:dyDescent="0.25">
      <c r="B2350" s="24"/>
      <c r="E2350" s="24"/>
      <c r="G2350" s="24"/>
      <c r="H2350" s="24"/>
      <c r="J2350" s="24"/>
      <c r="K2350" s="24"/>
      <c r="M2350" s="24"/>
      <c r="N2350" s="24"/>
      <c r="P2350" s="24"/>
    </row>
    <row r="2351" spans="2:16" x14ac:dyDescent="0.25">
      <c r="B2351" s="24"/>
      <c r="E2351" s="24"/>
      <c r="G2351" s="24"/>
      <c r="H2351" s="24"/>
      <c r="J2351" s="24"/>
      <c r="K2351" s="24"/>
      <c r="M2351" s="24"/>
      <c r="N2351" s="24"/>
      <c r="P2351" s="24"/>
    </row>
    <row r="2352" spans="2:16" x14ac:dyDescent="0.25">
      <c r="B2352" s="24"/>
      <c r="E2352" s="24"/>
      <c r="G2352" s="24"/>
      <c r="H2352" s="24"/>
      <c r="J2352" s="24"/>
      <c r="K2352" s="24"/>
      <c r="M2352" s="24"/>
      <c r="N2352" s="24"/>
      <c r="P2352" s="24"/>
    </row>
    <row r="2353" spans="2:16" x14ac:dyDescent="0.25">
      <c r="B2353" s="24"/>
      <c r="E2353" s="24"/>
      <c r="G2353" s="24"/>
      <c r="H2353" s="24"/>
      <c r="J2353" s="24"/>
      <c r="K2353" s="24"/>
      <c r="M2353" s="24"/>
      <c r="N2353" s="24"/>
      <c r="P2353" s="24"/>
    </row>
    <row r="2354" spans="2:16" x14ac:dyDescent="0.25">
      <c r="B2354" s="24"/>
      <c r="E2354" s="24"/>
      <c r="G2354" s="24"/>
      <c r="H2354" s="24"/>
      <c r="J2354" s="24"/>
      <c r="K2354" s="24"/>
      <c r="M2354" s="24"/>
      <c r="N2354" s="24"/>
      <c r="P2354" s="24"/>
    </row>
    <row r="2355" spans="2:16" x14ac:dyDescent="0.25">
      <c r="B2355" s="24"/>
      <c r="E2355" s="24"/>
      <c r="G2355" s="24"/>
      <c r="H2355" s="24"/>
      <c r="J2355" s="24"/>
      <c r="K2355" s="24"/>
      <c r="M2355" s="24"/>
      <c r="N2355" s="24"/>
      <c r="P2355" s="24"/>
    </row>
    <row r="2356" spans="2:16" x14ac:dyDescent="0.25">
      <c r="B2356" s="24"/>
      <c r="E2356" s="24"/>
      <c r="G2356" s="24"/>
      <c r="H2356" s="24"/>
      <c r="J2356" s="24"/>
      <c r="K2356" s="24"/>
      <c r="M2356" s="24"/>
      <c r="N2356" s="24"/>
      <c r="P2356" s="24"/>
    </row>
    <row r="2357" spans="2:16" x14ac:dyDescent="0.25">
      <c r="B2357" s="24"/>
      <c r="E2357" s="24"/>
      <c r="G2357" s="24"/>
      <c r="H2357" s="24"/>
      <c r="J2357" s="24"/>
      <c r="K2357" s="24"/>
      <c r="M2357" s="24"/>
      <c r="N2357" s="24"/>
      <c r="P2357" s="24"/>
    </row>
    <row r="2358" spans="2:16" x14ac:dyDescent="0.25">
      <c r="B2358" s="24"/>
      <c r="E2358" s="24"/>
      <c r="G2358" s="24"/>
      <c r="H2358" s="24"/>
      <c r="J2358" s="24"/>
      <c r="K2358" s="24"/>
      <c r="M2358" s="24"/>
      <c r="N2358" s="24"/>
      <c r="P2358" s="24"/>
    </row>
    <row r="2359" spans="2:16" x14ac:dyDescent="0.25">
      <c r="B2359" s="24"/>
      <c r="E2359" s="24"/>
      <c r="G2359" s="24"/>
      <c r="H2359" s="24"/>
      <c r="J2359" s="24"/>
      <c r="K2359" s="24"/>
      <c r="M2359" s="24"/>
      <c r="N2359" s="24"/>
      <c r="P2359" s="24"/>
    </row>
    <row r="2360" spans="2:16" x14ac:dyDescent="0.25">
      <c r="B2360" s="24"/>
      <c r="E2360" s="24"/>
      <c r="G2360" s="24"/>
      <c r="H2360" s="24"/>
      <c r="J2360" s="24"/>
      <c r="K2360" s="24"/>
      <c r="M2360" s="24"/>
      <c r="N2360" s="24"/>
      <c r="P2360" s="24"/>
    </row>
    <row r="2361" spans="2:16" x14ac:dyDescent="0.25">
      <c r="B2361" s="24"/>
      <c r="E2361" s="24"/>
      <c r="G2361" s="24"/>
      <c r="H2361" s="24"/>
      <c r="J2361" s="24"/>
      <c r="K2361" s="24"/>
      <c r="M2361" s="24"/>
      <c r="N2361" s="24"/>
      <c r="P2361" s="24"/>
    </row>
    <row r="2362" spans="2:16" x14ac:dyDescent="0.25">
      <c r="B2362" s="24"/>
      <c r="E2362" s="24"/>
      <c r="G2362" s="24"/>
      <c r="H2362" s="24"/>
      <c r="J2362" s="24"/>
      <c r="K2362" s="24"/>
      <c r="M2362" s="24"/>
      <c r="N2362" s="24"/>
      <c r="P2362" s="24"/>
    </row>
    <row r="2363" spans="2:16" x14ac:dyDescent="0.25">
      <c r="B2363" s="24"/>
      <c r="E2363" s="24"/>
      <c r="G2363" s="24"/>
      <c r="H2363" s="24"/>
      <c r="J2363" s="24"/>
      <c r="K2363" s="24"/>
      <c r="M2363" s="24"/>
      <c r="N2363" s="24"/>
      <c r="P2363" s="24"/>
    </row>
    <row r="2364" spans="2:16" x14ac:dyDescent="0.25">
      <c r="B2364" s="24"/>
      <c r="E2364" s="24"/>
      <c r="G2364" s="24"/>
      <c r="H2364" s="24"/>
      <c r="J2364" s="24"/>
      <c r="K2364" s="24"/>
      <c r="M2364" s="24"/>
      <c r="N2364" s="24"/>
      <c r="P2364" s="24"/>
    </row>
    <row r="2365" spans="2:16" x14ac:dyDescent="0.25">
      <c r="B2365" s="24"/>
      <c r="E2365" s="24"/>
      <c r="G2365" s="24"/>
      <c r="H2365" s="24"/>
      <c r="J2365" s="24"/>
      <c r="K2365" s="24"/>
      <c r="M2365" s="24"/>
      <c r="N2365" s="24"/>
      <c r="P2365" s="24"/>
    </row>
    <row r="2366" spans="2:16" x14ac:dyDescent="0.25">
      <c r="B2366" s="24"/>
      <c r="E2366" s="24"/>
      <c r="G2366" s="24"/>
      <c r="H2366" s="24"/>
      <c r="J2366" s="24"/>
      <c r="K2366" s="24"/>
      <c r="M2366" s="24"/>
      <c r="N2366" s="24"/>
      <c r="P2366" s="24"/>
    </row>
    <row r="2367" spans="2:16" x14ac:dyDescent="0.25">
      <c r="B2367" s="24"/>
      <c r="E2367" s="24"/>
      <c r="G2367" s="24"/>
      <c r="H2367" s="24"/>
      <c r="J2367" s="24"/>
      <c r="K2367" s="24"/>
      <c r="M2367" s="24"/>
      <c r="N2367" s="24"/>
      <c r="P2367" s="24"/>
    </row>
    <row r="2368" spans="2:16" x14ac:dyDescent="0.25">
      <c r="B2368" s="24"/>
      <c r="E2368" s="24"/>
      <c r="G2368" s="24"/>
      <c r="H2368" s="24"/>
      <c r="J2368" s="24"/>
      <c r="K2368" s="24"/>
      <c r="M2368" s="24"/>
      <c r="N2368" s="24"/>
      <c r="P2368" s="24"/>
    </row>
    <row r="2369" spans="2:16" x14ac:dyDescent="0.25">
      <c r="B2369" s="24"/>
      <c r="E2369" s="24"/>
      <c r="G2369" s="24"/>
      <c r="H2369" s="24"/>
      <c r="J2369" s="24"/>
      <c r="K2369" s="24"/>
      <c r="M2369" s="24"/>
      <c r="N2369" s="24"/>
      <c r="P2369" s="24"/>
    </row>
    <row r="2370" spans="2:16" x14ac:dyDescent="0.25">
      <c r="B2370" s="24"/>
      <c r="E2370" s="24"/>
      <c r="G2370" s="24"/>
      <c r="H2370" s="24"/>
      <c r="J2370" s="24"/>
      <c r="K2370" s="24"/>
      <c r="M2370" s="24"/>
      <c r="N2370" s="24"/>
      <c r="P2370" s="24"/>
    </row>
    <row r="2371" spans="2:16" x14ac:dyDescent="0.25">
      <c r="B2371" s="24"/>
      <c r="E2371" s="24"/>
      <c r="G2371" s="24"/>
      <c r="H2371" s="24"/>
      <c r="J2371" s="24"/>
      <c r="K2371" s="24"/>
      <c r="M2371" s="24"/>
      <c r="N2371" s="24"/>
      <c r="P2371" s="24"/>
    </row>
    <row r="2372" spans="2:16" x14ac:dyDescent="0.25">
      <c r="B2372" s="24"/>
      <c r="E2372" s="24"/>
      <c r="G2372" s="24"/>
      <c r="H2372" s="24"/>
      <c r="J2372" s="24"/>
      <c r="K2372" s="24"/>
      <c r="M2372" s="24"/>
      <c r="N2372" s="24"/>
      <c r="P2372" s="24"/>
    </row>
    <row r="2373" spans="2:16" x14ac:dyDescent="0.25">
      <c r="B2373" s="24"/>
      <c r="E2373" s="24"/>
      <c r="G2373" s="24"/>
      <c r="H2373" s="24"/>
      <c r="J2373" s="24"/>
      <c r="K2373" s="24"/>
      <c r="M2373" s="24"/>
      <c r="N2373" s="24"/>
      <c r="P2373" s="24"/>
    </row>
    <row r="2374" spans="2:16" x14ac:dyDescent="0.25">
      <c r="B2374" s="24"/>
      <c r="E2374" s="24"/>
      <c r="G2374" s="24"/>
      <c r="H2374" s="24"/>
      <c r="J2374" s="24"/>
      <c r="K2374" s="24"/>
      <c r="M2374" s="24"/>
      <c r="N2374" s="24"/>
      <c r="P2374" s="24"/>
    </row>
    <row r="2375" spans="2:16" x14ac:dyDescent="0.25">
      <c r="B2375" s="24"/>
      <c r="E2375" s="24"/>
      <c r="G2375" s="24"/>
      <c r="H2375" s="24"/>
      <c r="J2375" s="24"/>
      <c r="K2375" s="24"/>
      <c r="M2375" s="24"/>
      <c r="N2375" s="24"/>
      <c r="P2375" s="24"/>
    </row>
    <row r="2376" spans="2:16" x14ac:dyDescent="0.25">
      <c r="B2376" s="24"/>
      <c r="E2376" s="24"/>
      <c r="G2376" s="24"/>
      <c r="H2376" s="24"/>
      <c r="J2376" s="24"/>
      <c r="K2376" s="24"/>
      <c r="M2376" s="24"/>
      <c r="N2376" s="24"/>
      <c r="P2376" s="24"/>
    </row>
    <row r="2377" spans="2:16" x14ac:dyDescent="0.25">
      <c r="B2377" s="24"/>
      <c r="E2377" s="24"/>
      <c r="G2377" s="24"/>
      <c r="H2377" s="24"/>
      <c r="J2377" s="24"/>
      <c r="K2377" s="24"/>
      <c r="M2377" s="24"/>
      <c r="N2377" s="24"/>
      <c r="P2377" s="24"/>
    </row>
    <row r="2378" spans="2:16" x14ac:dyDescent="0.25">
      <c r="B2378" s="24"/>
      <c r="E2378" s="24"/>
      <c r="G2378" s="24"/>
      <c r="H2378" s="24"/>
      <c r="J2378" s="24"/>
      <c r="K2378" s="24"/>
      <c r="M2378" s="24"/>
      <c r="N2378" s="24"/>
      <c r="P2378" s="24"/>
    </row>
    <row r="2379" spans="2:16" x14ac:dyDescent="0.25">
      <c r="B2379" s="24"/>
      <c r="E2379" s="24"/>
      <c r="G2379" s="24"/>
      <c r="H2379" s="24"/>
      <c r="J2379" s="24"/>
      <c r="K2379" s="24"/>
      <c r="M2379" s="24"/>
      <c r="N2379" s="24"/>
      <c r="P2379" s="24"/>
    </row>
    <row r="2380" spans="2:16" x14ac:dyDescent="0.25">
      <c r="B2380" s="24"/>
      <c r="E2380" s="24"/>
      <c r="G2380" s="24"/>
      <c r="H2380" s="24"/>
      <c r="J2380" s="24"/>
      <c r="K2380" s="24"/>
      <c r="M2380" s="24"/>
      <c r="N2380" s="24"/>
      <c r="P2380" s="24"/>
    </row>
    <row r="2381" spans="2:16" x14ac:dyDescent="0.25">
      <c r="B2381" s="24"/>
      <c r="E2381" s="24"/>
      <c r="G2381" s="24"/>
      <c r="H2381" s="24"/>
      <c r="J2381" s="24"/>
      <c r="K2381" s="24"/>
      <c r="M2381" s="24"/>
      <c r="N2381" s="24"/>
      <c r="P2381" s="24"/>
    </row>
    <row r="2382" spans="2:16" x14ac:dyDescent="0.25">
      <c r="B2382" s="24"/>
      <c r="E2382" s="24"/>
      <c r="G2382" s="24"/>
      <c r="H2382" s="24"/>
      <c r="J2382" s="24"/>
      <c r="K2382" s="24"/>
      <c r="M2382" s="24"/>
      <c r="N2382" s="24"/>
      <c r="P2382" s="24"/>
    </row>
    <row r="2383" spans="2:16" x14ac:dyDescent="0.25">
      <c r="B2383" s="24"/>
      <c r="E2383" s="24"/>
      <c r="G2383" s="24"/>
      <c r="H2383" s="24"/>
      <c r="J2383" s="24"/>
      <c r="K2383" s="24"/>
      <c r="M2383" s="24"/>
      <c r="N2383" s="24"/>
      <c r="P2383" s="24"/>
    </row>
    <row r="2384" spans="2:16" x14ac:dyDescent="0.25">
      <c r="B2384" s="24"/>
      <c r="E2384" s="24"/>
      <c r="G2384" s="24"/>
      <c r="H2384" s="24"/>
      <c r="J2384" s="24"/>
      <c r="K2384" s="24"/>
      <c r="M2384" s="24"/>
      <c r="N2384" s="24"/>
      <c r="P2384" s="24"/>
    </row>
    <row r="2385" spans="2:16" x14ac:dyDescent="0.25">
      <c r="B2385" s="24"/>
      <c r="E2385" s="24"/>
      <c r="G2385" s="24"/>
      <c r="H2385" s="24"/>
      <c r="J2385" s="24"/>
      <c r="K2385" s="24"/>
      <c r="M2385" s="24"/>
      <c r="N2385" s="24"/>
      <c r="P2385" s="24"/>
    </row>
    <row r="2386" spans="2:16" x14ac:dyDescent="0.25">
      <c r="B2386" s="24"/>
      <c r="E2386" s="24"/>
      <c r="G2386" s="24"/>
      <c r="H2386" s="24"/>
      <c r="J2386" s="24"/>
      <c r="K2386" s="24"/>
      <c r="M2386" s="24"/>
      <c r="N2386" s="24"/>
      <c r="P2386" s="24"/>
    </row>
    <row r="2387" spans="2:16" x14ac:dyDescent="0.25">
      <c r="B2387" s="24"/>
      <c r="E2387" s="24"/>
      <c r="G2387" s="24"/>
      <c r="H2387" s="24"/>
      <c r="J2387" s="24"/>
      <c r="K2387" s="24"/>
      <c r="M2387" s="24"/>
      <c r="N2387" s="24"/>
      <c r="P2387" s="24"/>
    </row>
    <row r="2388" spans="2:16" x14ac:dyDescent="0.25">
      <c r="B2388" s="24"/>
      <c r="E2388" s="24"/>
      <c r="G2388" s="24"/>
      <c r="H2388" s="24"/>
      <c r="J2388" s="24"/>
      <c r="K2388" s="24"/>
      <c r="M2388" s="24"/>
      <c r="N2388" s="24"/>
      <c r="P2388" s="24"/>
    </row>
    <row r="2389" spans="2:16" x14ac:dyDescent="0.25">
      <c r="B2389" s="24"/>
      <c r="E2389" s="24"/>
      <c r="G2389" s="24"/>
      <c r="H2389" s="24"/>
      <c r="J2389" s="24"/>
      <c r="K2389" s="24"/>
      <c r="M2389" s="24"/>
      <c r="N2389" s="24"/>
      <c r="P2389" s="24"/>
    </row>
    <row r="2390" spans="2:16" x14ac:dyDescent="0.25">
      <c r="B2390" s="24"/>
      <c r="E2390" s="24"/>
      <c r="G2390" s="24"/>
      <c r="H2390" s="24"/>
      <c r="J2390" s="24"/>
      <c r="K2390" s="24"/>
      <c r="M2390" s="24"/>
      <c r="N2390" s="24"/>
      <c r="P2390" s="24"/>
    </row>
    <row r="2391" spans="2:16" x14ac:dyDescent="0.25">
      <c r="B2391" s="24"/>
      <c r="E2391" s="24"/>
      <c r="G2391" s="24"/>
      <c r="H2391" s="24"/>
      <c r="J2391" s="24"/>
      <c r="K2391" s="24"/>
      <c r="M2391" s="24"/>
      <c r="N2391" s="24"/>
      <c r="P2391" s="24"/>
    </row>
    <row r="2392" spans="2:16" x14ac:dyDescent="0.25">
      <c r="B2392" s="24"/>
      <c r="E2392" s="24"/>
      <c r="G2392" s="24"/>
      <c r="H2392" s="24"/>
      <c r="J2392" s="24"/>
      <c r="K2392" s="24"/>
      <c r="M2392" s="24"/>
      <c r="N2392" s="24"/>
      <c r="P2392" s="24"/>
    </row>
    <row r="2393" spans="2:16" x14ac:dyDescent="0.25">
      <c r="B2393" s="24"/>
      <c r="E2393" s="24"/>
      <c r="G2393" s="24"/>
      <c r="H2393" s="24"/>
      <c r="J2393" s="24"/>
      <c r="K2393" s="24"/>
      <c r="M2393" s="24"/>
      <c r="N2393" s="24"/>
      <c r="P2393" s="24"/>
    </row>
    <row r="2394" spans="2:16" x14ac:dyDescent="0.25">
      <c r="B2394" s="24"/>
      <c r="E2394" s="24"/>
      <c r="G2394" s="24"/>
      <c r="H2394" s="24"/>
      <c r="J2394" s="24"/>
      <c r="K2394" s="24"/>
      <c r="M2394" s="24"/>
      <c r="N2394" s="24"/>
      <c r="P2394" s="24"/>
    </row>
    <row r="2395" spans="2:16" x14ac:dyDescent="0.25">
      <c r="B2395" s="24"/>
      <c r="E2395" s="24"/>
      <c r="G2395" s="24"/>
      <c r="H2395" s="24"/>
      <c r="J2395" s="24"/>
      <c r="K2395" s="24"/>
      <c r="M2395" s="24"/>
      <c r="N2395" s="24"/>
      <c r="P2395" s="24"/>
    </row>
    <row r="2396" spans="2:16" x14ac:dyDescent="0.25">
      <c r="B2396" s="24"/>
      <c r="E2396" s="24"/>
      <c r="G2396" s="24"/>
      <c r="H2396" s="24"/>
      <c r="J2396" s="24"/>
      <c r="K2396" s="24"/>
      <c r="M2396" s="24"/>
      <c r="N2396" s="24"/>
      <c r="P2396" s="24"/>
    </row>
    <row r="2397" spans="2:16" x14ac:dyDescent="0.25">
      <c r="B2397" s="24"/>
      <c r="E2397" s="24"/>
      <c r="G2397" s="24"/>
      <c r="H2397" s="24"/>
      <c r="J2397" s="24"/>
      <c r="K2397" s="24"/>
      <c r="M2397" s="24"/>
      <c r="N2397" s="24"/>
      <c r="P2397" s="24"/>
    </row>
    <row r="2398" spans="2:16" x14ac:dyDescent="0.25">
      <c r="B2398" s="24"/>
      <c r="E2398" s="24"/>
      <c r="G2398" s="24"/>
      <c r="H2398" s="24"/>
      <c r="J2398" s="24"/>
      <c r="K2398" s="24"/>
      <c r="M2398" s="24"/>
      <c r="N2398" s="24"/>
      <c r="P2398" s="24"/>
    </row>
    <row r="2399" spans="2:16" x14ac:dyDescent="0.25">
      <c r="B2399" s="24"/>
      <c r="E2399" s="24"/>
      <c r="G2399" s="24"/>
      <c r="H2399" s="24"/>
      <c r="J2399" s="24"/>
      <c r="K2399" s="24"/>
      <c r="M2399" s="24"/>
      <c r="N2399" s="24"/>
      <c r="P2399" s="24"/>
    </row>
    <row r="2400" spans="2:16" x14ac:dyDescent="0.25">
      <c r="B2400" s="24"/>
      <c r="E2400" s="24"/>
      <c r="G2400" s="24"/>
      <c r="H2400" s="24"/>
      <c r="J2400" s="24"/>
      <c r="K2400" s="24"/>
      <c r="M2400" s="24"/>
      <c r="N2400" s="24"/>
      <c r="P2400" s="24"/>
    </row>
    <row r="2401" spans="2:16" x14ac:dyDescent="0.25">
      <c r="B2401" s="24"/>
      <c r="E2401" s="24"/>
      <c r="G2401" s="24"/>
      <c r="H2401" s="24"/>
      <c r="J2401" s="24"/>
      <c r="K2401" s="24"/>
      <c r="M2401" s="24"/>
      <c r="N2401" s="24"/>
      <c r="P2401" s="24"/>
    </row>
    <row r="2402" spans="2:16" x14ac:dyDescent="0.25">
      <c r="B2402" s="24"/>
      <c r="E2402" s="24"/>
      <c r="G2402" s="24"/>
      <c r="H2402" s="24"/>
      <c r="J2402" s="24"/>
      <c r="K2402" s="24"/>
      <c r="M2402" s="24"/>
      <c r="N2402" s="24"/>
      <c r="P2402" s="24"/>
    </row>
    <row r="2403" spans="2:16" x14ac:dyDescent="0.25">
      <c r="B2403" s="24"/>
      <c r="E2403" s="24"/>
      <c r="G2403" s="24"/>
      <c r="H2403" s="24"/>
      <c r="J2403" s="24"/>
      <c r="K2403" s="24"/>
      <c r="M2403" s="24"/>
      <c r="N2403" s="24"/>
      <c r="P2403" s="24"/>
    </row>
    <row r="2404" spans="2:16" x14ac:dyDescent="0.25">
      <c r="B2404" s="24"/>
      <c r="E2404" s="24"/>
      <c r="G2404" s="24"/>
      <c r="H2404" s="24"/>
      <c r="J2404" s="24"/>
      <c r="K2404" s="24"/>
      <c r="M2404" s="24"/>
      <c r="N2404" s="24"/>
      <c r="P2404" s="24"/>
    </row>
    <row r="2405" spans="2:16" x14ac:dyDescent="0.25">
      <c r="B2405" s="24"/>
      <c r="E2405" s="24"/>
      <c r="G2405" s="24"/>
      <c r="H2405" s="24"/>
      <c r="J2405" s="24"/>
      <c r="K2405" s="24"/>
      <c r="M2405" s="24"/>
      <c r="N2405" s="24"/>
      <c r="P2405" s="24"/>
    </row>
    <row r="2406" spans="2:16" x14ac:dyDescent="0.25">
      <c r="B2406" s="24"/>
      <c r="E2406" s="24"/>
      <c r="G2406" s="24"/>
      <c r="H2406" s="24"/>
      <c r="J2406" s="24"/>
      <c r="K2406" s="24"/>
      <c r="M2406" s="24"/>
      <c r="N2406" s="24"/>
      <c r="P2406" s="24"/>
    </row>
    <row r="2407" spans="2:16" x14ac:dyDescent="0.25">
      <c r="B2407" s="24"/>
      <c r="E2407" s="24"/>
      <c r="G2407" s="24"/>
      <c r="H2407" s="24"/>
      <c r="J2407" s="24"/>
      <c r="K2407" s="24"/>
      <c r="M2407" s="24"/>
      <c r="N2407" s="24"/>
      <c r="P2407" s="24"/>
    </row>
    <row r="2408" spans="2:16" x14ac:dyDescent="0.25">
      <c r="B2408" s="24"/>
      <c r="E2408" s="24"/>
      <c r="G2408" s="24"/>
      <c r="H2408" s="24"/>
      <c r="J2408" s="24"/>
      <c r="K2408" s="24"/>
      <c r="M2408" s="24"/>
      <c r="N2408" s="24"/>
      <c r="P2408" s="24"/>
    </row>
    <row r="2409" spans="2:16" x14ac:dyDescent="0.25">
      <c r="B2409" s="24"/>
      <c r="E2409" s="24"/>
      <c r="G2409" s="24"/>
      <c r="H2409" s="24"/>
      <c r="J2409" s="24"/>
      <c r="K2409" s="24"/>
      <c r="M2409" s="24"/>
      <c r="N2409" s="24"/>
      <c r="P2409" s="24"/>
    </row>
    <row r="2410" spans="2:16" x14ac:dyDescent="0.25">
      <c r="B2410" s="24"/>
      <c r="E2410" s="24"/>
      <c r="G2410" s="24"/>
      <c r="H2410" s="24"/>
      <c r="J2410" s="24"/>
      <c r="K2410" s="24"/>
      <c r="M2410" s="24"/>
      <c r="N2410" s="24"/>
      <c r="P2410" s="24"/>
    </row>
    <row r="2411" spans="2:16" x14ac:dyDescent="0.25">
      <c r="B2411" s="24"/>
      <c r="E2411" s="24"/>
      <c r="G2411" s="24"/>
      <c r="H2411" s="24"/>
      <c r="J2411" s="24"/>
      <c r="K2411" s="24"/>
      <c r="M2411" s="24"/>
      <c r="N2411" s="24"/>
      <c r="P2411" s="24"/>
    </row>
    <row r="2412" spans="2:16" x14ac:dyDescent="0.25">
      <c r="B2412" s="24"/>
      <c r="E2412" s="24"/>
      <c r="G2412" s="24"/>
      <c r="H2412" s="24"/>
      <c r="J2412" s="24"/>
      <c r="K2412" s="24"/>
      <c r="M2412" s="24"/>
      <c r="N2412" s="24"/>
      <c r="P2412" s="24"/>
    </row>
    <row r="2413" spans="2:16" x14ac:dyDescent="0.25">
      <c r="B2413" s="24"/>
      <c r="E2413" s="24"/>
      <c r="G2413" s="24"/>
      <c r="H2413" s="24"/>
      <c r="J2413" s="24"/>
      <c r="K2413" s="24"/>
      <c r="M2413" s="24"/>
      <c r="N2413" s="24"/>
      <c r="P2413" s="24"/>
    </row>
    <row r="2414" spans="2:16" x14ac:dyDescent="0.25">
      <c r="B2414" s="24"/>
      <c r="E2414" s="24"/>
      <c r="G2414" s="24"/>
      <c r="H2414" s="24"/>
      <c r="J2414" s="24"/>
      <c r="K2414" s="24"/>
      <c r="M2414" s="24"/>
      <c r="N2414" s="24"/>
      <c r="P2414" s="24"/>
    </row>
    <row r="2415" spans="2:16" x14ac:dyDescent="0.25">
      <c r="B2415" s="24"/>
      <c r="E2415" s="24"/>
      <c r="G2415" s="24"/>
      <c r="H2415" s="24"/>
      <c r="J2415" s="24"/>
      <c r="K2415" s="24"/>
      <c r="M2415" s="24"/>
      <c r="N2415" s="24"/>
      <c r="P2415" s="24"/>
    </row>
    <row r="2416" spans="2:16" x14ac:dyDescent="0.25">
      <c r="B2416" s="24"/>
      <c r="E2416" s="24"/>
      <c r="G2416" s="24"/>
      <c r="H2416" s="24"/>
      <c r="J2416" s="24"/>
      <c r="K2416" s="24"/>
      <c r="M2416" s="24"/>
      <c r="N2416" s="24"/>
      <c r="P2416" s="24"/>
    </row>
    <row r="2417" spans="2:16" x14ac:dyDescent="0.25">
      <c r="B2417" s="24"/>
      <c r="E2417" s="24"/>
      <c r="G2417" s="24"/>
      <c r="H2417" s="24"/>
      <c r="J2417" s="24"/>
      <c r="K2417" s="24"/>
      <c r="M2417" s="24"/>
      <c r="N2417" s="24"/>
      <c r="P2417" s="24"/>
    </row>
    <row r="2418" spans="2:16" x14ac:dyDescent="0.25">
      <c r="B2418" s="24"/>
      <c r="E2418" s="24"/>
      <c r="G2418" s="24"/>
      <c r="H2418" s="24"/>
      <c r="J2418" s="24"/>
      <c r="K2418" s="24"/>
      <c r="M2418" s="24"/>
      <c r="N2418" s="24"/>
      <c r="P2418" s="24"/>
    </row>
    <row r="2419" spans="2:16" x14ac:dyDescent="0.25">
      <c r="B2419" s="24"/>
      <c r="E2419" s="24"/>
      <c r="G2419" s="24"/>
      <c r="H2419" s="24"/>
      <c r="J2419" s="24"/>
      <c r="K2419" s="24"/>
      <c r="M2419" s="24"/>
      <c r="N2419" s="24"/>
      <c r="P2419" s="24"/>
    </row>
    <row r="2420" spans="2:16" x14ac:dyDescent="0.25">
      <c r="B2420" s="24"/>
      <c r="E2420" s="24"/>
      <c r="G2420" s="24"/>
      <c r="H2420" s="24"/>
      <c r="J2420" s="24"/>
      <c r="K2420" s="24"/>
      <c r="M2420" s="24"/>
      <c r="N2420" s="24"/>
      <c r="P2420" s="24"/>
    </row>
    <row r="2421" spans="2:16" x14ac:dyDescent="0.25">
      <c r="B2421" s="24"/>
      <c r="E2421" s="24"/>
      <c r="G2421" s="24"/>
      <c r="H2421" s="24"/>
      <c r="J2421" s="24"/>
      <c r="K2421" s="24"/>
      <c r="M2421" s="24"/>
      <c r="N2421" s="24"/>
      <c r="P2421" s="24"/>
    </row>
    <row r="2422" spans="2:16" x14ac:dyDescent="0.25">
      <c r="B2422" s="24"/>
      <c r="E2422" s="24"/>
      <c r="G2422" s="24"/>
      <c r="H2422" s="24"/>
      <c r="J2422" s="24"/>
      <c r="K2422" s="24"/>
      <c r="M2422" s="24"/>
      <c r="N2422" s="24"/>
      <c r="P2422" s="24"/>
    </row>
    <row r="2423" spans="2:16" x14ac:dyDescent="0.25">
      <c r="B2423" s="24"/>
      <c r="E2423" s="24"/>
      <c r="G2423" s="24"/>
      <c r="H2423" s="24"/>
      <c r="J2423" s="24"/>
      <c r="K2423" s="24"/>
      <c r="M2423" s="24"/>
      <c r="N2423" s="24"/>
      <c r="P2423" s="24"/>
    </row>
    <row r="2424" spans="2:16" x14ac:dyDescent="0.25">
      <c r="B2424" s="24"/>
      <c r="E2424" s="24"/>
      <c r="G2424" s="24"/>
      <c r="H2424" s="24"/>
      <c r="J2424" s="24"/>
      <c r="K2424" s="24"/>
      <c r="M2424" s="24"/>
      <c r="N2424" s="24"/>
      <c r="P2424" s="24"/>
    </row>
    <row r="2425" spans="2:16" x14ac:dyDescent="0.25">
      <c r="B2425" s="24"/>
      <c r="E2425" s="24"/>
      <c r="G2425" s="24"/>
      <c r="H2425" s="24"/>
      <c r="J2425" s="24"/>
      <c r="K2425" s="24"/>
      <c r="M2425" s="24"/>
      <c r="N2425" s="24"/>
      <c r="P2425" s="24"/>
    </row>
    <row r="2426" spans="2:16" x14ac:dyDescent="0.25">
      <c r="B2426" s="24"/>
      <c r="E2426" s="24"/>
      <c r="G2426" s="24"/>
      <c r="H2426" s="24"/>
      <c r="J2426" s="24"/>
      <c r="K2426" s="24"/>
      <c r="M2426" s="24"/>
      <c r="N2426" s="24"/>
      <c r="P2426" s="24"/>
    </row>
    <row r="2427" spans="2:16" x14ac:dyDescent="0.25">
      <c r="B2427" s="24"/>
      <c r="E2427" s="24"/>
      <c r="G2427" s="24"/>
      <c r="H2427" s="24"/>
      <c r="J2427" s="24"/>
      <c r="K2427" s="24"/>
      <c r="M2427" s="24"/>
      <c r="N2427" s="24"/>
      <c r="P2427" s="24"/>
    </row>
    <row r="2428" spans="2:16" x14ac:dyDescent="0.25">
      <c r="B2428" s="24"/>
      <c r="E2428" s="24"/>
      <c r="G2428" s="24"/>
      <c r="H2428" s="24"/>
      <c r="J2428" s="24"/>
      <c r="K2428" s="24"/>
      <c r="M2428" s="24"/>
      <c r="N2428" s="24"/>
      <c r="P2428" s="24"/>
    </row>
    <row r="2429" spans="2:16" x14ac:dyDescent="0.25">
      <c r="B2429" s="24"/>
      <c r="E2429" s="24"/>
      <c r="G2429" s="24"/>
      <c r="H2429" s="24"/>
      <c r="J2429" s="24"/>
      <c r="K2429" s="24"/>
      <c r="M2429" s="24"/>
      <c r="N2429" s="24"/>
      <c r="P2429" s="24"/>
    </row>
    <row r="2430" spans="2:16" x14ac:dyDescent="0.25">
      <c r="B2430" s="24"/>
      <c r="E2430" s="24"/>
      <c r="G2430" s="24"/>
      <c r="H2430" s="24"/>
      <c r="J2430" s="24"/>
      <c r="K2430" s="24"/>
      <c r="M2430" s="24"/>
      <c r="N2430" s="24"/>
      <c r="P2430" s="24"/>
    </row>
    <row r="2431" spans="2:16" x14ac:dyDescent="0.25">
      <c r="B2431" s="24"/>
      <c r="E2431" s="24"/>
      <c r="G2431" s="24"/>
      <c r="H2431" s="24"/>
      <c r="J2431" s="24"/>
      <c r="K2431" s="24"/>
      <c r="M2431" s="24"/>
      <c r="N2431" s="24"/>
      <c r="P2431" s="24"/>
    </row>
    <row r="2432" spans="2:16" x14ac:dyDescent="0.25">
      <c r="B2432" s="24"/>
      <c r="E2432" s="24"/>
      <c r="G2432" s="24"/>
      <c r="H2432" s="24"/>
      <c r="J2432" s="24"/>
      <c r="K2432" s="24"/>
      <c r="M2432" s="24"/>
      <c r="N2432" s="24"/>
      <c r="P2432" s="24"/>
    </row>
    <row r="2433" spans="2:16" x14ac:dyDescent="0.25">
      <c r="B2433" s="24"/>
      <c r="E2433" s="24"/>
      <c r="G2433" s="24"/>
      <c r="H2433" s="24"/>
      <c r="J2433" s="24"/>
      <c r="K2433" s="24"/>
      <c r="M2433" s="24"/>
      <c r="N2433" s="24"/>
      <c r="P2433" s="24"/>
    </row>
    <row r="2434" spans="2:16" x14ac:dyDescent="0.25">
      <c r="B2434" s="24"/>
      <c r="E2434" s="24"/>
      <c r="G2434" s="24"/>
      <c r="H2434" s="24"/>
      <c r="J2434" s="24"/>
      <c r="K2434" s="24"/>
      <c r="M2434" s="24"/>
      <c r="N2434" s="24"/>
      <c r="P2434" s="24"/>
    </row>
    <row r="2435" spans="2:16" x14ac:dyDescent="0.25">
      <c r="B2435" s="24"/>
      <c r="E2435" s="24"/>
      <c r="G2435" s="24"/>
      <c r="H2435" s="24"/>
      <c r="J2435" s="24"/>
      <c r="K2435" s="24"/>
      <c r="M2435" s="24"/>
      <c r="N2435" s="24"/>
      <c r="P2435" s="24"/>
    </row>
    <row r="2436" spans="2:16" x14ac:dyDescent="0.25">
      <c r="B2436" s="24"/>
      <c r="E2436" s="24"/>
      <c r="G2436" s="24"/>
      <c r="H2436" s="24"/>
      <c r="J2436" s="24"/>
      <c r="K2436" s="24"/>
      <c r="M2436" s="24"/>
      <c r="N2436" s="24"/>
      <c r="P2436" s="24"/>
    </row>
    <row r="2437" spans="2:16" x14ac:dyDescent="0.25">
      <c r="B2437" s="24"/>
      <c r="E2437" s="24"/>
      <c r="G2437" s="24"/>
      <c r="H2437" s="24"/>
      <c r="J2437" s="24"/>
      <c r="K2437" s="24"/>
      <c r="M2437" s="24"/>
      <c r="N2437" s="24"/>
      <c r="P2437" s="24"/>
    </row>
    <row r="2438" spans="2:16" x14ac:dyDescent="0.25">
      <c r="B2438" s="24"/>
      <c r="E2438" s="24"/>
      <c r="G2438" s="24"/>
      <c r="H2438" s="24"/>
      <c r="J2438" s="24"/>
      <c r="K2438" s="24"/>
      <c r="M2438" s="24"/>
      <c r="N2438" s="24"/>
      <c r="P2438" s="24"/>
    </row>
    <row r="2439" spans="2:16" x14ac:dyDescent="0.25">
      <c r="B2439" s="24"/>
      <c r="E2439" s="24"/>
      <c r="G2439" s="24"/>
      <c r="H2439" s="24"/>
      <c r="J2439" s="24"/>
      <c r="K2439" s="24"/>
      <c r="M2439" s="24"/>
      <c r="N2439" s="24"/>
      <c r="P2439" s="24"/>
    </row>
    <row r="2440" spans="2:16" x14ac:dyDescent="0.25">
      <c r="B2440" s="24"/>
      <c r="E2440" s="24"/>
      <c r="G2440" s="24"/>
      <c r="H2440" s="24"/>
      <c r="J2440" s="24"/>
      <c r="K2440" s="24"/>
      <c r="M2440" s="24"/>
      <c r="N2440" s="24"/>
      <c r="P2440" s="24"/>
    </row>
    <row r="2441" spans="2:16" x14ac:dyDescent="0.25">
      <c r="B2441" s="24"/>
      <c r="E2441" s="24"/>
      <c r="G2441" s="24"/>
      <c r="H2441" s="24"/>
      <c r="J2441" s="24"/>
      <c r="K2441" s="24"/>
      <c r="M2441" s="24"/>
      <c r="N2441" s="24"/>
      <c r="P2441" s="24"/>
    </row>
    <row r="2442" spans="2:16" x14ac:dyDescent="0.25">
      <c r="B2442" s="24"/>
      <c r="E2442" s="24"/>
      <c r="G2442" s="24"/>
      <c r="H2442" s="24"/>
      <c r="J2442" s="24"/>
      <c r="K2442" s="24"/>
      <c r="M2442" s="24"/>
      <c r="N2442" s="24"/>
      <c r="P2442" s="24"/>
    </row>
    <row r="2443" spans="2:16" x14ac:dyDescent="0.25">
      <c r="B2443" s="24"/>
      <c r="E2443" s="24"/>
      <c r="G2443" s="24"/>
      <c r="H2443" s="24"/>
      <c r="J2443" s="24"/>
      <c r="K2443" s="24"/>
      <c r="M2443" s="24"/>
      <c r="N2443" s="24"/>
      <c r="P2443" s="24"/>
    </row>
    <row r="2444" spans="2:16" x14ac:dyDescent="0.25">
      <c r="B2444" s="24"/>
      <c r="E2444" s="24"/>
      <c r="G2444" s="24"/>
      <c r="H2444" s="24"/>
      <c r="J2444" s="24"/>
      <c r="K2444" s="24"/>
      <c r="M2444" s="24"/>
      <c r="N2444" s="24"/>
      <c r="P2444" s="24"/>
    </row>
    <row r="2445" spans="2:16" x14ac:dyDescent="0.25">
      <c r="B2445" s="24"/>
      <c r="E2445" s="24"/>
      <c r="G2445" s="24"/>
      <c r="H2445" s="24"/>
      <c r="J2445" s="24"/>
      <c r="K2445" s="24"/>
      <c r="M2445" s="24"/>
      <c r="N2445" s="24"/>
      <c r="P2445" s="24"/>
    </row>
    <row r="2446" spans="2:16" x14ac:dyDescent="0.25">
      <c r="B2446" s="24"/>
      <c r="E2446" s="24"/>
      <c r="G2446" s="24"/>
      <c r="H2446" s="24"/>
      <c r="J2446" s="24"/>
      <c r="K2446" s="24"/>
      <c r="M2446" s="24"/>
      <c r="N2446" s="24"/>
      <c r="P2446" s="24"/>
    </row>
    <row r="2447" spans="2:16" x14ac:dyDescent="0.25">
      <c r="B2447" s="24"/>
      <c r="E2447" s="24"/>
      <c r="G2447" s="24"/>
      <c r="H2447" s="24"/>
      <c r="J2447" s="24"/>
      <c r="K2447" s="24"/>
      <c r="M2447" s="24"/>
      <c r="N2447" s="24"/>
      <c r="P2447" s="24"/>
    </row>
    <row r="2448" spans="2:16" x14ac:dyDescent="0.25">
      <c r="B2448" s="24"/>
      <c r="E2448" s="24"/>
      <c r="G2448" s="24"/>
      <c r="H2448" s="24"/>
      <c r="J2448" s="24"/>
      <c r="K2448" s="24"/>
      <c r="M2448" s="24"/>
      <c r="N2448" s="24"/>
      <c r="P2448" s="24"/>
    </row>
    <row r="2449" spans="2:16" x14ac:dyDescent="0.25">
      <c r="B2449" s="24"/>
      <c r="E2449" s="24"/>
      <c r="G2449" s="24"/>
      <c r="H2449" s="24"/>
      <c r="J2449" s="24"/>
      <c r="K2449" s="24"/>
      <c r="M2449" s="24"/>
      <c r="N2449" s="24"/>
      <c r="P2449" s="24"/>
    </row>
    <row r="2450" spans="2:16" x14ac:dyDescent="0.25">
      <c r="B2450" s="24"/>
      <c r="E2450" s="24"/>
      <c r="G2450" s="24"/>
      <c r="H2450" s="24"/>
      <c r="J2450" s="24"/>
      <c r="K2450" s="24"/>
      <c r="M2450" s="24"/>
      <c r="N2450" s="24"/>
      <c r="P2450" s="24"/>
    </row>
    <row r="2451" spans="2:16" x14ac:dyDescent="0.25">
      <c r="B2451" s="24"/>
      <c r="E2451" s="24"/>
      <c r="G2451" s="24"/>
      <c r="H2451" s="24"/>
      <c r="J2451" s="24"/>
      <c r="K2451" s="24"/>
      <c r="M2451" s="24"/>
      <c r="N2451" s="24"/>
      <c r="P2451" s="24"/>
    </row>
    <row r="2452" spans="2:16" x14ac:dyDescent="0.25">
      <c r="B2452" s="24"/>
      <c r="E2452" s="24"/>
      <c r="G2452" s="24"/>
      <c r="H2452" s="24"/>
      <c r="J2452" s="24"/>
      <c r="K2452" s="24"/>
      <c r="M2452" s="24"/>
      <c r="N2452" s="24"/>
      <c r="P2452" s="24"/>
    </row>
    <row r="2453" spans="2:16" x14ac:dyDescent="0.25">
      <c r="B2453" s="24"/>
      <c r="E2453" s="24"/>
      <c r="G2453" s="24"/>
      <c r="H2453" s="24"/>
      <c r="J2453" s="24"/>
      <c r="K2453" s="24"/>
      <c r="M2453" s="24"/>
      <c r="N2453" s="24"/>
      <c r="P2453" s="24"/>
    </row>
    <row r="2454" spans="2:16" x14ac:dyDescent="0.25">
      <c r="B2454" s="24"/>
      <c r="E2454" s="24"/>
      <c r="G2454" s="24"/>
      <c r="H2454" s="24"/>
      <c r="J2454" s="24"/>
      <c r="K2454" s="24"/>
      <c r="M2454" s="24"/>
      <c r="N2454" s="24"/>
      <c r="P2454" s="24"/>
    </row>
    <row r="2455" spans="2:16" x14ac:dyDescent="0.25">
      <c r="B2455" s="24"/>
      <c r="E2455" s="24"/>
      <c r="G2455" s="24"/>
      <c r="H2455" s="24"/>
      <c r="J2455" s="24"/>
      <c r="K2455" s="24"/>
      <c r="M2455" s="24"/>
      <c r="N2455" s="24"/>
      <c r="P2455" s="24"/>
    </row>
    <row r="2456" spans="2:16" x14ac:dyDescent="0.25">
      <c r="B2456" s="24"/>
      <c r="E2456" s="24"/>
      <c r="G2456" s="24"/>
      <c r="H2456" s="24"/>
      <c r="J2456" s="24"/>
      <c r="K2456" s="24"/>
      <c r="M2456" s="24"/>
      <c r="N2456" s="24"/>
      <c r="P2456" s="24"/>
    </row>
    <row r="2457" spans="2:16" x14ac:dyDescent="0.25">
      <c r="B2457" s="24"/>
      <c r="E2457" s="24"/>
      <c r="G2457" s="24"/>
      <c r="H2457" s="24"/>
      <c r="J2457" s="24"/>
      <c r="K2457" s="24"/>
      <c r="M2457" s="24"/>
      <c r="N2457" s="24"/>
      <c r="P2457" s="24"/>
    </row>
    <row r="2458" spans="2:16" x14ac:dyDescent="0.25">
      <c r="B2458" s="24"/>
      <c r="E2458" s="24"/>
      <c r="G2458" s="24"/>
      <c r="H2458" s="24"/>
      <c r="J2458" s="24"/>
      <c r="K2458" s="24"/>
      <c r="M2458" s="24"/>
      <c r="N2458" s="24"/>
      <c r="P2458" s="24"/>
    </row>
    <row r="2459" spans="2:16" x14ac:dyDescent="0.25">
      <c r="B2459" s="24"/>
      <c r="E2459" s="24"/>
      <c r="G2459" s="24"/>
      <c r="H2459" s="24"/>
      <c r="J2459" s="24"/>
      <c r="K2459" s="24"/>
      <c r="M2459" s="24"/>
      <c r="N2459" s="24"/>
      <c r="P2459" s="24"/>
    </row>
    <row r="2460" spans="2:16" x14ac:dyDescent="0.25">
      <c r="B2460" s="24"/>
      <c r="E2460" s="24"/>
      <c r="G2460" s="24"/>
      <c r="H2460" s="24"/>
      <c r="J2460" s="24"/>
      <c r="K2460" s="24"/>
      <c r="M2460" s="24"/>
      <c r="N2460" s="24"/>
      <c r="P2460" s="24"/>
    </row>
    <row r="2461" spans="2:16" x14ac:dyDescent="0.25">
      <c r="B2461" s="24"/>
      <c r="E2461" s="24"/>
      <c r="G2461" s="24"/>
      <c r="H2461" s="24"/>
      <c r="J2461" s="24"/>
      <c r="K2461" s="24"/>
      <c r="M2461" s="24"/>
      <c r="N2461" s="24"/>
      <c r="P2461" s="24"/>
    </row>
    <row r="2462" spans="2:16" x14ac:dyDescent="0.25">
      <c r="B2462" s="24"/>
      <c r="E2462" s="24"/>
      <c r="G2462" s="24"/>
      <c r="H2462" s="24"/>
      <c r="J2462" s="24"/>
      <c r="K2462" s="24"/>
      <c r="M2462" s="24"/>
      <c r="N2462" s="24"/>
      <c r="P2462" s="24"/>
    </row>
    <row r="2463" spans="2:16" x14ac:dyDescent="0.25">
      <c r="B2463" s="24"/>
      <c r="E2463" s="24"/>
      <c r="G2463" s="24"/>
      <c r="H2463" s="24"/>
      <c r="J2463" s="24"/>
      <c r="K2463" s="24"/>
      <c r="M2463" s="24"/>
      <c r="N2463" s="24"/>
      <c r="P2463" s="24"/>
    </row>
    <row r="2464" spans="2:16" x14ac:dyDescent="0.25">
      <c r="B2464" s="24"/>
      <c r="E2464" s="24"/>
      <c r="G2464" s="24"/>
      <c r="H2464" s="24"/>
      <c r="J2464" s="24"/>
      <c r="K2464" s="24"/>
      <c r="M2464" s="24"/>
      <c r="N2464" s="24"/>
      <c r="P2464" s="24"/>
    </row>
    <row r="2465" spans="2:16" x14ac:dyDescent="0.25">
      <c r="B2465" s="24"/>
      <c r="E2465" s="24"/>
      <c r="G2465" s="24"/>
      <c r="H2465" s="24"/>
      <c r="J2465" s="24"/>
      <c r="K2465" s="24"/>
      <c r="M2465" s="24"/>
      <c r="N2465" s="24"/>
      <c r="P2465" s="24"/>
    </row>
    <row r="2466" spans="2:16" x14ac:dyDescent="0.25">
      <c r="B2466" s="24"/>
      <c r="E2466" s="24"/>
      <c r="G2466" s="24"/>
      <c r="H2466" s="24"/>
      <c r="J2466" s="24"/>
      <c r="K2466" s="24"/>
      <c r="M2466" s="24"/>
      <c r="N2466" s="24"/>
      <c r="P2466" s="24"/>
    </row>
    <row r="2467" spans="2:16" x14ac:dyDescent="0.25">
      <c r="B2467" s="24"/>
      <c r="E2467" s="24"/>
      <c r="G2467" s="24"/>
      <c r="H2467" s="24"/>
      <c r="J2467" s="24"/>
      <c r="K2467" s="24"/>
      <c r="M2467" s="24"/>
      <c r="N2467" s="24"/>
      <c r="P2467" s="24"/>
    </row>
    <row r="2468" spans="2:16" x14ac:dyDescent="0.25">
      <c r="B2468" s="24"/>
      <c r="E2468" s="24"/>
      <c r="G2468" s="24"/>
      <c r="H2468" s="24"/>
      <c r="J2468" s="24"/>
      <c r="K2468" s="24"/>
      <c r="M2468" s="24"/>
      <c r="N2468" s="24"/>
      <c r="P2468" s="24"/>
    </row>
    <row r="2469" spans="2:16" x14ac:dyDescent="0.25">
      <c r="B2469" s="24"/>
      <c r="E2469" s="24"/>
      <c r="G2469" s="24"/>
      <c r="H2469" s="24"/>
      <c r="J2469" s="24"/>
      <c r="K2469" s="24"/>
      <c r="M2469" s="24"/>
      <c r="N2469" s="24"/>
      <c r="P2469" s="24"/>
    </row>
    <row r="2470" spans="2:16" x14ac:dyDescent="0.25">
      <c r="B2470" s="24"/>
      <c r="E2470" s="24"/>
      <c r="G2470" s="24"/>
      <c r="H2470" s="24"/>
      <c r="J2470" s="24"/>
      <c r="K2470" s="24"/>
      <c r="M2470" s="24"/>
      <c r="N2470" s="24"/>
      <c r="P2470" s="24"/>
    </row>
    <row r="2471" spans="2:16" x14ac:dyDescent="0.25">
      <c r="B2471" s="24"/>
      <c r="E2471" s="24"/>
      <c r="G2471" s="24"/>
      <c r="H2471" s="24"/>
      <c r="J2471" s="24"/>
      <c r="K2471" s="24"/>
      <c r="M2471" s="24"/>
      <c r="N2471" s="24"/>
      <c r="P2471" s="24"/>
    </row>
    <row r="2472" spans="2:16" x14ac:dyDescent="0.25">
      <c r="B2472" s="24"/>
      <c r="E2472" s="24"/>
      <c r="G2472" s="24"/>
      <c r="H2472" s="24"/>
      <c r="J2472" s="24"/>
      <c r="K2472" s="24"/>
      <c r="M2472" s="24"/>
      <c r="N2472" s="24"/>
      <c r="P2472" s="24"/>
    </row>
    <row r="2473" spans="2:16" x14ac:dyDescent="0.25">
      <c r="B2473" s="24"/>
      <c r="E2473" s="24"/>
      <c r="G2473" s="24"/>
      <c r="H2473" s="24"/>
      <c r="J2473" s="24"/>
      <c r="K2473" s="24"/>
      <c r="M2473" s="24"/>
      <c r="N2473" s="24"/>
      <c r="P2473" s="24"/>
    </row>
    <row r="2474" spans="2:16" x14ac:dyDescent="0.25">
      <c r="B2474" s="24"/>
      <c r="E2474" s="24"/>
      <c r="G2474" s="24"/>
      <c r="H2474" s="24"/>
      <c r="J2474" s="24"/>
      <c r="K2474" s="24"/>
      <c r="M2474" s="24"/>
      <c r="N2474" s="24"/>
      <c r="P2474" s="24"/>
    </row>
    <row r="2475" spans="2:16" x14ac:dyDescent="0.25">
      <c r="B2475" s="24"/>
      <c r="E2475" s="24"/>
      <c r="G2475" s="24"/>
      <c r="H2475" s="24"/>
      <c r="J2475" s="24"/>
      <c r="K2475" s="24"/>
      <c r="M2475" s="24"/>
      <c r="N2475" s="24"/>
      <c r="P2475" s="24"/>
    </row>
    <row r="2476" spans="2:16" x14ac:dyDescent="0.25">
      <c r="B2476" s="24"/>
      <c r="E2476" s="24"/>
      <c r="G2476" s="24"/>
      <c r="H2476" s="24"/>
      <c r="J2476" s="24"/>
      <c r="K2476" s="24"/>
      <c r="M2476" s="24"/>
      <c r="N2476" s="24"/>
      <c r="P2476" s="24"/>
    </row>
    <row r="2477" spans="2:16" x14ac:dyDescent="0.25">
      <c r="B2477" s="24"/>
      <c r="E2477" s="24"/>
      <c r="G2477" s="24"/>
      <c r="H2477" s="24"/>
      <c r="J2477" s="24"/>
      <c r="K2477" s="24"/>
      <c r="M2477" s="24"/>
      <c r="N2477" s="24"/>
      <c r="P2477" s="24"/>
    </row>
    <row r="2478" spans="2:16" x14ac:dyDescent="0.25">
      <c r="B2478" s="24"/>
      <c r="E2478" s="24"/>
      <c r="G2478" s="24"/>
      <c r="H2478" s="24"/>
      <c r="J2478" s="24"/>
      <c r="K2478" s="24"/>
      <c r="M2478" s="24"/>
      <c r="N2478" s="24"/>
      <c r="P2478" s="24"/>
    </row>
    <row r="2479" spans="2:16" x14ac:dyDescent="0.25">
      <c r="B2479" s="24"/>
      <c r="E2479" s="24"/>
      <c r="G2479" s="24"/>
      <c r="H2479" s="24"/>
      <c r="J2479" s="24"/>
      <c r="K2479" s="24"/>
      <c r="M2479" s="24"/>
      <c r="N2479" s="24"/>
      <c r="P2479" s="24"/>
    </row>
    <row r="2480" spans="2:16" x14ac:dyDescent="0.25">
      <c r="B2480" s="24"/>
      <c r="E2480" s="24"/>
      <c r="G2480" s="24"/>
      <c r="H2480" s="24"/>
      <c r="J2480" s="24"/>
      <c r="K2480" s="24"/>
      <c r="M2480" s="24"/>
      <c r="N2480" s="24"/>
      <c r="P2480" s="24"/>
    </row>
    <row r="2481" spans="2:16" x14ac:dyDescent="0.25">
      <c r="B2481" s="24"/>
      <c r="E2481" s="24"/>
      <c r="G2481" s="24"/>
      <c r="H2481" s="24"/>
      <c r="J2481" s="24"/>
      <c r="K2481" s="24"/>
      <c r="M2481" s="24"/>
      <c r="N2481" s="24"/>
      <c r="P2481" s="24"/>
    </row>
    <row r="2482" spans="2:16" x14ac:dyDescent="0.25">
      <c r="B2482" s="24"/>
      <c r="E2482" s="24"/>
      <c r="G2482" s="24"/>
      <c r="H2482" s="24"/>
      <c r="J2482" s="24"/>
      <c r="K2482" s="24"/>
      <c r="M2482" s="24"/>
      <c r="N2482" s="24"/>
      <c r="P2482" s="24"/>
    </row>
    <row r="2483" spans="2:16" x14ac:dyDescent="0.25">
      <c r="B2483" s="24"/>
      <c r="E2483" s="24"/>
      <c r="G2483" s="24"/>
      <c r="H2483" s="24"/>
      <c r="J2483" s="24"/>
      <c r="K2483" s="24"/>
      <c r="M2483" s="24"/>
      <c r="N2483" s="24"/>
      <c r="P2483" s="24"/>
    </row>
    <row r="2484" spans="2:16" x14ac:dyDescent="0.25">
      <c r="B2484" s="24"/>
      <c r="E2484" s="24"/>
      <c r="G2484" s="24"/>
      <c r="H2484" s="24"/>
      <c r="J2484" s="24"/>
      <c r="K2484" s="24"/>
      <c r="M2484" s="24"/>
      <c r="N2484" s="24"/>
      <c r="P2484" s="24"/>
    </row>
    <row r="2485" spans="2:16" x14ac:dyDescent="0.25">
      <c r="B2485" s="24"/>
      <c r="E2485" s="24"/>
      <c r="G2485" s="24"/>
      <c r="H2485" s="24"/>
      <c r="J2485" s="24"/>
      <c r="K2485" s="24"/>
      <c r="M2485" s="24"/>
      <c r="N2485" s="24"/>
      <c r="P2485" s="24"/>
    </row>
    <row r="2486" spans="2:16" x14ac:dyDescent="0.25">
      <c r="B2486" s="24"/>
      <c r="E2486" s="24"/>
      <c r="G2486" s="24"/>
      <c r="H2486" s="24"/>
      <c r="J2486" s="24"/>
      <c r="K2486" s="24"/>
      <c r="M2486" s="24"/>
      <c r="N2486" s="24"/>
      <c r="P2486" s="24"/>
    </row>
    <row r="2487" spans="2:16" x14ac:dyDescent="0.25">
      <c r="B2487" s="24"/>
      <c r="E2487" s="24"/>
      <c r="G2487" s="24"/>
      <c r="H2487" s="24"/>
      <c r="J2487" s="24"/>
      <c r="K2487" s="24"/>
      <c r="M2487" s="24"/>
      <c r="N2487" s="24"/>
      <c r="P2487" s="24"/>
    </row>
    <row r="2488" spans="2:16" x14ac:dyDescent="0.25">
      <c r="B2488" s="24"/>
      <c r="E2488" s="24"/>
      <c r="G2488" s="24"/>
      <c r="H2488" s="24"/>
      <c r="J2488" s="24"/>
      <c r="K2488" s="24"/>
      <c r="M2488" s="24"/>
      <c r="N2488" s="24"/>
      <c r="P2488" s="24"/>
    </row>
    <row r="2489" spans="2:16" x14ac:dyDescent="0.25">
      <c r="B2489" s="24"/>
      <c r="E2489" s="24"/>
      <c r="G2489" s="24"/>
      <c r="H2489" s="24"/>
      <c r="J2489" s="24"/>
      <c r="K2489" s="24"/>
      <c r="M2489" s="24"/>
      <c r="N2489" s="24"/>
      <c r="P2489" s="24"/>
    </row>
    <row r="2490" spans="2:16" x14ac:dyDescent="0.25">
      <c r="B2490" s="24"/>
      <c r="E2490" s="24"/>
      <c r="G2490" s="24"/>
      <c r="H2490" s="24"/>
      <c r="J2490" s="24"/>
      <c r="K2490" s="24"/>
      <c r="M2490" s="24"/>
      <c r="N2490" s="24"/>
      <c r="P2490" s="24"/>
    </row>
    <row r="2491" spans="2:16" x14ac:dyDescent="0.25">
      <c r="B2491" s="24"/>
      <c r="E2491" s="24"/>
      <c r="G2491" s="24"/>
      <c r="H2491" s="24"/>
      <c r="J2491" s="24"/>
      <c r="K2491" s="24"/>
      <c r="M2491" s="24"/>
      <c r="N2491" s="24"/>
      <c r="P2491" s="24"/>
    </row>
    <row r="2492" spans="2:16" x14ac:dyDescent="0.25">
      <c r="B2492" s="24"/>
      <c r="E2492" s="24"/>
      <c r="G2492" s="24"/>
      <c r="H2492" s="24"/>
      <c r="J2492" s="24"/>
      <c r="K2492" s="24"/>
      <c r="M2492" s="24"/>
      <c r="N2492" s="24"/>
      <c r="P2492" s="24"/>
    </row>
    <row r="2493" spans="2:16" x14ac:dyDescent="0.25">
      <c r="B2493" s="24"/>
      <c r="E2493" s="24"/>
      <c r="G2493" s="24"/>
      <c r="H2493" s="24"/>
      <c r="J2493" s="24"/>
      <c r="K2493" s="24"/>
      <c r="M2493" s="24"/>
      <c r="N2493" s="24"/>
      <c r="P2493" s="24"/>
    </row>
    <row r="2494" spans="2:16" x14ac:dyDescent="0.25">
      <c r="B2494" s="24"/>
      <c r="E2494" s="24"/>
      <c r="G2494" s="24"/>
      <c r="H2494" s="24"/>
      <c r="J2494" s="24"/>
      <c r="K2494" s="24"/>
      <c r="M2494" s="24"/>
      <c r="N2494" s="24"/>
      <c r="P2494" s="24"/>
    </row>
    <row r="2495" spans="2:16" x14ac:dyDescent="0.25">
      <c r="B2495" s="24"/>
      <c r="E2495" s="24"/>
      <c r="G2495" s="24"/>
      <c r="H2495" s="24"/>
      <c r="J2495" s="24"/>
      <c r="K2495" s="24"/>
      <c r="M2495" s="24"/>
      <c r="N2495" s="24"/>
      <c r="P2495" s="24"/>
    </row>
    <row r="2496" spans="2:16" x14ac:dyDescent="0.25">
      <c r="B2496" s="24"/>
      <c r="E2496" s="24"/>
      <c r="G2496" s="24"/>
      <c r="H2496" s="24"/>
      <c r="J2496" s="24"/>
      <c r="K2496" s="24"/>
      <c r="M2496" s="24"/>
      <c r="N2496" s="24"/>
      <c r="P2496" s="24"/>
    </row>
    <row r="2497" spans="2:16" x14ac:dyDescent="0.25">
      <c r="B2497" s="24"/>
      <c r="E2497" s="24"/>
      <c r="G2497" s="24"/>
      <c r="H2497" s="24"/>
      <c r="J2497" s="24"/>
      <c r="K2497" s="24"/>
      <c r="M2497" s="24"/>
      <c r="N2497" s="24"/>
      <c r="P2497" s="24"/>
    </row>
    <row r="2498" spans="2:16" x14ac:dyDescent="0.25">
      <c r="B2498" s="24"/>
      <c r="E2498" s="24"/>
      <c r="G2498" s="24"/>
      <c r="H2498" s="24"/>
      <c r="J2498" s="24"/>
      <c r="K2498" s="24"/>
      <c r="M2498" s="24"/>
      <c r="N2498" s="24"/>
      <c r="P2498" s="24"/>
    </row>
    <row r="2499" spans="2:16" x14ac:dyDescent="0.25">
      <c r="B2499" s="24"/>
      <c r="E2499" s="24"/>
      <c r="G2499" s="24"/>
      <c r="H2499" s="24"/>
      <c r="J2499" s="24"/>
      <c r="K2499" s="24"/>
      <c r="M2499" s="24"/>
      <c r="N2499" s="24"/>
      <c r="P2499" s="24"/>
    </row>
    <row r="2500" spans="2:16" x14ac:dyDescent="0.25">
      <c r="B2500" s="24"/>
      <c r="E2500" s="24"/>
      <c r="G2500" s="24"/>
      <c r="H2500" s="24"/>
      <c r="J2500" s="24"/>
      <c r="K2500" s="24"/>
      <c r="M2500" s="24"/>
      <c r="N2500" s="24"/>
      <c r="P2500" s="24"/>
    </row>
    <row r="2501" spans="2:16" x14ac:dyDescent="0.25">
      <c r="B2501" s="24"/>
      <c r="E2501" s="24"/>
      <c r="G2501" s="24"/>
      <c r="H2501" s="24"/>
      <c r="J2501" s="24"/>
      <c r="K2501" s="24"/>
      <c r="M2501" s="24"/>
      <c r="N2501" s="24"/>
      <c r="P2501" s="24"/>
    </row>
    <row r="2502" spans="2:16" x14ac:dyDescent="0.25">
      <c r="B2502" s="24"/>
      <c r="E2502" s="24"/>
      <c r="G2502" s="24"/>
      <c r="H2502" s="24"/>
      <c r="J2502" s="24"/>
      <c r="K2502" s="24"/>
      <c r="M2502" s="24"/>
      <c r="N2502" s="24"/>
      <c r="P2502" s="24"/>
    </row>
    <row r="2503" spans="2:16" x14ac:dyDescent="0.25">
      <c r="B2503" s="24"/>
      <c r="E2503" s="24"/>
      <c r="G2503" s="24"/>
      <c r="H2503" s="24"/>
      <c r="J2503" s="24"/>
      <c r="K2503" s="24"/>
      <c r="M2503" s="24"/>
      <c r="N2503" s="24"/>
      <c r="P2503" s="24"/>
    </row>
    <row r="2504" spans="2:16" x14ac:dyDescent="0.25">
      <c r="B2504" s="24"/>
      <c r="E2504" s="24"/>
      <c r="G2504" s="24"/>
      <c r="H2504" s="24"/>
      <c r="J2504" s="24"/>
      <c r="K2504" s="24"/>
      <c r="M2504" s="24"/>
      <c r="N2504" s="24"/>
      <c r="P2504" s="24"/>
    </row>
    <row r="2505" spans="2:16" x14ac:dyDescent="0.25">
      <c r="B2505" s="24"/>
      <c r="E2505" s="24"/>
      <c r="G2505" s="24"/>
      <c r="H2505" s="24"/>
      <c r="J2505" s="24"/>
      <c r="K2505" s="24"/>
      <c r="M2505" s="24"/>
      <c r="N2505" s="24"/>
      <c r="P2505" s="24"/>
    </row>
    <row r="2506" spans="2:16" x14ac:dyDescent="0.25">
      <c r="B2506" s="24"/>
      <c r="E2506" s="24"/>
      <c r="G2506" s="24"/>
      <c r="H2506" s="24"/>
      <c r="J2506" s="24"/>
      <c r="K2506" s="24"/>
      <c r="M2506" s="24"/>
      <c r="N2506" s="24"/>
      <c r="P2506" s="24"/>
    </row>
    <row r="2507" spans="2:16" x14ac:dyDescent="0.25">
      <c r="B2507" s="24"/>
      <c r="E2507" s="24"/>
      <c r="G2507" s="24"/>
      <c r="H2507" s="24"/>
      <c r="J2507" s="24"/>
      <c r="K2507" s="24"/>
      <c r="M2507" s="24"/>
      <c r="N2507" s="24"/>
      <c r="P2507" s="24"/>
    </row>
    <row r="2508" spans="2:16" x14ac:dyDescent="0.25">
      <c r="B2508" s="24"/>
      <c r="E2508" s="24"/>
      <c r="G2508" s="24"/>
      <c r="H2508" s="24"/>
      <c r="J2508" s="24"/>
      <c r="K2508" s="24"/>
      <c r="M2508" s="24"/>
      <c r="N2508" s="24"/>
      <c r="P2508" s="24"/>
    </row>
    <row r="2509" spans="2:16" x14ac:dyDescent="0.25">
      <c r="B2509" s="24"/>
      <c r="E2509" s="24"/>
      <c r="G2509" s="24"/>
      <c r="H2509" s="24"/>
      <c r="J2509" s="24"/>
      <c r="K2509" s="24"/>
      <c r="M2509" s="24"/>
      <c r="N2509" s="24"/>
      <c r="P2509" s="24"/>
    </row>
    <row r="2510" spans="2:16" x14ac:dyDescent="0.25">
      <c r="B2510" s="24"/>
      <c r="E2510" s="24"/>
      <c r="G2510" s="24"/>
      <c r="H2510" s="24"/>
      <c r="J2510" s="24"/>
      <c r="K2510" s="24"/>
      <c r="M2510" s="24"/>
      <c r="N2510" s="24"/>
      <c r="P2510" s="24"/>
    </row>
    <row r="2511" spans="2:16" x14ac:dyDescent="0.25">
      <c r="B2511" s="24"/>
      <c r="E2511" s="24"/>
      <c r="G2511" s="24"/>
      <c r="H2511" s="24"/>
      <c r="J2511" s="24"/>
      <c r="K2511" s="24"/>
      <c r="M2511" s="24"/>
      <c r="N2511" s="24"/>
      <c r="P2511" s="24"/>
    </row>
    <row r="2512" spans="2:16" x14ac:dyDescent="0.25">
      <c r="B2512" s="24"/>
      <c r="E2512" s="24"/>
      <c r="G2512" s="24"/>
      <c r="H2512" s="24"/>
      <c r="J2512" s="24"/>
      <c r="K2512" s="24"/>
      <c r="M2512" s="24"/>
      <c r="N2512" s="24"/>
      <c r="P2512" s="24"/>
    </row>
    <row r="2513" spans="2:16" x14ac:dyDescent="0.25">
      <c r="B2513" s="24"/>
      <c r="E2513" s="24"/>
      <c r="G2513" s="24"/>
      <c r="H2513" s="24"/>
      <c r="J2513" s="24"/>
      <c r="K2513" s="24"/>
      <c r="M2513" s="24"/>
      <c r="N2513" s="24"/>
      <c r="P2513" s="24"/>
    </row>
    <row r="2514" spans="2:16" x14ac:dyDescent="0.25">
      <c r="B2514" s="24"/>
      <c r="E2514" s="24"/>
      <c r="G2514" s="24"/>
      <c r="H2514" s="24"/>
      <c r="J2514" s="24"/>
      <c r="K2514" s="24"/>
      <c r="M2514" s="24"/>
      <c r="N2514" s="24"/>
      <c r="P2514" s="24"/>
    </row>
    <row r="2515" spans="2:16" x14ac:dyDescent="0.25">
      <c r="B2515" s="24"/>
      <c r="E2515" s="24"/>
      <c r="G2515" s="24"/>
      <c r="H2515" s="24"/>
      <c r="J2515" s="24"/>
      <c r="K2515" s="24"/>
      <c r="M2515" s="24"/>
      <c r="N2515" s="24"/>
      <c r="P2515" s="24"/>
    </row>
    <row r="2516" spans="2:16" x14ac:dyDescent="0.25">
      <c r="B2516" s="24"/>
      <c r="E2516" s="24"/>
      <c r="G2516" s="24"/>
      <c r="H2516" s="24"/>
      <c r="J2516" s="24"/>
      <c r="K2516" s="24"/>
      <c r="M2516" s="24"/>
      <c r="N2516" s="24"/>
      <c r="P2516" s="24"/>
    </row>
    <row r="2517" spans="2:16" x14ac:dyDescent="0.25">
      <c r="B2517" s="24"/>
      <c r="E2517" s="24"/>
      <c r="G2517" s="24"/>
      <c r="H2517" s="24"/>
      <c r="J2517" s="24"/>
      <c r="K2517" s="24"/>
      <c r="M2517" s="24"/>
      <c r="N2517" s="24"/>
      <c r="P2517" s="24"/>
    </row>
    <row r="2518" spans="2:16" x14ac:dyDescent="0.25">
      <c r="B2518" s="24"/>
      <c r="E2518" s="24"/>
      <c r="G2518" s="24"/>
      <c r="H2518" s="24"/>
      <c r="J2518" s="24"/>
      <c r="K2518" s="24"/>
      <c r="M2518" s="24"/>
      <c r="N2518" s="24"/>
      <c r="P2518" s="24"/>
    </row>
    <row r="2519" spans="2:16" x14ac:dyDescent="0.25">
      <c r="B2519" s="24"/>
      <c r="E2519" s="24"/>
      <c r="G2519" s="24"/>
      <c r="H2519" s="24"/>
      <c r="J2519" s="24"/>
      <c r="K2519" s="24"/>
      <c r="M2519" s="24"/>
      <c r="N2519" s="24"/>
      <c r="P2519" s="24"/>
    </row>
    <row r="2520" spans="2:16" x14ac:dyDescent="0.25">
      <c r="B2520" s="24"/>
      <c r="E2520" s="24"/>
      <c r="G2520" s="24"/>
      <c r="H2520" s="24"/>
      <c r="J2520" s="24"/>
      <c r="K2520" s="24"/>
      <c r="M2520" s="24"/>
      <c r="N2520" s="24"/>
      <c r="P2520" s="24"/>
    </row>
    <row r="2521" spans="2:16" x14ac:dyDescent="0.25">
      <c r="B2521" s="24"/>
      <c r="E2521" s="24"/>
      <c r="G2521" s="24"/>
      <c r="H2521" s="24"/>
      <c r="J2521" s="24"/>
      <c r="K2521" s="24"/>
      <c r="M2521" s="24"/>
      <c r="N2521" s="24"/>
      <c r="P2521" s="24"/>
    </row>
    <row r="2522" spans="2:16" x14ac:dyDescent="0.25">
      <c r="B2522" s="24"/>
      <c r="E2522" s="24"/>
      <c r="G2522" s="24"/>
      <c r="H2522" s="24"/>
      <c r="J2522" s="24"/>
      <c r="K2522" s="24"/>
      <c r="M2522" s="24"/>
      <c r="N2522" s="24"/>
      <c r="P2522" s="24"/>
    </row>
    <row r="2523" spans="2:16" x14ac:dyDescent="0.25">
      <c r="B2523" s="24"/>
      <c r="E2523" s="24"/>
      <c r="G2523" s="24"/>
      <c r="H2523" s="24"/>
      <c r="J2523" s="24"/>
      <c r="K2523" s="24"/>
      <c r="M2523" s="24"/>
      <c r="N2523" s="24"/>
      <c r="P2523" s="24"/>
    </row>
    <row r="2524" spans="2:16" x14ac:dyDescent="0.25">
      <c r="B2524" s="24"/>
      <c r="E2524" s="24"/>
      <c r="G2524" s="24"/>
      <c r="H2524" s="24"/>
      <c r="J2524" s="24"/>
      <c r="K2524" s="24"/>
      <c r="M2524" s="24"/>
      <c r="N2524" s="24"/>
      <c r="P2524" s="24"/>
    </row>
    <row r="2525" spans="2:16" x14ac:dyDescent="0.25">
      <c r="B2525" s="24"/>
      <c r="E2525" s="24"/>
      <c r="G2525" s="24"/>
      <c r="H2525" s="24"/>
      <c r="J2525" s="24"/>
      <c r="K2525" s="24"/>
      <c r="M2525" s="24"/>
      <c r="N2525" s="24"/>
      <c r="P2525" s="24"/>
    </row>
    <row r="2526" spans="2:16" x14ac:dyDescent="0.25">
      <c r="B2526" s="24"/>
      <c r="E2526" s="24"/>
      <c r="G2526" s="24"/>
      <c r="H2526" s="24"/>
      <c r="J2526" s="24"/>
      <c r="K2526" s="24"/>
      <c r="M2526" s="24"/>
      <c r="N2526" s="24"/>
      <c r="P2526" s="24"/>
    </row>
    <row r="2527" spans="2:16" x14ac:dyDescent="0.25">
      <c r="B2527" s="24"/>
      <c r="E2527" s="24"/>
      <c r="G2527" s="24"/>
      <c r="H2527" s="24"/>
      <c r="J2527" s="24"/>
      <c r="K2527" s="24"/>
      <c r="M2527" s="24"/>
      <c r="N2527" s="24"/>
      <c r="P2527" s="24"/>
    </row>
    <row r="2528" spans="2:16" x14ac:dyDescent="0.25">
      <c r="B2528" s="24"/>
      <c r="E2528" s="24"/>
      <c r="G2528" s="24"/>
      <c r="H2528" s="24"/>
      <c r="J2528" s="24"/>
      <c r="K2528" s="24"/>
      <c r="M2528" s="24"/>
      <c r="N2528" s="24"/>
      <c r="P2528" s="24"/>
    </row>
    <row r="2529" spans="2:16" x14ac:dyDescent="0.25">
      <c r="B2529" s="24"/>
      <c r="E2529" s="24"/>
      <c r="G2529" s="24"/>
      <c r="H2529" s="24"/>
      <c r="J2529" s="24"/>
      <c r="K2529" s="24"/>
      <c r="M2529" s="24"/>
      <c r="N2529" s="24"/>
      <c r="P2529" s="24"/>
    </row>
    <row r="2530" spans="2:16" x14ac:dyDescent="0.25">
      <c r="B2530" s="24"/>
      <c r="E2530" s="24"/>
      <c r="G2530" s="24"/>
      <c r="H2530" s="24"/>
      <c r="J2530" s="24"/>
      <c r="K2530" s="24"/>
      <c r="M2530" s="24"/>
      <c r="N2530" s="24"/>
      <c r="P2530" s="24"/>
    </row>
    <row r="2531" spans="2:16" x14ac:dyDescent="0.25">
      <c r="B2531" s="24"/>
      <c r="E2531" s="24"/>
      <c r="G2531" s="24"/>
      <c r="H2531" s="24"/>
      <c r="J2531" s="24"/>
      <c r="K2531" s="24"/>
      <c r="M2531" s="24"/>
      <c r="N2531" s="24"/>
      <c r="P2531" s="24"/>
    </row>
    <row r="2532" spans="2:16" x14ac:dyDescent="0.25">
      <c r="B2532" s="24"/>
      <c r="E2532" s="24"/>
      <c r="G2532" s="24"/>
      <c r="H2532" s="24"/>
      <c r="J2532" s="24"/>
      <c r="K2532" s="24"/>
      <c r="M2532" s="24"/>
      <c r="N2532" s="24"/>
      <c r="P2532" s="24"/>
    </row>
    <row r="2533" spans="2:16" x14ac:dyDescent="0.25">
      <c r="B2533" s="24"/>
      <c r="E2533" s="24"/>
      <c r="G2533" s="24"/>
      <c r="H2533" s="24"/>
      <c r="J2533" s="24"/>
      <c r="K2533" s="24"/>
      <c r="M2533" s="24"/>
      <c r="N2533" s="24"/>
      <c r="P2533" s="24"/>
    </row>
    <row r="2534" spans="2:16" x14ac:dyDescent="0.25">
      <c r="B2534" s="24"/>
      <c r="E2534" s="24"/>
      <c r="G2534" s="24"/>
      <c r="H2534" s="24"/>
      <c r="J2534" s="24"/>
      <c r="K2534" s="24"/>
      <c r="M2534" s="24"/>
      <c r="N2534" s="24"/>
      <c r="P2534" s="24"/>
    </row>
    <row r="2535" spans="2:16" x14ac:dyDescent="0.25">
      <c r="B2535" s="24"/>
      <c r="E2535" s="24"/>
      <c r="G2535" s="24"/>
      <c r="H2535" s="24"/>
      <c r="J2535" s="24"/>
      <c r="K2535" s="24"/>
      <c r="M2535" s="24"/>
      <c r="N2535" s="24"/>
      <c r="P2535" s="24"/>
    </row>
    <row r="2536" spans="2:16" x14ac:dyDescent="0.25">
      <c r="B2536" s="24"/>
      <c r="E2536" s="24"/>
      <c r="G2536" s="24"/>
      <c r="H2536" s="24"/>
      <c r="J2536" s="24"/>
      <c r="K2536" s="24"/>
      <c r="M2536" s="24"/>
      <c r="N2536" s="24"/>
      <c r="P2536" s="24"/>
    </row>
    <row r="2537" spans="2:16" x14ac:dyDescent="0.25">
      <c r="B2537" s="24"/>
      <c r="E2537" s="24"/>
      <c r="G2537" s="24"/>
      <c r="H2537" s="24"/>
      <c r="J2537" s="24"/>
      <c r="K2537" s="24"/>
      <c r="M2537" s="24"/>
      <c r="N2537" s="24"/>
      <c r="P2537" s="24"/>
    </row>
    <row r="2538" spans="2:16" x14ac:dyDescent="0.25">
      <c r="B2538" s="24"/>
      <c r="E2538" s="24"/>
      <c r="G2538" s="24"/>
      <c r="H2538" s="24"/>
      <c r="J2538" s="24"/>
      <c r="K2538" s="24"/>
      <c r="M2538" s="24"/>
      <c r="N2538" s="24"/>
      <c r="P2538" s="24"/>
    </row>
    <row r="2539" spans="2:16" x14ac:dyDescent="0.25">
      <c r="B2539" s="24"/>
      <c r="E2539" s="24"/>
      <c r="G2539" s="24"/>
      <c r="H2539" s="24"/>
      <c r="J2539" s="24"/>
      <c r="K2539" s="24"/>
      <c r="M2539" s="24"/>
      <c r="N2539" s="24"/>
      <c r="P2539" s="24"/>
    </row>
    <row r="2540" spans="2:16" x14ac:dyDescent="0.25">
      <c r="B2540" s="24"/>
      <c r="E2540" s="24"/>
      <c r="G2540" s="24"/>
      <c r="H2540" s="24"/>
      <c r="J2540" s="24"/>
      <c r="K2540" s="24"/>
      <c r="M2540" s="24"/>
      <c r="N2540" s="24"/>
      <c r="P2540" s="24"/>
    </row>
    <row r="2541" spans="2:16" x14ac:dyDescent="0.25">
      <c r="B2541" s="24"/>
      <c r="E2541" s="24"/>
      <c r="G2541" s="24"/>
      <c r="H2541" s="24"/>
      <c r="J2541" s="24"/>
      <c r="K2541" s="24"/>
      <c r="M2541" s="24"/>
      <c r="N2541" s="24"/>
      <c r="P2541" s="24"/>
    </row>
    <row r="2542" spans="2:16" x14ac:dyDescent="0.25">
      <c r="B2542" s="24"/>
      <c r="E2542" s="24"/>
      <c r="G2542" s="24"/>
      <c r="H2542" s="24"/>
      <c r="J2542" s="24"/>
      <c r="K2542" s="24"/>
      <c r="M2542" s="24"/>
      <c r="N2542" s="24"/>
      <c r="P2542" s="24"/>
    </row>
    <row r="2543" spans="2:16" x14ac:dyDescent="0.25">
      <c r="B2543" s="24"/>
      <c r="E2543" s="24"/>
      <c r="G2543" s="24"/>
      <c r="H2543" s="24"/>
      <c r="J2543" s="24"/>
      <c r="K2543" s="24"/>
      <c r="M2543" s="24"/>
      <c r="N2543" s="24"/>
      <c r="P2543" s="24"/>
    </row>
    <row r="2544" spans="2:16" x14ac:dyDescent="0.25">
      <c r="B2544" s="24"/>
      <c r="E2544" s="24"/>
      <c r="G2544" s="24"/>
      <c r="H2544" s="24"/>
      <c r="J2544" s="24"/>
      <c r="K2544" s="24"/>
      <c r="M2544" s="24"/>
      <c r="N2544" s="24"/>
      <c r="P2544" s="24"/>
    </row>
    <row r="2545" spans="2:16" x14ac:dyDescent="0.25">
      <c r="B2545" s="24"/>
      <c r="E2545" s="24"/>
      <c r="G2545" s="24"/>
      <c r="H2545" s="24"/>
      <c r="J2545" s="24"/>
      <c r="K2545" s="24"/>
      <c r="M2545" s="24"/>
      <c r="N2545" s="24"/>
      <c r="P2545" s="24"/>
    </row>
    <row r="2546" spans="2:16" x14ac:dyDescent="0.25">
      <c r="B2546" s="24"/>
      <c r="E2546" s="24"/>
      <c r="G2546" s="24"/>
      <c r="H2546" s="24"/>
      <c r="J2546" s="24"/>
      <c r="K2546" s="24"/>
      <c r="M2546" s="24"/>
      <c r="N2546" s="24"/>
      <c r="P2546" s="24"/>
    </row>
    <row r="2547" spans="2:16" x14ac:dyDescent="0.25">
      <c r="B2547" s="24"/>
      <c r="E2547" s="24"/>
      <c r="G2547" s="24"/>
      <c r="H2547" s="24"/>
      <c r="J2547" s="24"/>
      <c r="K2547" s="24"/>
      <c r="M2547" s="24"/>
      <c r="N2547" s="24"/>
      <c r="P2547" s="24"/>
    </row>
    <row r="2548" spans="2:16" x14ac:dyDescent="0.25">
      <c r="B2548" s="24"/>
      <c r="E2548" s="24"/>
      <c r="G2548" s="24"/>
      <c r="H2548" s="24"/>
      <c r="J2548" s="24"/>
      <c r="K2548" s="24"/>
      <c r="M2548" s="24"/>
      <c r="N2548" s="24"/>
      <c r="P2548" s="24"/>
    </row>
    <row r="2549" spans="2:16" x14ac:dyDescent="0.25">
      <c r="B2549" s="24"/>
      <c r="E2549" s="24"/>
      <c r="G2549" s="24"/>
      <c r="H2549" s="24"/>
      <c r="J2549" s="24"/>
      <c r="K2549" s="24"/>
      <c r="M2549" s="24"/>
      <c r="N2549" s="24"/>
      <c r="P2549" s="24"/>
    </row>
    <row r="2550" spans="2:16" x14ac:dyDescent="0.25">
      <c r="B2550" s="24"/>
      <c r="E2550" s="24"/>
      <c r="G2550" s="24"/>
      <c r="H2550" s="24"/>
      <c r="J2550" s="24"/>
      <c r="K2550" s="24"/>
      <c r="M2550" s="24"/>
      <c r="N2550" s="24"/>
      <c r="P2550" s="24"/>
    </row>
    <row r="2551" spans="2:16" x14ac:dyDescent="0.25">
      <c r="B2551" s="24"/>
      <c r="E2551" s="24"/>
      <c r="G2551" s="24"/>
      <c r="H2551" s="24"/>
      <c r="J2551" s="24"/>
      <c r="K2551" s="24"/>
      <c r="M2551" s="24"/>
      <c r="N2551" s="24"/>
      <c r="P2551" s="24"/>
    </row>
    <row r="2552" spans="2:16" x14ac:dyDescent="0.25">
      <c r="B2552" s="24"/>
      <c r="E2552" s="24"/>
      <c r="G2552" s="24"/>
      <c r="H2552" s="24"/>
      <c r="J2552" s="24"/>
      <c r="K2552" s="24"/>
      <c r="M2552" s="24"/>
      <c r="N2552" s="24"/>
      <c r="P2552" s="24"/>
    </row>
    <row r="2553" spans="2:16" x14ac:dyDescent="0.25">
      <c r="B2553" s="24"/>
      <c r="E2553" s="24"/>
      <c r="G2553" s="24"/>
      <c r="H2553" s="24"/>
      <c r="J2553" s="24"/>
      <c r="K2553" s="24"/>
      <c r="M2553" s="24"/>
      <c r="N2553" s="24"/>
      <c r="P2553" s="24"/>
    </row>
    <row r="2554" spans="2:16" x14ac:dyDescent="0.25">
      <c r="B2554" s="24"/>
      <c r="E2554" s="24"/>
      <c r="G2554" s="24"/>
      <c r="H2554" s="24"/>
      <c r="J2554" s="24"/>
      <c r="K2554" s="24"/>
      <c r="M2554" s="24"/>
      <c r="N2554" s="24"/>
      <c r="P2554" s="24"/>
    </row>
    <row r="2555" spans="2:16" x14ac:dyDescent="0.25">
      <c r="B2555" s="24"/>
      <c r="E2555" s="24"/>
      <c r="G2555" s="24"/>
      <c r="H2555" s="24"/>
      <c r="J2555" s="24"/>
      <c r="K2555" s="24"/>
      <c r="M2555" s="24"/>
      <c r="N2555" s="24"/>
      <c r="P2555" s="24"/>
    </row>
    <row r="2556" spans="2:16" x14ac:dyDescent="0.25">
      <c r="B2556" s="24"/>
      <c r="E2556" s="24"/>
      <c r="G2556" s="24"/>
      <c r="H2556" s="24"/>
      <c r="J2556" s="24"/>
      <c r="K2556" s="24"/>
      <c r="M2556" s="24"/>
      <c r="N2556" s="24"/>
      <c r="P2556" s="24"/>
    </row>
    <row r="2557" spans="2:16" x14ac:dyDescent="0.25">
      <c r="B2557" s="24"/>
      <c r="E2557" s="24"/>
      <c r="G2557" s="24"/>
      <c r="H2557" s="24"/>
      <c r="J2557" s="24"/>
      <c r="K2557" s="24"/>
      <c r="M2557" s="24"/>
      <c r="N2557" s="24"/>
      <c r="P2557" s="24"/>
    </row>
    <row r="2558" spans="2:16" x14ac:dyDescent="0.25">
      <c r="B2558" s="24"/>
      <c r="E2558" s="24"/>
      <c r="G2558" s="24"/>
      <c r="H2558" s="24"/>
      <c r="J2558" s="24"/>
      <c r="K2558" s="24"/>
      <c r="M2558" s="24"/>
      <c r="N2558" s="24"/>
      <c r="P2558" s="24"/>
    </row>
    <row r="2559" spans="2:16" x14ac:dyDescent="0.25">
      <c r="B2559" s="24"/>
      <c r="E2559" s="24"/>
      <c r="G2559" s="24"/>
      <c r="H2559" s="24"/>
      <c r="J2559" s="24"/>
      <c r="K2559" s="24"/>
      <c r="M2559" s="24"/>
      <c r="N2559" s="24"/>
      <c r="P2559" s="24"/>
    </row>
    <row r="2560" spans="2:16" x14ac:dyDescent="0.25">
      <c r="B2560" s="24"/>
      <c r="E2560" s="24"/>
      <c r="G2560" s="24"/>
      <c r="H2560" s="24"/>
      <c r="J2560" s="24"/>
      <c r="K2560" s="24"/>
      <c r="M2560" s="24"/>
      <c r="N2560" s="24"/>
      <c r="P2560" s="24"/>
    </row>
    <row r="2561" spans="2:16" x14ac:dyDescent="0.25">
      <c r="B2561" s="24"/>
      <c r="E2561" s="24"/>
      <c r="G2561" s="24"/>
      <c r="H2561" s="24"/>
      <c r="J2561" s="24"/>
      <c r="K2561" s="24"/>
      <c r="M2561" s="24"/>
      <c r="N2561" s="24"/>
      <c r="P2561" s="24"/>
    </row>
    <row r="2562" spans="2:16" x14ac:dyDescent="0.25">
      <c r="B2562" s="24"/>
      <c r="E2562" s="24"/>
      <c r="G2562" s="24"/>
      <c r="H2562" s="24"/>
      <c r="J2562" s="24"/>
      <c r="K2562" s="24"/>
      <c r="M2562" s="24"/>
      <c r="N2562" s="24"/>
      <c r="P2562" s="24"/>
    </row>
    <row r="2563" spans="2:16" x14ac:dyDescent="0.25">
      <c r="B2563" s="24"/>
      <c r="E2563" s="24"/>
      <c r="G2563" s="24"/>
      <c r="H2563" s="24"/>
      <c r="J2563" s="24"/>
      <c r="K2563" s="24"/>
      <c r="M2563" s="24"/>
      <c r="N2563" s="24"/>
      <c r="P2563" s="24"/>
    </row>
    <row r="2564" spans="2:16" x14ac:dyDescent="0.25">
      <c r="B2564" s="24"/>
      <c r="E2564" s="24"/>
      <c r="G2564" s="24"/>
      <c r="H2564" s="24"/>
      <c r="J2564" s="24"/>
      <c r="K2564" s="24"/>
      <c r="M2564" s="24"/>
      <c r="N2564" s="24"/>
      <c r="P2564" s="24"/>
    </row>
    <row r="2565" spans="2:16" x14ac:dyDescent="0.25">
      <c r="B2565" s="24"/>
      <c r="E2565" s="24"/>
      <c r="G2565" s="24"/>
      <c r="H2565" s="24"/>
      <c r="J2565" s="24"/>
      <c r="K2565" s="24"/>
      <c r="M2565" s="24"/>
      <c r="N2565" s="24"/>
      <c r="P2565" s="24"/>
    </row>
    <row r="2566" spans="2:16" x14ac:dyDescent="0.25">
      <c r="B2566" s="24"/>
      <c r="E2566" s="24"/>
      <c r="G2566" s="24"/>
      <c r="H2566" s="24"/>
      <c r="J2566" s="24"/>
      <c r="K2566" s="24"/>
      <c r="M2566" s="24"/>
      <c r="N2566" s="24"/>
      <c r="P2566" s="24"/>
    </row>
    <row r="2567" spans="2:16" x14ac:dyDescent="0.25">
      <c r="B2567" s="24"/>
      <c r="E2567" s="24"/>
      <c r="G2567" s="24"/>
      <c r="H2567" s="24"/>
      <c r="J2567" s="24"/>
      <c r="K2567" s="24"/>
      <c r="M2567" s="24"/>
      <c r="N2567" s="24"/>
      <c r="P2567" s="24"/>
    </row>
    <row r="2568" spans="2:16" x14ac:dyDescent="0.25">
      <c r="B2568" s="24"/>
      <c r="E2568" s="24"/>
      <c r="G2568" s="24"/>
      <c r="H2568" s="24"/>
      <c r="J2568" s="24"/>
      <c r="K2568" s="24"/>
      <c r="M2568" s="24"/>
      <c r="N2568" s="24"/>
      <c r="P2568" s="24"/>
    </row>
    <row r="2569" spans="2:16" x14ac:dyDescent="0.25">
      <c r="B2569" s="24"/>
      <c r="E2569" s="24"/>
      <c r="G2569" s="24"/>
      <c r="H2569" s="24"/>
      <c r="J2569" s="24"/>
      <c r="K2569" s="24"/>
      <c r="M2569" s="24"/>
      <c r="N2569" s="24"/>
      <c r="P2569" s="24"/>
    </row>
    <row r="2570" spans="2:16" x14ac:dyDescent="0.25">
      <c r="B2570" s="24"/>
      <c r="E2570" s="24"/>
      <c r="G2570" s="24"/>
      <c r="H2570" s="24"/>
      <c r="J2570" s="24"/>
      <c r="K2570" s="24"/>
      <c r="M2570" s="24"/>
      <c r="N2570" s="24"/>
      <c r="P2570" s="24"/>
    </row>
    <row r="2571" spans="2:16" x14ac:dyDescent="0.25">
      <c r="B2571" s="24"/>
      <c r="E2571" s="24"/>
      <c r="G2571" s="24"/>
      <c r="H2571" s="24"/>
      <c r="J2571" s="24"/>
      <c r="K2571" s="24"/>
      <c r="M2571" s="24"/>
      <c r="N2571" s="24"/>
      <c r="P2571" s="24"/>
    </row>
    <row r="2572" spans="2:16" x14ac:dyDescent="0.25">
      <c r="B2572" s="24"/>
      <c r="E2572" s="24"/>
      <c r="G2572" s="24"/>
      <c r="H2572" s="24"/>
      <c r="J2572" s="24"/>
      <c r="K2572" s="24"/>
      <c r="M2572" s="24"/>
      <c r="N2572" s="24"/>
      <c r="P2572" s="24"/>
    </row>
    <row r="2573" spans="2:16" x14ac:dyDescent="0.25">
      <c r="B2573" s="24"/>
      <c r="E2573" s="24"/>
      <c r="G2573" s="24"/>
      <c r="H2573" s="24"/>
      <c r="J2573" s="24"/>
      <c r="K2573" s="24"/>
      <c r="M2573" s="24"/>
      <c r="N2573" s="24"/>
      <c r="P2573" s="24"/>
    </row>
    <row r="2574" spans="2:16" x14ac:dyDescent="0.25">
      <c r="B2574" s="24"/>
      <c r="E2574" s="24"/>
      <c r="G2574" s="24"/>
      <c r="H2574" s="24"/>
      <c r="J2574" s="24"/>
      <c r="K2574" s="24"/>
      <c r="M2574" s="24"/>
      <c r="N2574" s="24"/>
      <c r="P2574" s="24"/>
    </row>
    <row r="2575" spans="2:16" x14ac:dyDescent="0.25">
      <c r="B2575" s="24"/>
      <c r="E2575" s="24"/>
      <c r="G2575" s="24"/>
      <c r="H2575" s="24"/>
      <c r="J2575" s="24"/>
      <c r="K2575" s="24"/>
      <c r="M2575" s="24"/>
      <c r="N2575" s="24"/>
      <c r="P2575" s="24"/>
    </row>
    <row r="2576" spans="2:16" x14ac:dyDescent="0.25">
      <c r="B2576" s="24"/>
      <c r="E2576" s="24"/>
      <c r="G2576" s="24"/>
      <c r="H2576" s="24"/>
      <c r="J2576" s="24"/>
      <c r="K2576" s="24"/>
      <c r="M2576" s="24"/>
      <c r="N2576" s="24"/>
      <c r="P2576" s="24"/>
    </row>
    <row r="2577" spans="2:16" x14ac:dyDescent="0.25">
      <c r="B2577" s="24"/>
      <c r="E2577" s="24"/>
      <c r="G2577" s="24"/>
      <c r="H2577" s="24"/>
      <c r="J2577" s="24"/>
      <c r="K2577" s="24"/>
      <c r="M2577" s="24"/>
      <c r="N2577" s="24"/>
      <c r="P2577" s="24"/>
    </row>
    <row r="2578" spans="2:16" x14ac:dyDescent="0.25">
      <c r="B2578" s="24"/>
      <c r="E2578" s="24"/>
      <c r="G2578" s="24"/>
      <c r="H2578" s="24"/>
      <c r="J2578" s="24"/>
      <c r="K2578" s="24"/>
      <c r="M2578" s="24"/>
      <c r="N2578" s="24"/>
      <c r="P2578" s="24"/>
    </row>
    <row r="2579" spans="2:16" x14ac:dyDescent="0.25">
      <c r="B2579" s="24"/>
      <c r="E2579" s="24"/>
      <c r="G2579" s="24"/>
      <c r="H2579" s="24"/>
      <c r="J2579" s="24"/>
      <c r="K2579" s="24"/>
      <c r="M2579" s="24"/>
      <c r="N2579" s="24"/>
      <c r="P2579" s="24"/>
    </row>
    <row r="2580" spans="2:16" x14ac:dyDescent="0.25">
      <c r="B2580" s="24"/>
      <c r="E2580" s="24"/>
      <c r="G2580" s="24"/>
      <c r="H2580" s="24"/>
      <c r="J2580" s="24"/>
      <c r="K2580" s="24"/>
      <c r="M2580" s="24"/>
      <c r="N2580" s="24"/>
      <c r="P2580" s="24"/>
    </row>
    <row r="2581" spans="2:16" x14ac:dyDescent="0.25">
      <c r="B2581" s="24"/>
      <c r="E2581" s="24"/>
      <c r="G2581" s="24"/>
      <c r="H2581" s="24"/>
      <c r="J2581" s="24"/>
      <c r="K2581" s="24"/>
      <c r="M2581" s="24"/>
      <c r="N2581" s="24"/>
      <c r="P2581" s="24"/>
    </row>
    <row r="2582" spans="2:16" x14ac:dyDescent="0.25">
      <c r="B2582" s="24"/>
      <c r="E2582" s="24"/>
      <c r="G2582" s="24"/>
      <c r="H2582" s="24"/>
      <c r="J2582" s="24"/>
      <c r="K2582" s="24"/>
      <c r="M2582" s="24"/>
      <c r="N2582" s="24"/>
      <c r="P2582" s="24"/>
    </row>
    <row r="2583" spans="2:16" x14ac:dyDescent="0.25">
      <c r="B2583" s="24"/>
      <c r="E2583" s="24"/>
      <c r="G2583" s="24"/>
      <c r="H2583" s="24"/>
      <c r="J2583" s="24"/>
      <c r="K2583" s="24"/>
      <c r="M2583" s="24"/>
      <c r="N2583" s="24"/>
      <c r="P2583" s="24"/>
    </row>
    <row r="2584" spans="2:16" x14ac:dyDescent="0.25">
      <c r="B2584" s="24"/>
      <c r="E2584" s="24"/>
      <c r="G2584" s="24"/>
      <c r="H2584" s="24"/>
      <c r="J2584" s="24"/>
      <c r="K2584" s="24"/>
      <c r="M2584" s="24"/>
      <c r="N2584" s="24"/>
      <c r="P2584" s="24"/>
    </row>
    <row r="2585" spans="2:16" x14ac:dyDescent="0.25">
      <c r="B2585" s="24"/>
      <c r="E2585" s="24"/>
      <c r="G2585" s="24"/>
      <c r="H2585" s="24"/>
      <c r="J2585" s="24"/>
      <c r="K2585" s="24"/>
      <c r="M2585" s="24"/>
      <c r="N2585" s="24"/>
      <c r="P2585" s="24"/>
    </row>
    <row r="2586" spans="2:16" x14ac:dyDescent="0.25">
      <c r="B2586" s="24"/>
      <c r="E2586" s="24"/>
      <c r="G2586" s="24"/>
      <c r="H2586" s="24"/>
      <c r="J2586" s="24"/>
      <c r="K2586" s="24"/>
      <c r="M2586" s="24"/>
      <c r="N2586" s="24"/>
      <c r="P2586" s="24"/>
    </row>
    <row r="2587" spans="2:16" x14ac:dyDescent="0.25">
      <c r="B2587" s="24"/>
      <c r="E2587" s="24"/>
      <c r="G2587" s="24"/>
      <c r="H2587" s="24"/>
      <c r="J2587" s="24"/>
      <c r="K2587" s="24"/>
      <c r="M2587" s="24"/>
      <c r="N2587" s="24"/>
      <c r="P2587" s="24"/>
    </row>
    <row r="2588" spans="2:16" x14ac:dyDescent="0.25">
      <c r="B2588" s="24"/>
      <c r="E2588" s="24"/>
      <c r="G2588" s="24"/>
      <c r="H2588" s="24"/>
      <c r="J2588" s="24"/>
      <c r="K2588" s="24"/>
      <c r="M2588" s="24"/>
      <c r="N2588" s="24"/>
      <c r="P2588" s="24"/>
    </row>
    <row r="2589" spans="2:16" x14ac:dyDescent="0.25">
      <c r="B2589" s="24"/>
      <c r="E2589" s="24"/>
      <c r="G2589" s="24"/>
      <c r="H2589" s="24"/>
      <c r="J2589" s="24"/>
      <c r="K2589" s="24"/>
      <c r="M2589" s="24"/>
      <c r="N2589" s="24"/>
      <c r="P2589" s="24"/>
    </row>
    <row r="2590" spans="2:16" x14ac:dyDescent="0.25">
      <c r="B2590" s="24"/>
      <c r="E2590" s="24"/>
      <c r="G2590" s="24"/>
      <c r="H2590" s="24"/>
      <c r="J2590" s="24"/>
      <c r="K2590" s="24"/>
      <c r="M2590" s="24"/>
      <c r="N2590" s="24"/>
      <c r="P2590" s="24"/>
    </row>
    <row r="2591" spans="2:16" x14ac:dyDescent="0.25">
      <c r="B2591" s="24"/>
      <c r="E2591" s="24"/>
      <c r="G2591" s="24"/>
      <c r="H2591" s="24"/>
      <c r="J2591" s="24"/>
      <c r="K2591" s="24"/>
      <c r="M2591" s="24"/>
      <c r="N2591" s="24"/>
      <c r="P2591" s="24"/>
    </row>
    <row r="2592" spans="2:16" x14ac:dyDescent="0.25">
      <c r="B2592" s="24"/>
      <c r="E2592" s="24"/>
      <c r="G2592" s="24"/>
      <c r="H2592" s="24"/>
      <c r="J2592" s="24"/>
      <c r="K2592" s="24"/>
      <c r="M2592" s="24"/>
      <c r="N2592" s="24"/>
      <c r="P2592" s="24"/>
    </row>
    <row r="2593" spans="2:16" x14ac:dyDescent="0.25">
      <c r="B2593" s="24"/>
      <c r="E2593" s="24"/>
      <c r="G2593" s="24"/>
      <c r="H2593" s="24"/>
      <c r="J2593" s="24"/>
      <c r="K2593" s="24"/>
      <c r="M2593" s="24"/>
      <c r="N2593" s="24"/>
      <c r="P2593" s="24"/>
    </row>
    <row r="2594" spans="2:16" x14ac:dyDescent="0.25">
      <c r="B2594" s="24"/>
      <c r="E2594" s="24"/>
      <c r="G2594" s="24"/>
      <c r="H2594" s="24"/>
      <c r="J2594" s="24"/>
      <c r="K2594" s="24"/>
      <c r="M2594" s="24"/>
      <c r="N2594" s="24"/>
      <c r="P2594" s="24"/>
    </row>
    <row r="2595" spans="2:16" x14ac:dyDescent="0.25">
      <c r="B2595" s="24"/>
      <c r="E2595" s="24"/>
      <c r="G2595" s="24"/>
      <c r="H2595" s="24"/>
      <c r="J2595" s="24"/>
      <c r="K2595" s="24"/>
      <c r="M2595" s="24"/>
      <c r="N2595" s="24"/>
      <c r="P2595" s="24"/>
    </row>
    <row r="2596" spans="2:16" x14ac:dyDescent="0.25">
      <c r="B2596" s="24"/>
      <c r="E2596" s="24"/>
      <c r="G2596" s="24"/>
      <c r="H2596" s="24"/>
      <c r="J2596" s="24"/>
      <c r="K2596" s="24"/>
      <c r="M2596" s="24"/>
      <c r="N2596" s="24"/>
      <c r="P2596" s="24"/>
    </row>
    <row r="2597" spans="2:16" x14ac:dyDescent="0.25">
      <c r="B2597" s="24"/>
      <c r="E2597" s="24"/>
      <c r="G2597" s="24"/>
      <c r="H2597" s="24"/>
      <c r="J2597" s="24"/>
      <c r="K2597" s="24"/>
      <c r="M2597" s="24"/>
      <c r="N2597" s="24"/>
      <c r="P2597" s="24"/>
    </row>
    <row r="2598" spans="2:16" x14ac:dyDescent="0.25">
      <c r="B2598" s="24"/>
      <c r="E2598" s="24"/>
      <c r="G2598" s="24"/>
      <c r="H2598" s="24"/>
      <c r="J2598" s="24"/>
      <c r="K2598" s="24"/>
      <c r="M2598" s="24"/>
      <c r="N2598" s="24"/>
      <c r="P2598" s="24"/>
    </row>
    <row r="2599" spans="2:16" x14ac:dyDescent="0.25">
      <c r="B2599" s="24"/>
      <c r="E2599" s="24"/>
      <c r="G2599" s="24"/>
      <c r="H2599" s="24"/>
      <c r="J2599" s="24"/>
      <c r="K2599" s="24"/>
      <c r="M2599" s="24"/>
      <c r="N2599" s="24"/>
      <c r="P2599" s="24"/>
    </row>
    <row r="2600" spans="2:16" x14ac:dyDescent="0.25">
      <c r="B2600" s="24"/>
      <c r="E2600" s="24"/>
      <c r="G2600" s="24"/>
      <c r="H2600" s="24"/>
      <c r="J2600" s="24"/>
      <c r="K2600" s="24"/>
      <c r="M2600" s="24"/>
      <c r="N2600" s="24"/>
      <c r="P2600" s="24"/>
    </row>
    <row r="2601" spans="2:16" x14ac:dyDescent="0.25">
      <c r="B2601" s="24"/>
      <c r="E2601" s="24"/>
      <c r="G2601" s="24"/>
      <c r="H2601" s="24"/>
      <c r="J2601" s="24"/>
      <c r="K2601" s="24"/>
      <c r="M2601" s="24"/>
      <c r="N2601" s="24"/>
      <c r="P2601" s="24"/>
    </row>
    <row r="2602" spans="2:16" x14ac:dyDescent="0.25">
      <c r="B2602" s="24"/>
      <c r="E2602" s="24"/>
      <c r="G2602" s="24"/>
      <c r="H2602" s="24"/>
      <c r="J2602" s="24"/>
      <c r="K2602" s="24"/>
      <c r="M2602" s="24"/>
      <c r="N2602" s="24"/>
      <c r="P2602" s="24"/>
    </row>
    <row r="2603" spans="2:16" x14ac:dyDescent="0.25">
      <c r="B2603" s="24"/>
      <c r="E2603" s="24"/>
      <c r="G2603" s="24"/>
      <c r="H2603" s="24"/>
      <c r="J2603" s="24"/>
      <c r="K2603" s="24"/>
      <c r="M2603" s="24"/>
      <c r="N2603" s="24"/>
      <c r="P2603" s="24"/>
    </row>
    <row r="2604" spans="2:16" x14ac:dyDescent="0.25">
      <c r="B2604" s="24"/>
      <c r="E2604" s="24"/>
      <c r="G2604" s="24"/>
      <c r="H2604" s="24"/>
      <c r="J2604" s="24"/>
      <c r="K2604" s="24"/>
      <c r="M2604" s="24"/>
      <c r="N2604" s="24"/>
      <c r="P2604" s="24"/>
    </row>
    <row r="2605" spans="2:16" x14ac:dyDescent="0.25">
      <c r="B2605" s="24"/>
      <c r="E2605" s="24"/>
      <c r="G2605" s="24"/>
      <c r="H2605" s="24"/>
      <c r="J2605" s="24"/>
      <c r="K2605" s="24"/>
      <c r="M2605" s="24"/>
      <c r="N2605" s="24"/>
      <c r="P2605" s="24"/>
    </row>
    <row r="2606" spans="2:16" x14ac:dyDescent="0.25">
      <c r="B2606" s="24"/>
      <c r="E2606" s="24"/>
      <c r="G2606" s="24"/>
      <c r="H2606" s="24"/>
      <c r="J2606" s="24"/>
      <c r="K2606" s="24"/>
      <c r="M2606" s="24"/>
      <c r="N2606" s="24"/>
      <c r="P2606" s="24"/>
    </row>
    <row r="2607" spans="2:16" x14ac:dyDescent="0.25">
      <c r="B2607" s="24"/>
      <c r="E2607" s="24"/>
      <c r="G2607" s="24"/>
      <c r="H2607" s="24"/>
      <c r="J2607" s="24"/>
      <c r="K2607" s="24"/>
      <c r="M2607" s="24"/>
      <c r="N2607" s="24"/>
      <c r="P2607" s="24"/>
    </row>
    <row r="2608" spans="2:16" x14ac:dyDescent="0.25">
      <c r="B2608" s="24"/>
      <c r="E2608" s="24"/>
      <c r="G2608" s="24"/>
      <c r="H2608" s="24"/>
      <c r="J2608" s="24"/>
      <c r="K2608" s="24"/>
      <c r="M2608" s="24"/>
      <c r="N2608" s="24"/>
      <c r="P2608" s="24"/>
    </row>
    <row r="2609" spans="2:16" x14ac:dyDescent="0.25">
      <c r="B2609" s="24"/>
      <c r="E2609" s="24"/>
      <c r="G2609" s="24"/>
      <c r="H2609" s="24"/>
      <c r="J2609" s="24"/>
      <c r="K2609" s="24"/>
      <c r="M2609" s="24"/>
      <c r="N2609" s="24"/>
      <c r="P2609" s="24"/>
    </row>
    <row r="2610" spans="2:16" x14ac:dyDescent="0.25">
      <c r="B2610" s="24"/>
      <c r="E2610" s="24"/>
      <c r="G2610" s="24"/>
      <c r="H2610" s="24"/>
      <c r="J2610" s="24"/>
      <c r="K2610" s="24"/>
      <c r="M2610" s="24"/>
      <c r="N2610" s="24"/>
      <c r="P2610" s="24"/>
    </row>
    <row r="2611" spans="2:16" x14ac:dyDescent="0.25">
      <c r="B2611" s="24"/>
      <c r="E2611" s="24"/>
      <c r="G2611" s="24"/>
      <c r="H2611" s="24"/>
      <c r="J2611" s="24"/>
      <c r="K2611" s="24"/>
      <c r="M2611" s="24"/>
      <c r="N2611" s="24"/>
      <c r="P2611" s="24"/>
    </row>
    <row r="2612" spans="2:16" x14ac:dyDescent="0.25">
      <c r="B2612" s="24"/>
      <c r="E2612" s="24"/>
      <c r="G2612" s="24"/>
      <c r="H2612" s="24"/>
      <c r="J2612" s="24"/>
      <c r="K2612" s="24"/>
      <c r="M2612" s="24"/>
      <c r="N2612" s="24"/>
      <c r="P2612" s="24"/>
    </row>
    <row r="2613" spans="2:16" x14ac:dyDescent="0.25">
      <c r="B2613" s="24"/>
      <c r="E2613" s="24"/>
      <c r="G2613" s="24"/>
      <c r="H2613" s="24"/>
      <c r="J2613" s="24"/>
      <c r="K2613" s="24"/>
      <c r="M2613" s="24"/>
      <c r="N2613" s="24"/>
      <c r="P2613" s="24"/>
    </row>
    <row r="2614" spans="2:16" x14ac:dyDescent="0.25">
      <c r="B2614" s="24"/>
      <c r="E2614" s="24"/>
      <c r="G2614" s="24"/>
      <c r="H2614" s="24"/>
      <c r="J2614" s="24"/>
      <c r="K2614" s="24"/>
      <c r="M2614" s="24"/>
      <c r="N2614" s="24"/>
      <c r="P2614" s="24"/>
    </row>
    <row r="2615" spans="2:16" x14ac:dyDescent="0.25">
      <c r="B2615" s="24"/>
      <c r="E2615" s="24"/>
      <c r="G2615" s="24"/>
      <c r="H2615" s="24"/>
      <c r="J2615" s="24"/>
      <c r="K2615" s="24"/>
      <c r="M2615" s="24"/>
      <c r="N2615" s="24"/>
      <c r="P2615" s="24"/>
    </row>
    <row r="2616" spans="2:16" x14ac:dyDescent="0.25">
      <c r="B2616" s="24"/>
      <c r="E2616" s="24"/>
      <c r="G2616" s="24"/>
      <c r="H2616" s="24"/>
      <c r="J2616" s="24"/>
      <c r="K2616" s="24"/>
      <c r="M2616" s="24"/>
      <c r="N2616" s="24"/>
      <c r="P2616" s="24"/>
    </row>
    <row r="2617" spans="2:16" x14ac:dyDescent="0.25">
      <c r="B2617" s="24"/>
      <c r="E2617" s="24"/>
      <c r="G2617" s="24"/>
      <c r="H2617" s="24"/>
      <c r="J2617" s="24"/>
      <c r="K2617" s="24"/>
      <c r="M2617" s="24"/>
      <c r="N2617" s="24"/>
      <c r="P2617" s="24"/>
    </row>
    <row r="2618" spans="2:16" x14ac:dyDescent="0.25">
      <c r="B2618" s="24"/>
      <c r="E2618" s="24"/>
      <c r="G2618" s="24"/>
      <c r="H2618" s="24"/>
      <c r="J2618" s="24"/>
      <c r="K2618" s="24"/>
      <c r="M2618" s="24"/>
      <c r="N2618" s="24"/>
      <c r="P2618" s="24"/>
    </row>
    <row r="2619" spans="2:16" x14ac:dyDescent="0.25">
      <c r="B2619" s="24"/>
      <c r="E2619" s="24"/>
      <c r="G2619" s="24"/>
      <c r="H2619" s="24"/>
      <c r="J2619" s="24"/>
      <c r="K2619" s="24"/>
      <c r="M2619" s="24"/>
      <c r="N2619" s="24"/>
      <c r="P2619" s="24"/>
    </row>
    <row r="2620" spans="2:16" x14ac:dyDescent="0.25">
      <c r="B2620" s="24"/>
      <c r="E2620" s="24"/>
      <c r="G2620" s="24"/>
      <c r="H2620" s="24"/>
      <c r="J2620" s="24"/>
      <c r="K2620" s="24"/>
      <c r="M2620" s="24"/>
      <c r="N2620" s="24"/>
      <c r="P2620" s="24"/>
    </row>
    <row r="2621" spans="2:16" x14ac:dyDescent="0.25">
      <c r="B2621" s="24"/>
      <c r="E2621" s="24"/>
      <c r="G2621" s="24"/>
      <c r="H2621" s="24"/>
      <c r="J2621" s="24"/>
      <c r="K2621" s="24"/>
      <c r="M2621" s="24"/>
      <c r="N2621" s="24"/>
      <c r="P2621" s="24"/>
    </row>
    <row r="2622" spans="2:16" x14ac:dyDescent="0.25">
      <c r="B2622" s="24"/>
      <c r="E2622" s="24"/>
      <c r="G2622" s="24"/>
      <c r="H2622" s="24"/>
      <c r="J2622" s="24"/>
      <c r="K2622" s="24"/>
      <c r="M2622" s="24"/>
      <c r="N2622" s="24"/>
      <c r="P2622" s="24"/>
    </row>
    <row r="2623" spans="2:16" x14ac:dyDescent="0.25">
      <c r="B2623" s="24"/>
      <c r="E2623" s="24"/>
      <c r="G2623" s="24"/>
      <c r="H2623" s="24"/>
      <c r="J2623" s="24"/>
      <c r="K2623" s="24"/>
      <c r="M2623" s="24"/>
      <c r="N2623" s="24"/>
      <c r="P2623" s="24"/>
    </row>
    <row r="2624" spans="2:16" x14ac:dyDescent="0.25">
      <c r="B2624" s="24"/>
      <c r="E2624" s="24"/>
      <c r="G2624" s="24"/>
      <c r="H2624" s="24"/>
      <c r="J2624" s="24"/>
      <c r="K2624" s="24"/>
      <c r="M2624" s="24"/>
      <c r="N2624" s="24"/>
      <c r="P2624" s="24"/>
    </row>
    <row r="2625" spans="2:16" x14ac:dyDescent="0.25">
      <c r="B2625" s="24"/>
      <c r="E2625" s="24"/>
      <c r="G2625" s="24"/>
      <c r="H2625" s="24"/>
      <c r="J2625" s="24"/>
      <c r="K2625" s="24"/>
      <c r="M2625" s="24"/>
      <c r="N2625" s="24"/>
      <c r="P2625" s="24"/>
    </row>
    <row r="2626" spans="2:16" x14ac:dyDescent="0.25">
      <c r="B2626" s="24"/>
      <c r="E2626" s="24"/>
      <c r="G2626" s="24"/>
      <c r="H2626" s="24"/>
      <c r="J2626" s="24"/>
      <c r="K2626" s="24"/>
      <c r="M2626" s="24"/>
      <c r="N2626" s="24"/>
      <c r="P2626" s="24"/>
    </row>
    <row r="2627" spans="2:16" x14ac:dyDescent="0.25">
      <c r="B2627" s="24"/>
      <c r="E2627" s="24"/>
      <c r="G2627" s="24"/>
      <c r="H2627" s="24"/>
      <c r="J2627" s="24"/>
      <c r="K2627" s="24"/>
      <c r="M2627" s="24"/>
      <c r="N2627" s="24"/>
      <c r="P2627" s="24"/>
    </row>
    <row r="2628" spans="2:16" x14ac:dyDescent="0.25">
      <c r="B2628" s="24"/>
      <c r="E2628" s="24"/>
      <c r="G2628" s="24"/>
      <c r="H2628" s="24"/>
      <c r="J2628" s="24"/>
      <c r="K2628" s="24"/>
      <c r="M2628" s="24"/>
      <c r="N2628" s="24"/>
      <c r="P2628" s="24"/>
    </row>
    <row r="2629" spans="2:16" x14ac:dyDescent="0.25">
      <c r="B2629" s="24"/>
      <c r="E2629" s="24"/>
      <c r="G2629" s="24"/>
      <c r="H2629" s="24"/>
      <c r="J2629" s="24"/>
      <c r="K2629" s="24"/>
      <c r="M2629" s="24"/>
      <c r="N2629" s="24"/>
      <c r="P2629" s="24"/>
    </row>
    <row r="2630" spans="2:16" x14ac:dyDescent="0.25">
      <c r="B2630" s="24"/>
      <c r="E2630" s="24"/>
      <c r="G2630" s="24"/>
      <c r="H2630" s="24"/>
      <c r="J2630" s="24"/>
      <c r="K2630" s="24"/>
      <c r="M2630" s="24"/>
      <c r="N2630" s="24"/>
      <c r="P2630" s="24"/>
    </row>
    <row r="2631" spans="2:16" x14ac:dyDescent="0.25">
      <c r="B2631" s="24"/>
      <c r="E2631" s="24"/>
      <c r="G2631" s="24"/>
      <c r="H2631" s="24"/>
      <c r="J2631" s="24"/>
      <c r="K2631" s="24"/>
      <c r="M2631" s="24"/>
      <c r="N2631" s="24"/>
      <c r="P2631" s="24"/>
    </row>
    <row r="2632" spans="2:16" x14ac:dyDescent="0.25">
      <c r="B2632" s="24"/>
      <c r="E2632" s="24"/>
      <c r="G2632" s="24"/>
      <c r="H2632" s="24"/>
      <c r="J2632" s="24"/>
      <c r="K2632" s="24"/>
      <c r="M2632" s="24"/>
      <c r="N2632" s="24"/>
      <c r="P2632" s="24"/>
    </row>
    <row r="2633" spans="2:16" x14ac:dyDescent="0.25">
      <c r="B2633" s="24"/>
      <c r="E2633" s="24"/>
      <c r="G2633" s="24"/>
      <c r="H2633" s="24"/>
      <c r="J2633" s="24"/>
      <c r="K2633" s="24"/>
      <c r="M2633" s="24"/>
      <c r="N2633" s="24"/>
      <c r="P2633" s="24"/>
    </row>
    <row r="2634" spans="2:16" x14ac:dyDescent="0.25">
      <c r="B2634" s="24"/>
      <c r="E2634" s="24"/>
      <c r="G2634" s="24"/>
      <c r="H2634" s="24"/>
      <c r="J2634" s="24"/>
      <c r="K2634" s="24"/>
      <c r="M2634" s="24"/>
      <c r="N2634" s="24"/>
      <c r="P2634" s="24"/>
    </row>
    <row r="2635" spans="2:16" x14ac:dyDescent="0.25">
      <c r="B2635" s="24"/>
      <c r="E2635" s="24"/>
      <c r="G2635" s="24"/>
      <c r="H2635" s="24"/>
      <c r="J2635" s="24"/>
      <c r="K2635" s="24"/>
      <c r="M2635" s="24"/>
      <c r="N2635" s="24"/>
      <c r="P2635" s="24"/>
    </row>
    <row r="2636" spans="2:16" x14ac:dyDescent="0.25">
      <c r="B2636" s="24"/>
      <c r="E2636" s="24"/>
      <c r="G2636" s="24"/>
      <c r="H2636" s="24"/>
      <c r="J2636" s="24"/>
      <c r="K2636" s="24"/>
      <c r="M2636" s="24"/>
      <c r="N2636" s="24"/>
      <c r="P2636" s="24"/>
    </row>
    <row r="2637" spans="2:16" x14ac:dyDescent="0.25">
      <c r="B2637" s="24"/>
      <c r="E2637" s="24"/>
      <c r="G2637" s="24"/>
      <c r="H2637" s="24"/>
      <c r="J2637" s="24"/>
      <c r="K2637" s="24"/>
      <c r="M2637" s="24"/>
      <c r="N2637" s="24"/>
      <c r="P2637" s="24"/>
    </row>
    <row r="2638" spans="2:16" x14ac:dyDescent="0.25">
      <c r="B2638" s="24"/>
      <c r="E2638" s="24"/>
      <c r="G2638" s="24"/>
      <c r="H2638" s="24"/>
      <c r="J2638" s="24"/>
      <c r="K2638" s="24"/>
      <c r="M2638" s="24"/>
      <c r="N2638" s="24"/>
      <c r="P2638" s="24"/>
    </row>
    <row r="2639" spans="2:16" x14ac:dyDescent="0.25">
      <c r="B2639" s="24"/>
      <c r="E2639" s="24"/>
      <c r="G2639" s="24"/>
      <c r="H2639" s="24"/>
      <c r="J2639" s="24"/>
      <c r="K2639" s="24"/>
      <c r="M2639" s="24"/>
      <c r="N2639" s="24"/>
      <c r="P2639" s="24"/>
    </row>
    <row r="2640" spans="2:16" x14ac:dyDescent="0.25">
      <c r="B2640" s="24"/>
      <c r="E2640" s="24"/>
      <c r="G2640" s="24"/>
      <c r="H2640" s="24"/>
      <c r="J2640" s="24"/>
      <c r="K2640" s="24"/>
      <c r="M2640" s="24"/>
      <c r="N2640" s="24"/>
      <c r="P2640" s="24"/>
    </row>
    <row r="2641" spans="2:16" x14ac:dyDescent="0.25">
      <c r="B2641" s="24"/>
      <c r="E2641" s="24"/>
      <c r="G2641" s="24"/>
      <c r="H2641" s="24"/>
      <c r="J2641" s="24"/>
      <c r="K2641" s="24"/>
      <c r="M2641" s="24"/>
      <c r="N2641" s="24"/>
      <c r="P2641" s="24"/>
    </row>
    <row r="2642" spans="2:16" x14ac:dyDescent="0.25">
      <c r="B2642" s="24"/>
      <c r="E2642" s="24"/>
      <c r="G2642" s="24"/>
      <c r="H2642" s="24"/>
      <c r="J2642" s="24"/>
      <c r="K2642" s="24"/>
      <c r="M2642" s="24"/>
      <c r="N2642" s="24"/>
      <c r="P2642" s="24"/>
    </row>
    <row r="2643" spans="2:16" x14ac:dyDescent="0.25">
      <c r="B2643" s="24"/>
      <c r="E2643" s="24"/>
      <c r="G2643" s="24"/>
      <c r="H2643" s="24"/>
      <c r="J2643" s="24"/>
      <c r="K2643" s="24"/>
      <c r="M2643" s="24"/>
      <c r="N2643" s="24"/>
      <c r="P2643" s="24"/>
    </row>
    <row r="2644" spans="2:16" x14ac:dyDescent="0.25">
      <c r="B2644" s="24"/>
      <c r="E2644" s="24"/>
      <c r="G2644" s="24"/>
      <c r="H2644" s="24"/>
      <c r="J2644" s="24"/>
      <c r="K2644" s="24"/>
      <c r="M2644" s="24"/>
      <c r="N2644" s="24"/>
      <c r="P2644" s="24"/>
    </row>
    <row r="2645" spans="2:16" x14ac:dyDescent="0.25">
      <c r="B2645" s="24"/>
      <c r="E2645" s="24"/>
      <c r="G2645" s="24"/>
      <c r="H2645" s="24"/>
      <c r="J2645" s="24"/>
      <c r="K2645" s="24"/>
      <c r="M2645" s="24"/>
      <c r="N2645" s="24"/>
      <c r="P2645" s="24"/>
    </row>
    <row r="2646" spans="2:16" x14ac:dyDescent="0.25">
      <c r="B2646" s="24"/>
      <c r="E2646" s="24"/>
      <c r="G2646" s="24"/>
      <c r="H2646" s="24"/>
      <c r="J2646" s="24"/>
      <c r="K2646" s="24"/>
      <c r="M2646" s="24"/>
      <c r="N2646" s="24"/>
      <c r="P2646" s="24"/>
    </row>
    <row r="2647" spans="2:16" x14ac:dyDescent="0.25">
      <c r="B2647" s="24"/>
      <c r="E2647" s="24"/>
      <c r="G2647" s="24"/>
      <c r="H2647" s="24"/>
      <c r="J2647" s="24"/>
      <c r="K2647" s="24"/>
      <c r="M2647" s="24"/>
      <c r="N2647" s="24"/>
      <c r="P2647" s="24"/>
    </row>
    <row r="2648" spans="2:16" x14ac:dyDescent="0.25">
      <c r="B2648" s="24"/>
      <c r="E2648" s="24"/>
      <c r="G2648" s="24"/>
      <c r="H2648" s="24"/>
      <c r="J2648" s="24"/>
      <c r="K2648" s="24"/>
      <c r="M2648" s="24"/>
      <c r="N2648" s="24"/>
      <c r="P2648" s="24"/>
    </row>
    <row r="2649" spans="2:16" x14ac:dyDescent="0.25">
      <c r="B2649" s="24"/>
      <c r="E2649" s="24"/>
      <c r="G2649" s="24"/>
      <c r="H2649" s="24"/>
      <c r="J2649" s="24"/>
      <c r="K2649" s="24"/>
      <c r="M2649" s="24"/>
      <c r="N2649" s="24"/>
      <c r="P2649" s="24"/>
    </row>
    <row r="2650" spans="2:16" x14ac:dyDescent="0.25">
      <c r="B2650" s="24"/>
      <c r="E2650" s="24"/>
      <c r="G2650" s="24"/>
      <c r="H2650" s="24"/>
      <c r="J2650" s="24"/>
      <c r="K2650" s="24"/>
      <c r="M2650" s="24"/>
      <c r="N2650" s="24"/>
      <c r="P2650" s="24"/>
    </row>
    <row r="2651" spans="2:16" x14ac:dyDescent="0.25">
      <c r="B2651" s="24"/>
      <c r="E2651" s="24"/>
      <c r="G2651" s="24"/>
      <c r="H2651" s="24"/>
      <c r="J2651" s="24"/>
      <c r="K2651" s="24"/>
      <c r="M2651" s="24"/>
      <c r="N2651" s="24"/>
      <c r="P2651" s="24"/>
    </row>
    <row r="2652" spans="2:16" x14ac:dyDescent="0.25">
      <c r="B2652" s="24"/>
      <c r="E2652" s="24"/>
      <c r="G2652" s="24"/>
      <c r="H2652" s="24"/>
      <c r="J2652" s="24"/>
      <c r="K2652" s="24"/>
      <c r="M2652" s="24"/>
      <c r="N2652" s="24"/>
      <c r="P2652" s="24"/>
    </row>
    <row r="2653" spans="2:16" x14ac:dyDescent="0.25">
      <c r="B2653" s="24"/>
      <c r="E2653" s="24"/>
      <c r="G2653" s="24"/>
      <c r="H2653" s="24"/>
      <c r="J2653" s="24"/>
      <c r="K2653" s="24"/>
      <c r="M2653" s="24"/>
      <c r="N2653" s="24"/>
      <c r="P2653" s="24"/>
    </row>
    <row r="2654" spans="2:16" x14ac:dyDescent="0.25">
      <c r="B2654" s="24"/>
      <c r="E2654" s="24"/>
      <c r="G2654" s="24"/>
      <c r="H2654" s="24"/>
      <c r="J2654" s="24"/>
      <c r="K2654" s="24"/>
      <c r="M2654" s="24"/>
      <c r="N2654" s="24"/>
      <c r="P2654" s="24"/>
    </row>
    <row r="2655" spans="2:16" x14ac:dyDescent="0.25">
      <c r="B2655" s="24"/>
      <c r="E2655" s="24"/>
      <c r="G2655" s="24"/>
      <c r="H2655" s="24"/>
      <c r="J2655" s="24"/>
      <c r="K2655" s="24"/>
      <c r="M2655" s="24"/>
      <c r="N2655" s="24"/>
      <c r="P2655" s="24"/>
    </row>
    <row r="2656" spans="2:16" x14ac:dyDescent="0.25">
      <c r="B2656" s="24"/>
      <c r="E2656" s="24"/>
      <c r="G2656" s="24"/>
      <c r="H2656" s="24"/>
      <c r="J2656" s="24"/>
      <c r="K2656" s="24"/>
      <c r="M2656" s="24"/>
      <c r="N2656" s="24"/>
      <c r="P2656" s="24"/>
    </row>
    <row r="2657" spans="2:16" x14ac:dyDescent="0.25">
      <c r="B2657" s="24"/>
      <c r="E2657" s="24"/>
      <c r="G2657" s="24"/>
      <c r="H2657" s="24"/>
      <c r="J2657" s="24"/>
      <c r="K2657" s="24"/>
      <c r="M2657" s="24"/>
      <c r="N2657" s="24"/>
      <c r="P2657" s="24"/>
    </row>
    <row r="2658" spans="2:16" x14ac:dyDescent="0.25">
      <c r="B2658" s="24"/>
      <c r="E2658" s="24"/>
      <c r="G2658" s="24"/>
      <c r="H2658" s="24"/>
      <c r="J2658" s="24"/>
      <c r="K2658" s="24"/>
      <c r="M2658" s="24"/>
      <c r="N2658" s="24"/>
      <c r="P2658" s="24"/>
    </row>
    <row r="2659" spans="2:16" x14ac:dyDescent="0.25">
      <c r="B2659" s="24"/>
      <c r="E2659" s="24"/>
      <c r="G2659" s="24"/>
      <c r="H2659" s="24"/>
      <c r="J2659" s="24"/>
      <c r="K2659" s="24"/>
      <c r="M2659" s="24"/>
      <c r="N2659" s="24"/>
      <c r="P2659" s="24"/>
    </row>
    <row r="2660" spans="2:16" x14ac:dyDescent="0.25">
      <c r="B2660" s="24"/>
      <c r="E2660" s="24"/>
      <c r="G2660" s="24"/>
      <c r="H2660" s="24"/>
      <c r="J2660" s="24"/>
      <c r="K2660" s="24"/>
      <c r="M2660" s="24"/>
      <c r="N2660" s="24"/>
      <c r="P2660" s="24"/>
    </row>
    <row r="2661" spans="2:16" x14ac:dyDescent="0.25">
      <c r="B2661" s="24"/>
      <c r="E2661" s="24"/>
      <c r="G2661" s="24"/>
      <c r="H2661" s="24"/>
      <c r="J2661" s="24"/>
      <c r="K2661" s="24"/>
      <c r="M2661" s="24"/>
      <c r="N2661" s="24"/>
      <c r="P2661" s="24"/>
    </row>
    <row r="2662" spans="2:16" x14ac:dyDescent="0.25">
      <c r="B2662" s="24"/>
      <c r="E2662" s="24"/>
      <c r="G2662" s="24"/>
      <c r="H2662" s="24"/>
      <c r="J2662" s="24"/>
      <c r="K2662" s="24"/>
      <c r="M2662" s="24"/>
      <c r="N2662" s="24"/>
      <c r="P2662" s="24"/>
    </row>
    <row r="2663" spans="2:16" x14ac:dyDescent="0.25">
      <c r="B2663" s="24"/>
      <c r="E2663" s="24"/>
      <c r="G2663" s="24"/>
      <c r="H2663" s="24"/>
      <c r="J2663" s="24"/>
      <c r="K2663" s="24"/>
      <c r="M2663" s="24"/>
      <c r="N2663" s="24"/>
      <c r="P2663" s="24"/>
    </row>
    <row r="2664" spans="2:16" x14ac:dyDescent="0.25">
      <c r="B2664" s="24"/>
      <c r="E2664" s="24"/>
      <c r="G2664" s="24"/>
      <c r="H2664" s="24"/>
      <c r="J2664" s="24"/>
      <c r="K2664" s="24"/>
      <c r="M2664" s="24"/>
      <c r="N2664" s="24"/>
      <c r="P2664" s="24"/>
    </row>
    <row r="2665" spans="2:16" x14ac:dyDescent="0.25">
      <c r="B2665" s="24"/>
      <c r="E2665" s="24"/>
      <c r="G2665" s="24"/>
      <c r="H2665" s="24"/>
      <c r="J2665" s="24"/>
      <c r="K2665" s="24"/>
      <c r="M2665" s="24"/>
      <c r="N2665" s="24"/>
      <c r="P2665" s="24"/>
    </row>
    <row r="2666" spans="2:16" x14ac:dyDescent="0.25">
      <c r="B2666" s="24"/>
      <c r="E2666" s="24"/>
      <c r="G2666" s="24"/>
      <c r="H2666" s="24"/>
      <c r="J2666" s="24"/>
      <c r="K2666" s="24"/>
      <c r="M2666" s="24"/>
      <c r="N2666" s="24"/>
      <c r="P2666" s="24"/>
    </row>
    <row r="2667" spans="2:16" x14ac:dyDescent="0.25">
      <c r="B2667" s="24"/>
      <c r="E2667" s="24"/>
      <c r="G2667" s="24"/>
      <c r="H2667" s="24"/>
      <c r="J2667" s="24"/>
      <c r="K2667" s="24"/>
      <c r="M2667" s="24"/>
      <c r="N2667" s="24"/>
      <c r="P2667" s="24"/>
    </row>
    <row r="2668" spans="2:16" x14ac:dyDescent="0.25">
      <c r="B2668" s="24"/>
      <c r="E2668" s="24"/>
      <c r="G2668" s="24"/>
      <c r="H2668" s="24"/>
      <c r="J2668" s="24"/>
      <c r="K2668" s="24"/>
      <c r="M2668" s="24"/>
      <c r="N2668" s="24"/>
      <c r="P2668" s="24"/>
    </row>
    <row r="2669" spans="2:16" x14ac:dyDescent="0.25">
      <c r="B2669" s="24"/>
      <c r="E2669" s="24"/>
      <c r="G2669" s="24"/>
      <c r="H2669" s="24"/>
      <c r="J2669" s="24"/>
      <c r="K2669" s="24"/>
      <c r="M2669" s="24"/>
      <c r="N2669" s="24"/>
      <c r="P2669" s="24"/>
    </row>
    <row r="2670" spans="2:16" x14ac:dyDescent="0.25">
      <c r="B2670" s="24"/>
      <c r="E2670" s="24"/>
      <c r="G2670" s="24"/>
      <c r="H2670" s="24"/>
      <c r="J2670" s="24"/>
      <c r="K2670" s="24"/>
      <c r="M2670" s="24"/>
      <c r="N2670" s="24"/>
      <c r="P2670" s="24"/>
    </row>
    <row r="2671" spans="2:16" x14ac:dyDescent="0.25">
      <c r="B2671" s="24"/>
      <c r="E2671" s="24"/>
      <c r="G2671" s="24"/>
      <c r="H2671" s="24"/>
      <c r="J2671" s="24"/>
      <c r="K2671" s="24"/>
      <c r="M2671" s="24"/>
      <c r="N2671" s="24"/>
      <c r="P2671" s="24"/>
    </row>
    <row r="2672" spans="2:16" x14ac:dyDescent="0.25">
      <c r="B2672" s="24"/>
      <c r="E2672" s="24"/>
      <c r="G2672" s="24"/>
      <c r="H2672" s="24"/>
      <c r="J2672" s="24"/>
      <c r="K2672" s="24"/>
      <c r="M2672" s="24"/>
      <c r="N2672" s="24"/>
      <c r="P2672" s="24"/>
    </row>
    <row r="2673" spans="2:16" x14ac:dyDescent="0.25">
      <c r="B2673" s="24"/>
      <c r="E2673" s="24"/>
      <c r="G2673" s="24"/>
      <c r="H2673" s="24"/>
      <c r="J2673" s="24"/>
      <c r="K2673" s="24"/>
      <c r="M2673" s="24"/>
      <c r="N2673" s="24"/>
      <c r="P2673" s="24"/>
    </row>
    <row r="2674" spans="2:16" x14ac:dyDescent="0.25">
      <c r="B2674" s="24"/>
      <c r="E2674" s="24"/>
      <c r="G2674" s="24"/>
      <c r="H2674" s="24"/>
      <c r="J2674" s="24"/>
      <c r="K2674" s="24"/>
      <c r="M2674" s="24"/>
      <c r="N2674" s="24"/>
      <c r="P2674" s="24"/>
    </row>
    <row r="2675" spans="2:16" x14ac:dyDescent="0.25">
      <c r="B2675" s="24"/>
      <c r="E2675" s="24"/>
      <c r="G2675" s="24"/>
      <c r="H2675" s="24"/>
      <c r="J2675" s="24"/>
      <c r="K2675" s="24"/>
      <c r="M2675" s="24"/>
      <c r="N2675" s="24"/>
      <c r="P2675" s="24"/>
    </row>
    <row r="2676" spans="2:16" x14ac:dyDescent="0.25">
      <c r="B2676" s="24"/>
      <c r="E2676" s="24"/>
      <c r="G2676" s="24"/>
      <c r="H2676" s="24"/>
      <c r="J2676" s="24"/>
      <c r="K2676" s="24"/>
      <c r="M2676" s="24"/>
      <c r="N2676" s="24"/>
      <c r="P2676" s="24"/>
    </row>
    <row r="2677" spans="2:16" x14ac:dyDescent="0.25">
      <c r="B2677" s="24"/>
      <c r="E2677" s="24"/>
      <c r="G2677" s="24"/>
      <c r="H2677" s="24"/>
      <c r="J2677" s="24"/>
      <c r="K2677" s="24"/>
      <c r="M2677" s="24"/>
      <c r="N2677" s="24"/>
      <c r="P2677" s="24"/>
    </row>
    <row r="2678" spans="2:16" x14ac:dyDescent="0.25">
      <c r="B2678" s="24"/>
      <c r="E2678" s="24"/>
      <c r="G2678" s="24"/>
      <c r="H2678" s="24"/>
      <c r="J2678" s="24"/>
      <c r="K2678" s="24"/>
      <c r="M2678" s="24"/>
      <c r="N2678" s="24"/>
      <c r="P2678" s="24"/>
    </row>
    <row r="2679" spans="2:16" x14ac:dyDescent="0.25">
      <c r="B2679" s="24"/>
      <c r="E2679" s="24"/>
      <c r="G2679" s="24"/>
      <c r="H2679" s="24"/>
      <c r="J2679" s="24"/>
      <c r="K2679" s="24"/>
      <c r="M2679" s="24"/>
      <c r="N2679" s="24"/>
      <c r="P2679" s="24"/>
    </row>
    <row r="2680" spans="2:16" x14ac:dyDescent="0.25">
      <c r="B2680" s="24"/>
      <c r="E2680" s="24"/>
      <c r="G2680" s="24"/>
      <c r="H2680" s="24"/>
      <c r="J2680" s="24"/>
      <c r="K2680" s="24"/>
      <c r="M2680" s="24"/>
      <c r="N2680" s="24"/>
      <c r="P2680" s="24"/>
    </row>
    <row r="2681" spans="2:16" x14ac:dyDescent="0.25">
      <c r="B2681" s="24"/>
      <c r="E2681" s="24"/>
      <c r="G2681" s="24"/>
      <c r="H2681" s="24"/>
      <c r="J2681" s="24"/>
      <c r="K2681" s="24"/>
      <c r="M2681" s="24"/>
      <c r="N2681" s="24"/>
      <c r="P2681" s="24"/>
    </row>
    <row r="2682" spans="2:16" x14ac:dyDescent="0.25">
      <c r="B2682" s="24"/>
      <c r="E2682" s="24"/>
      <c r="G2682" s="24"/>
      <c r="H2682" s="24"/>
      <c r="J2682" s="24"/>
      <c r="K2682" s="24"/>
      <c r="M2682" s="24"/>
      <c r="N2682" s="24"/>
      <c r="P2682" s="24"/>
    </row>
    <row r="2683" spans="2:16" x14ac:dyDescent="0.25">
      <c r="B2683" s="24"/>
      <c r="E2683" s="24"/>
      <c r="G2683" s="24"/>
      <c r="H2683" s="24"/>
      <c r="J2683" s="24"/>
      <c r="K2683" s="24"/>
      <c r="M2683" s="24"/>
      <c r="N2683" s="24"/>
      <c r="P2683" s="24"/>
    </row>
    <row r="2684" spans="2:16" x14ac:dyDescent="0.25">
      <c r="B2684" s="24"/>
      <c r="E2684" s="24"/>
      <c r="G2684" s="24"/>
      <c r="H2684" s="24"/>
      <c r="J2684" s="24"/>
      <c r="K2684" s="24"/>
      <c r="M2684" s="24"/>
      <c r="N2684" s="24"/>
      <c r="P2684" s="24"/>
    </row>
    <row r="2685" spans="2:16" x14ac:dyDescent="0.25">
      <c r="B2685" s="24"/>
      <c r="E2685" s="24"/>
      <c r="G2685" s="24"/>
      <c r="H2685" s="24"/>
      <c r="J2685" s="24"/>
      <c r="K2685" s="24"/>
      <c r="M2685" s="24"/>
      <c r="N2685" s="24"/>
      <c r="P2685" s="24"/>
    </row>
    <row r="2686" spans="2:16" x14ac:dyDescent="0.25">
      <c r="B2686" s="24"/>
      <c r="E2686" s="24"/>
      <c r="G2686" s="24"/>
      <c r="H2686" s="24"/>
      <c r="J2686" s="24"/>
      <c r="K2686" s="24"/>
      <c r="M2686" s="24"/>
      <c r="N2686" s="24"/>
      <c r="P2686" s="24"/>
    </row>
    <row r="2687" spans="2:16" x14ac:dyDescent="0.25">
      <c r="B2687" s="24"/>
      <c r="E2687" s="24"/>
      <c r="G2687" s="24"/>
      <c r="H2687" s="24"/>
      <c r="J2687" s="24"/>
      <c r="K2687" s="24"/>
      <c r="M2687" s="24"/>
      <c r="N2687" s="24"/>
      <c r="P2687" s="24"/>
    </row>
    <row r="2688" spans="2:16" x14ac:dyDescent="0.25">
      <c r="B2688" s="24"/>
      <c r="E2688" s="24"/>
      <c r="G2688" s="24"/>
      <c r="H2688" s="24"/>
      <c r="J2688" s="24"/>
      <c r="K2688" s="24"/>
      <c r="M2688" s="24"/>
      <c r="N2688" s="24"/>
      <c r="P2688" s="24"/>
    </row>
    <row r="2689" spans="2:16" x14ac:dyDescent="0.25">
      <c r="B2689" s="24"/>
      <c r="E2689" s="24"/>
      <c r="G2689" s="24"/>
      <c r="H2689" s="24"/>
      <c r="J2689" s="24"/>
      <c r="K2689" s="24"/>
      <c r="M2689" s="24"/>
      <c r="N2689" s="24"/>
      <c r="P2689" s="24"/>
    </row>
    <row r="2690" spans="2:16" x14ac:dyDescent="0.25">
      <c r="B2690" s="24"/>
      <c r="E2690" s="24"/>
      <c r="G2690" s="24"/>
      <c r="H2690" s="24"/>
      <c r="J2690" s="24"/>
      <c r="K2690" s="24"/>
      <c r="M2690" s="24"/>
      <c r="N2690" s="24"/>
      <c r="P2690" s="24"/>
    </row>
    <row r="2691" spans="2:16" x14ac:dyDescent="0.25">
      <c r="B2691" s="24"/>
      <c r="E2691" s="24"/>
      <c r="G2691" s="24"/>
      <c r="H2691" s="24"/>
      <c r="J2691" s="24"/>
      <c r="K2691" s="24"/>
      <c r="M2691" s="24"/>
      <c r="N2691" s="24"/>
      <c r="P2691" s="24"/>
    </row>
    <row r="2692" spans="2:16" x14ac:dyDescent="0.25">
      <c r="B2692" s="24"/>
      <c r="E2692" s="24"/>
      <c r="G2692" s="24"/>
      <c r="H2692" s="24"/>
      <c r="J2692" s="24"/>
      <c r="K2692" s="24"/>
      <c r="M2692" s="24"/>
      <c r="N2692" s="24"/>
      <c r="P2692" s="24"/>
    </row>
    <row r="2693" spans="2:16" x14ac:dyDescent="0.25">
      <c r="B2693" s="24"/>
      <c r="E2693" s="24"/>
      <c r="G2693" s="24"/>
      <c r="H2693" s="24"/>
      <c r="J2693" s="24"/>
      <c r="K2693" s="24"/>
      <c r="M2693" s="24"/>
      <c r="N2693" s="24"/>
      <c r="P2693" s="24"/>
    </row>
    <row r="2694" spans="2:16" x14ac:dyDescent="0.25">
      <c r="B2694" s="24"/>
      <c r="E2694" s="24"/>
      <c r="G2694" s="24"/>
      <c r="H2694" s="24"/>
      <c r="J2694" s="24"/>
      <c r="K2694" s="24"/>
      <c r="M2694" s="24"/>
      <c r="N2694" s="24"/>
      <c r="P2694" s="24"/>
    </row>
    <row r="2695" spans="2:16" x14ac:dyDescent="0.25">
      <c r="B2695" s="24"/>
      <c r="E2695" s="24"/>
      <c r="G2695" s="24"/>
      <c r="H2695" s="24"/>
      <c r="J2695" s="24"/>
      <c r="K2695" s="24"/>
      <c r="M2695" s="24"/>
      <c r="N2695" s="24"/>
      <c r="P2695" s="24"/>
    </row>
    <row r="2696" spans="2:16" x14ac:dyDescent="0.25">
      <c r="B2696" s="24"/>
      <c r="E2696" s="24"/>
      <c r="G2696" s="24"/>
      <c r="H2696" s="24"/>
      <c r="J2696" s="24"/>
      <c r="K2696" s="24"/>
      <c r="M2696" s="24"/>
      <c r="N2696" s="24"/>
      <c r="P2696" s="24"/>
    </row>
    <row r="2697" spans="2:16" x14ac:dyDescent="0.25">
      <c r="B2697" s="24"/>
      <c r="E2697" s="24"/>
      <c r="G2697" s="24"/>
      <c r="H2697" s="24"/>
      <c r="J2697" s="24"/>
      <c r="K2697" s="24"/>
      <c r="M2697" s="24"/>
      <c r="N2697" s="24"/>
      <c r="P2697" s="24"/>
    </row>
    <row r="2698" spans="2:16" x14ac:dyDescent="0.25">
      <c r="B2698" s="24"/>
      <c r="E2698" s="24"/>
      <c r="G2698" s="24"/>
      <c r="H2698" s="24"/>
      <c r="J2698" s="24"/>
      <c r="K2698" s="24"/>
      <c r="M2698" s="24"/>
      <c r="N2698" s="24"/>
      <c r="P2698" s="24"/>
    </row>
    <row r="2699" spans="2:16" x14ac:dyDescent="0.25">
      <c r="B2699" s="24"/>
      <c r="E2699" s="24"/>
      <c r="G2699" s="24"/>
      <c r="H2699" s="24"/>
      <c r="J2699" s="24"/>
      <c r="K2699" s="24"/>
      <c r="M2699" s="24"/>
      <c r="N2699" s="24"/>
      <c r="P2699" s="24"/>
    </row>
    <row r="2700" spans="2:16" x14ac:dyDescent="0.25">
      <c r="B2700" s="24"/>
      <c r="E2700" s="24"/>
      <c r="G2700" s="24"/>
      <c r="H2700" s="24"/>
      <c r="J2700" s="24"/>
      <c r="K2700" s="24"/>
      <c r="M2700" s="24"/>
      <c r="N2700" s="24"/>
      <c r="P2700" s="24"/>
    </row>
    <row r="2701" spans="2:16" x14ac:dyDescent="0.25">
      <c r="B2701" s="24"/>
      <c r="E2701" s="24"/>
      <c r="G2701" s="24"/>
      <c r="H2701" s="24"/>
      <c r="J2701" s="24"/>
      <c r="K2701" s="24"/>
      <c r="M2701" s="24"/>
      <c r="N2701" s="24"/>
      <c r="P2701" s="24"/>
    </row>
    <row r="2702" spans="2:16" x14ac:dyDescent="0.25">
      <c r="B2702" s="24"/>
      <c r="E2702" s="24"/>
      <c r="G2702" s="24"/>
      <c r="H2702" s="24"/>
      <c r="J2702" s="24"/>
      <c r="K2702" s="24"/>
      <c r="M2702" s="24"/>
      <c r="N2702" s="24"/>
      <c r="P2702" s="24"/>
    </row>
    <row r="2703" spans="2:16" x14ac:dyDescent="0.25">
      <c r="B2703" s="24"/>
      <c r="E2703" s="24"/>
      <c r="G2703" s="24"/>
      <c r="H2703" s="24"/>
      <c r="J2703" s="24"/>
      <c r="K2703" s="24"/>
      <c r="M2703" s="24"/>
      <c r="N2703" s="24"/>
      <c r="P2703" s="24"/>
    </row>
    <row r="2704" spans="2:16" x14ac:dyDescent="0.25">
      <c r="B2704" s="24"/>
      <c r="E2704" s="24"/>
      <c r="G2704" s="24"/>
      <c r="H2704" s="24"/>
      <c r="J2704" s="24"/>
      <c r="K2704" s="24"/>
      <c r="M2704" s="24"/>
      <c r="N2704" s="24"/>
      <c r="P2704" s="24"/>
    </row>
    <row r="2705" spans="2:16" x14ac:dyDescent="0.25">
      <c r="B2705" s="24"/>
      <c r="E2705" s="24"/>
      <c r="G2705" s="24"/>
      <c r="H2705" s="24"/>
      <c r="J2705" s="24"/>
      <c r="K2705" s="24"/>
      <c r="M2705" s="24"/>
      <c r="N2705" s="24"/>
      <c r="P2705" s="24"/>
    </row>
    <row r="2706" spans="2:16" x14ac:dyDescent="0.25">
      <c r="B2706" s="24"/>
      <c r="E2706" s="24"/>
      <c r="G2706" s="24"/>
      <c r="H2706" s="24"/>
      <c r="J2706" s="24"/>
      <c r="K2706" s="24"/>
      <c r="M2706" s="24"/>
      <c r="N2706" s="24"/>
      <c r="P2706" s="24"/>
    </row>
    <row r="2707" spans="2:16" x14ac:dyDescent="0.25">
      <c r="B2707" s="24"/>
      <c r="E2707" s="24"/>
      <c r="G2707" s="24"/>
      <c r="H2707" s="24"/>
      <c r="J2707" s="24"/>
      <c r="K2707" s="24"/>
      <c r="M2707" s="24"/>
      <c r="N2707" s="24"/>
      <c r="P2707" s="24"/>
    </row>
    <row r="2708" spans="2:16" x14ac:dyDescent="0.25">
      <c r="B2708" s="24"/>
      <c r="E2708" s="24"/>
      <c r="G2708" s="24"/>
      <c r="H2708" s="24"/>
      <c r="J2708" s="24"/>
      <c r="K2708" s="24"/>
      <c r="M2708" s="24"/>
      <c r="N2708" s="24"/>
      <c r="P2708" s="24"/>
    </row>
    <row r="2709" spans="2:16" x14ac:dyDescent="0.25">
      <c r="B2709" s="24"/>
      <c r="E2709" s="24"/>
      <c r="G2709" s="24"/>
      <c r="H2709" s="24"/>
      <c r="J2709" s="24"/>
      <c r="K2709" s="24"/>
      <c r="M2709" s="24"/>
      <c r="N2709" s="24"/>
      <c r="P2709" s="24"/>
    </row>
    <row r="2710" spans="2:16" x14ac:dyDescent="0.25">
      <c r="B2710" s="24"/>
      <c r="E2710" s="24"/>
      <c r="G2710" s="24"/>
      <c r="H2710" s="24"/>
      <c r="J2710" s="24"/>
      <c r="K2710" s="24"/>
      <c r="M2710" s="24"/>
      <c r="N2710" s="24"/>
      <c r="P2710" s="24"/>
    </row>
    <row r="2711" spans="2:16" x14ac:dyDescent="0.25">
      <c r="B2711" s="24"/>
      <c r="E2711" s="24"/>
      <c r="G2711" s="24"/>
      <c r="H2711" s="24"/>
      <c r="J2711" s="24"/>
      <c r="K2711" s="24"/>
      <c r="M2711" s="24"/>
      <c r="N2711" s="24"/>
      <c r="P2711" s="24"/>
    </row>
    <row r="2712" spans="2:16" x14ac:dyDescent="0.25">
      <c r="B2712" s="24"/>
      <c r="E2712" s="24"/>
      <c r="G2712" s="24"/>
      <c r="H2712" s="24"/>
      <c r="J2712" s="24"/>
      <c r="K2712" s="24"/>
      <c r="M2712" s="24"/>
      <c r="N2712" s="24"/>
      <c r="P2712" s="24"/>
    </row>
    <row r="2713" spans="2:16" x14ac:dyDescent="0.25">
      <c r="B2713" s="24"/>
      <c r="E2713" s="24"/>
      <c r="G2713" s="24"/>
      <c r="H2713" s="24"/>
      <c r="J2713" s="24"/>
      <c r="K2713" s="24"/>
      <c r="M2713" s="24"/>
      <c r="N2713" s="24"/>
      <c r="P2713" s="24"/>
    </row>
    <row r="2714" spans="2:16" x14ac:dyDescent="0.25">
      <c r="B2714" s="24"/>
      <c r="E2714" s="24"/>
      <c r="G2714" s="24"/>
      <c r="H2714" s="24"/>
      <c r="J2714" s="24"/>
      <c r="K2714" s="24"/>
      <c r="M2714" s="24"/>
      <c r="N2714" s="24"/>
      <c r="P2714" s="24"/>
    </row>
    <row r="2715" spans="2:16" x14ac:dyDescent="0.25">
      <c r="B2715" s="24"/>
      <c r="E2715" s="24"/>
      <c r="G2715" s="24"/>
      <c r="H2715" s="24"/>
      <c r="J2715" s="24"/>
      <c r="K2715" s="24"/>
      <c r="M2715" s="24"/>
      <c r="N2715" s="24"/>
      <c r="P2715" s="24"/>
    </row>
    <row r="2716" spans="2:16" x14ac:dyDescent="0.25">
      <c r="B2716" s="24"/>
      <c r="E2716" s="24"/>
      <c r="G2716" s="24"/>
      <c r="H2716" s="24"/>
      <c r="J2716" s="24"/>
      <c r="K2716" s="24"/>
      <c r="M2716" s="24"/>
      <c r="N2716" s="24"/>
      <c r="P2716" s="24"/>
    </row>
    <row r="2717" spans="2:16" x14ac:dyDescent="0.25">
      <c r="B2717" s="24"/>
      <c r="E2717" s="24"/>
      <c r="G2717" s="24"/>
      <c r="H2717" s="24"/>
      <c r="J2717" s="24"/>
      <c r="K2717" s="24"/>
      <c r="M2717" s="24"/>
      <c r="N2717" s="24"/>
      <c r="P2717" s="24"/>
    </row>
    <row r="2718" spans="2:16" x14ac:dyDescent="0.25">
      <c r="B2718" s="24"/>
      <c r="E2718" s="24"/>
      <c r="G2718" s="24"/>
      <c r="H2718" s="24"/>
      <c r="J2718" s="24"/>
      <c r="K2718" s="24"/>
      <c r="M2718" s="24"/>
      <c r="N2718" s="24"/>
      <c r="P2718" s="24"/>
    </row>
    <row r="2719" spans="2:16" x14ac:dyDescent="0.25">
      <c r="B2719" s="24"/>
      <c r="E2719" s="24"/>
      <c r="G2719" s="24"/>
      <c r="H2719" s="24"/>
      <c r="J2719" s="24"/>
      <c r="K2719" s="24"/>
      <c r="M2719" s="24"/>
      <c r="N2719" s="24"/>
      <c r="P2719" s="24"/>
    </row>
    <row r="2720" spans="2:16" x14ac:dyDescent="0.25">
      <c r="B2720" s="24"/>
      <c r="E2720" s="24"/>
      <c r="G2720" s="24"/>
      <c r="H2720" s="24"/>
      <c r="J2720" s="24"/>
      <c r="K2720" s="24"/>
      <c r="M2720" s="24"/>
      <c r="N2720" s="24"/>
      <c r="P2720" s="24"/>
    </row>
    <row r="2721" spans="2:16" x14ac:dyDescent="0.25">
      <c r="B2721" s="24"/>
      <c r="E2721" s="24"/>
      <c r="G2721" s="24"/>
      <c r="H2721" s="24"/>
      <c r="J2721" s="24"/>
      <c r="K2721" s="24"/>
      <c r="M2721" s="24"/>
      <c r="N2721" s="24"/>
      <c r="P2721" s="24"/>
    </row>
    <row r="2722" spans="2:16" x14ac:dyDescent="0.25">
      <c r="B2722" s="24"/>
      <c r="E2722" s="24"/>
      <c r="G2722" s="24"/>
      <c r="H2722" s="24"/>
      <c r="J2722" s="24"/>
      <c r="K2722" s="24"/>
      <c r="M2722" s="24"/>
      <c r="N2722" s="24"/>
      <c r="P2722" s="24"/>
    </row>
    <row r="2723" spans="2:16" x14ac:dyDescent="0.25">
      <c r="B2723" s="24"/>
      <c r="E2723" s="24"/>
      <c r="G2723" s="24"/>
      <c r="H2723" s="24"/>
      <c r="J2723" s="24"/>
      <c r="K2723" s="24"/>
      <c r="M2723" s="24"/>
      <c r="N2723" s="24"/>
      <c r="P2723" s="24"/>
    </row>
    <row r="2724" spans="2:16" x14ac:dyDescent="0.25">
      <c r="B2724" s="24"/>
      <c r="E2724" s="24"/>
      <c r="G2724" s="24"/>
      <c r="H2724" s="24"/>
      <c r="J2724" s="24"/>
      <c r="K2724" s="24"/>
      <c r="M2724" s="24"/>
      <c r="N2724" s="24"/>
      <c r="P2724" s="24"/>
    </row>
    <row r="2725" spans="2:16" x14ac:dyDescent="0.25">
      <c r="B2725" s="24"/>
      <c r="E2725" s="24"/>
      <c r="G2725" s="24"/>
      <c r="H2725" s="24"/>
      <c r="J2725" s="24"/>
      <c r="K2725" s="24"/>
      <c r="M2725" s="24"/>
      <c r="N2725" s="24"/>
      <c r="P2725" s="24"/>
    </row>
    <row r="2726" spans="2:16" x14ac:dyDescent="0.25">
      <c r="B2726" s="24"/>
      <c r="E2726" s="24"/>
      <c r="G2726" s="24"/>
      <c r="H2726" s="24"/>
      <c r="J2726" s="24"/>
      <c r="K2726" s="24"/>
      <c r="M2726" s="24"/>
      <c r="N2726" s="24"/>
      <c r="P2726" s="24"/>
    </row>
    <row r="2727" spans="2:16" x14ac:dyDescent="0.25">
      <c r="B2727" s="24"/>
      <c r="E2727" s="24"/>
      <c r="G2727" s="24"/>
      <c r="H2727" s="24"/>
      <c r="J2727" s="24"/>
      <c r="K2727" s="24"/>
      <c r="M2727" s="24"/>
      <c r="N2727" s="24"/>
      <c r="P2727" s="24"/>
    </row>
    <row r="2728" spans="2:16" x14ac:dyDescent="0.25">
      <c r="B2728" s="24"/>
      <c r="E2728" s="24"/>
      <c r="G2728" s="24"/>
      <c r="H2728" s="24"/>
      <c r="J2728" s="24"/>
      <c r="K2728" s="24"/>
      <c r="M2728" s="24"/>
      <c r="N2728" s="24"/>
      <c r="P2728" s="24"/>
    </row>
    <row r="2729" spans="2:16" x14ac:dyDescent="0.25">
      <c r="B2729" s="24"/>
      <c r="E2729" s="24"/>
      <c r="G2729" s="24"/>
      <c r="H2729" s="24"/>
      <c r="J2729" s="24"/>
      <c r="K2729" s="24"/>
      <c r="M2729" s="24"/>
      <c r="N2729" s="24"/>
      <c r="P2729" s="24"/>
    </row>
    <row r="2730" spans="2:16" x14ac:dyDescent="0.25">
      <c r="B2730" s="24"/>
      <c r="E2730" s="24"/>
      <c r="G2730" s="24"/>
      <c r="H2730" s="24"/>
      <c r="J2730" s="24"/>
      <c r="K2730" s="24"/>
      <c r="M2730" s="24"/>
      <c r="N2730" s="24"/>
      <c r="P2730" s="24"/>
    </row>
    <row r="2731" spans="2:16" x14ac:dyDescent="0.25">
      <c r="B2731" s="24"/>
      <c r="E2731" s="24"/>
      <c r="G2731" s="24"/>
      <c r="H2731" s="24"/>
      <c r="J2731" s="24"/>
      <c r="K2731" s="24"/>
      <c r="M2731" s="24"/>
      <c r="N2731" s="24"/>
      <c r="P2731" s="24"/>
    </row>
    <row r="2732" spans="2:16" x14ac:dyDescent="0.25">
      <c r="B2732" s="24"/>
      <c r="E2732" s="24"/>
      <c r="G2732" s="24"/>
      <c r="H2732" s="24"/>
      <c r="J2732" s="24"/>
      <c r="K2732" s="24"/>
      <c r="M2732" s="24"/>
      <c r="N2732" s="24"/>
      <c r="P2732" s="24"/>
    </row>
    <row r="2733" spans="2:16" x14ac:dyDescent="0.25">
      <c r="B2733" s="24"/>
      <c r="E2733" s="24"/>
      <c r="G2733" s="24"/>
      <c r="H2733" s="24"/>
      <c r="J2733" s="24"/>
      <c r="K2733" s="24"/>
      <c r="M2733" s="24"/>
      <c r="N2733" s="24"/>
      <c r="P2733" s="24"/>
    </row>
    <row r="2734" spans="2:16" x14ac:dyDescent="0.25">
      <c r="B2734" s="24"/>
      <c r="E2734" s="24"/>
      <c r="G2734" s="24"/>
      <c r="H2734" s="24"/>
      <c r="J2734" s="24"/>
      <c r="K2734" s="24"/>
      <c r="M2734" s="24"/>
      <c r="N2734" s="24"/>
      <c r="P2734" s="24"/>
    </row>
    <row r="2735" spans="2:16" x14ac:dyDescent="0.25">
      <c r="B2735" s="24"/>
      <c r="E2735" s="24"/>
      <c r="G2735" s="24"/>
      <c r="H2735" s="24"/>
      <c r="J2735" s="24"/>
      <c r="K2735" s="24"/>
      <c r="M2735" s="24"/>
      <c r="N2735" s="24"/>
      <c r="P2735" s="24"/>
    </row>
    <row r="2736" spans="2:16" x14ac:dyDescent="0.25">
      <c r="B2736" s="24"/>
      <c r="E2736" s="24"/>
      <c r="G2736" s="24"/>
      <c r="H2736" s="24"/>
      <c r="J2736" s="24"/>
      <c r="K2736" s="24"/>
      <c r="M2736" s="24"/>
      <c r="N2736" s="24"/>
      <c r="P2736" s="24"/>
    </row>
    <row r="2737" spans="2:16" x14ac:dyDescent="0.25">
      <c r="B2737" s="24"/>
      <c r="E2737" s="24"/>
      <c r="G2737" s="24"/>
      <c r="H2737" s="24"/>
      <c r="J2737" s="24"/>
      <c r="K2737" s="24"/>
      <c r="M2737" s="24"/>
      <c r="N2737" s="24"/>
      <c r="P2737" s="24"/>
    </row>
    <row r="2738" spans="2:16" x14ac:dyDescent="0.25">
      <c r="B2738" s="24"/>
      <c r="E2738" s="24"/>
      <c r="G2738" s="24"/>
      <c r="H2738" s="24"/>
      <c r="J2738" s="24"/>
      <c r="K2738" s="24"/>
      <c r="M2738" s="24"/>
      <c r="N2738" s="24"/>
      <c r="P2738" s="24"/>
    </row>
    <row r="2739" spans="2:16" x14ac:dyDescent="0.25">
      <c r="B2739" s="24"/>
      <c r="E2739" s="24"/>
      <c r="G2739" s="24"/>
      <c r="H2739" s="24"/>
      <c r="J2739" s="24"/>
      <c r="K2739" s="24"/>
      <c r="M2739" s="24"/>
      <c r="N2739" s="24"/>
      <c r="P2739" s="24"/>
    </row>
    <row r="2740" spans="2:16" x14ac:dyDescent="0.25">
      <c r="B2740" s="24"/>
      <c r="E2740" s="24"/>
      <c r="G2740" s="24"/>
      <c r="H2740" s="24"/>
      <c r="J2740" s="24"/>
      <c r="K2740" s="24"/>
      <c r="M2740" s="24"/>
      <c r="N2740" s="24"/>
      <c r="P2740" s="24"/>
    </row>
    <row r="2741" spans="2:16" x14ac:dyDescent="0.25">
      <c r="B2741" s="24"/>
      <c r="E2741" s="24"/>
      <c r="G2741" s="24"/>
      <c r="H2741" s="24"/>
      <c r="J2741" s="24"/>
      <c r="K2741" s="24"/>
      <c r="M2741" s="24"/>
      <c r="N2741" s="24"/>
      <c r="P2741" s="24"/>
    </row>
    <row r="2742" spans="2:16" x14ac:dyDescent="0.25">
      <c r="B2742" s="24"/>
      <c r="E2742" s="24"/>
      <c r="G2742" s="24"/>
      <c r="H2742" s="24"/>
      <c r="J2742" s="24"/>
      <c r="K2742" s="24"/>
      <c r="M2742" s="24"/>
      <c r="N2742" s="24"/>
      <c r="P2742" s="24"/>
    </row>
    <row r="2743" spans="2:16" x14ac:dyDescent="0.25">
      <c r="B2743" s="24"/>
      <c r="E2743" s="24"/>
      <c r="G2743" s="24"/>
      <c r="H2743" s="24"/>
      <c r="J2743" s="24"/>
      <c r="K2743" s="24"/>
      <c r="M2743" s="24"/>
      <c r="N2743" s="24"/>
      <c r="P2743" s="24"/>
    </row>
    <row r="2744" spans="2:16" x14ac:dyDescent="0.25">
      <c r="B2744" s="24"/>
      <c r="E2744" s="24"/>
      <c r="G2744" s="24"/>
      <c r="H2744" s="24"/>
      <c r="J2744" s="24"/>
      <c r="K2744" s="24"/>
      <c r="M2744" s="24"/>
      <c r="N2744" s="24"/>
      <c r="P2744" s="24"/>
    </row>
    <row r="2745" spans="2:16" x14ac:dyDescent="0.25">
      <c r="B2745" s="24"/>
      <c r="E2745" s="24"/>
      <c r="G2745" s="24"/>
      <c r="H2745" s="24"/>
      <c r="J2745" s="24"/>
      <c r="K2745" s="24"/>
      <c r="M2745" s="24"/>
      <c r="N2745" s="24"/>
      <c r="P2745" s="24"/>
    </row>
    <row r="2746" spans="2:16" x14ac:dyDescent="0.25">
      <c r="B2746" s="24"/>
      <c r="E2746" s="24"/>
      <c r="G2746" s="24"/>
      <c r="H2746" s="24"/>
      <c r="J2746" s="24"/>
      <c r="K2746" s="24"/>
      <c r="M2746" s="24"/>
      <c r="N2746" s="24"/>
      <c r="P2746" s="24"/>
    </row>
    <row r="2747" spans="2:16" x14ac:dyDescent="0.25">
      <c r="B2747" s="24"/>
      <c r="E2747" s="24"/>
      <c r="G2747" s="24"/>
      <c r="H2747" s="24"/>
      <c r="J2747" s="24"/>
      <c r="K2747" s="24"/>
      <c r="M2747" s="24"/>
      <c r="N2747" s="24"/>
      <c r="P2747" s="24"/>
    </row>
    <row r="2748" spans="2:16" x14ac:dyDescent="0.25">
      <c r="B2748" s="24"/>
      <c r="E2748" s="24"/>
      <c r="G2748" s="24"/>
      <c r="H2748" s="24"/>
      <c r="J2748" s="24"/>
      <c r="K2748" s="24"/>
      <c r="M2748" s="24"/>
      <c r="N2748" s="24"/>
      <c r="P2748" s="24"/>
    </row>
    <row r="2749" spans="2:16" x14ac:dyDescent="0.25">
      <c r="B2749" s="24"/>
      <c r="E2749" s="24"/>
      <c r="G2749" s="24"/>
      <c r="H2749" s="24"/>
      <c r="J2749" s="24"/>
      <c r="K2749" s="24"/>
      <c r="M2749" s="24"/>
      <c r="N2749" s="24"/>
      <c r="P2749" s="24"/>
    </row>
    <row r="2750" spans="2:16" x14ac:dyDescent="0.25">
      <c r="B2750" s="24"/>
      <c r="E2750" s="24"/>
      <c r="G2750" s="24"/>
      <c r="H2750" s="24"/>
      <c r="J2750" s="24"/>
      <c r="K2750" s="24"/>
      <c r="M2750" s="24"/>
      <c r="N2750" s="24"/>
      <c r="P2750" s="24"/>
    </row>
    <row r="2751" spans="2:16" x14ac:dyDescent="0.25">
      <c r="B2751" s="24"/>
      <c r="E2751" s="24"/>
      <c r="G2751" s="24"/>
      <c r="H2751" s="24"/>
      <c r="J2751" s="24"/>
      <c r="K2751" s="24"/>
      <c r="M2751" s="24"/>
      <c r="N2751" s="24"/>
      <c r="P2751" s="24"/>
    </row>
    <row r="2752" spans="2:16" x14ac:dyDescent="0.25">
      <c r="B2752" s="24"/>
      <c r="E2752" s="24"/>
      <c r="G2752" s="24"/>
      <c r="H2752" s="24"/>
      <c r="J2752" s="24"/>
      <c r="K2752" s="24"/>
      <c r="M2752" s="24"/>
      <c r="N2752" s="24"/>
      <c r="P2752" s="24"/>
    </row>
    <row r="2753" spans="2:16" x14ac:dyDescent="0.25">
      <c r="B2753" s="24"/>
      <c r="E2753" s="24"/>
      <c r="G2753" s="24"/>
      <c r="H2753" s="24"/>
      <c r="J2753" s="24"/>
      <c r="K2753" s="24"/>
      <c r="M2753" s="24"/>
      <c r="N2753" s="24"/>
      <c r="P2753" s="24"/>
    </row>
    <row r="2754" spans="2:16" x14ac:dyDescent="0.25">
      <c r="B2754" s="24"/>
      <c r="E2754" s="24"/>
      <c r="G2754" s="24"/>
      <c r="H2754" s="24"/>
      <c r="J2754" s="24"/>
      <c r="K2754" s="24"/>
      <c r="M2754" s="24"/>
      <c r="N2754" s="24"/>
      <c r="P2754" s="24"/>
    </row>
    <row r="2755" spans="2:16" x14ac:dyDescent="0.25">
      <c r="B2755" s="24"/>
      <c r="E2755" s="24"/>
      <c r="G2755" s="24"/>
      <c r="H2755" s="24"/>
      <c r="J2755" s="24"/>
      <c r="K2755" s="24"/>
      <c r="M2755" s="24"/>
      <c r="N2755" s="24"/>
      <c r="P2755" s="24"/>
    </row>
    <row r="2756" spans="2:16" x14ac:dyDescent="0.25">
      <c r="B2756" s="24"/>
      <c r="E2756" s="24"/>
      <c r="G2756" s="24"/>
      <c r="H2756" s="24"/>
      <c r="J2756" s="24"/>
      <c r="K2756" s="24"/>
      <c r="M2756" s="24"/>
      <c r="N2756" s="24"/>
      <c r="P2756" s="24"/>
    </row>
    <row r="2757" spans="2:16" x14ac:dyDescent="0.25">
      <c r="B2757" s="24"/>
      <c r="E2757" s="24"/>
      <c r="G2757" s="24"/>
      <c r="H2757" s="24"/>
      <c r="J2757" s="24"/>
      <c r="K2757" s="24"/>
      <c r="M2757" s="24"/>
      <c r="N2757" s="24"/>
      <c r="P2757" s="24"/>
    </row>
    <row r="2758" spans="2:16" x14ac:dyDescent="0.25">
      <c r="B2758" s="24"/>
      <c r="E2758" s="24"/>
      <c r="G2758" s="24"/>
      <c r="H2758" s="24"/>
      <c r="J2758" s="24"/>
      <c r="K2758" s="24"/>
      <c r="M2758" s="24"/>
      <c r="N2758" s="24"/>
      <c r="P2758" s="24"/>
    </row>
    <row r="2759" spans="2:16" x14ac:dyDescent="0.25">
      <c r="B2759" s="24"/>
      <c r="E2759" s="24"/>
      <c r="G2759" s="24"/>
      <c r="H2759" s="24"/>
      <c r="J2759" s="24"/>
      <c r="K2759" s="24"/>
      <c r="M2759" s="24"/>
      <c r="N2759" s="24"/>
      <c r="P2759" s="24"/>
    </row>
    <row r="2760" spans="2:16" x14ac:dyDescent="0.25">
      <c r="B2760" s="24"/>
      <c r="E2760" s="24"/>
      <c r="G2760" s="24"/>
      <c r="H2760" s="24"/>
      <c r="J2760" s="24"/>
      <c r="K2760" s="24"/>
      <c r="M2760" s="24"/>
      <c r="N2760" s="24"/>
      <c r="P2760" s="24"/>
    </row>
    <row r="2761" spans="2:16" x14ac:dyDescent="0.25">
      <c r="B2761" s="24"/>
      <c r="E2761" s="24"/>
      <c r="G2761" s="24"/>
      <c r="H2761" s="24"/>
      <c r="J2761" s="24"/>
      <c r="K2761" s="24"/>
      <c r="M2761" s="24"/>
      <c r="N2761" s="24"/>
      <c r="P2761" s="24"/>
    </row>
    <row r="2762" spans="2:16" x14ac:dyDescent="0.25">
      <c r="B2762" s="24"/>
      <c r="E2762" s="24"/>
      <c r="G2762" s="24"/>
      <c r="H2762" s="24"/>
      <c r="J2762" s="24"/>
      <c r="K2762" s="24"/>
      <c r="M2762" s="24"/>
      <c r="N2762" s="24"/>
      <c r="P2762" s="24"/>
    </row>
    <row r="2763" spans="2:16" x14ac:dyDescent="0.25">
      <c r="B2763" s="24"/>
      <c r="E2763" s="24"/>
      <c r="G2763" s="24"/>
      <c r="H2763" s="24"/>
      <c r="J2763" s="24"/>
      <c r="K2763" s="24"/>
      <c r="M2763" s="24"/>
      <c r="N2763" s="24"/>
      <c r="P2763" s="24"/>
    </row>
    <row r="2764" spans="2:16" x14ac:dyDescent="0.25">
      <c r="B2764" s="24"/>
      <c r="E2764" s="24"/>
      <c r="G2764" s="24"/>
      <c r="H2764" s="24"/>
      <c r="J2764" s="24"/>
      <c r="K2764" s="24"/>
      <c r="M2764" s="24"/>
      <c r="N2764" s="24"/>
      <c r="P2764" s="24"/>
    </row>
    <row r="2765" spans="2:16" x14ac:dyDescent="0.25">
      <c r="B2765" s="24"/>
      <c r="E2765" s="24"/>
      <c r="G2765" s="24"/>
      <c r="H2765" s="24"/>
      <c r="J2765" s="24"/>
      <c r="K2765" s="24"/>
      <c r="M2765" s="24"/>
      <c r="N2765" s="24"/>
      <c r="P2765" s="24"/>
    </row>
    <row r="2766" spans="2:16" x14ac:dyDescent="0.25">
      <c r="B2766" s="24"/>
      <c r="E2766" s="24"/>
      <c r="G2766" s="24"/>
      <c r="H2766" s="24"/>
      <c r="J2766" s="24"/>
      <c r="K2766" s="24"/>
      <c r="M2766" s="24"/>
      <c r="N2766" s="24"/>
      <c r="P2766" s="24"/>
    </row>
    <row r="2767" spans="2:16" x14ac:dyDescent="0.25">
      <c r="B2767" s="24"/>
      <c r="E2767" s="24"/>
      <c r="G2767" s="24"/>
      <c r="H2767" s="24"/>
      <c r="J2767" s="24"/>
      <c r="K2767" s="24"/>
      <c r="M2767" s="24"/>
      <c r="N2767" s="24"/>
      <c r="P2767" s="24"/>
    </row>
    <row r="2768" spans="2:16" x14ac:dyDescent="0.25">
      <c r="B2768" s="24"/>
      <c r="E2768" s="24"/>
      <c r="G2768" s="24"/>
      <c r="H2768" s="24"/>
      <c r="J2768" s="24"/>
      <c r="K2768" s="24"/>
      <c r="M2768" s="24"/>
      <c r="N2768" s="24"/>
      <c r="P2768" s="24"/>
    </row>
    <row r="2769" spans="2:16" x14ac:dyDescent="0.25">
      <c r="B2769" s="24"/>
      <c r="E2769" s="24"/>
      <c r="G2769" s="24"/>
      <c r="H2769" s="24"/>
      <c r="J2769" s="24"/>
      <c r="K2769" s="24"/>
      <c r="M2769" s="24"/>
      <c r="N2769" s="24"/>
      <c r="P2769" s="24"/>
    </row>
    <row r="2770" spans="2:16" x14ac:dyDescent="0.25">
      <c r="B2770" s="24"/>
      <c r="E2770" s="24"/>
      <c r="G2770" s="24"/>
      <c r="H2770" s="24"/>
      <c r="J2770" s="24"/>
      <c r="K2770" s="24"/>
      <c r="M2770" s="24"/>
      <c r="N2770" s="24"/>
      <c r="P2770" s="24"/>
    </row>
    <row r="2771" spans="2:16" x14ac:dyDescent="0.25">
      <c r="B2771" s="24"/>
      <c r="E2771" s="24"/>
      <c r="G2771" s="24"/>
      <c r="H2771" s="24"/>
      <c r="J2771" s="24"/>
      <c r="K2771" s="24"/>
      <c r="M2771" s="24"/>
      <c r="N2771" s="24"/>
      <c r="P2771" s="24"/>
    </row>
    <row r="2772" spans="2:16" x14ac:dyDescent="0.25">
      <c r="B2772" s="24"/>
      <c r="E2772" s="24"/>
      <c r="G2772" s="24"/>
      <c r="H2772" s="24"/>
      <c r="J2772" s="24"/>
      <c r="K2772" s="24"/>
      <c r="M2772" s="24"/>
      <c r="N2772" s="24"/>
      <c r="P2772" s="24"/>
    </row>
    <row r="2773" spans="2:16" x14ac:dyDescent="0.25">
      <c r="B2773" s="24"/>
      <c r="E2773" s="24"/>
      <c r="G2773" s="24"/>
      <c r="H2773" s="24"/>
      <c r="J2773" s="24"/>
      <c r="K2773" s="24"/>
      <c r="M2773" s="24"/>
      <c r="N2773" s="24"/>
      <c r="P2773" s="24"/>
    </row>
    <row r="2774" spans="2:16" x14ac:dyDescent="0.25">
      <c r="B2774" s="24"/>
      <c r="E2774" s="24"/>
      <c r="G2774" s="24"/>
      <c r="H2774" s="24"/>
      <c r="J2774" s="24"/>
      <c r="K2774" s="24"/>
      <c r="M2774" s="24"/>
      <c r="N2774" s="24"/>
      <c r="P2774" s="24"/>
    </row>
    <row r="2775" spans="2:16" x14ac:dyDescent="0.25">
      <c r="B2775" s="24"/>
      <c r="E2775" s="24"/>
      <c r="G2775" s="24"/>
      <c r="H2775" s="24"/>
      <c r="J2775" s="24"/>
      <c r="K2775" s="24"/>
      <c r="M2775" s="24"/>
      <c r="N2775" s="24"/>
      <c r="P2775" s="24"/>
    </row>
    <row r="2776" spans="2:16" x14ac:dyDescent="0.25">
      <c r="B2776" s="24"/>
      <c r="E2776" s="24"/>
      <c r="G2776" s="24"/>
      <c r="H2776" s="24"/>
      <c r="J2776" s="24"/>
      <c r="K2776" s="24"/>
      <c r="M2776" s="24"/>
      <c r="N2776" s="24"/>
      <c r="P2776" s="24"/>
    </row>
    <row r="2777" spans="2:16" x14ac:dyDescent="0.25">
      <c r="B2777" s="24"/>
      <c r="E2777" s="24"/>
      <c r="G2777" s="24"/>
      <c r="H2777" s="24"/>
      <c r="J2777" s="24"/>
      <c r="K2777" s="24"/>
      <c r="M2777" s="24"/>
      <c r="N2777" s="24"/>
      <c r="P2777" s="24"/>
    </row>
    <row r="2778" spans="2:16" x14ac:dyDescent="0.25">
      <c r="B2778" s="24"/>
      <c r="E2778" s="24"/>
      <c r="G2778" s="24"/>
      <c r="H2778" s="24"/>
      <c r="J2778" s="24"/>
      <c r="K2778" s="24"/>
      <c r="M2778" s="24"/>
      <c r="N2778" s="24"/>
      <c r="P2778" s="24"/>
    </row>
    <row r="2779" spans="2:16" x14ac:dyDescent="0.25">
      <c r="B2779" s="24"/>
      <c r="E2779" s="24"/>
      <c r="G2779" s="24"/>
      <c r="H2779" s="24"/>
      <c r="J2779" s="24"/>
      <c r="K2779" s="24"/>
      <c r="M2779" s="24"/>
      <c r="N2779" s="24"/>
      <c r="P2779" s="24"/>
    </row>
    <row r="2780" spans="2:16" x14ac:dyDescent="0.25">
      <c r="B2780" s="24"/>
      <c r="E2780" s="24"/>
      <c r="G2780" s="24"/>
      <c r="H2780" s="24"/>
      <c r="J2780" s="24"/>
      <c r="K2780" s="24"/>
      <c r="M2780" s="24"/>
      <c r="N2780" s="24"/>
      <c r="P2780" s="24"/>
    </row>
    <row r="2781" spans="2:16" x14ac:dyDescent="0.25">
      <c r="B2781" s="24"/>
      <c r="E2781" s="24"/>
      <c r="G2781" s="24"/>
      <c r="H2781" s="24"/>
      <c r="J2781" s="24"/>
      <c r="K2781" s="24"/>
      <c r="M2781" s="24"/>
      <c r="N2781" s="24"/>
      <c r="P2781" s="24"/>
    </row>
    <row r="2782" spans="2:16" x14ac:dyDescent="0.25">
      <c r="B2782" s="24"/>
      <c r="E2782" s="24"/>
      <c r="G2782" s="24"/>
      <c r="H2782" s="24"/>
      <c r="J2782" s="24"/>
      <c r="K2782" s="24"/>
      <c r="M2782" s="24"/>
      <c r="N2782" s="24"/>
      <c r="P2782" s="24"/>
    </row>
    <row r="2783" spans="2:16" x14ac:dyDescent="0.25">
      <c r="B2783" s="24"/>
      <c r="E2783" s="24"/>
      <c r="G2783" s="24"/>
      <c r="H2783" s="24"/>
      <c r="J2783" s="24"/>
      <c r="K2783" s="24"/>
      <c r="M2783" s="24"/>
      <c r="N2783" s="24"/>
      <c r="P2783" s="24"/>
    </row>
    <row r="2784" spans="2:16" x14ac:dyDescent="0.25">
      <c r="B2784" s="24"/>
      <c r="E2784" s="24"/>
      <c r="G2784" s="24"/>
      <c r="H2784" s="24"/>
      <c r="J2784" s="24"/>
      <c r="K2784" s="24"/>
      <c r="M2784" s="24"/>
      <c r="N2784" s="24"/>
      <c r="P2784" s="24"/>
    </row>
    <row r="2785" spans="2:16" x14ac:dyDescent="0.25">
      <c r="B2785" s="24"/>
      <c r="E2785" s="24"/>
      <c r="G2785" s="24"/>
      <c r="H2785" s="24"/>
      <c r="J2785" s="24"/>
      <c r="K2785" s="24"/>
      <c r="M2785" s="24"/>
      <c r="N2785" s="24"/>
      <c r="P2785" s="24"/>
    </row>
    <row r="2786" spans="2:16" x14ac:dyDescent="0.25">
      <c r="B2786" s="24"/>
      <c r="E2786" s="24"/>
      <c r="G2786" s="24"/>
      <c r="H2786" s="24"/>
      <c r="J2786" s="24"/>
      <c r="K2786" s="24"/>
      <c r="M2786" s="24"/>
      <c r="N2786" s="24"/>
      <c r="P2786" s="24"/>
    </row>
    <row r="2787" spans="2:16" x14ac:dyDescent="0.25">
      <c r="B2787" s="24"/>
      <c r="E2787" s="24"/>
      <c r="G2787" s="24"/>
      <c r="H2787" s="24"/>
      <c r="J2787" s="24"/>
      <c r="K2787" s="24"/>
      <c r="M2787" s="24"/>
      <c r="N2787" s="24"/>
      <c r="P2787" s="24"/>
    </row>
    <row r="2788" spans="2:16" x14ac:dyDescent="0.25">
      <c r="B2788" s="24"/>
      <c r="E2788" s="24"/>
      <c r="G2788" s="24"/>
      <c r="H2788" s="24"/>
      <c r="J2788" s="24"/>
      <c r="K2788" s="24"/>
      <c r="M2788" s="24"/>
      <c r="N2788" s="24"/>
      <c r="P2788" s="24"/>
    </row>
    <row r="2789" spans="2:16" x14ac:dyDescent="0.25">
      <c r="B2789" s="24"/>
      <c r="E2789" s="24"/>
      <c r="G2789" s="24"/>
      <c r="H2789" s="24"/>
      <c r="J2789" s="24"/>
      <c r="K2789" s="24"/>
      <c r="M2789" s="24"/>
      <c r="N2789" s="24"/>
      <c r="P2789" s="24"/>
    </row>
    <row r="2790" spans="2:16" x14ac:dyDescent="0.25">
      <c r="B2790" s="24"/>
      <c r="E2790" s="24"/>
      <c r="G2790" s="24"/>
      <c r="H2790" s="24"/>
      <c r="J2790" s="24"/>
      <c r="K2790" s="24"/>
      <c r="M2790" s="24"/>
      <c r="N2790" s="24"/>
      <c r="P2790" s="24"/>
    </row>
    <row r="2791" spans="2:16" x14ac:dyDescent="0.25">
      <c r="B2791" s="24"/>
      <c r="E2791" s="24"/>
      <c r="G2791" s="24"/>
      <c r="H2791" s="24"/>
      <c r="J2791" s="24"/>
      <c r="K2791" s="24"/>
      <c r="M2791" s="24"/>
      <c r="N2791" s="24"/>
      <c r="P2791" s="24"/>
    </row>
    <row r="2792" spans="2:16" x14ac:dyDescent="0.25">
      <c r="B2792" s="24"/>
      <c r="E2792" s="24"/>
      <c r="G2792" s="24"/>
      <c r="H2792" s="24"/>
      <c r="J2792" s="24"/>
      <c r="K2792" s="24"/>
      <c r="M2792" s="24"/>
      <c r="N2792" s="24"/>
      <c r="P2792" s="24"/>
    </row>
    <row r="2793" spans="2:16" x14ac:dyDescent="0.25">
      <c r="B2793" s="24"/>
      <c r="E2793" s="24"/>
      <c r="G2793" s="24"/>
      <c r="H2793" s="24"/>
      <c r="J2793" s="24"/>
      <c r="K2793" s="24"/>
      <c r="M2793" s="24"/>
      <c r="N2793" s="24"/>
      <c r="P2793" s="24"/>
    </row>
    <row r="2794" spans="2:16" x14ac:dyDescent="0.25">
      <c r="B2794" s="24"/>
      <c r="E2794" s="24"/>
      <c r="G2794" s="24"/>
      <c r="H2794" s="24"/>
      <c r="J2794" s="24"/>
      <c r="K2794" s="24"/>
      <c r="M2794" s="24"/>
      <c r="N2794" s="24"/>
      <c r="P2794" s="24"/>
    </row>
    <row r="2795" spans="2:16" x14ac:dyDescent="0.25">
      <c r="B2795" s="24"/>
      <c r="E2795" s="24"/>
      <c r="G2795" s="24"/>
      <c r="H2795" s="24"/>
      <c r="J2795" s="24"/>
      <c r="K2795" s="24"/>
      <c r="M2795" s="24"/>
      <c r="N2795" s="24"/>
      <c r="P2795" s="24"/>
    </row>
    <row r="2796" spans="2:16" x14ac:dyDescent="0.25">
      <c r="B2796" s="24"/>
      <c r="E2796" s="24"/>
      <c r="G2796" s="24"/>
      <c r="H2796" s="24"/>
      <c r="J2796" s="24"/>
      <c r="K2796" s="24"/>
      <c r="M2796" s="24"/>
      <c r="N2796" s="24"/>
      <c r="P2796" s="24"/>
    </row>
    <row r="2797" spans="2:16" x14ac:dyDescent="0.25">
      <c r="B2797" s="24"/>
      <c r="E2797" s="24"/>
      <c r="G2797" s="24"/>
      <c r="H2797" s="24"/>
      <c r="J2797" s="24"/>
      <c r="K2797" s="24"/>
      <c r="M2797" s="24"/>
      <c r="N2797" s="24"/>
      <c r="P2797" s="24"/>
    </row>
    <row r="2798" spans="2:16" x14ac:dyDescent="0.25">
      <c r="B2798" s="24"/>
      <c r="E2798" s="24"/>
      <c r="G2798" s="24"/>
      <c r="H2798" s="24"/>
      <c r="J2798" s="24"/>
      <c r="K2798" s="24"/>
      <c r="M2798" s="24"/>
      <c r="N2798" s="24"/>
      <c r="P2798" s="24"/>
    </row>
    <row r="2799" spans="2:16" x14ac:dyDescent="0.25">
      <c r="B2799" s="24"/>
      <c r="E2799" s="24"/>
      <c r="G2799" s="24"/>
      <c r="H2799" s="24"/>
      <c r="J2799" s="24"/>
      <c r="K2799" s="24"/>
      <c r="M2799" s="24"/>
      <c r="N2799" s="24"/>
      <c r="P2799" s="24"/>
    </row>
    <row r="2800" spans="2:16" x14ac:dyDescent="0.25">
      <c r="B2800" s="24"/>
      <c r="E2800" s="24"/>
      <c r="G2800" s="24"/>
      <c r="H2800" s="24"/>
      <c r="J2800" s="24"/>
      <c r="K2800" s="24"/>
      <c r="M2800" s="24"/>
      <c r="N2800" s="24"/>
      <c r="P2800" s="24"/>
    </row>
    <row r="2801" spans="2:16" x14ac:dyDescent="0.25">
      <c r="B2801" s="24"/>
      <c r="E2801" s="24"/>
      <c r="G2801" s="24"/>
      <c r="H2801" s="24"/>
      <c r="J2801" s="24"/>
      <c r="K2801" s="24"/>
      <c r="M2801" s="24"/>
      <c r="N2801" s="24"/>
      <c r="P2801" s="24"/>
    </row>
    <row r="2802" spans="2:16" x14ac:dyDescent="0.25">
      <c r="B2802" s="24"/>
      <c r="E2802" s="24"/>
      <c r="G2802" s="24"/>
      <c r="H2802" s="24"/>
      <c r="J2802" s="24"/>
      <c r="K2802" s="24"/>
      <c r="M2802" s="24"/>
      <c r="N2802" s="24"/>
      <c r="P2802" s="24"/>
    </row>
    <row r="2803" spans="2:16" x14ac:dyDescent="0.25">
      <c r="B2803" s="24"/>
      <c r="E2803" s="24"/>
      <c r="G2803" s="24"/>
      <c r="H2803" s="24"/>
      <c r="J2803" s="24"/>
      <c r="K2803" s="24"/>
      <c r="M2803" s="24"/>
      <c r="N2803" s="24"/>
      <c r="P2803" s="24"/>
    </row>
    <row r="2804" spans="2:16" x14ac:dyDescent="0.25">
      <c r="B2804" s="24"/>
      <c r="E2804" s="24"/>
      <c r="G2804" s="24"/>
      <c r="H2804" s="24"/>
      <c r="J2804" s="24"/>
      <c r="K2804" s="24"/>
      <c r="M2804" s="24"/>
      <c r="N2804" s="24"/>
      <c r="P2804" s="24"/>
    </row>
    <row r="2805" spans="2:16" x14ac:dyDescent="0.25">
      <c r="B2805" s="24"/>
      <c r="E2805" s="24"/>
      <c r="G2805" s="24"/>
      <c r="H2805" s="24"/>
      <c r="J2805" s="24"/>
      <c r="K2805" s="24"/>
      <c r="M2805" s="24"/>
      <c r="N2805" s="24"/>
      <c r="P2805" s="24"/>
    </row>
    <row r="2806" spans="2:16" x14ac:dyDescent="0.25">
      <c r="B2806" s="24"/>
      <c r="E2806" s="24"/>
      <c r="G2806" s="24"/>
      <c r="H2806" s="24"/>
      <c r="J2806" s="24"/>
      <c r="K2806" s="24"/>
      <c r="M2806" s="24"/>
      <c r="N2806" s="24"/>
      <c r="P2806" s="24"/>
    </row>
    <row r="2807" spans="2:16" x14ac:dyDescent="0.25">
      <c r="B2807" s="24"/>
      <c r="E2807" s="24"/>
      <c r="G2807" s="24"/>
      <c r="H2807" s="24"/>
      <c r="J2807" s="24"/>
      <c r="K2807" s="24"/>
      <c r="M2807" s="24"/>
      <c r="N2807" s="24"/>
      <c r="P2807" s="24"/>
    </row>
    <row r="2808" spans="2:16" x14ac:dyDescent="0.25">
      <c r="B2808" s="24"/>
      <c r="E2808" s="24"/>
      <c r="G2808" s="24"/>
      <c r="H2808" s="24"/>
      <c r="J2808" s="24"/>
      <c r="K2808" s="24"/>
      <c r="M2808" s="24"/>
      <c r="N2808" s="24"/>
      <c r="P2808" s="24"/>
    </row>
    <row r="2809" spans="2:16" x14ac:dyDescent="0.25">
      <c r="B2809" s="24"/>
      <c r="E2809" s="24"/>
      <c r="G2809" s="24"/>
      <c r="H2809" s="24"/>
      <c r="J2809" s="24"/>
      <c r="K2809" s="24"/>
      <c r="M2809" s="24"/>
      <c r="N2809" s="24"/>
      <c r="P2809" s="24"/>
    </row>
    <row r="2810" spans="2:16" x14ac:dyDescent="0.25">
      <c r="B2810" s="24"/>
      <c r="E2810" s="24"/>
      <c r="G2810" s="24"/>
      <c r="H2810" s="24"/>
      <c r="J2810" s="24"/>
      <c r="K2810" s="24"/>
      <c r="M2810" s="24"/>
      <c r="N2810" s="24"/>
      <c r="P2810" s="24"/>
    </row>
    <row r="2811" spans="2:16" x14ac:dyDescent="0.25">
      <c r="B2811" s="24"/>
      <c r="E2811" s="24"/>
      <c r="G2811" s="24"/>
      <c r="H2811" s="24"/>
      <c r="J2811" s="24"/>
      <c r="K2811" s="24"/>
      <c r="M2811" s="24"/>
      <c r="N2811" s="24"/>
      <c r="P2811" s="24"/>
    </row>
    <row r="2812" spans="2:16" x14ac:dyDescent="0.25">
      <c r="B2812" s="24"/>
      <c r="E2812" s="24"/>
      <c r="G2812" s="24"/>
      <c r="H2812" s="24"/>
      <c r="J2812" s="24"/>
      <c r="K2812" s="24"/>
      <c r="M2812" s="24"/>
      <c r="N2812" s="24"/>
      <c r="P2812" s="24"/>
    </row>
    <row r="2813" spans="2:16" x14ac:dyDescent="0.25">
      <c r="B2813" s="24"/>
      <c r="E2813" s="24"/>
      <c r="G2813" s="24"/>
      <c r="H2813" s="24"/>
      <c r="J2813" s="24"/>
      <c r="K2813" s="24"/>
      <c r="M2813" s="24"/>
      <c r="N2813" s="24"/>
      <c r="P2813" s="24"/>
    </row>
    <row r="2814" spans="2:16" x14ac:dyDescent="0.25">
      <c r="B2814" s="24"/>
      <c r="E2814" s="24"/>
      <c r="G2814" s="24"/>
      <c r="H2814" s="24"/>
      <c r="J2814" s="24"/>
      <c r="K2814" s="24"/>
      <c r="M2814" s="24"/>
      <c r="N2814" s="24"/>
      <c r="P2814" s="24"/>
    </row>
    <row r="2815" spans="2:16" x14ac:dyDescent="0.25">
      <c r="B2815" s="24"/>
      <c r="E2815" s="24"/>
      <c r="G2815" s="24"/>
      <c r="H2815" s="24"/>
      <c r="J2815" s="24"/>
      <c r="K2815" s="24"/>
      <c r="M2815" s="24"/>
      <c r="N2815" s="24"/>
      <c r="P2815" s="24"/>
    </row>
    <row r="2816" spans="2:16" x14ac:dyDescent="0.25">
      <c r="B2816" s="24"/>
      <c r="E2816" s="24"/>
      <c r="G2816" s="24"/>
      <c r="H2816" s="24"/>
      <c r="J2816" s="24"/>
      <c r="K2816" s="24"/>
      <c r="M2816" s="24"/>
      <c r="N2816" s="24"/>
      <c r="P2816" s="24"/>
    </row>
    <row r="2817" spans="2:16" x14ac:dyDescent="0.25">
      <c r="B2817" s="24"/>
      <c r="E2817" s="24"/>
      <c r="G2817" s="24"/>
      <c r="H2817" s="24"/>
      <c r="J2817" s="24"/>
      <c r="K2817" s="24"/>
      <c r="M2817" s="24"/>
      <c r="N2817" s="24"/>
      <c r="P2817" s="24"/>
    </row>
    <row r="2818" spans="2:16" x14ac:dyDescent="0.25">
      <c r="B2818" s="24"/>
      <c r="E2818" s="24"/>
      <c r="G2818" s="24"/>
      <c r="H2818" s="24"/>
      <c r="J2818" s="24"/>
      <c r="K2818" s="24"/>
      <c r="M2818" s="24"/>
      <c r="N2818" s="24"/>
      <c r="P2818" s="24"/>
    </row>
    <row r="2819" spans="2:16" x14ac:dyDescent="0.25">
      <c r="B2819" s="24"/>
      <c r="E2819" s="24"/>
      <c r="G2819" s="24"/>
      <c r="H2819" s="24"/>
      <c r="J2819" s="24"/>
      <c r="K2819" s="24"/>
      <c r="M2819" s="24"/>
      <c r="N2819" s="24"/>
      <c r="P2819" s="24"/>
    </row>
    <row r="2820" spans="2:16" x14ac:dyDescent="0.25">
      <c r="B2820" s="24"/>
      <c r="E2820" s="24"/>
      <c r="G2820" s="24"/>
      <c r="H2820" s="24"/>
      <c r="J2820" s="24"/>
      <c r="K2820" s="24"/>
      <c r="M2820" s="24"/>
      <c r="N2820" s="24"/>
      <c r="P2820" s="24"/>
    </row>
    <row r="2821" spans="2:16" x14ac:dyDescent="0.25">
      <c r="B2821" s="24"/>
      <c r="E2821" s="24"/>
      <c r="G2821" s="24"/>
      <c r="H2821" s="24"/>
      <c r="J2821" s="24"/>
      <c r="K2821" s="24"/>
      <c r="M2821" s="24"/>
      <c r="N2821" s="24"/>
      <c r="P2821" s="24"/>
    </row>
    <row r="2822" spans="2:16" x14ac:dyDescent="0.25">
      <c r="B2822" s="24"/>
      <c r="E2822" s="24"/>
      <c r="G2822" s="24"/>
      <c r="H2822" s="24"/>
      <c r="J2822" s="24"/>
      <c r="K2822" s="24"/>
      <c r="M2822" s="24"/>
      <c r="N2822" s="24"/>
      <c r="P2822" s="24"/>
    </row>
    <row r="2823" spans="2:16" x14ac:dyDescent="0.25">
      <c r="B2823" s="24"/>
      <c r="E2823" s="24"/>
      <c r="G2823" s="24"/>
      <c r="H2823" s="24"/>
      <c r="J2823" s="24"/>
      <c r="K2823" s="24"/>
      <c r="M2823" s="24"/>
      <c r="N2823" s="24"/>
      <c r="P2823" s="24"/>
    </row>
    <row r="2824" spans="2:16" x14ac:dyDescent="0.25">
      <c r="B2824" s="24"/>
      <c r="E2824" s="24"/>
      <c r="G2824" s="24"/>
      <c r="H2824" s="24"/>
      <c r="J2824" s="24"/>
      <c r="K2824" s="24"/>
      <c r="M2824" s="24"/>
      <c r="N2824" s="24"/>
      <c r="P2824" s="24"/>
    </row>
    <row r="2825" spans="2:16" x14ac:dyDescent="0.25">
      <c r="B2825" s="24"/>
      <c r="E2825" s="24"/>
      <c r="G2825" s="24"/>
      <c r="H2825" s="24"/>
      <c r="J2825" s="24"/>
      <c r="K2825" s="24"/>
      <c r="M2825" s="24"/>
      <c r="N2825" s="24"/>
      <c r="P2825" s="24"/>
    </row>
    <row r="2826" spans="2:16" x14ac:dyDescent="0.25">
      <c r="B2826" s="24"/>
      <c r="E2826" s="24"/>
      <c r="G2826" s="24"/>
      <c r="H2826" s="24"/>
      <c r="J2826" s="24"/>
      <c r="K2826" s="24"/>
      <c r="M2826" s="24"/>
      <c r="N2826" s="24"/>
      <c r="P2826" s="24"/>
    </row>
    <row r="2827" spans="2:16" x14ac:dyDescent="0.25">
      <c r="B2827" s="24"/>
      <c r="E2827" s="24"/>
      <c r="G2827" s="24"/>
      <c r="H2827" s="24"/>
      <c r="J2827" s="24"/>
      <c r="K2827" s="24"/>
      <c r="M2827" s="24"/>
      <c r="N2827" s="24"/>
      <c r="P2827" s="24"/>
    </row>
    <row r="2828" spans="2:16" x14ac:dyDescent="0.25">
      <c r="B2828" s="24"/>
      <c r="E2828" s="24"/>
      <c r="G2828" s="24"/>
      <c r="H2828" s="24"/>
      <c r="J2828" s="24"/>
      <c r="K2828" s="24"/>
      <c r="M2828" s="24"/>
      <c r="N2828" s="24"/>
      <c r="P2828" s="24"/>
    </row>
    <row r="2829" spans="2:16" x14ac:dyDescent="0.25">
      <c r="B2829" s="24"/>
      <c r="E2829" s="24"/>
      <c r="G2829" s="24"/>
      <c r="H2829" s="24"/>
      <c r="J2829" s="24"/>
      <c r="K2829" s="24"/>
      <c r="M2829" s="24"/>
      <c r="N2829" s="24"/>
      <c r="P2829" s="24"/>
    </row>
    <row r="2830" spans="2:16" x14ac:dyDescent="0.25">
      <c r="B2830" s="24"/>
      <c r="E2830" s="24"/>
      <c r="G2830" s="24"/>
      <c r="H2830" s="24"/>
      <c r="J2830" s="24"/>
      <c r="K2830" s="24"/>
      <c r="M2830" s="24"/>
      <c r="N2830" s="24"/>
      <c r="P2830" s="24"/>
    </row>
    <row r="2831" spans="2:16" x14ac:dyDescent="0.25">
      <c r="B2831" s="24"/>
      <c r="E2831" s="24"/>
      <c r="G2831" s="24"/>
      <c r="H2831" s="24"/>
      <c r="J2831" s="24"/>
      <c r="K2831" s="24"/>
      <c r="M2831" s="24"/>
      <c r="N2831" s="24"/>
      <c r="P2831" s="24"/>
    </row>
    <row r="2832" spans="2:16" x14ac:dyDescent="0.25">
      <c r="B2832" s="24"/>
      <c r="E2832" s="24"/>
      <c r="G2832" s="24"/>
      <c r="H2832" s="24"/>
      <c r="J2832" s="24"/>
      <c r="K2832" s="24"/>
      <c r="M2832" s="24"/>
      <c r="N2832" s="24"/>
      <c r="P2832" s="24"/>
    </row>
    <row r="2833" spans="2:16" x14ac:dyDescent="0.25">
      <c r="B2833" s="24"/>
      <c r="E2833" s="24"/>
      <c r="G2833" s="24"/>
      <c r="H2833" s="24"/>
      <c r="J2833" s="24"/>
      <c r="K2833" s="24"/>
      <c r="M2833" s="24"/>
      <c r="N2833" s="24"/>
      <c r="P2833" s="24"/>
    </row>
    <row r="2834" spans="2:16" x14ac:dyDescent="0.25">
      <c r="B2834" s="24"/>
      <c r="E2834" s="24"/>
      <c r="G2834" s="24"/>
      <c r="H2834" s="24"/>
      <c r="J2834" s="24"/>
      <c r="K2834" s="24"/>
      <c r="M2834" s="24"/>
      <c r="N2834" s="24"/>
      <c r="P2834" s="24"/>
    </row>
    <row r="2835" spans="2:16" x14ac:dyDescent="0.25">
      <c r="B2835" s="24"/>
      <c r="E2835" s="24"/>
      <c r="G2835" s="24"/>
      <c r="H2835" s="24"/>
      <c r="J2835" s="24"/>
      <c r="K2835" s="24"/>
      <c r="M2835" s="24"/>
      <c r="N2835" s="24"/>
      <c r="P2835" s="24"/>
    </row>
    <row r="2836" spans="2:16" x14ac:dyDescent="0.25">
      <c r="B2836" s="24"/>
      <c r="E2836" s="24"/>
      <c r="G2836" s="24"/>
      <c r="H2836" s="24"/>
      <c r="J2836" s="24"/>
      <c r="K2836" s="24"/>
      <c r="M2836" s="24"/>
      <c r="N2836" s="24"/>
      <c r="P2836" s="24"/>
    </row>
    <row r="2837" spans="2:16" x14ac:dyDescent="0.25">
      <c r="B2837" s="24"/>
      <c r="E2837" s="24"/>
      <c r="G2837" s="24"/>
      <c r="H2837" s="24"/>
      <c r="J2837" s="24"/>
      <c r="K2837" s="24"/>
      <c r="M2837" s="24"/>
      <c r="N2837" s="24"/>
      <c r="P2837" s="24"/>
    </row>
    <row r="2838" spans="2:16" x14ac:dyDescent="0.25">
      <c r="B2838" s="24"/>
      <c r="E2838" s="24"/>
      <c r="G2838" s="24"/>
      <c r="H2838" s="24"/>
      <c r="J2838" s="24"/>
      <c r="K2838" s="24"/>
      <c r="M2838" s="24"/>
      <c r="N2838" s="24"/>
      <c r="P2838" s="24"/>
    </row>
    <row r="2839" spans="2:16" x14ac:dyDescent="0.25">
      <c r="B2839" s="24"/>
      <c r="E2839" s="24"/>
      <c r="G2839" s="24"/>
      <c r="H2839" s="24"/>
      <c r="J2839" s="24"/>
      <c r="K2839" s="24"/>
      <c r="M2839" s="24"/>
      <c r="N2839" s="24"/>
      <c r="P2839" s="24"/>
    </row>
    <row r="2840" spans="2:16" x14ac:dyDescent="0.25">
      <c r="B2840" s="24"/>
      <c r="E2840" s="24"/>
      <c r="G2840" s="24"/>
      <c r="H2840" s="24"/>
      <c r="J2840" s="24"/>
      <c r="K2840" s="24"/>
      <c r="M2840" s="24"/>
      <c r="N2840" s="24"/>
      <c r="P2840" s="24"/>
    </row>
    <row r="2841" spans="2:16" x14ac:dyDescent="0.25">
      <c r="B2841" s="24"/>
      <c r="E2841" s="24"/>
      <c r="G2841" s="24"/>
      <c r="H2841" s="24"/>
      <c r="J2841" s="24"/>
      <c r="K2841" s="24"/>
      <c r="M2841" s="24"/>
      <c r="N2841" s="24"/>
      <c r="P2841" s="24"/>
    </row>
    <row r="2842" spans="2:16" x14ac:dyDescent="0.25">
      <c r="B2842" s="24"/>
      <c r="E2842" s="24"/>
      <c r="G2842" s="24"/>
      <c r="H2842" s="24"/>
      <c r="J2842" s="24"/>
      <c r="K2842" s="24"/>
      <c r="M2842" s="24"/>
      <c r="N2842" s="24"/>
      <c r="P2842" s="24"/>
    </row>
    <row r="2843" spans="2:16" x14ac:dyDescent="0.25">
      <c r="B2843" s="24"/>
      <c r="E2843" s="24"/>
      <c r="G2843" s="24"/>
      <c r="H2843" s="24"/>
      <c r="J2843" s="24"/>
      <c r="K2843" s="24"/>
      <c r="M2843" s="24"/>
      <c r="N2843" s="24"/>
      <c r="P2843" s="24"/>
    </row>
    <row r="2844" spans="2:16" x14ac:dyDescent="0.25">
      <c r="B2844" s="24"/>
      <c r="E2844" s="24"/>
      <c r="G2844" s="24"/>
      <c r="H2844" s="24"/>
      <c r="J2844" s="24"/>
      <c r="K2844" s="24"/>
      <c r="M2844" s="24"/>
      <c r="N2844" s="24"/>
      <c r="P2844" s="24"/>
    </row>
    <row r="2845" spans="2:16" x14ac:dyDescent="0.25">
      <c r="B2845" s="24"/>
      <c r="E2845" s="24"/>
      <c r="G2845" s="24"/>
      <c r="H2845" s="24"/>
      <c r="J2845" s="24"/>
      <c r="K2845" s="24"/>
      <c r="M2845" s="24"/>
      <c r="N2845" s="24"/>
      <c r="P2845" s="24"/>
    </row>
    <row r="2846" spans="2:16" x14ac:dyDescent="0.25">
      <c r="B2846" s="24"/>
      <c r="E2846" s="24"/>
      <c r="G2846" s="24"/>
      <c r="H2846" s="24"/>
      <c r="J2846" s="24"/>
      <c r="K2846" s="24"/>
      <c r="M2846" s="24"/>
      <c r="N2846" s="24"/>
      <c r="P2846" s="24"/>
    </row>
    <row r="2847" spans="2:16" x14ac:dyDescent="0.25">
      <c r="B2847" s="24"/>
      <c r="E2847" s="24"/>
      <c r="G2847" s="24"/>
      <c r="H2847" s="24"/>
      <c r="J2847" s="24"/>
      <c r="K2847" s="24"/>
      <c r="M2847" s="24"/>
      <c r="N2847" s="24"/>
      <c r="P2847" s="24"/>
    </row>
    <row r="2848" spans="2:16" x14ac:dyDescent="0.25">
      <c r="B2848" s="24"/>
      <c r="E2848" s="24"/>
      <c r="G2848" s="24"/>
      <c r="H2848" s="24"/>
      <c r="J2848" s="24"/>
      <c r="K2848" s="24"/>
      <c r="M2848" s="24"/>
      <c r="N2848" s="24"/>
      <c r="P2848" s="24"/>
    </row>
    <row r="2849" spans="2:16" x14ac:dyDescent="0.25">
      <c r="B2849" s="24"/>
      <c r="E2849" s="24"/>
      <c r="G2849" s="24"/>
      <c r="H2849" s="24"/>
      <c r="J2849" s="24"/>
      <c r="K2849" s="24"/>
      <c r="M2849" s="24"/>
      <c r="N2849" s="24"/>
      <c r="P2849" s="24"/>
    </row>
    <row r="2850" spans="2:16" x14ac:dyDescent="0.25">
      <c r="B2850" s="24"/>
      <c r="E2850" s="24"/>
      <c r="G2850" s="24"/>
      <c r="H2850" s="24"/>
      <c r="J2850" s="24"/>
      <c r="K2850" s="24"/>
      <c r="M2850" s="24"/>
      <c r="N2850" s="24"/>
      <c r="P2850" s="24"/>
    </row>
    <row r="2851" spans="2:16" x14ac:dyDescent="0.25">
      <c r="B2851" s="24"/>
      <c r="E2851" s="24"/>
      <c r="G2851" s="24"/>
      <c r="H2851" s="24"/>
      <c r="J2851" s="24"/>
      <c r="K2851" s="24"/>
      <c r="M2851" s="24"/>
      <c r="N2851" s="24"/>
      <c r="P2851" s="24"/>
    </row>
    <row r="2852" spans="2:16" x14ac:dyDescent="0.25">
      <c r="B2852" s="24"/>
      <c r="E2852" s="24"/>
      <c r="G2852" s="24"/>
      <c r="H2852" s="24"/>
      <c r="J2852" s="24"/>
      <c r="K2852" s="24"/>
      <c r="M2852" s="24"/>
      <c r="N2852" s="24"/>
      <c r="P2852" s="24"/>
    </row>
    <row r="2853" spans="2:16" x14ac:dyDescent="0.25">
      <c r="B2853" s="24"/>
      <c r="E2853" s="24"/>
      <c r="G2853" s="24"/>
      <c r="H2853" s="24"/>
      <c r="J2853" s="24"/>
      <c r="K2853" s="24"/>
      <c r="M2853" s="24"/>
      <c r="N2853" s="24"/>
      <c r="P2853" s="24"/>
    </row>
    <row r="2854" spans="2:16" x14ac:dyDescent="0.25">
      <c r="B2854" s="24"/>
      <c r="E2854" s="24"/>
      <c r="G2854" s="24"/>
      <c r="H2854" s="24"/>
      <c r="J2854" s="24"/>
      <c r="K2854" s="24"/>
      <c r="M2854" s="24"/>
      <c r="N2854" s="24"/>
      <c r="P2854" s="24"/>
    </row>
    <row r="2855" spans="2:16" x14ac:dyDescent="0.25">
      <c r="B2855" s="24"/>
      <c r="E2855" s="24"/>
      <c r="G2855" s="24"/>
      <c r="H2855" s="24"/>
      <c r="J2855" s="24"/>
      <c r="K2855" s="24"/>
      <c r="M2855" s="24"/>
      <c r="N2855" s="24"/>
      <c r="P2855" s="24"/>
    </row>
    <row r="2856" spans="2:16" x14ac:dyDescent="0.25">
      <c r="B2856" s="24"/>
      <c r="E2856" s="24"/>
      <c r="G2856" s="24"/>
      <c r="H2856" s="24"/>
      <c r="J2856" s="24"/>
      <c r="K2856" s="24"/>
      <c r="M2856" s="24"/>
      <c r="N2856" s="24"/>
      <c r="P2856" s="24"/>
    </row>
    <row r="2857" spans="2:16" x14ac:dyDescent="0.25">
      <c r="B2857" s="24"/>
      <c r="E2857" s="24"/>
      <c r="G2857" s="24"/>
      <c r="H2857" s="24"/>
      <c r="J2857" s="24"/>
      <c r="K2857" s="24"/>
      <c r="M2857" s="24"/>
      <c r="N2857" s="24"/>
      <c r="P2857" s="24"/>
    </row>
    <row r="2858" spans="2:16" x14ac:dyDescent="0.25">
      <c r="B2858" s="24"/>
      <c r="E2858" s="24"/>
      <c r="G2858" s="24"/>
      <c r="H2858" s="24"/>
      <c r="J2858" s="24"/>
      <c r="K2858" s="24"/>
      <c r="M2858" s="24"/>
      <c r="N2858" s="24"/>
      <c r="P2858" s="24"/>
    </row>
    <row r="2859" spans="2:16" x14ac:dyDescent="0.25">
      <c r="B2859" s="24"/>
      <c r="E2859" s="24"/>
      <c r="G2859" s="24"/>
      <c r="H2859" s="24"/>
      <c r="J2859" s="24"/>
      <c r="K2859" s="24"/>
      <c r="M2859" s="24"/>
      <c r="N2859" s="24"/>
      <c r="P2859" s="24"/>
    </row>
    <row r="2860" spans="2:16" x14ac:dyDescent="0.25">
      <c r="B2860" s="24"/>
      <c r="E2860" s="24"/>
      <c r="G2860" s="24"/>
      <c r="H2860" s="24"/>
      <c r="J2860" s="24"/>
      <c r="K2860" s="24"/>
      <c r="M2860" s="24"/>
      <c r="N2860" s="24"/>
      <c r="P2860" s="24"/>
    </row>
    <row r="2861" spans="2:16" x14ac:dyDescent="0.25">
      <c r="B2861" s="24"/>
      <c r="E2861" s="24"/>
      <c r="G2861" s="24"/>
      <c r="H2861" s="24"/>
      <c r="J2861" s="24"/>
      <c r="K2861" s="24"/>
      <c r="M2861" s="24"/>
      <c r="N2861" s="24"/>
      <c r="P2861" s="24"/>
    </row>
    <row r="2862" spans="2:16" x14ac:dyDescent="0.25">
      <c r="B2862" s="24"/>
      <c r="E2862" s="24"/>
      <c r="G2862" s="24"/>
      <c r="H2862" s="24"/>
      <c r="J2862" s="24"/>
      <c r="K2862" s="24"/>
      <c r="M2862" s="24"/>
      <c r="N2862" s="24"/>
      <c r="P2862" s="24"/>
    </row>
    <row r="2863" spans="2:16" x14ac:dyDescent="0.25">
      <c r="B2863" s="24"/>
      <c r="E2863" s="24"/>
      <c r="G2863" s="24"/>
      <c r="H2863" s="24"/>
      <c r="J2863" s="24"/>
      <c r="K2863" s="24"/>
      <c r="M2863" s="24"/>
      <c r="N2863" s="24"/>
      <c r="P2863" s="24"/>
    </row>
    <row r="2864" spans="2:16" x14ac:dyDescent="0.25">
      <c r="B2864" s="24"/>
      <c r="E2864" s="24"/>
      <c r="G2864" s="24"/>
      <c r="H2864" s="24"/>
      <c r="J2864" s="24"/>
      <c r="K2864" s="24"/>
      <c r="M2864" s="24"/>
      <c r="N2864" s="24"/>
      <c r="P2864" s="24"/>
    </row>
    <row r="2865" spans="2:16" x14ac:dyDescent="0.25">
      <c r="B2865" s="24"/>
      <c r="E2865" s="24"/>
      <c r="G2865" s="24"/>
      <c r="H2865" s="24"/>
      <c r="J2865" s="24"/>
      <c r="K2865" s="24"/>
      <c r="M2865" s="24"/>
      <c r="N2865" s="24"/>
      <c r="P2865" s="24"/>
    </row>
    <row r="2866" spans="2:16" x14ac:dyDescent="0.25">
      <c r="B2866" s="24"/>
      <c r="E2866" s="24"/>
      <c r="G2866" s="24"/>
      <c r="H2866" s="24"/>
      <c r="J2866" s="24"/>
      <c r="K2866" s="24"/>
      <c r="M2866" s="24"/>
      <c r="N2866" s="24"/>
      <c r="P2866" s="24"/>
    </row>
    <row r="2867" spans="2:16" x14ac:dyDescent="0.25">
      <c r="B2867" s="24"/>
      <c r="E2867" s="24"/>
      <c r="G2867" s="24"/>
      <c r="H2867" s="24"/>
      <c r="J2867" s="24"/>
      <c r="K2867" s="24"/>
      <c r="M2867" s="24"/>
      <c r="N2867" s="24"/>
      <c r="P2867" s="24"/>
    </row>
    <row r="2868" spans="2:16" x14ac:dyDescent="0.25">
      <c r="B2868" s="24"/>
      <c r="E2868" s="24"/>
      <c r="G2868" s="24"/>
      <c r="H2868" s="24"/>
      <c r="J2868" s="24"/>
      <c r="K2868" s="24"/>
      <c r="M2868" s="24"/>
      <c r="N2868" s="24"/>
      <c r="P2868" s="24"/>
    </row>
    <row r="2869" spans="2:16" x14ac:dyDescent="0.25">
      <c r="B2869" s="24"/>
      <c r="E2869" s="24"/>
      <c r="G2869" s="24"/>
      <c r="H2869" s="24"/>
      <c r="J2869" s="24"/>
      <c r="K2869" s="24"/>
      <c r="M2869" s="24"/>
      <c r="N2869" s="24"/>
      <c r="P2869" s="24"/>
    </row>
    <row r="2870" spans="2:16" x14ac:dyDescent="0.25">
      <c r="B2870" s="24"/>
      <c r="E2870" s="24"/>
      <c r="G2870" s="24"/>
      <c r="H2870" s="24"/>
      <c r="J2870" s="24"/>
      <c r="K2870" s="24"/>
      <c r="M2870" s="24"/>
      <c r="N2870" s="24"/>
      <c r="P2870" s="24"/>
    </row>
    <row r="2871" spans="2:16" x14ac:dyDescent="0.25">
      <c r="B2871" s="24"/>
      <c r="E2871" s="24"/>
      <c r="G2871" s="24"/>
      <c r="H2871" s="24"/>
      <c r="J2871" s="24"/>
      <c r="K2871" s="24"/>
      <c r="M2871" s="24"/>
      <c r="N2871" s="24"/>
      <c r="P2871" s="24"/>
    </row>
    <row r="2872" spans="2:16" x14ac:dyDescent="0.25">
      <c r="B2872" s="24"/>
      <c r="E2872" s="24"/>
      <c r="G2872" s="24"/>
      <c r="H2872" s="24"/>
      <c r="J2872" s="24"/>
      <c r="K2872" s="24"/>
      <c r="M2872" s="24"/>
      <c r="N2872" s="24"/>
      <c r="P2872" s="24"/>
    </row>
    <row r="2873" spans="2:16" x14ac:dyDescent="0.25">
      <c r="B2873" s="24"/>
      <c r="E2873" s="24"/>
      <c r="G2873" s="24"/>
      <c r="H2873" s="24"/>
      <c r="J2873" s="24"/>
      <c r="K2873" s="24"/>
      <c r="M2873" s="24"/>
      <c r="N2873" s="24"/>
      <c r="P2873" s="24"/>
    </row>
    <row r="2874" spans="2:16" x14ac:dyDescent="0.25">
      <c r="B2874" s="24"/>
      <c r="E2874" s="24"/>
      <c r="G2874" s="24"/>
      <c r="H2874" s="24"/>
      <c r="J2874" s="24"/>
      <c r="K2874" s="24"/>
      <c r="M2874" s="24"/>
      <c r="N2874" s="24"/>
      <c r="P2874" s="24"/>
    </row>
    <row r="2875" spans="2:16" x14ac:dyDescent="0.25">
      <c r="B2875" s="24"/>
      <c r="E2875" s="24"/>
      <c r="G2875" s="24"/>
      <c r="H2875" s="24"/>
      <c r="J2875" s="24"/>
      <c r="K2875" s="24"/>
      <c r="M2875" s="24"/>
      <c r="N2875" s="24"/>
      <c r="P2875" s="24"/>
    </row>
    <row r="2876" spans="2:16" x14ac:dyDescent="0.25">
      <c r="B2876" s="24"/>
      <c r="E2876" s="24"/>
      <c r="G2876" s="24"/>
      <c r="H2876" s="24"/>
      <c r="J2876" s="24"/>
      <c r="K2876" s="24"/>
      <c r="M2876" s="24"/>
      <c r="N2876" s="24"/>
      <c r="P2876" s="24"/>
    </row>
    <row r="2877" spans="2:16" x14ac:dyDescent="0.25">
      <c r="B2877" s="24"/>
      <c r="E2877" s="24"/>
      <c r="G2877" s="24"/>
      <c r="H2877" s="24"/>
      <c r="J2877" s="24"/>
      <c r="K2877" s="24"/>
      <c r="M2877" s="24"/>
      <c r="N2877" s="24"/>
      <c r="P2877" s="24"/>
    </row>
    <row r="2878" spans="2:16" x14ac:dyDescent="0.25">
      <c r="B2878" s="24"/>
      <c r="E2878" s="24"/>
      <c r="G2878" s="24"/>
      <c r="H2878" s="24"/>
      <c r="J2878" s="24"/>
      <c r="K2878" s="24"/>
      <c r="M2878" s="24"/>
      <c r="N2878" s="24"/>
      <c r="P2878" s="24"/>
    </row>
    <row r="2879" spans="2:16" x14ac:dyDescent="0.25">
      <c r="B2879" s="24"/>
      <c r="E2879" s="24"/>
      <c r="G2879" s="24"/>
      <c r="H2879" s="24"/>
      <c r="J2879" s="24"/>
      <c r="K2879" s="24"/>
      <c r="M2879" s="24"/>
      <c r="N2879" s="24"/>
      <c r="P2879" s="24"/>
    </row>
    <row r="2880" spans="2:16" x14ac:dyDescent="0.25">
      <c r="B2880" s="24"/>
      <c r="E2880" s="24"/>
      <c r="G2880" s="24"/>
      <c r="H2880" s="24"/>
      <c r="J2880" s="24"/>
      <c r="K2880" s="24"/>
      <c r="M2880" s="24"/>
      <c r="N2880" s="24"/>
      <c r="P2880" s="24"/>
    </row>
    <row r="2881" spans="2:16" x14ac:dyDescent="0.25">
      <c r="B2881" s="24"/>
      <c r="E2881" s="24"/>
      <c r="G2881" s="24"/>
      <c r="H2881" s="24"/>
      <c r="J2881" s="24"/>
      <c r="K2881" s="24"/>
      <c r="M2881" s="24"/>
      <c r="N2881" s="24"/>
      <c r="P2881" s="24"/>
    </row>
    <row r="2882" spans="2:16" x14ac:dyDescent="0.25">
      <c r="B2882" s="24"/>
      <c r="E2882" s="24"/>
      <c r="G2882" s="24"/>
      <c r="H2882" s="24"/>
      <c r="J2882" s="24"/>
      <c r="K2882" s="24"/>
      <c r="M2882" s="24"/>
      <c r="N2882" s="24"/>
      <c r="P2882" s="24"/>
    </row>
    <row r="2883" spans="2:16" x14ac:dyDescent="0.25">
      <c r="B2883" s="24"/>
      <c r="E2883" s="24"/>
      <c r="G2883" s="24"/>
      <c r="H2883" s="24"/>
      <c r="J2883" s="24"/>
      <c r="K2883" s="24"/>
      <c r="M2883" s="24"/>
      <c r="N2883" s="24"/>
      <c r="P2883" s="24"/>
    </row>
    <row r="2884" spans="2:16" x14ac:dyDescent="0.25">
      <c r="B2884" s="24"/>
      <c r="E2884" s="24"/>
      <c r="G2884" s="24"/>
      <c r="H2884" s="24"/>
      <c r="J2884" s="24"/>
      <c r="K2884" s="24"/>
      <c r="M2884" s="24"/>
      <c r="N2884" s="24"/>
      <c r="P2884" s="24"/>
    </row>
    <row r="2885" spans="2:16" x14ac:dyDescent="0.25">
      <c r="B2885" s="24"/>
      <c r="E2885" s="24"/>
      <c r="G2885" s="24"/>
      <c r="H2885" s="24"/>
      <c r="J2885" s="24"/>
      <c r="K2885" s="24"/>
      <c r="M2885" s="24"/>
      <c r="N2885" s="24"/>
      <c r="P2885" s="24"/>
    </row>
    <row r="2886" spans="2:16" x14ac:dyDescent="0.25">
      <c r="B2886" s="24"/>
      <c r="E2886" s="24"/>
      <c r="G2886" s="24"/>
      <c r="H2886" s="24"/>
      <c r="J2886" s="24"/>
      <c r="K2886" s="24"/>
      <c r="M2886" s="24"/>
      <c r="N2886" s="24"/>
      <c r="P2886" s="24"/>
    </row>
    <row r="2887" spans="2:16" x14ac:dyDescent="0.25">
      <c r="B2887" s="24"/>
      <c r="E2887" s="24"/>
      <c r="G2887" s="24"/>
      <c r="H2887" s="24"/>
      <c r="J2887" s="24"/>
      <c r="K2887" s="24"/>
      <c r="M2887" s="24"/>
      <c r="N2887" s="24"/>
      <c r="P2887" s="24"/>
    </row>
    <row r="2888" spans="2:16" x14ac:dyDescent="0.25">
      <c r="B2888" s="24"/>
      <c r="E2888" s="24"/>
      <c r="G2888" s="24"/>
      <c r="H2888" s="24"/>
      <c r="J2888" s="24"/>
      <c r="K2888" s="24"/>
      <c r="M2888" s="24"/>
      <c r="N2888" s="24"/>
      <c r="P2888" s="24"/>
    </row>
    <row r="2889" spans="2:16" x14ac:dyDescent="0.25">
      <c r="B2889" s="24"/>
      <c r="E2889" s="24"/>
      <c r="G2889" s="24"/>
      <c r="H2889" s="24"/>
      <c r="J2889" s="24"/>
      <c r="K2889" s="24"/>
      <c r="M2889" s="24"/>
      <c r="N2889" s="24"/>
      <c r="P2889" s="24"/>
    </row>
    <row r="2890" spans="2:16" x14ac:dyDescent="0.25">
      <c r="B2890" s="24"/>
      <c r="E2890" s="24"/>
      <c r="G2890" s="24"/>
      <c r="H2890" s="24"/>
      <c r="J2890" s="24"/>
      <c r="K2890" s="24"/>
      <c r="M2890" s="24"/>
      <c r="N2890" s="24"/>
      <c r="P2890" s="24"/>
    </row>
    <row r="2891" spans="2:16" x14ac:dyDescent="0.25">
      <c r="B2891" s="24"/>
      <c r="E2891" s="24"/>
      <c r="G2891" s="24"/>
      <c r="H2891" s="24"/>
      <c r="J2891" s="24"/>
      <c r="K2891" s="24"/>
      <c r="M2891" s="24"/>
      <c r="N2891" s="24"/>
      <c r="P2891" s="24"/>
    </row>
    <row r="2892" spans="2:16" x14ac:dyDescent="0.25">
      <c r="B2892" s="24"/>
      <c r="E2892" s="24"/>
      <c r="G2892" s="24"/>
      <c r="H2892" s="24"/>
      <c r="J2892" s="24"/>
      <c r="K2892" s="24"/>
      <c r="M2892" s="24"/>
      <c r="N2892" s="24"/>
      <c r="P2892" s="24"/>
    </row>
    <row r="2893" spans="2:16" x14ac:dyDescent="0.25">
      <c r="B2893" s="24"/>
      <c r="E2893" s="24"/>
      <c r="G2893" s="24"/>
      <c r="H2893" s="24"/>
      <c r="J2893" s="24"/>
      <c r="K2893" s="24"/>
      <c r="M2893" s="24"/>
      <c r="N2893" s="24"/>
      <c r="P2893" s="24"/>
    </row>
    <row r="2894" spans="2:16" x14ac:dyDescent="0.25">
      <c r="B2894" s="24"/>
      <c r="E2894" s="24"/>
      <c r="G2894" s="24"/>
      <c r="H2894" s="24"/>
      <c r="J2894" s="24"/>
      <c r="K2894" s="24"/>
      <c r="M2894" s="24"/>
      <c r="N2894" s="24"/>
      <c r="P2894" s="24"/>
    </row>
    <row r="2895" spans="2:16" x14ac:dyDescent="0.25">
      <c r="B2895" s="24"/>
      <c r="E2895" s="24"/>
      <c r="G2895" s="24"/>
      <c r="H2895" s="24"/>
      <c r="J2895" s="24"/>
      <c r="K2895" s="24"/>
      <c r="M2895" s="24"/>
      <c r="N2895" s="24"/>
      <c r="P2895" s="24"/>
    </row>
    <row r="2896" spans="2:16" x14ac:dyDescent="0.25">
      <c r="B2896" s="24"/>
      <c r="E2896" s="24"/>
      <c r="G2896" s="24"/>
      <c r="H2896" s="24"/>
      <c r="J2896" s="24"/>
      <c r="K2896" s="24"/>
      <c r="M2896" s="24"/>
      <c r="N2896" s="24"/>
      <c r="P2896" s="24"/>
    </row>
    <row r="2897" spans="2:16" x14ac:dyDescent="0.25">
      <c r="B2897" s="24"/>
      <c r="E2897" s="24"/>
      <c r="G2897" s="24"/>
      <c r="H2897" s="24"/>
      <c r="J2897" s="24"/>
      <c r="K2897" s="24"/>
      <c r="M2897" s="24"/>
      <c r="N2897" s="24"/>
      <c r="P2897" s="24"/>
    </row>
    <row r="2898" spans="2:16" x14ac:dyDescent="0.25">
      <c r="B2898" s="24"/>
      <c r="E2898" s="24"/>
      <c r="G2898" s="24"/>
      <c r="H2898" s="24"/>
      <c r="J2898" s="24"/>
      <c r="K2898" s="24"/>
      <c r="M2898" s="24"/>
      <c r="N2898" s="24"/>
      <c r="P2898" s="24"/>
    </row>
    <row r="2899" spans="2:16" x14ac:dyDescent="0.25">
      <c r="B2899" s="24"/>
      <c r="E2899" s="24"/>
      <c r="G2899" s="24"/>
      <c r="H2899" s="24"/>
      <c r="J2899" s="24"/>
      <c r="K2899" s="24"/>
      <c r="M2899" s="24"/>
      <c r="N2899" s="24"/>
      <c r="P2899" s="24"/>
    </row>
    <row r="2900" spans="2:16" x14ac:dyDescent="0.25">
      <c r="B2900" s="24"/>
      <c r="E2900" s="24"/>
      <c r="G2900" s="24"/>
      <c r="H2900" s="24"/>
      <c r="J2900" s="24"/>
      <c r="K2900" s="24"/>
      <c r="M2900" s="24"/>
      <c r="N2900" s="24"/>
      <c r="P2900" s="24"/>
    </row>
    <row r="2901" spans="2:16" x14ac:dyDescent="0.25">
      <c r="B2901" s="24"/>
      <c r="E2901" s="24"/>
      <c r="G2901" s="24"/>
      <c r="H2901" s="24"/>
      <c r="J2901" s="24"/>
      <c r="K2901" s="24"/>
      <c r="M2901" s="24"/>
      <c r="N2901" s="24"/>
      <c r="P2901" s="24"/>
    </row>
    <row r="2902" spans="2:16" x14ac:dyDescent="0.25">
      <c r="B2902" s="24"/>
      <c r="E2902" s="24"/>
      <c r="G2902" s="24"/>
      <c r="H2902" s="24"/>
      <c r="J2902" s="24"/>
      <c r="K2902" s="24"/>
      <c r="M2902" s="24"/>
      <c r="N2902" s="24"/>
      <c r="P2902" s="24"/>
    </row>
    <row r="2903" spans="2:16" x14ac:dyDescent="0.25">
      <c r="B2903" s="24"/>
      <c r="E2903" s="24"/>
      <c r="G2903" s="24"/>
      <c r="H2903" s="24"/>
      <c r="J2903" s="24"/>
      <c r="K2903" s="24"/>
      <c r="M2903" s="24"/>
      <c r="N2903" s="24"/>
      <c r="P2903" s="24"/>
    </row>
    <row r="2904" spans="2:16" x14ac:dyDescent="0.25">
      <c r="B2904" s="24"/>
      <c r="E2904" s="24"/>
      <c r="G2904" s="24"/>
      <c r="H2904" s="24"/>
      <c r="J2904" s="24"/>
      <c r="K2904" s="24"/>
      <c r="M2904" s="24"/>
      <c r="N2904" s="24"/>
      <c r="P2904" s="24"/>
    </row>
    <row r="2905" spans="2:16" x14ac:dyDescent="0.25">
      <c r="B2905" s="24"/>
      <c r="E2905" s="24"/>
      <c r="G2905" s="24"/>
      <c r="H2905" s="24"/>
      <c r="J2905" s="24"/>
      <c r="K2905" s="24"/>
      <c r="M2905" s="24"/>
      <c r="N2905" s="24"/>
      <c r="P2905" s="24"/>
    </row>
    <row r="2906" spans="2:16" x14ac:dyDescent="0.25">
      <c r="B2906" s="24"/>
      <c r="E2906" s="24"/>
      <c r="G2906" s="24"/>
      <c r="H2906" s="24"/>
      <c r="J2906" s="24"/>
      <c r="K2906" s="24"/>
      <c r="M2906" s="24"/>
      <c r="N2906" s="24"/>
      <c r="P2906" s="24"/>
    </row>
    <row r="2907" spans="2:16" x14ac:dyDescent="0.25">
      <c r="B2907" s="24"/>
      <c r="E2907" s="24"/>
      <c r="G2907" s="24"/>
      <c r="H2907" s="24"/>
      <c r="J2907" s="24"/>
      <c r="K2907" s="24"/>
      <c r="M2907" s="24"/>
      <c r="N2907" s="24"/>
      <c r="P2907" s="24"/>
    </row>
    <row r="2908" spans="2:16" x14ac:dyDescent="0.25">
      <c r="B2908" s="24"/>
      <c r="E2908" s="24"/>
      <c r="G2908" s="24"/>
      <c r="H2908" s="24"/>
      <c r="J2908" s="24"/>
      <c r="K2908" s="24"/>
      <c r="M2908" s="24"/>
      <c r="N2908" s="24"/>
      <c r="P2908" s="24"/>
    </row>
    <row r="2909" spans="2:16" x14ac:dyDescent="0.25">
      <c r="B2909" s="24"/>
      <c r="E2909" s="24"/>
      <c r="G2909" s="24"/>
      <c r="H2909" s="24"/>
      <c r="J2909" s="24"/>
      <c r="K2909" s="24"/>
      <c r="M2909" s="24"/>
      <c r="N2909" s="24"/>
      <c r="P2909" s="24"/>
    </row>
    <row r="2910" spans="2:16" x14ac:dyDescent="0.25">
      <c r="B2910" s="24"/>
      <c r="E2910" s="24"/>
      <c r="G2910" s="24"/>
      <c r="H2910" s="24"/>
      <c r="J2910" s="24"/>
      <c r="K2910" s="24"/>
      <c r="M2910" s="24"/>
      <c r="N2910" s="24"/>
      <c r="P2910" s="24"/>
    </row>
    <row r="2911" spans="2:16" x14ac:dyDescent="0.25">
      <c r="B2911" s="24"/>
      <c r="E2911" s="24"/>
      <c r="G2911" s="24"/>
      <c r="H2911" s="24"/>
      <c r="J2911" s="24"/>
      <c r="K2911" s="24"/>
      <c r="M2911" s="24"/>
      <c r="N2911" s="24"/>
      <c r="P2911" s="24"/>
    </row>
    <row r="2912" spans="2:16" x14ac:dyDescent="0.25">
      <c r="B2912" s="24"/>
      <c r="E2912" s="24"/>
      <c r="G2912" s="24"/>
      <c r="H2912" s="24"/>
      <c r="J2912" s="24"/>
      <c r="K2912" s="24"/>
      <c r="M2912" s="24"/>
      <c r="N2912" s="24"/>
      <c r="P2912" s="24"/>
    </row>
    <row r="2913" spans="2:16" x14ac:dyDescent="0.25">
      <c r="B2913" s="24"/>
      <c r="E2913" s="24"/>
      <c r="G2913" s="24"/>
      <c r="H2913" s="24"/>
      <c r="J2913" s="24"/>
      <c r="K2913" s="24"/>
      <c r="M2913" s="24"/>
      <c r="N2913" s="24"/>
      <c r="P2913" s="24"/>
    </row>
    <row r="2914" spans="2:16" x14ac:dyDescent="0.25">
      <c r="B2914" s="24"/>
      <c r="E2914" s="24"/>
      <c r="G2914" s="24"/>
      <c r="H2914" s="24"/>
      <c r="J2914" s="24"/>
      <c r="K2914" s="24"/>
      <c r="M2914" s="24"/>
      <c r="N2914" s="24"/>
      <c r="P2914" s="24"/>
    </row>
    <row r="2915" spans="2:16" x14ac:dyDescent="0.25">
      <c r="B2915" s="24"/>
      <c r="E2915" s="24"/>
      <c r="G2915" s="24"/>
      <c r="H2915" s="24"/>
      <c r="J2915" s="24"/>
      <c r="K2915" s="24"/>
      <c r="M2915" s="24"/>
      <c r="N2915" s="24"/>
      <c r="P2915" s="24"/>
    </row>
    <row r="2916" spans="2:16" x14ac:dyDescent="0.25">
      <c r="B2916" s="24"/>
      <c r="E2916" s="24"/>
      <c r="G2916" s="24"/>
      <c r="H2916" s="24"/>
      <c r="J2916" s="24"/>
      <c r="K2916" s="24"/>
      <c r="M2916" s="24"/>
      <c r="N2916" s="24"/>
      <c r="P2916" s="24"/>
    </row>
    <row r="2917" spans="2:16" x14ac:dyDescent="0.25">
      <c r="B2917" s="24"/>
      <c r="E2917" s="24"/>
      <c r="G2917" s="24"/>
      <c r="H2917" s="24"/>
      <c r="J2917" s="24"/>
      <c r="K2917" s="24"/>
      <c r="M2917" s="24"/>
      <c r="N2917" s="24"/>
      <c r="P2917" s="24"/>
    </row>
    <row r="2918" spans="2:16" x14ac:dyDescent="0.25">
      <c r="B2918" s="24"/>
      <c r="E2918" s="24"/>
      <c r="G2918" s="24"/>
      <c r="H2918" s="24"/>
      <c r="J2918" s="24"/>
      <c r="K2918" s="24"/>
      <c r="M2918" s="24"/>
      <c r="N2918" s="24"/>
      <c r="P2918" s="24"/>
    </row>
    <row r="2919" spans="2:16" x14ac:dyDescent="0.25">
      <c r="B2919" s="24"/>
      <c r="E2919" s="24"/>
      <c r="G2919" s="24"/>
      <c r="H2919" s="24"/>
      <c r="J2919" s="24"/>
      <c r="K2919" s="24"/>
      <c r="M2919" s="24"/>
      <c r="N2919" s="24"/>
      <c r="P2919" s="24"/>
    </row>
    <row r="2920" spans="2:16" x14ac:dyDescent="0.25">
      <c r="B2920" s="24"/>
      <c r="E2920" s="24"/>
      <c r="G2920" s="24"/>
      <c r="H2920" s="24"/>
      <c r="J2920" s="24"/>
      <c r="K2920" s="24"/>
      <c r="M2920" s="24"/>
      <c r="N2920" s="24"/>
      <c r="P2920" s="24"/>
    </row>
    <row r="2921" spans="2:16" x14ac:dyDescent="0.25">
      <c r="B2921" s="24"/>
      <c r="E2921" s="24"/>
      <c r="G2921" s="24"/>
      <c r="H2921" s="24"/>
      <c r="J2921" s="24"/>
      <c r="K2921" s="24"/>
      <c r="M2921" s="24"/>
      <c r="N2921" s="24"/>
      <c r="P2921" s="24"/>
    </row>
    <row r="2922" spans="2:16" x14ac:dyDescent="0.25">
      <c r="B2922" s="24"/>
      <c r="E2922" s="24"/>
      <c r="G2922" s="24"/>
      <c r="H2922" s="24"/>
      <c r="J2922" s="24"/>
      <c r="K2922" s="24"/>
      <c r="M2922" s="24"/>
      <c r="N2922" s="24"/>
      <c r="P2922" s="24"/>
    </row>
    <row r="2923" spans="2:16" x14ac:dyDescent="0.25">
      <c r="B2923" s="24"/>
      <c r="E2923" s="24"/>
      <c r="G2923" s="24"/>
      <c r="H2923" s="24"/>
      <c r="J2923" s="24"/>
      <c r="K2923" s="24"/>
      <c r="M2923" s="24"/>
      <c r="N2923" s="24"/>
      <c r="P2923" s="24"/>
    </row>
    <row r="2924" spans="2:16" x14ac:dyDescent="0.25">
      <c r="B2924" s="24"/>
      <c r="E2924" s="24"/>
      <c r="G2924" s="24"/>
      <c r="H2924" s="24"/>
      <c r="J2924" s="24"/>
      <c r="K2924" s="24"/>
      <c r="M2924" s="24"/>
      <c r="N2924" s="24"/>
      <c r="P2924" s="24"/>
    </row>
    <row r="2925" spans="2:16" x14ac:dyDescent="0.25">
      <c r="B2925" s="24"/>
      <c r="E2925" s="24"/>
      <c r="G2925" s="24"/>
      <c r="H2925" s="24"/>
      <c r="J2925" s="24"/>
      <c r="K2925" s="24"/>
      <c r="M2925" s="24"/>
      <c r="N2925" s="24"/>
      <c r="P2925" s="24"/>
    </row>
    <row r="2926" spans="2:16" x14ac:dyDescent="0.25">
      <c r="B2926" s="24"/>
      <c r="E2926" s="24"/>
      <c r="G2926" s="24"/>
      <c r="H2926" s="24"/>
      <c r="J2926" s="24"/>
      <c r="K2926" s="24"/>
      <c r="M2926" s="24"/>
      <c r="N2926" s="24"/>
      <c r="P2926" s="24"/>
    </row>
    <row r="2927" spans="2:16" x14ac:dyDescent="0.25">
      <c r="B2927" s="24"/>
      <c r="E2927" s="24"/>
      <c r="G2927" s="24"/>
      <c r="H2927" s="24"/>
      <c r="J2927" s="24"/>
      <c r="K2927" s="24"/>
      <c r="M2927" s="24"/>
      <c r="N2927" s="24"/>
      <c r="P2927" s="24"/>
    </row>
    <row r="2928" spans="2:16" x14ac:dyDescent="0.25">
      <c r="B2928" s="24"/>
      <c r="E2928" s="24"/>
      <c r="G2928" s="24"/>
      <c r="H2928" s="24"/>
      <c r="J2928" s="24"/>
      <c r="K2928" s="24"/>
      <c r="M2928" s="24"/>
      <c r="N2928" s="24"/>
      <c r="P2928" s="24"/>
    </row>
    <row r="2929" spans="2:16" x14ac:dyDescent="0.25">
      <c r="B2929" s="24"/>
      <c r="E2929" s="24"/>
      <c r="G2929" s="24"/>
      <c r="H2929" s="24"/>
      <c r="J2929" s="24"/>
      <c r="K2929" s="24"/>
      <c r="M2929" s="24"/>
      <c r="N2929" s="24"/>
      <c r="P2929" s="24"/>
    </row>
    <row r="2930" spans="2:16" x14ac:dyDescent="0.25">
      <c r="B2930" s="24"/>
      <c r="E2930" s="24"/>
      <c r="G2930" s="24"/>
      <c r="H2930" s="24"/>
      <c r="J2930" s="24"/>
      <c r="K2930" s="24"/>
      <c r="M2930" s="24"/>
      <c r="N2930" s="24"/>
      <c r="P2930" s="24"/>
    </row>
    <row r="2931" spans="2:16" x14ac:dyDescent="0.25">
      <c r="B2931" s="24"/>
      <c r="E2931" s="24"/>
      <c r="G2931" s="24"/>
      <c r="H2931" s="24"/>
      <c r="J2931" s="24"/>
      <c r="K2931" s="24"/>
      <c r="M2931" s="24"/>
      <c r="N2931" s="24"/>
      <c r="P2931" s="24"/>
    </row>
    <row r="2932" spans="2:16" x14ac:dyDescent="0.25">
      <c r="B2932" s="24"/>
      <c r="E2932" s="24"/>
      <c r="G2932" s="24"/>
      <c r="H2932" s="24"/>
      <c r="J2932" s="24"/>
      <c r="K2932" s="24"/>
      <c r="M2932" s="24"/>
      <c r="N2932" s="24"/>
      <c r="P2932" s="24"/>
    </row>
    <row r="2933" spans="2:16" x14ac:dyDescent="0.25">
      <c r="B2933" s="24"/>
      <c r="E2933" s="24"/>
      <c r="G2933" s="24"/>
      <c r="H2933" s="24"/>
      <c r="J2933" s="24"/>
      <c r="K2933" s="24"/>
      <c r="M2933" s="24"/>
      <c r="N2933" s="24"/>
      <c r="P2933" s="24"/>
    </row>
    <row r="2934" spans="2:16" x14ac:dyDescent="0.25">
      <c r="B2934" s="24"/>
      <c r="E2934" s="24"/>
      <c r="G2934" s="24"/>
      <c r="H2934" s="24"/>
      <c r="J2934" s="24"/>
      <c r="K2934" s="24"/>
      <c r="M2934" s="24"/>
      <c r="N2934" s="24"/>
      <c r="P2934" s="24"/>
    </row>
    <row r="2935" spans="2:16" x14ac:dyDescent="0.25">
      <c r="B2935" s="24"/>
      <c r="E2935" s="24"/>
      <c r="G2935" s="24"/>
      <c r="H2935" s="24"/>
      <c r="J2935" s="24"/>
      <c r="K2935" s="24"/>
      <c r="M2935" s="24"/>
      <c r="N2935" s="24"/>
      <c r="P2935" s="24"/>
    </row>
    <row r="2936" spans="2:16" x14ac:dyDescent="0.25">
      <c r="B2936" s="24"/>
      <c r="E2936" s="24"/>
      <c r="G2936" s="24"/>
      <c r="H2936" s="24"/>
      <c r="J2936" s="24"/>
      <c r="K2936" s="24"/>
      <c r="M2936" s="24"/>
      <c r="N2936" s="24"/>
      <c r="P2936" s="24"/>
    </row>
    <row r="2937" spans="2:16" x14ac:dyDescent="0.25">
      <c r="B2937" s="24"/>
      <c r="E2937" s="24"/>
      <c r="G2937" s="24"/>
      <c r="H2937" s="24"/>
      <c r="J2937" s="24"/>
      <c r="K2937" s="24"/>
      <c r="M2937" s="24"/>
      <c r="N2937" s="24"/>
      <c r="P2937" s="24"/>
    </row>
    <row r="2938" spans="2:16" x14ac:dyDescent="0.25">
      <c r="B2938" s="24"/>
      <c r="E2938" s="24"/>
      <c r="G2938" s="24"/>
      <c r="H2938" s="24"/>
      <c r="J2938" s="24"/>
      <c r="K2938" s="24"/>
      <c r="M2938" s="24"/>
      <c r="N2938" s="24"/>
      <c r="P2938" s="24"/>
    </row>
    <row r="2939" spans="2:16" x14ac:dyDescent="0.25">
      <c r="B2939" s="24"/>
      <c r="E2939" s="24"/>
      <c r="G2939" s="24"/>
      <c r="H2939" s="24"/>
      <c r="J2939" s="24"/>
      <c r="K2939" s="24"/>
      <c r="M2939" s="24"/>
      <c r="N2939" s="24"/>
      <c r="P2939" s="24"/>
    </row>
    <row r="2940" spans="2:16" x14ac:dyDescent="0.25">
      <c r="B2940" s="24"/>
      <c r="E2940" s="24"/>
      <c r="G2940" s="24"/>
      <c r="H2940" s="24"/>
      <c r="J2940" s="24"/>
      <c r="K2940" s="24"/>
      <c r="M2940" s="24"/>
      <c r="N2940" s="24"/>
      <c r="P2940" s="24"/>
    </row>
    <row r="2941" spans="2:16" x14ac:dyDescent="0.25">
      <c r="B2941" s="24"/>
      <c r="E2941" s="24"/>
      <c r="G2941" s="24"/>
      <c r="H2941" s="24"/>
      <c r="J2941" s="24"/>
      <c r="K2941" s="24"/>
      <c r="M2941" s="24"/>
      <c r="N2941" s="24"/>
      <c r="P2941" s="24"/>
    </row>
    <row r="2942" spans="2:16" x14ac:dyDescent="0.25">
      <c r="B2942" s="24"/>
      <c r="E2942" s="24"/>
      <c r="G2942" s="24"/>
      <c r="H2942" s="24"/>
      <c r="J2942" s="24"/>
      <c r="K2942" s="24"/>
      <c r="M2942" s="24"/>
      <c r="N2942" s="24"/>
      <c r="P2942" s="24"/>
    </row>
    <row r="2943" spans="2:16" x14ac:dyDescent="0.25">
      <c r="B2943" s="24"/>
      <c r="E2943" s="24"/>
      <c r="G2943" s="24"/>
      <c r="H2943" s="24"/>
      <c r="J2943" s="24"/>
      <c r="K2943" s="24"/>
      <c r="M2943" s="24"/>
      <c r="N2943" s="24"/>
      <c r="P2943" s="24"/>
    </row>
    <row r="2944" spans="2:16" x14ac:dyDescent="0.25">
      <c r="B2944" s="24"/>
      <c r="E2944" s="24"/>
      <c r="G2944" s="24"/>
      <c r="H2944" s="24"/>
      <c r="J2944" s="24"/>
      <c r="K2944" s="24"/>
      <c r="M2944" s="24"/>
      <c r="N2944" s="24"/>
      <c r="P2944" s="24"/>
    </row>
    <row r="2945" spans="2:16" x14ac:dyDescent="0.25">
      <c r="B2945" s="24"/>
      <c r="E2945" s="24"/>
      <c r="G2945" s="24"/>
      <c r="H2945" s="24"/>
      <c r="J2945" s="24"/>
      <c r="K2945" s="24"/>
      <c r="M2945" s="24"/>
      <c r="N2945" s="24"/>
      <c r="P2945" s="24"/>
    </row>
    <row r="2946" spans="2:16" x14ac:dyDescent="0.25">
      <c r="B2946" s="24"/>
      <c r="E2946" s="24"/>
      <c r="G2946" s="24"/>
      <c r="H2946" s="24"/>
      <c r="J2946" s="24"/>
      <c r="K2946" s="24"/>
      <c r="M2946" s="24"/>
      <c r="N2946" s="24"/>
      <c r="P2946" s="24"/>
    </row>
    <row r="2947" spans="2:16" x14ac:dyDescent="0.25">
      <c r="B2947" s="24"/>
      <c r="E2947" s="24"/>
      <c r="G2947" s="24"/>
      <c r="H2947" s="24"/>
      <c r="J2947" s="24"/>
      <c r="K2947" s="24"/>
      <c r="M2947" s="24"/>
      <c r="N2947" s="24"/>
      <c r="P2947" s="24"/>
    </row>
    <row r="2948" spans="2:16" x14ac:dyDescent="0.25">
      <c r="B2948" s="24"/>
      <c r="E2948" s="24"/>
      <c r="G2948" s="24"/>
      <c r="H2948" s="24"/>
      <c r="J2948" s="24"/>
      <c r="K2948" s="24"/>
      <c r="M2948" s="24"/>
      <c r="N2948" s="24"/>
      <c r="P2948" s="24"/>
    </row>
    <row r="2949" spans="2:16" x14ac:dyDescent="0.25">
      <c r="B2949" s="24"/>
      <c r="E2949" s="24"/>
      <c r="G2949" s="24"/>
      <c r="H2949" s="24"/>
      <c r="J2949" s="24"/>
      <c r="K2949" s="24"/>
      <c r="M2949" s="24"/>
      <c r="N2949" s="24"/>
      <c r="P2949" s="24"/>
    </row>
    <row r="2950" spans="2:16" x14ac:dyDescent="0.25">
      <c r="B2950" s="24"/>
      <c r="E2950" s="24"/>
      <c r="G2950" s="24"/>
      <c r="H2950" s="24"/>
      <c r="J2950" s="24"/>
      <c r="K2950" s="24"/>
      <c r="M2950" s="24"/>
      <c r="N2950" s="24"/>
      <c r="P2950" s="24"/>
    </row>
    <row r="2951" spans="2:16" x14ac:dyDescent="0.25">
      <c r="B2951" s="24"/>
      <c r="E2951" s="24"/>
      <c r="G2951" s="24"/>
      <c r="H2951" s="24"/>
      <c r="J2951" s="24"/>
      <c r="K2951" s="24"/>
      <c r="M2951" s="24"/>
      <c r="N2951" s="24"/>
      <c r="P2951" s="24"/>
    </row>
    <row r="2952" spans="2:16" x14ac:dyDescent="0.25">
      <c r="B2952" s="24"/>
      <c r="E2952" s="24"/>
      <c r="G2952" s="24"/>
      <c r="H2952" s="24"/>
      <c r="J2952" s="24"/>
      <c r="K2952" s="24"/>
      <c r="M2952" s="24"/>
      <c r="N2952" s="24"/>
      <c r="P2952" s="24"/>
    </row>
    <row r="2953" spans="2:16" x14ac:dyDescent="0.25">
      <c r="B2953" s="24"/>
      <c r="E2953" s="24"/>
      <c r="G2953" s="24"/>
      <c r="H2953" s="24"/>
      <c r="J2953" s="24"/>
      <c r="K2953" s="24"/>
      <c r="M2953" s="24"/>
      <c r="N2953" s="24"/>
      <c r="P2953" s="24"/>
    </row>
    <row r="2954" spans="2:16" x14ac:dyDescent="0.25">
      <c r="B2954" s="24"/>
      <c r="E2954" s="24"/>
      <c r="G2954" s="24"/>
      <c r="H2954" s="24"/>
      <c r="J2954" s="24"/>
      <c r="K2954" s="24"/>
      <c r="M2954" s="24"/>
      <c r="N2954" s="24"/>
      <c r="P2954" s="24"/>
    </row>
    <row r="2955" spans="2:16" x14ac:dyDescent="0.25">
      <c r="B2955" s="24"/>
      <c r="E2955" s="24"/>
      <c r="G2955" s="24"/>
      <c r="H2955" s="24"/>
      <c r="J2955" s="24"/>
      <c r="K2955" s="24"/>
      <c r="M2955" s="24"/>
      <c r="N2955" s="24"/>
      <c r="P2955" s="24"/>
    </row>
    <row r="2956" spans="2:16" x14ac:dyDescent="0.25">
      <c r="B2956" s="24"/>
      <c r="E2956" s="24"/>
      <c r="G2956" s="24"/>
      <c r="H2956" s="24"/>
      <c r="J2956" s="24"/>
      <c r="K2956" s="24"/>
      <c r="M2956" s="24"/>
      <c r="N2956" s="24"/>
      <c r="P2956" s="24"/>
    </row>
    <row r="2957" spans="2:16" x14ac:dyDescent="0.25">
      <c r="B2957" s="24"/>
      <c r="E2957" s="24"/>
      <c r="G2957" s="24"/>
      <c r="H2957" s="24"/>
      <c r="J2957" s="24"/>
      <c r="K2957" s="24"/>
      <c r="M2957" s="24"/>
      <c r="N2957" s="24"/>
      <c r="P2957" s="24"/>
    </row>
    <row r="2958" spans="2:16" x14ac:dyDescent="0.25">
      <c r="B2958" s="24"/>
      <c r="E2958" s="24"/>
      <c r="G2958" s="24"/>
      <c r="H2958" s="24"/>
      <c r="J2958" s="24"/>
      <c r="K2958" s="24"/>
      <c r="M2958" s="24"/>
      <c r="N2958" s="24"/>
      <c r="P2958" s="24"/>
    </row>
    <row r="2959" spans="2:16" x14ac:dyDescent="0.25">
      <c r="B2959" s="24"/>
      <c r="E2959" s="24"/>
      <c r="G2959" s="24"/>
      <c r="H2959" s="24"/>
      <c r="J2959" s="24"/>
      <c r="K2959" s="24"/>
      <c r="M2959" s="24"/>
      <c r="N2959" s="24"/>
      <c r="P2959" s="24"/>
    </row>
    <row r="2960" spans="2:16" x14ac:dyDescent="0.25">
      <c r="B2960" s="24"/>
      <c r="E2960" s="24"/>
      <c r="G2960" s="24"/>
      <c r="H2960" s="24"/>
      <c r="J2960" s="24"/>
      <c r="K2960" s="24"/>
      <c r="M2960" s="24"/>
      <c r="N2960" s="24"/>
      <c r="P2960" s="24"/>
    </row>
    <row r="2961" spans="2:16" x14ac:dyDescent="0.25">
      <c r="B2961" s="24"/>
      <c r="E2961" s="24"/>
      <c r="G2961" s="24"/>
      <c r="H2961" s="24"/>
      <c r="J2961" s="24"/>
      <c r="K2961" s="24"/>
      <c r="M2961" s="24"/>
      <c r="N2961" s="24"/>
      <c r="P2961" s="24"/>
    </row>
    <row r="2962" spans="2:16" x14ac:dyDescent="0.25">
      <c r="B2962" s="24"/>
      <c r="E2962" s="24"/>
      <c r="G2962" s="24"/>
      <c r="H2962" s="24"/>
      <c r="J2962" s="24"/>
      <c r="K2962" s="24"/>
      <c r="M2962" s="24"/>
      <c r="N2962" s="24"/>
      <c r="P2962" s="24"/>
    </row>
    <row r="2963" spans="2:16" x14ac:dyDescent="0.25">
      <c r="B2963" s="24"/>
      <c r="E2963" s="24"/>
      <c r="G2963" s="24"/>
      <c r="H2963" s="24"/>
      <c r="J2963" s="24"/>
      <c r="K2963" s="24"/>
      <c r="M2963" s="24"/>
      <c r="N2963" s="24"/>
      <c r="P2963" s="24"/>
    </row>
    <row r="2964" spans="2:16" x14ac:dyDescent="0.25">
      <c r="B2964" s="24"/>
      <c r="E2964" s="24"/>
      <c r="G2964" s="24"/>
      <c r="H2964" s="24"/>
      <c r="J2964" s="24"/>
      <c r="K2964" s="24"/>
      <c r="M2964" s="24"/>
      <c r="N2964" s="24"/>
      <c r="P2964" s="24"/>
    </row>
    <row r="2965" spans="2:16" x14ac:dyDescent="0.25">
      <c r="B2965" s="24"/>
      <c r="E2965" s="24"/>
      <c r="G2965" s="24"/>
      <c r="H2965" s="24"/>
      <c r="J2965" s="24"/>
      <c r="K2965" s="24"/>
      <c r="M2965" s="24"/>
      <c r="N2965" s="24"/>
      <c r="P2965" s="24"/>
    </row>
    <row r="2966" spans="2:16" x14ac:dyDescent="0.25">
      <c r="B2966" s="24"/>
      <c r="E2966" s="24"/>
      <c r="G2966" s="24"/>
      <c r="H2966" s="24"/>
      <c r="J2966" s="24"/>
      <c r="K2966" s="24"/>
      <c r="M2966" s="24"/>
      <c r="N2966" s="24"/>
      <c r="P2966" s="24"/>
    </row>
    <row r="2967" spans="2:16" x14ac:dyDescent="0.25">
      <c r="B2967" s="24"/>
      <c r="E2967" s="24"/>
      <c r="G2967" s="24"/>
      <c r="H2967" s="24"/>
      <c r="J2967" s="24"/>
      <c r="K2967" s="24"/>
      <c r="M2967" s="24"/>
      <c r="N2967" s="24"/>
      <c r="P2967" s="24"/>
    </row>
    <row r="2968" spans="2:16" x14ac:dyDescent="0.25">
      <c r="B2968" s="24"/>
      <c r="E2968" s="24"/>
      <c r="G2968" s="24"/>
      <c r="H2968" s="24"/>
      <c r="J2968" s="24"/>
      <c r="K2968" s="24"/>
      <c r="M2968" s="24"/>
      <c r="N2968" s="24"/>
      <c r="P2968" s="24"/>
    </row>
    <row r="2969" spans="2:16" x14ac:dyDescent="0.25">
      <c r="B2969" s="24"/>
      <c r="E2969" s="24"/>
      <c r="G2969" s="24"/>
      <c r="H2969" s="24"/>
      <c r="J2969" s="24"/>
      <c r="K2969" s="24"/>
      <c r="M2969" s="24"/>
      <c r="N2969" s="24"/>
      <c r="P2969" s="24"/>
    </row>
    <row r="2970" spans="2:16" x14ac:dyDescent="0.25">
      <c r="B2970" s="24"/>
      <c r="E2970" s="24"/>
      <c r="G2970" s="24"/>
      <c r="H2970" s="24"/>
      <c r="J2970" s="24"/>
      <c r="K2970" s="24"/>
      <c r="M2970" s="24"/>
      <c r="N2970" s="24"/>
      <c r="P2970" s="24"/>
    </row>
    <row r="2971" spans="2:16" x14ac:dyDescent="0.25">
      <c r="B2971" s="24"/>
      <c r="E2971" s="24"/>
      <c r="G2971" s="24"/>
      <c r="H2971" s="24"/>
      <c r="J2971" s="24"/>
      <c r="K2971" s="24"/>
      <c r="M2971" s="24"/>
      <c r="N2971" s="24"/>
      <c r="P2971" s="24"/>
    </row>
    <row r="2972" spans="2:16" x14ac:dyDescent="0.25">
      <c r="B2972" s="24"/>
      <c r="E2972" s="24"/>
      <c r="G2972" s="24"/>
      <c r="H2972" s="24"/>
      <c r="J2972" s="24"/>
      <c r="K2972" s="24"/>
      <c r="M2972" s="24"/>
      <c r="N2972" s="24"/>
      <c r="P2972" s="24"/>
    </row>
    <row r="2973" spans="2:16" x14ac:dyDescent="0.25">
      <c r="B2973" s="24"/>
      <c r="E2973" s="24"/>
      <c r="G2973" s="24"/>
      <c r="H2973" s="24"/>
      <c r="J2973" s="24"/>
      <c r="K2973" s="24"/>
      <c r="M2973" s="24"/>
      <c r="N2973" s="24"/>
      <c r="P2973" s="24"/>
    </row>
    <row r="2974" spans="2:16" x14ac:dyDescent="0.25">
      <c r="B2974" s="24"/>
      <c r="E2974" s="24"/>
      <c r="G2974" s="24"/>
      <c r="H2974" s="24"/>
      <c r="J2974" s="24"/>
      <c r="K2974" s="24"/>
      <c r="M2974" s="24"/>
      <c r="N2974" s="24"/>
      <c r="P2974" s="24"/>
    </row>
    <row r="2975" spans="2:16" x14ac:dyDescent="0.25">
      <c r="B2975" s="24"/>
      <c r="E2975" s="24"/>
      <c r="G2975" s="24"/>
      <c r="H2975" s="24"/>
      <c r="J2975" s="24"/>
      <c r="K2975" s="24"/>
      <c r="M2975" s="24"/>
      <c r="N2975" s="24"/>
      <c r="P2975" s="24"/>
    </row>
    <row r="2976" spans="2:16" x14ac:dyDescent="0.25">
      <c r="B2976" s="24"/>
      <c r="E2976" s="24"/>
      <c r="G2976" s="24"/>
      <c r="H2976" s="24"/>
      <c r="J2976" s="24"/>
      <c r="K2976" s="24"/>
      <c r="M2976" s="24"/>
      <c r="N2976" s="24"/>
      <c r="P2976" s="24"/>
    </row>
    <row r="2977" spans="2:16" x14ac:dyDescent="0.25">
      <c r="B2977" s="24"/>
      <c r="E2977" s="24"/>
      <c r="G2977" s="24"/>
      <c r="H2977" s="24"/>
      <c r="J2977" s="24"/>
      <c r="K2977" s="24"/>
      <c r="M2977" s="24"/>
      <c r="N2977" s="24"/>
      <c r="P2977" s="24"/>
    </row>
    <row r="2978" spans="2:16" x14ac:dyDescent="0.25">
      <c r="B2978" s="24"/>
      <c r="E2978" s="24"/>
      <c r="G2978" s="24"/>
      <c r="H2978" s="24"/>
      <c r="J2978" s="24"/>
      <c r="K2978" s="24"/>
      <c r="M2978" s="24"/>
      <c r="N2978" s="24"/>
      <c r="P2978" s="24"/>
    </row>
    <row r="2979" spans="2:16" x14ac:dyDescent="0.25">
      <c r="B2979" s="24"/>
      <c r="E2979" s="24"/>
      <c r="G2979" s="24"/>
      <c r="H2979" s="24"/>
      <c r="J2979" s="24"/>
      <c r="K2979" s="24"/>
      <c r="M2979" s="24"/>
      <c r="N2979" s="24"/>
      <c r="P2979" s="24"/>
    </row>
    <row r="2980" spans="2:16" x14ac:dyDescent="0.25">
      <c r="B2980" s="24"/>
      <c r="E2980" s="24"/>
      <c r="G2980" s="24"/>
      <c r="H2980" s="24"/>
      <c r="J2980" s="24"/>
      <c r="K2980" s="24"/>
      <c r="M2980" s="24"/>
      <c r="N2980" s="24"/>
      <c r="P2980" s="24"/>
    </row>
    <row r="2981" spans="2:16" x14ac:dyDescent="0.25">
      <c r="B2981" s="24"/>
      <c r="E2981" s="24"/>
      <c r="G2981" s="24"/>
      <c r="H2981" s="24"/>
      <c r="J2981" s="24"/>
      <c r="K2981" s="24"/>
      <c r="M2981" s="24"/>
      <c r="N2981" s="24"/>
      <c r="P2981" s="24"/>
    </row>
    <row r="2982" spans="2:16" x14ac:dyDescent="0.25">
      <c r="B2982" s="24"/>
      <c r="E2982" s="24"/>
      <c r="G2982" s="24"/>
      <c r="H2982" s="24"/>
      <c r="J2982" s="24"/>
      <c r="K2982" s="24"/>
      <c r="M2982" s="24"/>
      <c r="N2982" s="24"/>
      <c r="P2982" s="24"/>
    </row>
    <row r="2983" spans="2:16" x14ac:dyDescent="0.25">
      <c r="B2983" s="24"/>
      <c r="E2983" s="24"/>
      <c r="G2983" s="24"/>
      <c r="H2983" s="24"/>
      <c r="J2983" s="24"/>
      <c r="K2983" s="24"/>
      <c r="M2983" s="24"/>
      <c r="N2983" s="24"/>
      <c r="P2983" s="24"/>
    </row>
    <row r="2984" spans="2:16" x14ac:dyDescent="0.25">
      <c r="B2984" s="24"/>
      <c r="E2984" s="24"/>
      <c r="G2984" s="24"/>
      <c r="H2984" s="24"/>
      <c r="J2984" s="24"/>
      <c r="K2984" s="24"/>
      <c r="M2984" s="24"/>
      <c r="N2984" s="24"/>
      <c r="P2984" s="24"/>
    </row>
    <row r="2985" spans="2:16" x14ac:dyDescent="0.25">
      <c r="B2985" s="24"/>
      <c r="E2985" s="24"/>
      <c r="G2985" s="24"/>
      <c r="H2985" s="24"/>
      <c r="J2985" s="24"/>
      <c r="K2985" s="24"/>
      <c r="M2985" s="24"/>
      <c r="N2985" s="24"/>
      <c r="P2985" s="24"/>
    </row>
    <row r="2986" spans="2:16" x14ac:dyDescent="0.25">
      <c r="B2986" s="24"/>
      <c r="E2986" s="24"/>
      <c r="G2986" s="24"/>
      <c r="H2986" s="24"/>
      <c r="J2986" s="24"/>
      <c r="K2986" s="24"/>
      <c r="M2986" s="24"/>
      <c r="N2986" s="24"/>
      <c r="P2986" s="24"/>
    </row>
    <row r="2987" spans="2:16" x14ac:dyDescent="0.25">
      <c r="B2987" s="24"/>
      <c r="E2987" s="24"/>
      <c r="G2987" s="24"/>
      <c r="H2987" s="24"/>
      <c r="J2987" s="24"/>
      <c r="K2987" s="24"/>
      <c r="M2987" s="24"/>
      <c r="N2987" s="24"/>
      <c r="P2987" s="24"/>
    </row>
    <row r="2988" spans="2:16" x14ac:dyDescent="0.25">
      <c r="B2988" s="24"/>
      <c r="E2988" s="24"/>
      <c r="G2988" s="24"/>
      <c r="H2988" s="24"/>
      <c r="J2988" s="24"/>
      <c r="K2988" s="24"/>
      <c r="M2988" s="24"/>
      <c r="N2988" s="24"/>
      <c r="P2988" s="24"/>
    </row>
    <row r="2989" spans="2:16" x14ac:dyDescent="0.25">
      <c r="B2989" s="24"/>
      <c r="E2989" s="24"/>
      <c r="G2989" s="24"/>
      <c r="H2989" s="24"/>
      <c r="J2989" s="24"/>
      <c r="K2989" s="24"/>
      <c r="M2989" s="24"/>
      <c r="N2989" s="24"/>
      <c r="P2989" s="24"/>
    </row>
    <row r="2990" spans="2:16" x14ac:dyDescent="0.25">
      <c r="B2990" s="24"/>
      <c r="E2990" s="24"/>
      <c r="G2990" s="24"/>
      <c r="H2990" s="24"/>
      <c r="J2990" s="24"/>
      <c r="K2990" s="24"/>
      <c r="M2990" s="24"/>
      <c r="N2990" s="24"/>
      <c r="P2990" s="24"/>
    </row>
    <row r="2991" spans="2:16" x14ac:dyDescent="0.25">
      <c r="B2991" s="24"/>
      <c r="E2991" s="24"/>
      <c r="G2991" s="24"/>
      <c r="H2991" s="24"/>
      <c r="J2991" s="24"/>
      <c r="K2991" s="24"/>
      <c r="M2991" s="24"/>
      <c r="N2991" s="24"/>
      <c r="P2991" s="24"/>
    </row>
    <row r="2992" spans="2:16" x14ac:dyDescent="0.25">
      <c r="B2992" s="24"/>
      <c r="E2992" s="24"/>
      <c r="G2992" s="24"/>
      <c r="H2992" s="24"/>
      <c r="J2992" s="24"/>
      <c r="K2992" s="24"/>
      <c r="M2992" s="24"/>
      <c r="N2992" s="24"/>
      <c r="P2992" s="24"/>
    </row>
    <row r="2993" spans="2:16" x14ac:dyDescent="0.25">
      <c r="B2993" s="24"/>
      <c r="E2993" s="24"/>
      <c r="G2993" s="24"/>
      <c r="H2993" s="24"/>
      <c r="J2993" s="24"/>
      <c r="K2993" s="24"/>
      <c r="M2993" s="24"/>
      <c r="N2993" s="24"/>
      <c r="P2993" s="24"/>
    </row>
    <row r="2994" spans="2:16" x14ac:dyDescent="0.25">
      <c r="B2994" s="24"/>
      <c r="E2994" s="24"/>
      <c r="G2994" s="24"/>
      <c r="H2994" s="24"/>
      <c r="J2994" s="24"/>
      <c r="K2994" s="24"/>
      <c r="M2994" s="24"/>
      <c r="N2994" s="24"/>
      <c r="P2994" s="24"/>
    </row>
    <row r="2995" spans="2:16" x14ac:dyDescent="0.25">
      <c r="B2995" s="24"/>
      <c r="E2995" s="24"/>
      <c r="G2995" s="24"/>
      <c r="H2995" s="24"/>
      <c r="J2995" s="24"/>
      <c r="K2995" s="24"/>
      <c r="M2995" s="24"/>
      <c r="N2995" s="24"/>
      <c r="P2995" s="24"/>
    </row>
    <row r="2996" spans="2:16" x14ac:dyDescent="0.25">
      <c r="B2996" s="24"/>
      <c r="E2996" s="24"/>
      <c r="G2996" s="24"/>
      <c r="H2996" s="24"/>
      <c r="J2996" s="24"/>
      <c r="K2996" s="24"/>
      <c r="M2996" s="24"/>
      <c r="N2996" s="24"/>
      <c r="P2996" s="24"/>
    </row>
    <row r="2997" spans="2:16" x14ac:dyDescent="0.25">
      <c r="B2997" s="24"/>
      <c r="E2997" s="24"/>
      <c r="G2997" s="24"/>
      <c r="H2997" s="24"/>
      <c r="J2997" s="24"/>
      <c r="K2997" s="24"/>
      <c r="M2997" s="24"/>
      <c r="N2997" s="24"/>
      <c r="P2997" s="24"/>
    </row>
    <row r="2998" spans="2:16" x14ac:dyDescent="0.25">
      <c r="B2998" s="24"/>
      <c r="E2998" s="24"/>
      <c r="G2998" s="24"/>
      <c r="H2998" s="24"/>
      <c r="J2998" s="24"/>
      <c r="K2998" s="24"/>
      <c r="M2998" s="24"/>
      <c r="N2998" s="24"/>
      <c r="P2998" s="24"/>
    </row>
    <row r="2999" spans="2:16" x14ac:dyDescent="0.25">
      <c r="B2999" s="24"/>
      <c r="E2999" s="24"/>
      <c r="G2999" s="24"/>
      <c r="H2999" s="24"/>
      <c r="J2999" s="24"/>
      <c r="K2999" s="24"/>
      <c r="M2999" s="24"/>
      <c r="N2999" s="24"/>
      <c r="P2999" s="24"/>
    </row>
    <row r="3000" spans="2:16" x14ac:dyDescent="0.25">
      <c r="B3000" s="24"/>
      <c r="E3000" s="24"/>
      <c r="G3000" s="24"/>
      <c r="H3000" s="24"/>
      <c r="J3000" s="24"/>
      <c r="K3000" s="24"/>
      <c r="M3000" s="24"/>
      <c r="N3000" s="24"/>
      <c r="P3000" s="24"/>
    </row>
    <row r="3001" spans="2:16" x14ac:dyDescent="0.25">
      <c r="B3001" s="24"/>
      <c r="E3001" s="24"/>
      <c r="G3001" s="24"/>
      <c r="H3001" s="24"/>
      <c r="J3001" s="24"/>
      <c r="K3001" s="24"/>
      <c r="M3001" s="24"/>
      <c r="N3001" s="24"/>
      <c r="P3001" s="24"/>
    </row>
    <row r="3002" spans="2:16" x14ac:dyDescent="0.25">
      <c r="B3002" s="24"/>
      <c r="E3002" s="24"/>
      <c r="G3002" s="24"/>
      <c r="H3002" s="24"/>
      <c r="J3002" s="24"/>
      <c r="K3002" s="24"/>
      <c r="M3002" s="24"/>
      <c r="N3002" s="24"/>
      <c r="P3002" s="24"/>
    </row>
    <row r="3003" spans="2:16" x14ac:dyDescent="0.25">
      <c r="B3003" s="24"/>
      <c r="E3003" s="24"/>
      <c r="G3003" s="24"/>
      <c r="H3003" s="24"/>
      <c r="J3003" s="24"/>
      <c r="K3003" s="24"/>
      <c r="M3003" s="24"/>
      <c r="N3003" s="24"/>
      <c r="P3003" s="24"/>
    </row>
    <row r="3004" spans="2:16" x14ac:dyDescent="0.25">
      <c r="B3004" s="24"/>
      <c r="E3004" s="24"/>
      <c r="G3004" s="24"/>
      <c r="H3004" s="24"/>
      <c r="J3004" s="24"/>
      <c r="K3004" s="24"/>
      <c r="M3004" s="24"/>
      <c r="N3004" s="24"/>
      <c r="P3004" s="24"/>
    </row>
    <row r="3005" spans="2:16" x14ac:dyDescent="0.25">
      <c r="B3005" s="24"/>
      <c r="E3005" s="24"/>
      <c r="G3005" s="24"/>
      <c r="H3005" s="24"/>
      <c r="J3005" s="24"/>
      <c r="K3005" s="24"/>
      <c r="M3005" s="24"/>
      <c r="N3005" s="24"/>
      <c r="P3005" s="24"/>
    </row>
    <row r="3006" spans="2:16" x14ac:dyDescent="0.25">
      <c r="B3006" s="24"/>
      <c r="E3006" s="24"/>
      <c r="G3006" s="24"/>
      <c r="H3006" s="24"/>
      <c r="J3006" s="24"/>
      <c r="K3006" s="24"/>
      <c r="M3006" s="24"/>
      <c r="N3006" s="24"/>
      <c r="P3006" s="24"/>
    </row>
    <row r="3007" spans="2:16" x14ac:dyDescent="0.25">
      <c r="B3007" s="24"/>
      <c r="E3007" s="24"/>
      <c r="G3007" s="24"/>
      <c r="H3007" s="24"/>
      <c r="J3007" s="24"/>
      <c r="K3007" s="24"/>
      <c r="M3007" s="24"/>
      <c r="N3007" s="24"/>
      <c r="P3007" s="24"/>
    </row>
    <row r="3008" spans="2:16" x14ac:dyDescent="0.25">
      <c r="B3008" s="24"/>
      <c r="E3008" s="24"/>
      <c r="G3008" s="24"/>
      <c r="H3008" s="24"/>
      <c r="J3008" s="24"/>
      <c r="K3008" s="24"/>
      <c r="M3008" s="24"/>
      <c r="N3008" s="24"/>
      <c r="P3008" s="24"/>
    </row>
    <row r="3009" spans="2:16" x14ac:dyDescent="0.25">
      <c r="B3009" s="24"/>
      <c r="E3009" s="24"/>
      <c r="G3009" s="24"/>
      <c r="H3009" s="24"/>
      <c r="J3009" s="24"/>
      <c r="K3009" s="24"/>
      <c r="M3009" s="24"/>
      <c r="N3009" s="24"/>
      <c r="P3009" s="24"/>
    </row>
    <row r="3010" spans="2:16" x14ac:dyDescent="0.25">
      <c r="B3010" s="24"/>
      <c r="E3010" s="24"/>
      <c r="G3010" s="24"/>
      <c r="H3010" s="24"/>
      <c r="J3010" s="24"/>
      <c r="K3010" s="24"/>
      <c r="M3010" s="24"/>
      <c r="N3010" s="24"/>
      <c r="P3010" s="24"/>
    </row>
    <row r="3011" spans="2:16" x14ac:dyDescent="0.25">
      <c r="B3011" s="24"/>
      <c r="E3011" s="24"/>
      <c r="G3011" s="24"/>
      <c r="H3011" s="24"/>
      <c r="J3011" s="24"/>
      <c r="K3011" s="24"/>
      <c r="M3011" s="24"/>
      <c r="N3011" s="24"/>
      <c r="P3011" s="24"/>
    </row>
    <row r="3012" spans="2:16" x14ac:dyDescent="0.25">
      <c r="B3012" s="24"/>
      <c r="E3012" s="24"/>
      <c r="G3012" s="24"/>
      <c r="H3012" s="24"/>
      <c r="J3012" s="24"/>
      <c r="K3012" s="24"/>
      <c r="M3012" s="24"/>
      <c r="N3012" s="24"/>
      <c r="P3012" s="24"/>
    </row>
    <row r="3013" spans="2:16" x14ac:dyDescent="0.25">
      <c r="B3013" s="24"/>
      <c r="E3013" s="24"/>
      <c r="G3013" s="24"/>
      <c r="H3013" s="24"/>
      <c r="J3013" s="24"/>
      <c r="K3013" s="24"/>
      <c r="M3013" s="24"/>
      <c r="N3013" s="24"/>
      <c r="P3013" s="24"/>
    </row>
    <row r="3014" spans="2:16" x14ac:dyDescent="0.25">
      <c r="B3014" s="24"/>
      <c r="E3014" s="24"/>
      <c r="G3014" s="24"/>
      <c r="H3014" s="24"/>
      <c r="J3014" s="24"/>
      <c r="K3014" s="24"/>
      <c r="M3014" s="24"/>
      <c r="N3014" s="24"/>
      <c r="P3014" s="24"/>
    </row>
    <row r="3015" spans="2:16" x14ac:dyDescent="0.25">
      <c r="B3015" s="24"/>
      <c r="E3015" s="24"/>
      <c r="G3015" s="24"/>
      <c r="H3015" s="24"/>
      <c r="J3015" s="24"/>
      <c r="K3015" s="24"/>
      <c r="M3015" s="24"/>
      <c r="N3015" s="24"/>
      <c r="P3015" s="24"/>
    </row>
    <row r="3016" spans="2:16" x14ac:dyDescent="0.25">
      <c r="B3016" s="24"/>
      <c r="E3016" s="24"/>
      <c r="G3016" s="24"/>
      <c r="H3016" s="24"/>
      <c r="J3016" s="24"/>
      <c r="K3016" s="24"/>
      <c r="M3016" s="24"/>
      <c r="N3016" s="24"/>
      <c r="P3016" s="24"/>
    </row>
    <row r="3017" spans="2:16" x14ac:dyDescent="0.25">
      <c r="B3017" s="24"/>
      <c r="E3017" s="24"/>
      <c r="G3017" s="24"/>
      <c r="H3017" s="24"/>
      <c r="J3017" s="24"/>
      <c r="K3017" s="24"/>
      <c r="M3017" s="24"/>
      <c r="N3017" s="24"/>
      <c r="P3017" s="24"/>
    </row>
    <row r="3018" spans="2:16" x14ac:dyDescent="0.25">
      <c r="B3018" s="24"/>
      <c r="E3018" s="24"/>
      <c r="G3018" s="24"/>
      <c r="H3018" s="24"/>
      <c r="J3018" s="24"/>
      <c r="K3018" s="24"/>
      <c r="M3018" s="24"/>
      <c r="N3018" s="24"/>
      <c r="P3018" s="24"/>
    </row>
    <row r="3019" spans="2:16" x14ac:dyDescent="0.25">
      <c r="B3019" s="24"/>
      <c r="E3019" s="24"/>
      <c r="G3019" s="24"/>
      <c r="H3019" s="24"/>
      <c r="J3019" s="24"/>
      <c r="K3019" s="24"/>
      <c r="M3019" s="24"/>
      <c r="N3019" s="24"/>
      <c r="P3019" s="24"/>
    </row>
    <row r="3020" spans="2:16" x14ac:dyDescent="0.25">
      <c r="B3020" s="24"/>
      <c r="E3020" s="24"/>
      <c r="G3020" s="24"/>
      <c r="H3020" s="24"/>
      <c r="J3020" s="24"/>
      <c r="K3020" s="24"/>
      <c r="M3020" s="24"/>
      <c r="N3020" s="24"/>
      <c r="P3020" s="24"/>
    </row>
    <row r="3021" spans="2:16" x14ac:dyDescent="0.25">
      <c r="B3021" s="24"/>
      <c r="E3021" s="24"/>
      <c r="G3021" s="24"/>
      <c r="H3021" s="24"/>
      <c r="J3021" s="24"/>
      <c r="K3021" s="24"/>
      <c r="M3021" s="24"/>
      <c r="N3021" s="24"/>
      <c r="P3021" s="24"/>
    </row>
    <row r="3022" spans="2:16" x14ac:dyDescent="0.25">
      <c r="B3022" s="24"/>
      <c r="E3022" s="24"/>
      <c r="G3022" s="24"/>
      <c r="H3022" s="24"/>
      <c r="J3022" s="24"/>
      <c r="K3022" s="24"/>
      <c r="M3022" s="24"/>
      <c r="N3022" s="24"/>
      <c r="P3022" s="24"/>
    </row>
    <row r="3023" spans="2:16" x14ac:dyDescent="0.25">
      <c r="B3023" s="24"/>
      <c r="E3023" s="24"/>
      <c r="G3023" s="24"/>
      <c r="H3023" s="24"/>
      <c r="J3023" s="24"/>
      <c r="K3023" s="24"/>
      <c r="M3023" s="24"/>
      <c r="N3023" s="24"/>
      <c r="P3023" s="24"/>
    </row>
    <row r="3024" spans="2:16" x14ac:dyDescent="0.25">
      <c r="B3024" s="24"/>
      <c r="E3024" s="24"/>
      <c r="G3024" s="24"/>
      <c r="H3024" s="24"/>
      <c r="J3024" s="24"/>
      <c r="K3024" s="24"/>
      <c r="M3024" s="24"/>
      <c r="N3024" s="24"/>
      <c r="P3024" s="24"/>
    </row>
    <row r="3025" spans="2:16" x14ac:dyDescent="0.25">
      <c r="B3025" s="24"/>
      <c r="E3025" s="24"/>
      <c r="G3025" s="24"/>
      <c r="H3025" s="24"/>
      <c r="J3025" s="24"/>
      <c r="K3025" s="24"/>
      <c r="M3025" s="24"/>
      <c r="N3025" s="24"/>
      <c r="P3025" s="24"/>
    </row>
    <row r="3026" spans="2:16" x14ac:dyDescent="0.25">
      <c r="B3026" s="24"/>
      <c r="E3026" s="24"/>
      <c r="G3026" s="24"/>
      <c r="H3026" s="24"/>
      <c r="J3026" s="24"/>
      <c r="K3026" s="24"/>
      <c r="M3026" s="24"/>
      <c r="N3026" s="24"/>
      <c r="P3026" s="24"/>
    </row>
    <row r="3027" spans="2:16" x14ac:dyDescent="0.25">
      <c r="B3027" s="24"/>
      <c r="E3027" s="24"/>
      <c r="G3027" s="24"/>
      <c r="H3027" s="24"/>
      <c r="J3027" s="24"/>
      <c r="K3027" s="24"/>
      <c r="M3027" s="24"/>
      <c r="N3027" s="24"/>
      <c r="P3027" s="24"/>
    </row>
    <row r="3028" spans="2:16" x14ac:dyDescent="0.25">
      <c r="B3028" s="24"/>
      <c r="E3028" s="24"/>
      <c r="G3028" s="24"/>
      <c r="H3028" s="24"/>
      <c r="J3028" s="24"/>
      <c r="K3028" s="24"/>
      <c r="M3028" s="24"/>
      <c r="N3028" s="24"/>
      <c r="P3028" s="24"/>
    </row>
    <row r="3029" spans="2:16" x14ac:dyDescent="0.25">
      <c r="B3029" s="24"/>
      <c r="E3029" s="24"/>
      <c r="G3029" s="24"/>
      <c r="H3029" s="24"/>
      <c r="J3029" s="24"/>
      <c r="K3029" s="24"/>
      <c r="M3029" s="24"/>
      <c r="N3029" s="24"/>
      <c r="P3029" s="24"/>
    </row>
    <row r="3030" spans="2:16" x14ac:dyDescent="0.25">
      <c r="B3030" s="24"/>
      <c r="E3030" s="24"/>
      <c r="G3030" s="24"/>
      <c r="H3030" s="24"/>
      <c r="J3030" s="24"/>
      <c r="K3030" s="24"/>
      <c r="M3030" s="24"/>
      <c r="N3030" s="24"/>
      <c r="P3030" s="24"/>
    </row>
    <row r="3031" spans="2:16" x14ac:dyDescent="0.25">
      <c r="B3031" s="24"/>
      <c r="E3031" s="24"/>
      <c r="G3031" s="24"/>
      <c r="H3031" s="24"/>
      <c r="J3031" s="24"/>
      <c r="K3031" s="24"/>
      <c r="M3031" s="24"/>
      <c r="N3031" s="24"/>
      <c r="P3031" s="24"/>
    </row>
    <row r="3032" spans="2:16" x14ac:dyDescent="0.25">
      <c r="B3032" s="24"/>
      <c r="E3032" s="24"/>
      <c r="G3032" s="24"/>
      <c r="H3032" s="24"/>
      <c r="J3032" s="24"/>
      <c r="K3032" s="24"/>
      <c r="M3032" s="24"/>
      <c r="N3032" s="24"/>
      <c r="P3032" s="24"/>
    </row>
    <row r="3033" spans="2:16" x14ac:dyDescent="0.25">
      <c r="B3033" s="24"/>
      <c r="E3033" s="24"/>
      <c r="G3033" s="24"/>
      <c r="H3033" s="24"/>
      <c r="J3033" s="24"/>
      <c r="K3033" s="24"/>
      <c r="M3033" s="24"/>
      <c r="N3033" s="24"/>
      <c r="P3033" s="24"/>
    </row>
    <row r="3034" spans="2:16" x14ac:dyDescent="0.25">
      <c r="B3034" s="24"/>
      <c r="E3034" s="24"/>
      <c r="G3034" s="24"/>
      <c r="H3034" s="24"/>
      <c r="J3034" s="24"/>
      <c r="K3034" s="24"/>
      <c r="M3034" s="24"/>
      <c r="N3034" s="24"/>
      <c r="P3034" s="24"/>
    </row>
    <row r="3035" spans="2:16" x14ac:dyDescent="0.25">
      <c r="B3035" s="24"/>
      <c r="E3035" s="24"/>
      <c r="G3035" s="24"/>
      <c r="H3035" s="24"/>
      <c r="J3035" s="24"/>
      <c r="K3035" s="24"/>
      <c r="M3035" s="24"/>
      <c r="N3035" s="24"/>
      <c r="P3035" s="24"/>
    </row>
    <row r="3036" spans="2:16" x14ac:dyDescent="0.25">
      <c r="B3036" s="24"/>
      <c r="E3036" s="24"/>
      <c r="G3036" s="24"/>
      <c r="H3036" s="24"/>
      <c r="J3036" s="24"/>
      <c r="K3036" s="24"/>
      <c r="M3036" s="24"/>
      <c r="N3036" s="24"/>
      <c r="P3036" s="24"/>
    </row>
    <row r="3037" spans="2:16" x14ac:dyDescent="0.25">
      <c r="B3037" s="24"/>
      <c r="E3037" s="24"/>
      <c r="G3037" s="24"/>
      <c r="H3037" s="24"/>
      <c r="J3037" s="24"/>
      <c r="K3037" s="24"/>
      <c r="M3037" s="24"/>
      <c r="N3037" s="24"/>
      <c r="P3037" s="24"/>
    </row>
    <row r="3038" spans="2:16" x14ac:dyDescent="0.25">
      <c r="B3038" s="24"/>
      <c r="E3038" s="24"/>
      <c r="G3038" s="24"/>
      <c r="H3038" s="24"/>
      <c r="J3038" s="24"/>
      <c r="K3038" s="24"/>
      <c r="M3038" s="24"/>
      <c r="N3038" s="24"/>
      <c r="P3038" s="24"/>
    </row>
    <row r="3039" spans="2:16" x14ac:dyDescent="0.25">
      <c r="B3039" s="24"/>
      <c r="E3039" s="24"/>
      <c r="G3039" s="24"/>
      <c r="H3039" s="24"/>
      <c r="J3039" s="24"/>
      <c r="K3039" s="24"/>
      <c r="M3039" s="24"/>
      <c r="N3039" s="24"/>
      <c r="P3039" s="24"/>
    </row>
    <row r="3040" spans="2:16" x14ac:dyDescent="0.25">
      <c r="B3040" s="24"/>
      <c r="E3040" s="24"/>
      <c r="G3040" s="24"/>
      <c r="H3040" s="24"/>
      <c r="J3040" s="24"/>
      <c r="K3040" s="24"/>
      <c r="M3040" s="24"/>
      <c r="N3040" s="24"/>
      <c r="P3040" s="24"/>
    </row>
    <row r="3041" spans="2:16" x14ac:dyDescent="0.25">
      <c r="B3041" s="24"/>
      <c r="E3041" s="24"/>
      <c r="G3041" s="24"/>
      <c r="H3041" s="24"/>
      <c r="J3041" s="24"/>
      <c r="K3041" s="24"/>
      <c r="M3041" s="24"/>
      <c r="N3041" s="24"/>
      <c r="P3041" s="24"/>
    </row>
    <row r="3042" spans="2:16" x14ac:dyDescent="0.25">
      <c r="B3042" s="24"/>
      <c r="E3042" s="24"/>
      <c r="G3042" s="24"/>
      <c r="H3042" s="24"/>
      <c r="J3042" s="24"/>
      <c r="K3042" s="24"/>
      <c r="M3042" s="24"/>
      <c r="N3042" s="24"/>
      <c r="P3042" s="24"/>
    </row>
    <row r="3043" spans="2:16" x14ac:dyDescent="0.25">
      <c r="B3043" s="24"/>
      <c r="E3043" s="24"/>
      <c r="G3043" s="24"/>
      <c r="H3043" s="24"/>
      <c r="J3043" s="24"/>
      <c r="K3043" s="24"/>
      <c r="M3043" s="24"/>
      <c r="N3043" s="24"/>
      <c r="P3043" s="24"/>
    </row>
    <row r="3044" spans="2:16" x14ac:dyDescent="0.25">
      <c r="B3044" s="24"/>
      <c r="E3044" s="24"/>
      <c r="G3044" s="24"/>
      <c r="H3044" s="24"/>
      <c r="J3044" s="24"/>
      <c r="K3044" s="24"/>
      <c r="M3044" s="24"/>
      <c r="N3044" s="24"/>
      <c r="P3044" s="24"/>
    </row>
    <row r="3045" spans="2:16" x14ac:dyDescent="0.25">
      <c r="B3045" s="24"/>
      <c r="E3045" s="24"/>
      <c r="G3045" s="24"/>
      <c r="H3045" s="24"/>
      <c r="J3045" s="24"/>
      <c r="K3045" s="24"/>
      <c r="M3045" s="24"/>
      <c r="N3045" s="24"/>
      <c r="P3045" s="24"/>
    </row>
    <row r="3046" spans="2:16" x14ac:dyDescent="0.25">
      <c r="B3046" s="24"/>
      <c r="E3046" s="24"/>
      <c r="G3046" s="24"/>
      <c r="H3046" s="24"/>
      <c r="J3046" s="24"/>
      <c r="K3046" s="24"/>
      <c r="M3046" s="24"/>
      <c r="N3046" s="24"/>
      <c r="P3046" s="24"/>
    </row>
    <row r="3047" spans="2:16" x14ac:dyDescent="0.25">
      <c r="B3047" s="24"/>
      <c r="E3047" s="24"/>
      <c r="G3047" s="24"/>
      <c r="H3047" s="24"/>
      <c r="J3047" s="24"/>
      <c r="K3047" s="24"/>
      <c r="M3047" s="24"/>
      <c r="N3047" s="24"/>
      <c r="P3047" s="24"/>
    </row>
    <row r="3048" spans="2:16" x14ac:dyDescent="0.25">
      <c r="B3048" s="24"/>
      <c r="E3048" s="24"/>
      <c r="G3048" s="24"/>
      <c r="H3048" s="24"/>
      <c r="J3048" s="24"/>
      <c r="K3048" s="24"/>
      <c r="M3048" s="24"/>
      <c r="N3048" s="24"/>
      <c r="P3048" s="24"/>
    </row>
    <row r="3049" spans="2:16" x14ac:dyDescent="0.25">
      <c r="B3049" s="24"/>
      <c r="E3049" s="24"/>
      <c r="G3049" s="24"/>
      <c r="H3049" s="24"/>
      <c r="J3049" s="24"/>
      <c r="K3049" s="24"/>
      <c r="M3049" s="24"/>
      <c r="N3049" s="24"/>
      <c r="P3049" s="24"/>
    </row>
    <row r="3050" spans="2:16" x14ac:dyDescent="0.25">
      <c r="B3050" s="24"/>
      <c r="E3050" s="24"/>
      <c r="G3050" s="24"/>
      <c r="H3050" s="24"/>
      <c r="J3050" s="24"/>
      <c r="K3050" s="24"/>
      <c r="M3050" s="24"/>
      <c r="N3050" s="24"/>
      <c r="P3050" s="24"/>
    </row>
    <row r="3051" spans="2:16" x14ac:dyDescent="0.25">
      <c r="B3051" s="24"/>
      <c r="E3051" s="24"/>
      <c r="G3051" s="24"/>
      <c r="H3051" s="24"/>
      <c r="J3051" s="24"/>
      <c r="K3051" s="24"/>
      <c r="M3051" s="24"/>
      <c r="N3051" s="24"/>
      <c r="P3051" s="24"/>
    </row>
    <row r="3052" spans="2:16" x14ac:dyDescent="0.25">
      <c r="B3052" s="24"/>
      <c r="E3052" s="24"/>
      <c r="G3052" s="24"/>
      <c r="H3052" s="24"/>
      <c r="J3052" s="24"/>
      <c r="K3052" s="24"/>
      <c r="M3052" s="24"/>
      <c r="N3052" s="24"/>
      <c r="P3052" s="24"/>
    </row>
    <row r="3053" spans="2:16" x14ac:dyDescent="0.25">
      <c r="B3053" s="24"/>
      <c r="E3053" s="24"/>
      <c r="G3053" s="24"/>
      <c r="H3053" s="24"/>
      <c r="J3053" s="24"/>
      <c r="K3053" s="24"/>
      <c r="M3053" s="24"/>
      <c r="N3053" s="24"/>
      <c r="P3053" s="24"/>
    </row>
    <row r="3054" spans="2:16" x14ac:dyDescent="0.25">
      <c r="B3054" s="24"/>
      <c r="E3054" s="24"/>
      <c r="G3054" s="24"/>
      <c r="H3054" s="24"/>
      <c r="J3054" s="24"/>
      <c r="K3054" s="24"/>
      <c r="M3054" s="24"/>
      <c r="N3054" s="24"/>
      <c r="P3054" s="24"/>
    </row>
    <row r="3055" spans="2:16" x14ac:dyDescent="0.25">
      <c r="B3055" s="24"/>
      <c r="E3055" s="24"/>
      <c r="G3055" s="24"/>
      <c r="H3055" s="24"/>
      <c r="J3055" s="24"/>
      <c r="K3055" s="24"/>
      <c r="M3055" s="24"/>
      <c r="N3055" s="24"/>
      <c r="P3055" s="24"/>
    </row>
    <row r="3056" spans="2:16" x14ac:dyDescent="0.25">
      <c r="B3056" s="24"/>
      <c r="E3056" s="24"/>
      <c r="G3056" s="24"/>
      <c r="H3056" s="24"/>
      <c r="J3056" s="24"/>
      <c r="K3056" s="24"/>
      <c r="M3056" s="24"/>
      <c r="N3056" s="24"/>
      <c r="P3056" s="24"/>
    </row>
    <row r="3057" spans="2:16" x14ac:dyDescent="0.25">
      <c r="B3057" s="24"/>
      <c r="E3057" s="24"/>
      <c r="G3057" s="24"/>
      <c r="H3057" s="24"/>
      <c r="J3057" s="24"/>
      <c r="K3057" s="24"/>
      <c r="M3057" s="24"/>
      <c r="N3057" s="24"/>
      <c r="P3057" s="24"/>
    </row>
    <row r="3058" spans="2:16" x14ac:dyDescent="0.25">
      <c r="B3058" s="24"/>
      <c r="E3058" s="24"/>
      <c r="G3058" s="24"/>
      <c r="H3058" s="24"/>
      <c r="J3058" s="24"/>
      <c r="K3058" s="24"/>
      <c r="M3058" s="24"/>
      <c r="N3058" s="24"/>
      <c r="P3058" s="24"/>
    </row>
    <row r="3059" spans="2:16" x14ac:dyDescent="0.25">
      <c r="B3059" s="24"/>
      <c r="E3059" s="24"/>
      <c r="G3059" s="24"/>
      <c r="H3059" s="24"/>
      <c r="J3059" s="24"/>
      <c r="K3059" s="24"/>
      <c r="M3059" s="24"/>
      <c r="N3059" s="24"/>
      <c r="P3059" s="24"/>
    </row>
    <row r="3060" spans="2:16" x14ac:dyDescent="0.25">
      <c r="B3060" s="24"/>
      <c r="E3060" s="24"/>
      <c r="G3060" s="24"/>
      <c r="H3060" s="24"/>
      <c r="J3060" s="24"/>
      <c r="K3060" s="24"/>
      <c r="M3060" s="24"/>
      <c r="N3060" s="24"/>
      <c r="P3060" s="24"/>
    </row>
    <row r="3061" spans="2:16" x14ac:dyDescent="0.25">
      <c r="B3061" s="24"/>
      <c r="E3061" s="24"/>
      <c r="G3061" s="24"/>
      <c r="H3061" s="24"/>
      <c r="J3061" s="24"/>
      <c r="K3061" s="24"/>
      <c r="M3061" s="24"/>
      <c r="N3061" s="24"/>
      <c r="P3061" s="24"/>
    </row>
    <row r="3062" spans="2:16" x14ac:dyDescent="0.25">
      <c r="B3062" s="24"/>
      <c r="E3062" s="24"/>
      <c r="G3062" s="24"/>
      <c r="H3062" s="24"/>
      <c r="J3062" s="24"/>
      <c r="K3062" s="24"/>
      <c r="M3062" s="24"/>
      <c r="N3062" s="24"/>
      <c r="P3062" s="24"/>
    </row>
    <row r="3063" spans="2:16" x14ac:dyDescent="0.25">
      <c r="B3063" s="24"/>
      <c r="E3063" s="24"/>
      <c r="G3063" s="24"/>
      <c r="H3063" s="24"/>
      <c r="J3063" s="24"/>
      <c r="K3063" s="24"/>
      <c r="M3063" s="24"/>
      <c r="N3063" s="24"/>
      <c r="P3063" s="24"/>
    </row>
    <row r="3064" spans="2:16" x14ac:dyDescent="0.25">
      <c r="B3064" s="24"/>
      <c r="E3064" s="24"/>
      <c r="G3064" s="24"/>
      <c r="H3064" s="24"/>
      <c r="J3064" s="24"/>
      <c r="K3064" s="24"/>
      <c r="M3064" s="24"/>
      <c r="N3064" s="24"/>
      <c r="P3064" s="24"/>
    </row>
    <row r="3065" spans="2:16" x14ac:dyDescent="0.25">
      <c r="B3065" s="24"/>
      <c r="E3065" s="24"/>
      <c r="G3065" s="24"/>
      <c r="H3065" s="24"/>
      <c r="J3065" s="24"/>
      <c r="K3065" s="24"/>
      <c r="M3065" s="24"/>
      <c r="N3065" s="24"/>
      <c r="P3065" s="24"/>
    </row>
    <row r="3066" spans="2:16" x14ac:dyDescent="0.25">
      <c r="B3066" s="24"/>
      <c r="E3066" s="24"/>
      <c r="G3066" s="24"/>
      <c r="H3066" s="24"/>
      <c r="J3066" s="24"/>
      <c r="K3066" s="24"/>
      <c r="M3066" s="24"/>
      <c r="N3066" s="24"/>
      <c r="P3066" s="24"/>
    </row>
    <row r="3067" spans="2:16" x14ac:dyDescent="0.25">
      <c r="B3067" s="24"/>
      <c r="E3067" s="24"/>
      <c r="G3067" s="24"/>
      <c r="H3067" s="24"/>
      <c r="J3067" s="24"/>
      <c r="K3067" s="24"/>
      <c r="M3067" s="24"/>
      <c r="N3067" s="24"/>
      <c r="P3067" s="24"/>
    </row>
    <row r="3068" spans="2:16" x14ac:dyDescent="0.25">
      <c r="B3068" s="24"/>
      <c r="E3068" s="24"/>
      <c r="G3068" s="24"/>
      <c r="H3068" s="24"/>
      <c r="J3068" s="24"/>
      <c r="K3068" s="24"/>
      <c r="M3068" s="24"/>
      <c r="N3068" s="24"/>
      <c r="P3068" s="24"/>
    </row>
    <row r="3069" spans="2:16" x14ac:dyDescent="0.25">
      <c r="B3069" s="24"/>
      <c r="E3069" s="24"/>
      <c r="G3069" s="24"/>
      <c r="H3069" s="24"/>
      <c r="J3069" s="24"/>
      <c r="K3069" s="24"/>
      <c r="M3069" s="24"/>
      <c r="N3069" s="24"/>
      <c r="P3069" s="24"/>
    </row>
    <row r="3070" spans="2:16" x14ac:dyDescent="0.25">
      <c r="B3070" s="24"/>
      <c r="E3070" s="24"/>
      <c r="G3070" s="24"/>
      <c r="H3070" s="24"/>
      <c r="J3070" s="24"/>
      <c r="K3070" s="24"/>
      <c r="M3070" s="24"/>
      <c r="N3070" s="24"/>
      <c r="P3070" s="24"/>
    </row>
    <row r="3071" spans="2:16" x14ac:dyDescent="0.25">
      <c r="B3071" s="24"/>
      <c r="E3071" s="24"/>
      <c r="G3071" s="24"/>
      <c r="H3071" s="24"/>
      <c r="J3071" s="24"/>
      <c r="K3071" s="24"/>
      <c r="M3071" s="24"/>
      <c r="N3071" s="24"/>
      <c r="P3071" s="24"/>
    </row>
    <row r="3072" spans="2:16" x14ac:dyDescent="0.25">
      <c r="B3072" s="24"/>
      <c r="E3072" s="24"/>
      <c r="G3072" s="24"/>
      <c r="H3072" s="24"/>
      <c r="J3072" s="24"/>
      <c r="K3072" s="24"/>
      <c r="M3072" s="24"/>
      <c r="N3072" s="24"/>
      <c r="P3072" s="24"/>
    </row>
    <row r="3073" spans="2:16" x14ac:dyDescent="0.25">
      <c r="B3073" s="24"/>
      <c r="E3073" s="24"/>
      <c r="G3073" s="24"/>
      <c r="H3073" s="24"/>
      <c r="J3073" s="24"/>
      <c r="K3073" s="24"/>
      <c r="M3073" s="24"/>
      <c r="N3073" s="24"/>
      <c r="P3073" s="24"/>
    </row>
    <row r="3074" spans="2:16" x14ac:dyDescent="0.25">
      <c r="B3074" s="24"/>
      <c r="E3074" s="24"/>
      <c r="G3074" s="24"/>
      <c r="H3074" s="24"/>
      <c r="J3074" s="24"/>
      <c r="K3074" s="24"/>
      <c r="M3074" s="24"/>
      <c r="N3074" s="24"/>
      <c r="P3074" s="24"/>
    </row>
    <row r="3075" spans="2:16" x14ac:dyDescent="0.25">
      <c r="B3075" s="24"/>
      <c r="E3075" s="24"/>
      <c r="G3075" s="24"/>
      <c r="H3075" s="24"/>
      <c r="J3075" s="24"/>
      <c r="K3075" s="24"/>
      <c r="M3075" s="24"/>
      <c r="N3075" s="24"/>
      <c r="P3075" s="24"/>
    </row>
    <row r="3076" spans="2:16" x14ac:dyDescent="0.25">
      <c r="B3076" s="24"/>
      <c r="E3076" s="24"/>
      <c r="G3076" s="24"/>
      <c r="H3076" s="24"/>
      <c r="J3076" s="24"/>
      <c r="K3076" s="24"/>
      <c r="M3076" s="24"/>
      <c r="N3076" s="24"/>
      <c r="P3076" s="24"/>
    </row>
    <row r="3077" spans="2:16" x14ac:dyDescent="0.25">
      <c r="B3077" s="24"/>
      <c r="E3077" s="24"/>
      <c r="G3077" s="24"/>
      <c r="H3077" s="24"/>
      <c r="J3077" s="24"/>
      <c r="K3077" s="24"/>
      <c r="M3077" s="24"/>
      <c r="N3077" s="24"/>
      <c r="P3077" s="24"/>
    </row>
    <row r="3078" spans="2:16" x14ac:dyDescent="0.25">
      <c r="B3078" s="24"/>
      <c r="E3078" s="24"/>
      <c r="G3078" s="24"/>
      <c r="H3078" s="24"/>
      <c r="J3078" s="24"/>
      <c r="K3078" s="24"/>
      <c r="M3078" s="24"/>
      <c r="N3078" s="24"/>
      <c r="P3078" s="24"/>
    </row>
    <row r="3079" spans="2:16" x14ac:dyDescent="0.25">
      <c r="B3079" s="24"/>
      <c r="E3079" s="24"/>
      <c r="G3079" s="24"/>
      <c r="H3079" s="24"/>
      <c r="J3079" s="24"/>
      <c r="K3079" s="24"/>
      <c r="M3079" s="24"/>
      <c r="N3079" s="24"/>
      <c r="P3079" s="24"/>
    </row>
    <row r="3080" spans="2:16" x14ac:dyDescent="0.25">
      <c r="B3080" s="24"/>
      <c r="E3080" s="24"/>
      <c r="G3080" s="24"/>
      <c r="H3080" s="24"/>
      <c r="J3080" s="24"/>
      <c r="K3080" s="24"/>
      <c r="M3080" s="24"/>
      <c r="N3080" s="24"/>
      <c r="P3080" s="24"/>
    </row>
    <row r="3081" spans="2:16" x14ac:dyDescent="0.25">
      <c r="B3081" s="24"/>
      <c r="E3081" s="24"/>
      <c r="G3081" s="24"/>
      <c r="H3081" s="24"/>
      <c r="J3081" s="24"/>
      <c r="K3081" s="24"/>
      <c r="M3081" s="24"/>
      <c r="N3081" s="24"/>
      <c r="P3081" s="24"/>
    </row>
    <row r="3082" spans="2:16" x14ac:dyDescent="0.25">
      <c r="B3082" s="24"/>
      <c r="E3082" s="24"/>
      <c r="G3082" s="24"/>
      <c r="H3082" s="24"/>
      <c r="J3082" s="24"/>
      <c r="K3082" s="24"/>
      <c r="M3082" s="24"/>
      <c r="N3082" s="24"/>
      <c r="P3082" s="24"/>
    </row>
    <row r="3083" spans="2:16" x14ac:dyDescent="0.25">
      <c r="B3083" s="24"/>
      <c r="E3083" s="24"/>
      <c r="G3083" s="24"/>
      <c r="H3083" s="24"/>
      <c r="J3083" s="24"/>
      <c r="K3083" s="24"/>
      <c r="M3083" s="24"/>
      <c r="N3083" s="24"/>
      <c r="P3083" s="24"/>
    </row>
    <row r="3084" spans="2:16" x14ac:dyDescent="0.25">
      <c r="B3084" s="24"/>
      <c r="E3084" s="24"/>
      <c r="G3084" s="24"/>
      <c r="H3084" s="24"/>
      <c r="J3084" s="24"/>
      <c r="K3084" s="24"/>
      <c r="M3084" s="24"/>
      <c r="N3084" s="24"/>
      <c r="P3084" s="24"/>
    </row>
    <row r="3085" spans="2:16" x14ac:dyDescent="0.25">
      <c r="B3085" s="24"/>
      <c r="E3085" s="24"/>
      <c r="G3085" s="24"/>
      <c r="H3085" s="24"/>
      <c r="J3085" s="24"/>
      <c r="K3085" s="24"/>
      <c r="M3085" s="24"/>
      <c r="N3085" s="24"/>
      <c r="P3085" s="24"/>
    </row>
    <row r="3086" spans="2:16" x14ac:dyDescent="0.25">
      <c r="B3086" s="24"/>
      <c r="E3086" s="24"/>
      <c r="G3086" s="24"/>
      <c r="H3086" s="24"/>
      <c r="J3086" s="24"/>
      <c r="K3086" s="24"/>
      <c r="M3086" s="24"/>
      <c r="N3086" s="24"/>
      <c r="P3086" s="24"/>
    </row>
    <row r="3087" spans="2:16" x14ac:dyDescent="0.25">
      <c r="B3087" s="24"/>
      <c r="E3087" s="24"/>
      <c r="G3087" s="24"/>
      <c r="H3087" s="24"/>
      <c r="J3087" s="24"/>
      <c r="K3087" s="24"/>
      <c r="M3087" s="24"/>
      <c r="N3087" s="24"/>
      <c r="P3087" s="24"/>
    </row>
    <row r="3088" spans="2:16" x14ac:dyDescent="0.25">
      <c r="B3088" s="24"/>
      <c r="E3088" s="24"/>
      <c r="G3088" s="24"/>
      <c r="H3088" s="24"/>
      <c r="J3088" s="24"/>
      <c r="K3088" s="24"/>
      <c r="M3088" s="24"/>
      <c r="N3088" s="24"/>
      <c r="P3088" s="24"/>
    </row>
    <row r="3089" spans="2:16" x14ac:dyDescent="0.25">
      <c r="B3089" s="24"/>
      <c r="E3089" s="24"/>
      <c r="G3089" s="24"/>
      <c r="H3089" s="24"/>
      <c r="J3089" s="24"/>
      <c r="K3089" s="24"/>
      <c r="M3089" s="24"/>
      <c r="N3089" s="24"/>
      <c r="P3089" s="24"/>
    </row>
    <row r="3090" spans="2:16" x14ac:dyDescent="0.25">
      <c r="B3090" s="24"/>
      <c r="E3090" s="24"/>
      <c r="G3090" s="24"/>
      <c r="H3090" s="24"/>
      <c r="J3090" s="24"/>
      <c r="K3090" s="24"/>
      <c r="M3090" s="24"/>
      <c r="N3090" s="24"/>
      <c r="P3090" s="24"/>
    </row>
    <row r="3091" spans="2:16" x14ac:dyDescent="0.25">
      <c r="B3091" s="24"/>
      <c r="E3091" s="24"/>
      <c r="G3091" s="24"/>
      <c r="H3091" s="24"/>
      <c r="J3091" s="24"/>
      <c r="K3091" s="24"/>
      <c r="M3091" s="24"/>
      <c r="N3091" s="24"/>
      <c r="P3091" s="24"/>
    </row>
    <row r="3092" spans="2:16" x14ac:dyDescent="0.25">
      <c r="B3092" s="24"/>
      <c r="E3092" s="24"/>
      <c r="G3092" s="24"/>
      <c r="H3092" s="24"/>
      <c r="J3092" s="24"/>
      <c r="K3092" s="24"/>
      <c r="M3092" s="24"/>
      <c r="N3092" s="24"/>
      <c r="P3092" s="24"/>
    </row>
    <row r="3093" spans="2:16" x14ac:dyDescent="0.25">
      <c r="B3093" s="24"/>
      <c r="E3093" s="24"/>
      <c r="G3093" s="24"/>
      <c r="H3093" s="24"/>
      <c r="J3093" s="24"/>
      <c r="K3093" s="24"/>
      <c r="M3093" s="24"/>
      <c r="N3093" s="24"/>
      <c r="P3093" s="24"/>
    </row>
    <row r="3094" spans="2:16" x14ac:dyDescent="0.25">
      <c r="B3094" s="24"/>
      <c r="E3094" s="24"/>
      <c r="G3094" s="24"/>
      <c r="H3094" s="24"/>
      <c r="J3094" s="24"/>
      <c r="K3094" s="24"/>
      <c r="M3094" s="24"/>
      <c r="N3094" s="24"/>
      <c r="P3094" s="24"/>
    </row>
    <row r="3095" spans="2:16" x14ac:dyDescent="0.25">
      <c r="B3095" s="24"/>
      <c r="E3095" s="24"/>
      <c r="G3095" s="24"/>
      <c r="H3095" s="24"/>
      <c r="J3095" s="24"/>
      <c r="K3095" s="24"/>
      <c r="M3095" s="24"/>
      <c r="N3095" s="24"/>
      <c r="P3095" s="24"/>
    </row>
    <row r="3096" spans="2:16" x14ac:dyDescent="0.25">
      <c r="B3096" s="24"/>
      <c r="E3096" s="24"/>
      <c r="G3096" s="24"/>
      <c r="H3096" s="24"/>
      <c r="J3096" s="24"/>
      <c r="K3096" s="24"/>
      <c r="M3096" s="24"/>
      <c r="N3096" s="24"/>
      <c r="P3096" s="24"/>
    </row>
    <row r="3097" spans="2:16" x14ac:dyDescent="0.25">
      <c r="B3097" s="24"/>
      <c r="E3097" s="24"/>
      <c r="G3097" s="24"/>
      <c r="H3097" s="24"/>
      <c r="J3097" s="24"/>
      <c r="K3097" s="24"/>
      <c r="M3097" s="24"/>
      <c r="N3097" s="24"/>
      <c r="P3097" s="24"/>
    </row>
    <row r="3098" spans="2:16" x14ac:dyDescent="0.25">
      <c r="B3098" s="24"/>
      <c r="E3098" s="24"/>
      <c r="G3098" s="24"/>
      <c r="H3098" s="24"/>
      <c r="J3098" s="24"/>
      <c r="K3098" s="24"/>
      <c r="M3098" s="24"/>
      <c r="N3098" s="24"/>
      <c r="P3098" s="24"/>
    </row>
    <row r="3099" spans="2:16" x14ac:dyDescent="0.25">
      <c r="B3099" s="24"/>
      <c r="E3099" s="24"/>
      <c r="G3099" s="24"/>
      <c r="H3099" s="24"/>
      <c r="J3099" s="24"/>
      <c r="K3099" s="24"/>
      <c r="M3099" s="24"/>
      <c r="N3099" s="24"/>
      <c r="P3099" s="24"/>
    </row>
    <row r="3100" spans="2:16" x14ac:dyDescent="0.25">
      <c r="B3100" s="24"/>
      <c r="E3100" s="24"/>
      <c r="G3100" s="24"/>
      <c r="H3100" s="24"/>
      <c r="J3100" s="24"/>
      <c r="K3100" s="24"/>
      <c r="M3100" s="24"/>
      <c r="N3100" s="24"/>
      <c r="P3100" s="24"/>
    </row>
    <row r="3101" spans="2:16" x14ac:dyDescent="0.25">
      <c r="B3101" s="24"/>
      <c r="E3101" s="24"/>
      <c r="G3101" s="24"/>
      <c r="H3101" s="24"/>
      <c r="J3101" s="24"/>
      <c r="K3101" s="24"/>
      <c r="M3101" s="24"/>
      <c r="N3101" s="24"/>
      <c r="P3101" s="24"/>
    </row>
    <row r="3102" spans="2:16" x14ac:dyDescent="0.25">
      <c r="B3102" s="24"/>
      <c r="E3102" s="24"/>
      <c r="G3102" s="24"/>
      <c r="H3102" s="24"/>
      <c r="J3102" s="24"/>
      <c r="K3102" s="24"/>
      <c r="M3102" s="24"/>
      <c r="N3102" s="24"/>
      <c r="P3102" s="24"/>
    </row>
    <row r="3103" spans="2:16" x14ac:dyDescent="0.25">
      <c r="B3103" s="24"/>
      <c r="E3103" s="24"/>
      <c r="G3103" s="24"/>
      <c r="H3103" s="24"/>
      <c r="J3103" s="24"/>
      <c r="K3103" s="24"/>
      <c r="M3103" s="24"/>
      <c r="N3103" s="24"/>
      <c r="P3103" s="24"/>
    </row>
    <row r="3104" spans="2:16" x14ac:dyDescent="0.25">
      <c r="B3104" s="24"/>
      <c r="E3104" s="24"/>
      <c r="G3104" s="24"/>
      <c r="H3104" s="24"/>
      <c r="J3104" s="24"/>
      <c r="K3104" s="24"/>
      <c r="M3104" s="24"/>
      <c r="N3104" s="24"/>
      <c r="P3104" s="24"/>
    </row>
    <row r="3105" spans="2:16" x14ac:dyDescent="0.25">
      <c r="B3105" s="24"/>
      <c r="E3105" s="24"/>
      <c r="G3105" s="24"/>
      <c r="H3105" s="24"/>
      <c r="J3105" s="24"/>
      <c r="K3105" s="24"/>
      <c r="M3105" s="24"/>
      <c r="N3105" s="24"/>
      <c r="P3105" s="24"/>
    </row>
    <row r="3106" spans="2:16" x14ac:dyDescent="0.25">
      <c r="B3106" s="24"/>
      <c r="E3106" s="24"/>
      <c r="G3106" s="24"/>
      <c r="H3106" s="24"/>
      <c r="J3106" s="24"/>
      <c r="K3106" s="24"/>
      <c r="M3106" s="24"/>
      <c r="N3106" s="24"/>
      <c r="P3106" s="24"/>
    </row>
    <row r="3107" spans="2:16" x14ac:dyDescent="0.25">
      <c r="B3107" s="24"/>
      <c r="E3107" s="24"/>
      <c r="G3107" s="24"/>
      <c r="H3107" s="24"/>
      <c r="J3107" s="24"/>
      <c r="K3107" s="24"/>
      <c r="M3107" s="24"/>
      <c r="N3107" s="24"/>
      <c r="P3107" s="24"/>
    </row>
    <row r="3108" spans="2:16" x14ac:dyDescent="0.25">
      <c r="B3108" s="24"/>
      <c r="E3108" s="24"/>
      <c r="G3108" s="24"/>
      <c r="H3108" s="24"/>
      <c r="J3108" s="24"/>
      <c r="K3108" s="24"/>
      <c r="M3108" s="24"/>
      <c r="N3108" s="24"/>
      <c r="P3108" s="24"/>
    </row>
    <row r="3109" spans="2:16" x14ac:dyDescent="0.25">
      <c r="B3109" s="24"/>
      <c r="E3109" s="24"/>
      <c r="G3109" s="24"/>
      <c r="H3109" s="24"/>
      <c r="J3109" s="24"/>
      <c r="K3109" s="24"/>
      <c r="M3109" s="24"/>
      <c r="N3109" s="24"/>
      <c r="P3109" s="24"/>
    </row>
    <row r="3110" spans="2:16" x14ac:dyDescent="0.25">
      <c r="B3110" s="24"/>
      <c r="E3110" s="24"/>
      <c r="G3110" s="24"/>
      <c r="H3110" s="24"/>
      <c r="J3110" s="24"/>
      <c r="K3110" s="24"/>
      <c r="M3110" s="24"/>
      <c r="N3110" s="24"/>
      <c r="P3110" s="24"/>
    </row>
    <row r="3111" spans="2:16" x14ac:dyDescent="0.25">
      <c r="B3111" s="24"/>
      <c r="E3111" s="24"/>
      <c r="G3111" s="24"/>
      <c r="H3111" s="24"/>
      <c r="J3111" s="24"/>
      <c r="K3111" s="24"/>
      <c r="M3111" s="24"/>
      <c r="N3111" s="24"/>
      <c r="P3111" s="24"/>
    </row>
    <row r="3112" spans="2:16" x14ac:dyDescent="0.25">
      <c r="B3112" s="24"/>
      <c r="E3112" s="24"/>
      <c r="G3112" s="24"/>
      <c r="H3112" s="24"/>
      <c r="J3112" s="24"/>
      <c r="K3112" s="24"/>
      <c r="M3112" s="24"/>
      <c r="N3112" s="24"/>
      <c r="P3112" s="24"/>
    </row>
    <row r="3113" spans="2:16" x14ac:dyDescent="0.25">
      <c r="B3113" s="24"/>
      <c r="E3113" s="24"/>
      <c r="G3113" s="24"/>
      <c r="H3113" s="24"/>
      <c r="J3113" s="24"/>
      <c r="K3113" s="24"/>
      <c r="M3113" s="24"/>
      <c r="N3113" s="24"/>
      <c r="P3113" s="24"/>
    </row>
    <row r="3114" spans="2:16" x14ac:dyDescent="0.25">
      <c r="B3114" s="24"/>
      <c r="E3114" s="24"/>
      <c r="G3114" s="24"/>
      <c r="H3114" s="24"/>
      <c r="J3114" s="24"/>
      <c r="K3114" s="24"/>
      <c r="M3114" s="24"/>
      <c r="N3114" s="24"/>
      <c r="P3114" s="24"/>
    </row>
    <row r="3115" spans="2:16" x14ac:dyDescent="0.25">
      <c r="B3115" s="24"/>
      <c r="E3115" s="24"/>
      <c r="G3115" s="24"/>
      <c r="H3115" s="24"/>
      <c r="J3115" s="24"/>
      <c r="K3115" s="24"/>
      <c r="M3115" s="24"/>
      <c r="N3115" s="24"/>
      <c r="P3115" s="24"/>
    </row>
    <row r="3116" spans="2:16" x14ac:dyDescent="0.25">
      <c r="B3116" s="24"/>
      <c r="E3116" s="24"/>
      <c r="G3116" s="24"/>
      <c r="H3116" s="24"/>
      <c r="J3116" s="24"/>
      <c r="K3116" s="24"/>
      <c r="M3116" s="24"/>
      <c r="N3116" s="24"/>
      <c r="P3116" s="24"/>
    </row>
    <row r="3117" spans="2:16" x14ac:dyDescent="0.25">
      <c r="B3117" s="24"/>
      <c r="E3117" s="24"/>
      <c r="G3117" s="24"/>
      <c r="H3117" s="24"/>
      <c r="J3117" s="24"/>
      <c r="K3117" s="24"/>
      <c r="M3117" s="24"/>
      <c r="N3117" s="24"/>
      <c r="P3117" s="24"/>
    </row>
    <row r="3118" spans="2:16" x14ac:dyDescent="0.25">
      <c r="B3118" s="24"/>
      <c r="E3118" s="24"/>
      <c r="G3118" s="24"/>
      <c r="H3118" s="24"/>
      <c r="J3118" s="24"/>
      <c r="K3118" s="24"/>
      <c r="M3118" s="24"/>
      <c r="N3118" s="24"/>
      <c r="P3118" s="24"/>
    </row>
    <row r="3119" spans="2:16" x14ac:dyDescent="0.25">
      <c r="B3119" s="24"/>
      <c r="E3119" s="24"/>
      <c r="G3119" s="24"/>
      <c r="H3119" s="24"/>
      <c r="J3119" s="24"/>
      <c r="K3119" s="24"/>
      <c r="M3119" s="24"/>
      <c r="N3119" s="24"/>
      <c r="P3119" s="24"/>
    </row>
    <row r="3120" spans="2:16" x14ac:dyDescent="0.25">
      <c r="B3120" s="24"/>
      <c r="E3120" s="24"/>
      <c r="G3120" s="24"/>
      <c r="H3120" s="24"/>
      <c r="J3120" s="24"/>
      <c r="K3120" s="24"/>
      <c r="M3120" s="24"/>
      <c r="N3120" s="24"/>
      <c r="P3120" s="24"/>
    </row>
    <row r="3121" spans="2:16" x14ac:dyDescent="0.25">
      <c r="B3121" s="24"/>
      <c r="E3121" s="24"/>
      <c r="G3121" s="24"/>
      <c r="H3121" s="24"/>
      <c r="J3121" s="24"/>
      <c r="K3121" s="24"/>
      <c r="M3121" s="24"/>
      <c r="N3121" s="24"/>
      <c r="P3121" s="24"/>
    </row>
    <row r="3122" spans="2:16" x14ac:dyDescent="0.25">
      <c r="B3122" s="24"/>
      <c r="E3122" s="24"/>
      <c r="G3122" s="24"/>
      <c r="H3122" s="24"/>
      <c r="J3122" s="24"/>
      <c r="K3122" s="24"/>
      <c r="M3122" s="24"/>
      <c r="N3122" s="24"/>
      <c r="P3122" s="24"/>
    </row>
    <row r="3123" spans="2:16" x14ac:dyDescent="0.25">
      <c r="B3123" s="24"/>
      <c r="E3123" s="24"/>
      <c r="G3123" s="24"/>
      <c r="H3123" s="24"/>
      <c r="J3123" s="24"/>
      <c r="K3123" s="24"/>
      <c r="M3123" s="24"/>
      <c r="N3123" s="24"/>
      <c r="P3123" s="24"/>
    </row>
    <row r="3124" spans="2:16" x14ac:dyDescent="0.25">
      <c r="B3124" s="24"/>
      <c r="E3124" s="24"/>
      <c r="G3124" s="24"/>
      <c r="H3124" s="24"/>
      <c r="J3124" s="24"/>
      <c r="K3124" s="24"/>
      <c r="M3124" s="24"/>
      <c r="N3124" s="24"/>
      <c r="P3124" s="24"/>
    </row>
    <row r="3125" spans="2:16" x14ac:dyDescent="0.25">
      <c r="B3125" s="24"/>
      <c r="E3125" s="24"/>
      <c r="G3125" s="24"/>
      <c r="H3125" s="24"/>
      <c r="J3125" s="24"/>
      <c r="K3125" s="24"/>
      <c r="M3125" s="24"/>
      <c r="N3125" s="24"/>
      <c r="P3125" s="24"/>
    </row>
    <row r="3126" spans="2:16" x14ac:dyDescent="0.25">
      <c r="B3126" s="24"/>
      <c r="E3126" s="24"/>
      <c r="G3126" s="24"/>
      <c r="H3126" s="24"/>
      <c r="J3126" s="24"/>
      <c r="K3126" s="24"/>
      <c r="M3126" s="24"/>
      <c r="N3126" s="24"/>
      <c r="P3126" s="24"/>
    </row>
    <row r="3127" spans="2:16" x14ac:dyDescent="0.25">
      <c r="B3127" s="24"/>
      <c r="E3127" s="24"/>
      <c r="G3127" s="24"/>
      <c r="H3127" s="24"/>
      <c r="J3127" s="24"/>
      <c r="K3127" s="24"/>
      <c r="M3127" s="24"/>
      <c r="N3127" s="24"/>
      <c r="P3127" s="24"/>
    </row>
    <row r="3128" spans="2:16" x14ac:dyDescent="0.25">
      <c r="B3128" s="24"/>
      <c r="E3128" s="24"/>
      <c r="G3128" s="24"/>
      <c r="H3128" s="24"/>
      <c r="J3128" s="24"/>
      <c r="K3128" s="24"/>
      <c r="M3128" s="24"/>
      <c r="N3128" s="24"/>
      <c r="P3128" s="24"/>
    </row>
    <row r="3129" spans="2:16" x14ac:dyDescent="0.25">
      <c r="B3129" s="24"/>
      <c r="E3129" s="24"/>
      <c r="G3129" s="24"/>
      <c r="H3129" s="24"/>
      <c r="J3129" s="24"/>
      <c r="K3129" s="24"/>
      <c r="M3129" s="24"/>
      <c r="N3129" s="24"/>
      <c r="P3129" s="24"/>
    </row>
    <row r="3130" spans="2:16" x14ac:dyDescent="0.25">
      <c r="B3130" s="24"/>
      <c r="E3130" s="24"/>
      <c r="G3130" s="24"/>
      <c r="H3130" s="24"/>
      <c r="J3130" s="24"/>
      <c r="K3130" s="24"/>
      <c r="M3130" s="24"/>
      <c r="N3130" s="24"/>
      <c r="P3130" s="24"/>
    </row>
    <row r="3131" spans="2:16" x14ac:dyDescent="0.25">
      <c r="B3131" s="24"/>
      <c r="E3131" s="24"/>
      <c r="G3131" s="24"/>
      <c r="H3131" s="24"/>
      <c r="J3131" s="24"/>
      <c r="K3131" s="24"/>
      <c r="M3131" s="24"/>
      <c r="N3131" s="24"/>
      <c r="P3131" s="24"/>
    </row>
    <row r="3132" spans="2:16" x14ac:dyDescent="0.25">
      <c r="B3132" s="24"/>
      <c r="E3132" s="24"/>
      <c r="G3132" s="24"/>
      <c r="H3132" s="24"/>
      <c r="J3132" s="24"/>
      <c r="K3132" s="24"/>
      <c r="M3132" s="24"/>
      <c r="N3132" s="24"/>
      <c r="P3132" s="24"/>
    </row>
    <row r="3133" spans="2:16" x14ac:dyDescent="0.25">
      <c r="B3133" s="24"/>
      <c r="E3133" s="24"/>
      <c r="G3133" s="24"/>
      <c r="H3133" s="24"/>
      <c r="J3133" s="24"/>
      <c r="K3133" s="24"/>
      <c r="M3133" s="24"/>
      <c r="N3133" s="24"/>
      <c r="P3133" s="24"/>
    </row>
    <row r="3134" spans="2:16" x14ac:dyDescent="0.25">
      <c r="B3134" s="24"/>
      <c r="E3134" s="24"/>
      <c r="G3134" s="24"/>
      <c r="H3134" s="24"/>
      <c r="J3134" s="24"/>
      <c r="K3134" s="24"/>
      <c r="M3134" s="24"/>
      <c r="N3134" s="24"/>
      <c r="P3134" s="24"/>
    </row>
    <row r="3135" spans="2:16" x14ac:dyDescent="0.25">
      <c r="B3135" s="24"/>
      <c r="E3135" s="24"/>
      <c r="G3135" s="24"/>
      <c r="H3135" s="24"/>
      <c r="J3135" s="24"/>
      <c r="K3135" s="24"/>
      <c r="M3135" s="24"/>
      <c r="N3135" s="24"/>
      <c r="P3135" s="24"/>
    </row>
    <row r="3136" spans="2:16" x14ac:dyDescent="0.25">
      <c r="B3136" s="24"/>
      <c r="E3136" s="24"/>
      <c r="G3136" s="24"/>
      <c r="H3136" s="24"/>
      <c r="J3136" s="24"/>
      <c r="K3136" s="24"/>
      <c r="M3136" s="24"/>
      <c r="N3136" s="24"/>
      <c r="P3136" s="24"/>
    </row>
    <row r="3137" spans="2:16" x14ac:dyDescent="0.25">
      <c r="B3137" s="24"/>
      <c r="E3137" s="24"/>
      <c r="G3137" s="24"/>
      <c r="H3137" s="24"/>
      <c r="J3137" s="24"/>
      <c r="K3137" s="24"/>
      <c r="M3137" s="24"/>
      <c r="N3137" s="24"/>
      <c r="P3137" s="24"/>
    </row>
    <row r="3138" spans="2:16" x14ac:dyDescent="0.25">
      <c r="B3138" s="24"/>
      <c r="E3138" s="24"/>
      <c r="G3138" s="24"/>
      <c r="H3138" s="24"/>
      <c r="J3138" s="24"/>
      <c r="K3138" s="24"/>
      <c r="M3138" s="24"/>
      <c r="N3138" s="24"/>
      <c r="P3138" s="24"/>
    </row>
    <row r="3139" spans="2:16" x14ac:dyDescent="0.25">
      <c r="B3139" s="24"/>
      <c r="E3139" s="24"/>
      <c r="G3139" s="24"/>
      <c r="H3139" s="24"/>
      <c r="J3139" s="24"/>
      <c r="K3139" s="24"/>
      <c r="M3139" s="24"/>
      <c r="N3139" s="24"/>
      <c r="P3139" s="24"/>
    </row>
    <row r="3140" spans="2:16" x14ac:dyDescent="0.25">
      <c r="B3140" s="24"/>
      <c r="E3140" s="24"/>
      <c r="G3140" s="24"/>
      <c r="H3140" s="24"/>
      <c r="J3140" s="24"/>
      <c r="K3140" s="24"/>
      <c r="M3140" s="24"/>
      <c r="N3140" s="24"/>
      <c r="P3140" s="24"/>
    </row>
    <row r="3141" spans="2:16" x14ac:dyDescent="0.25">
      <c r="B3141" s="24"/>
      <c r="E3141" s="24"/>
      <c r="G3141" s="24"/>
      <c r="H3141" s="24"/>
      <c r="J3141" s="24"/>
      <c r="K3141" s="24"/>
      <c r="M3141" s="24"/>
      <c r="N3141" s="24"/>
      <c r="P3141" s="24"/>
    </row>
    <row r="3142" spans="2:16" x14ac:dyDescent="0.25">
      <c r="B3142" s="24"/>
      <c r="E3142" s="24"/>
      <c r="G3142" s="24"/>
      <c r="H3142" s="24"/>
      <c r="J3142" s="24"/>
      <c r="K3142" s="24"/>
      <c r="M3142" s="24"/>
      <c r="N3142" s="24"/>
      <c r="P3142" s="24"/>
    </row>
    <row r="3143" spans="2:16" x14ac:dyDescent="0.25">
      <c r="B3143" s="24"/>
      <c r="E3143" s="24"/>
      <c r="G3143" s="24"/>
      <c r="H3143" s="24"/>
      <c r="J3143" s="24"/>
      <c r="K3143" s="24"/>
      <c r="M3143" s="24"/>
      <c r="N3143" s="24"/>
      <c r="P3143" s="24"/>
    </row>
    <row r="3144" spans="2:16" x14ac:dyDescent="0.25">
      <c r="B3144" s="24"/>
      <c r="E3144" s="24"/>
      <c r="G3144" s="24"/>
      <c r="H3144" s="24"/>
      <c r="J3144" s="24"/>
      <c r="K3144" s="24"/>
      <c r="M3144" s="24"/>
      <c r="N3144" s="24"/>
      <c r="P3144" s="24"/>
    </row>
    <row r="3145" spans="2:16" x14ac:dyDescent="0.25">
      <c r="B3145" s="24"/>
      <c r="E3145" s="24"/>
      <c r="G3145" s="24"/>
      <c r="H3145" s="24"/>
      <c r="J3145" s="24"/>
      <c r="K3145" s="24"/>
      <c r="M3145" s="24"/>
      <c r="N3145" s="24"/>
      <c r="P3145" s="24"/>
    </row>
    <row r="3146" spans="2:16" x14ac:dyDescent="0.25">
      <c r="B3146" s="24"/>
      <c r="E3146" s="24"/>
      <c r="G3146" s="24"/>
      <c r="H3146" s="24"/>
      <c r="J3146" s="24"/>
      <c r="K3146" s="24"/>
      <c r="M3146" s="24"/>
      <c r="N3146" s="24"/>
      <c r="P3146" s="24"/>
    </row>
    <row r="3147" spans="2:16" x14ac:dyDescent="0.25">
      <c r="B3147" s="24"/>
      <c r="E3147" s="24"/>
      <c r="G3147" s="24"/>
      <c r="H3147" s="24"/>
      <c r="J3147" s="24"/>
      <c r="K3147" s="24"/>
      <c r="M3147" s="24"/>
      <c r="N3147" s="24"/>
      <c r="P3147" s="24"/>
    </row>
    <row r="3148" spans="2:16" x14ac:dyDescent="0.25">
      <c r="B3148" s="24"/>
      <c r="E3148" s="24"/>
      <c r="G3148" s="24"/>
      <c r="H3148" s="24"/>
      <c r="J3148" s="24"/>
      <c r="K3148" s="24"/>
      <c r="M3148" s="24"/>
      <c r="N3148" s="24"/>
      <c r="P3148" s="24"/>
    </row>
    <row r="3149" spans="2:16" x14ac:dyDescent="0.25">
      <c r="B3149" s="24"/>
      <c r="E3149" s="24"/>
      <c r="G3149" s="24"/>
      <c r="H3149" s="24"/>
      <c r="J3149" s="24"/>
      <c r="K3149" s="24"/>
      <c r="M3149" s="24"/>
      <c r="N3149" s="24"/>
      <c r="P3149" s="24"/>
    </row>
    <row r="3150" spans="2:16" x14ac:dyDescent="0.25">
      <c r="B3150" s="24"/>
      <c r="E3150" s="24"/>
      <c r="G3150" s="24"/>
      <c r="H3150" s="24"/>
      <c r="J3150" s="24"/>
      <c r="K3150" s="24"/>
      <c r="M3150" s="24"/>
      <c r="N3150" s="24"/>
      <c r="P3150" s="24"/>
    </row>
    <row r="3151" spans="2:16" x14ac:dyDescent="0.25">
      <c r="B3151" s="24"/>
      <c r="E3151" s="24"/>
      <c r="G3151" s="24"/>
      <c r="H3151" s="24"/>
      <c r="J3151" s="24"/>
      <c r="K3151" s="24"/>
      <c r="M3151" s="24"/>
      <c r="N3151" s="24"/>
      <c r="P3151" s="24"/>
    </row>
    <row r="3152" spans="2:16" x14ac:dyDescent="0.25">
      <c r="B3152" s="24"/>
      <c r="E3152" s="24"/>
      <c r="G3152" s="24"/>
      <c r="H3152" s="24"/>
      <c r="J3152" s="24"/>
      <c r="K3152" s="24"/>
      <c r="M3152" s="24"/>
      <c r="N3152" s="24"/>
      <c r="P3152" s="24"/>
    </row>
    <row r="3153" spans="2:16" x14ac:dyDescent="0.25">
      <c r="B3153" s="24"/>
      <c r="E3153" s="24"/>
      <c r="G3153" s="24"/>
      <c r="H3153" s="24"/>
      <c r="J3153" s="24"/>
      <c r="K3153" s="24"/>
      <c r="M3153" s="24"/>
      <c r="N3153" s="24"/>
      <c r="P3153" s="24"/>
    </row>
    <row r="3154" spans="2:16" x14ac:dyDescent="0.25">
      <c r="B3154" s="24"/>
      <c r="E3154" s="24"/>
      <c r="G3154" s="24"/>
      <c r="H3154" s="24"/>
      <c r="J3154" s="24"/>
      <c r="K3154" s="24"/>
      <c r="M3154" s="24"/>
      <c r="N3154" s="24"/>
      <c r="P3154" s="24"/>
    </row>
    <row r="3155" spans="2:16" x14ac:dyDescent="0.25">
      <c r="B3155" s="24"/>
      <c r="E3155" s="24"/>
      <c r="G3155" s="24"/>
      <c r="H3155" s="24"/>
      <c r="J3155" s="24"/>
      <c r="K3155" s="24"/>
      <c r="M3155" s="24"/>
      <c r="N3155" s="24"/>
      <c r="P3155" s="24"/>
    </row>
    <row r="3156" spans="2:16" x14ac:dyDescent="0.25">
      <c r="B3156" s="24"/>
      <c r="E3156" s="24"/>
      <c r="G3156" s="24"/>
      <c r="H3156" s="24"/>
      <c r="J3156" s="24"/>
      <c r="K3156" s="24"/>
      <c r="M3156" s="24"/>
      <c r="N3156" s="24"/>
      <c r="P3156" s="24"/>
    </row>
    <row r="3157" spans="2:16" x14ac:dyDescent="0.25">
      <c r="B3157" s="24"/>
      <c r="E3157" s="24"/>
      <c r="G3157" s="24"/>
      <c r="H3157" s="24"/>
      <c r="J3157" s="24"/>
      <c r="K3157" s="24"/>
      <c r="M3157" s="24"/>
      <c r="N3157" s="24"/>
      <c r="P3157" s="24"/>
    </row>
    <row r="3158" spans="2:16" x14ac:dyDescent="0.25">
      <c r="B3158" s="24"/>
      <c r="E3158" s="24"/>
      <c r="G3158" s="24"/>
      <c r="H3158" s="24"/>
      <c r="J3158" s="24"/>
      <c r="K3158" s="24"/>
      <c r="M3158" s="24"/>
      <c r="N3158" s="24"/>
      <c r="P3158" s="24"/>
    </row>
    <row r="3159" spans="2:16" x14ac:dyDescent="0.25">
      <c r="B3159" s="24"/>
      <c r="E3159" s="24"/>
      <c r="G3159" s="24"/>
      <c r="H3159" s="24"/>
      <c r="J3159" s="24"/>
      <c r="K3159" s="24"/>
      <c r="M3159" s="24"/>
      <c r="N3159" s="24"/>
      <c r="P3159" s="24"/>
    </row>
    <row r="3160" spans="2:16" x14ac:dyDescent="0.25">
      <c r="B3160" s="24"/>
      <c r="E3160" s="24"/>
      <c r="G3160" s="24"/>
      <c r="H3160" s="24"/>
      <c r="J3160" s="24"/>
      <c r="K3160" s="24"/>
      <c r="M3160" s="24"/>
      <c r="N3160" s="24"/>
      <c r="P3160" s="24"/>
    </row>
    <row r="3161" spans="2:16" x14ac:dyDescent="0.25">
      <c r="B3161" s="24"/>
      <c r="E3161" s="24"/>
      <c r="G3161" s="24"/>
      <c r="H3161" s="24"/>
      <c r="J3161" s="24"/>
      <c r="K3161" s="24"/>
      <c r="M3161" s="24"/>
      <c r="N3161" s="24"/>
      <c r="P3161" s="24"/>
    </row>
    <row r="3162" spans="2:16" x14ac:dyDescent="0.25">
      <c r="B3162" s="24"/>
      <c r="E3162" s="24"/>
      <c r="G3162" s="24"/>
      <c r="H3162" s="24"/>
      <c r="J3162" s="24"/>
      <c r="K3162" s="24"/>
      <c r="M3162" s="24"/>
      <c r="N3162" s="24"/>
      <c r="P3162" s="24"/>
    </row>
    <row r="3163" spans="2:16" x14ac:dyDescent="0.25">
      <c r="B3163" s="24"/>
      <c r="E3163" s="24"/>
      <c r="G3163" s="24"/>
      <c r="H3163" s="24"/>
      <c r="J3163" s="24"/>
      <c r="K3163" s="24"/>
      <c r="M3163" s="24"/>
      <c r="N3163" s="24"/>
      <c r="P3163" s="24"/>
    </row>
    <row r="3164" spans="2:16" x14ac:dyDescent="0.25">
      <c r="B3164" s="24"/>
      <c r="E3164" s="24"/>
      <c r="G3164" s="24"/>
      <c r="H3164" s="24"/>
      <c r="J3164" s="24"/>
      <c r="K3164" s="24"/>
      <c r="M3164" s="24"/>
      <c r="N3164" s="24"/>
      <c r="P3164" s="24"/>
    </row>
    <row r="3165" spans="2:16" x14ac:dyDescent="0.25">
      <c r="B3165" s="24"/>
      <c r="E3165" s="24"/>
      <c r="G3165" s="24"/>
      <c r="H3165" s="24"/>
      <c r="J3165" s="24"/>
      <c r="K3165" s="24"/>
      <c r="M3165" s="24"/>
      <c r="N3165" s="24"/>
      <c r="P3165" s="24"/>
    </row>
    <row r="3166" spans="2:16" x14ac:dyDescent="0.25">
      <c r="B3166" s="24"/>
      <c r="E3166" s="24"/>
      <c r="G3166" s="24"/>
      <c r="H3166" s="24"/>
      <c r="J3166" s="24"/>
      <c r="K3166" s="24"/>
      <c r="M3166" s="24"/>
      <c r="N3166" s="24"/>
      <c r="P3166" s="24"/>
    </row>
    <row r="3167" spans="2:16" x14ac:dyDescent="0.25">
      <c r="B3167" s="24"/>
      <c r="E3167" s="24"/>
      <c r="G3167" s="24"/>
      <c r="H3167" s="24"/>
      <c r="J3167" s="24"/>
      <c r="K3167" s="24"/>
      <c r="M3167" s="24"/>
      <c r="N3167" s="24"/>
      <c r="P3167" s="24"/>
    </row>
    <row r="3168" spans="2:16" x14ac:dyDescent="0.25">
      <c r="B3168" s="24"/>
      <c r="E3168" s="24"/>
      <c r="G3168" s="24"/>
      <c r="H3168" s="24"/>
      <c r="J3168" s="24"/>
      <c r="K3168" s="24"/>
      <c r="M3168" s="24"/>
      <c r="N3168" s="24"/>
      <c r="P3168" s="24"/>
    </row>
    <row r="3169" spans="2:16" x14ac:dyDescent="0.25">
      <c r="B3169" s="24"/>
      <c r="E3169" s="24"/>
      <c r="G3169" s="24"/>
      <c r="H3169" s="24"/>
      <c r="J3169" s="24"/>
      <c r="K3169" s="24"/>
      <c r="M3169" s="24"/>
      <c r="N3169" s="24"/>
      <c r="P3169" s="24"/>
    </row>
    <row r="3170" spans="2:16" x14ac:dyDescent="0.25">
      <c r="B3170" s="24"/>
      <c r="E3170" s="24"/>
      <c r="G3170" s="24"/>
      <c r="H3170" s="24"/>
      <c r="J3170" s="24"/>
      <c r="K3170" s="24"/>
      <c r="M3170" s="24"/>
      <c r="N3170" s="24"/>
      <c r="P3170" s="24"/>
    </row>
    <row r="3171" spans="2:16" x14ac:dyDescent="0.25">
      <c r="B3171" s="24"/>
      <c r="E3171" s="24"/>
      <c r="G3171" s="24"/>
      <c r="H3171" s="24"/>
      <c r="J3171" s="24"/>
      <c r="K3171" s="24"/>
      <c r="M3171" s="24"/>
      <c r="N3171" s="24"/>
      <c r="P3171" s="24"/>
    </row>
    <row r="3172" spans="2:16" x14ac:dyDescent="0.25">
      <c r="B3172" s="24"/>
      <c r="E3172" s="24"/>
      <c r="G3172" s="24"/>
      <c r="H3172" s="24"/>
      <c r="J3172" s="24"/>
      <c r="K3172" s="24"/>
      <c r="M3172" s="24"/>
      <c r="N3172" s="24"/>
      <c r="P3172" s="24"/>
    </row>
    <row r="3173" spans="2:16" x14ac:dyDescent="0.25">
      <c r="B3173" s="24"/>
      <c r="E3173" s="24"/>
      <c r="G3173" s="24"/>
      <c r="H3173" s="24"/>
      <c r="J3173" s="24"/>
      <c r="K3173" s="24"/>
      <c r="M3173" s="24"/>
      <c r="N3173" s="24"/>
      <c r="P3173" s="24"/>
    </row>
    <row r="3174" spans="2:16" x14ac:dyDescent="0.25">
      <c r="B3174" s="24"/>
      <c r="E3174" s="24"/>
      <c r="G3174" s="24"/>
      <c r="H3174" s="24"/>
      <c r="J3174" s="24"/>
      <c r="K3174" s="24"/>
      <c r="M3174" s="24"/>
      <c r="N3174" s="24"/>
      <c r="P3174" s="24"/>
    </row>
    <row r="3175" spans="2:16" x14ac:dyDescent="0.25">
      <c r="B3175" s="24"/>
      <c r="E3175" s="24"/>
      <c r="G3175" s="24"/>
      <c r="H3175" s="24"/>
      <c r="J3175" s="24"/>
      <c r="K3175" s="24"/>
      <c r="M3175" s="24"/>
      <c r="N3175" s="24"/>
      <c r="P3175" s="24"/>
    </row>
    <row r="3176" spans="2:16" x14ac:dyDescent="0.25">
      <c r="B3176" s="24"/>
      <c r="E3176" s="24"/>
      <c r="G3176" s="24"/>
      <c r="H3176" s="24"/>
      <c r="J3176" s="24"/>
      <c r="K3176" s="24"/>
      <c r="M3176" s="24"/>
      <c r="N3176" s="24"/>
      <c r="P3176" s="24"/>
    </row>
    <row r="3177" spans="2:16" x14ac:dyDescent="0.25">
      <c r="B3177" s="24"/>
      <c r="E3177" s="24"/>
      <c r="G3177" s="24"/>
      <c r="H3177" s="24"/>
      <c r="J3177" s="24"/>
      <c r="K3177" s="24"/>
      <c r="M3177" s="24"/>
      <c r="N3177" s="24"/>
      <c r="P3177" s="24"/>
    </row>
    <row r="3178" spans="2:16" x14ac:dyDescent="0.25">
      <c r="B3178" s="24"/>
      <c r="E3178" s="24"/>
      <c r="G3178" s="24"/>
      <c r="H3178" s="24"/>
      <c r="J3178" s="24"/>
      <c r="K3178" s="24"/>
      <c r="M3178" s="24"/>
      <c r="N3178" s="24"/>
      <c r="P3178" s="24"/>
    </row>
    <row r="3179" spans="2:16" x14ac:dyDescent="0.25">
      <c r="B3179" s="24"/>
      <c r="E3179" s="24"/>
      <c r="G3179" s="24"/>
      <c r="H3179" s="24"/>
      <c r="J3179" s="24"/>
      <c r="K3179" s="24"/>
      <c r="M3179" s="24"/>
      <c r="N3179" s="24"/>
      <c r="P3179" s="24"/>
    </row>
    <row r="3180" spans="2:16" x14ac:dyDescent="0.25">
      <c r="B3180" s="24"/>
      <c r="E3180" s="24"/>
      <c r="G3180" s="24"/>
      <c r="H3180" s="24"/>
      <c r="J3180" s="24"/>
      <c r="K3180" s="24"/>
      <c r="M3180" s="24"/>
      <c r="N3180" s="24"/>
      <c r="P3180" s="24"/>
    </row>
    <row r="3181" spans="2:16" x14ac:dyDescent="0.25">
      <c r="B3181" s="24"/>
      <c r="E3181" s="24"/>
      <c r="G3181" s="24"/>
      <c r="H3181" s="24"/>
      <c r="J3181" s="24"/>
      <c r="K3181" s="24"/>
      <c r="M3181" s="24"/>
      <c r="N3181" s="24"/>
      <c r="P3181" s="24"/>
    </row>
    <row r="3182" spans="2:16" x14ac:dyDescent="0.25">
      <c r="B3182" s="24"/>
      <c r="E3182" s="24"/>
      <c r="G3182" s="24"/>
      <c r="H3182" s="24"/>
      <c r="J3182" s="24"/>
      <c r="K3182" s="24"/>
      <c r="M3182" s="24"/>
      <c r="N3182" s="24"/>
      <c r="P3182" s="24"/>
    </row>
    <row r="3183" spans="2:16" x14ac:dyDescent="0.25">
      <c r="B3183" s="24"/>
      <c r="E3183" s="24"/>
      <c r="G3183" s="24"/>
      <c r="H3183" s="24"/>
      <c r="J3183" s="24"/>
      <c r="K3183" s="24"/>
      <c r="M3183" s="24"/>
      <c r="N3183" s="24"/>
      <c r="P3183" s="24"/>
    </row>
    <row r="3184" spans="2:16" x14ac:dyDescent="0.25">
      <c r="B3184" s="24"/>
      <c r="E3184" s="24"/>
      <c r="G3184" s="24"/>
      <c r="H3184" s="24"/>
      <c r="J3184" s="24"/>
      <c r="K3184" s="24"/>
      <c r="M3184" s="24"/>
      <c r="N3184" s="24"/>
      <c r="P3184" s="24"/>
    </row>
    <row r="3185" spans="2:16" x14ac:dyDescent="0.25">
      <c r="B3185" s="24"/>
      <c r="E3185" s="24"/>
      <c r="G3185" s="24"/>
      <c r="H3185" s="24"/>
      <c r="J3185" s="24"/>
      <c r="K3185" s="24"/>
      <c r="M3185" s="24"/>
      <c r="N3185" s="24"/>
      <c r="P3185" s="24"/>
    </row>
    <row r="3186" spans="2:16" x14ac:dyDescent="0.25">
      <c r="B3186" s="24"/>
      <c r="E3186" s="24"/>
      <c r="G3186" s="24"/>
      <c r="H3186" s="24"/>
      <c r="J3186" s="24"/>
      <c r="K3186" s="24"/>
      <c r="M3186" s="24"/>
      <c r="N3186" s="24"/>
      <c r="P3186" s="24"/>
    </row>
    <row r="3187" spans="2:16" x14ac:dyDescent="0.25">
      <c r="B3187" s="24"/>
      <c r="E3187" s="24"/>
      <c r="G3187" s="24"/>
      <c r="H3187" s="24"/>
      <c r="J3187" s="24"/>
      <c r="K3187" s="24"/>
      <c r="M3187" s="24"/>
      <c r="N3187" s="24"/>
      <c r="P3187" s="24"/>
    </row>
    <row r="3188" spans="2:16" x14ac:dyDescent="0.25">
      <c r="B3188" s="24"/>
      <c r="E3188" s="24"/>
      <c r="G3188" s="24"/>
      <c r="H3188" s="24"/>
      <c r="J3188" s="24"/>
      <c r="K3188" s="24"/>
      <c r="M3188" s="24"/>
      <c r="N3188" s="24"/>
      <c r="P3188" s="24"/>
    </row>
    <row r="3189" spans="2:16" x14ac:dyDescent="0.25">
      <c r="B3189" s="24"/>
      <c r="E3189" s="24"/>
      <c r="G3189" s="24"/>
      <c r="H3189" s="24"/>
      <c r="J3189" s="24"/>
      <c r="K3189" s="24"/>
      <c r="M3189" s="24"/>
      <c r="N3189" s="24"/>
      <c r="P3189" s="24"/>
    </row>
    <row r="3190" spans="2:16" x14ac:dyDescent="0.25">
      <c r="B3190" s="24"/>
      <c r="E3190" s="24"/>
      <c r="G3190" s="24"/>
      <c r="H3190" s="24"/>
      <c r="J3190" s="24"/>
      <c r="K3190" s="24"/>
      <c r="M3190" s="24"/>
      <c r="N3190" s="24"/>
      <c r="P3190" s="24"/>
    </row>
    <row r="3191" spans="2:16" x14ac:dyDescent="0.25">
      <c r="B3191" s="24"/>
      <c r="E3191" s="24"/>
      <c r="G3191" s="24"/>
      <c r="H3191" s="24"/>
      <c r="J3191" s="24"/>
      <c r="K3191" s="24"/>
      <c r="M3191" s="24"/>
      <c r="N3191" s="24"/>
      <c r="P3191" s="24"/>
    </row>
    <row r="3192" spans="2:16" x14ac:dyDescent="0.25">
      <c r="B3192" s="24"/>
      <c r="E3192" s="24"/>
      <c r="G3192" s="24"/>
      <c r="H3192" s="24"/>
      <c r="J3192" s="24"/>
      <c r="K3192" s="24"/>
      <c r="M3192" s="24"/>
      <c r="N3192" s="24"/>
      <c r="P3192" s="24"/>
    </row>
    <row r="3193" spans="2:16" x14ac:dyDescent="0.25">
      <c r="B3193" s="24"/>
      <c r="E3193" s="24"/>
      <c r="G3193" s="24"/>
      <c r="H3193" s="24"/>
      <c r="J3193" s="24"/>
      <c r="K3193" s="24"/>
      <c r="M3193" s="24"/>
      <c r="N3193" s="24"/>
      <c r="P3193" s="24"/>
    </row>
    <row r="3194" spans="2:16" x14ac:dyDescent="0.25">
      <c r="B3194" s="24"/>
      <c r="E3194" s="24"/>
      <c r="G3194" s="24"/>
      <c r="H3194" s="24"/>
      <c r="J3194" s="24"/>
      <c r="K3194" s="24"/>
      <c r="M3194" s="24"/>
      <c r="N3194" s="24"/>
      <c r="P3194" s="24"/>
    </row>
    <row r="3195" spans="2:16" x14ac:dyDescent="0.25">
      <c r="B3195" s="24"/>
      <c r="E3195" s="24"/>
      <c r="G3195" s="24"/>
      <c r="H3195" s="24"/>
      <c r="J3195" s="24"/>
      <c r="K3195" s="24"/>
      <c r="M3195" s="24"/>
      <c r="N3195" s="24"/>
      <c r="P3195" s="24"/>
    </row>
    <row r="3196" spans="2:16" x14ac:dyDescent="0.25">
      <c r="B3196" s="24"/>
      <c r="E3196" s="24"/>
      <c r="G3196" s="24"/>
      <c r="H3196" s="24"/>
      <c r="J3196" s="24"/>
      <c r="K3196" s="24"/>
      <c r="M3196" s="24"/>
      <c r="N3196" s="24"/>
      <c r="P3196" s="24"/>
    </row>
    <row r="3197" spans="2:16" x14ac:dyDescent="0.25">
      <c r="B3197" s="24"/>
      <c r="E3197" s="24"/>
      <c r="G3197" s="24"/>
      <c r="H3197" s="24"/>
      <c r="J3197" s="24"/>
      <c r="K3197" s="24"/>
      <c r="M3197" s="24"/>
      <c r="N3197" s="24"/>
      <c r="P3197" s="24"/>
    </row>
    <row r="3198" spans="2:16" x14ac:dyDescent="0.25">
      <c r="B3198" s="24"/>
      <c r="E3198" s="24"/>
      <c r="G3198" s="24"/>
      <c r="H3198" s="24"/>
      <c r="J3198" s="24"/>
      <c r="K3198" s="24"/>
      <c r="M3198" s="24"/>
      <c r="N3198" s="24"/>
      <c r="P3198" s="24"/>
    </row>
    <row r="3199" spans="2:16" x14ac:dyDescent="0.25">
      <c r="B3199" s="24"/>
      <c r="E3199" s="24"/>
      <c r="G3199" s="24"/>
      <c r="H3199" s="24"/>
      <c r="J3199" s="24"/>
      <c r="K3199" s="24"/>
      <c r="M3199" s="24"/>
      <c r="N3199" s="24"/>
      <c r="P3199" s="24"/>
    </row>
    <row r="3200" spans="2:16" x14ac:dyDescent="0.25">
      <c r="B3200" s="24"/>
      <c r="E3200" s="24"/>
      <c r="G3200" s="24"/>
      <c r="H3200" s="24"/>
      <c r="J3200" s="24"/>
      <c r="K3200" s="24"/>
      <c r="M3200" s="24"/>
      <c r="N3200" s="24"/>
      <c r="P3200" s="24"/>
    </row>
    <row r="3201" spans="2:16" x14ac:dyDescent="0.25">
      <c r="B3201" s="24"/>
      <c r="E3201" s="24"/>
      <c r="G3201" s="24"/>
      <c r="H3201" s="24"/>
      <c r="J3201" s="24"/>
      <c r="K3201" s="24"/>
      <c r="M3201" s="24"/>
      <c r="N3201" s="24"/>
      <c r="P3201" s="24"/>
    </row>
    <row r="3202" spans="2:16" x14ac:dyDescent="0.25">
      <c r="B3202" s="24"/>
      <c r="E3202" s="24"/>
      <c r="G3202" s="24"/>
      <c r="H3202" s="24"/>
      <c r="J3202" s="24"/>
      <c r="K3202" s="24"/>
      <c r="M3202" s="24"/>
      <c r="N3202" s="24"/>
      <c r="P3202" s="24"/>
    </row>
    <row r="3203" spans="2:16" x14ac:dyDescent="0.25">
      <c r="B3203" s="24"/>
      <c r="E3203" s="24"/>
      <c r="G3203" s="24"/>
      <c r="H3203" s="24"/>
      <c r="J3203" s="24"/>
      <c r="K3203" s="24"/>
      <c r="M3203" s="24"/>
      <c r="N3203" s="24"/>
      <c r="P3203" s="24"/>
    </row>
    <row r="3204" spans="2:16" x14ac:dyDescent="0.25">
      <c r="B3204" s="24"/>
      <c r="E3204" s="24"/>
      <c r="G3204" s="24"/>
      <c r="H3204" s="24"/>
      <c r="J3204" s="24"/>
      <c r="K3204" s="24"/>
      <c r="M3204" s="24"/>
      <c r="N3204" s="24"/>
      <c r="P3204" s="24"/>
    </row>
    <row r="3205" spans="2:16" x14ac:dyDescent="0.25">
      <c r="B3205" s="24"/>
      <c r="E3205" s="24"/>
      <c r="G3205" s="24"/>
      <c r="H3205" s="24"/>
      <c r="J3205" s="24"/>
      <c r="K3205" s="24"/>
      <c r="M3205" s="24"/>
      <c r="N3205" s="24"/>
      <c r="P3205" s="24"/>
    </row>
    <row r="3206" spans="2:16" x14ac:dyDescent="0.25">
      <c r="B3206" s="24"/>
      <c r="E3206" s="24"/>
      <c r="G3206" s="24"/>
      <c r="H3206" s="24"/>
      <c r="J3206" s="24"/>
      <c r="K3206" s="24"/>
      <c r="M3206" s="24"/>
      <c r="N3206" s="24"/>
      <c r="P3206" s="24"/>
    </row>
    <row r="3207" spans="2:16" x14ac:dyDescent="0.25">
      <c r="B3207" s="24"/>
      <c r="E3207" s="24"/>
      <c r="G3207" s="24"/>
      <c r="H3207" s="24"/>
      <c r="J3207" s="24"/>
      <c r="K3207" s="24"/>
      <c r="M3207" s="24"/>
      <c r="N3207" s="24"/>
      <c r="P3207" s="24"/>
    </row>
    <row r="3208" spans="2:16" x14ac:dyDescent="0.25">
      <c r="B3208" s="24"/>
      <c r="E3208" s="24"/>
      <c r="G3208" s="24"/>
      <c r="H3208" s="24"/>
      <c r="J3208" s="24"/>
      <c r="K3208" s="24"/>
      <c r="M3208" s="24"/>
      <c r="N3208" s="24"/>
      <c r="P3208" s="24"/>
    </row>
    <row r="3209" spans="2:16" x14ac:dyDescent="0.25">
      <c r="B3209" s="24"/>
      <c r="E3209" s="24"/>
      <c r="G3209" s="24"/>
      <c r="H3209" s="24"/>
      <c r="J3209" s="24"/>
      <c r="K3209" s="24"/>
      <c r="M3209" s="24"/>
      <c r="N3209" s="24"/>
      <c r="P3209" s="24"/>
    </row>
    <row r="3210" spans="2:16" x14ac:dyDescent="0.25">
      <c r="B3210" s="24"/>
      <c r="E3210" s="24"/>
      <c r="G3210" s="24"/>
      <c r="H3210" s="24"/>
      <c r="J3210" s="24"/>
      <c r="K3210" s="24"/>
      <c r="M3210" s="24"/>
      <c r="N3210" s="24"/>
      <c r="P3210" s="24"/>
    </row>
    <row r="3211" spans="2:16" x14ac:dyDescent="0.25">
      <c r="B3211" s="24"/>
      <c r="E3211" s="24"/>
      <c r="G3211" s="24"/>
      <c r="H3211" s="24"/>
      <c r="J3211" s="24"/>
      <c r="K3211" s="24"/>
      <c r="M3211" s="24"/>
      <c r="N3211" s="24"/>
      <c r="P3211" s="24"/>
    </row>
    <row r="3212" spans="2:16" x14ac:dyDescent="0.25">
      <c r="B3212" s="24"/>
      <c r="E3212" s="24"/>
      <c r="G3212" s="24"/>
      <c r="H3212" s="24"/>
      <c r="J3212" s="24"/>
      <c r="K3212" s="24"/>
      <c r="M3212" s="24"/>
      <c r="N3212" s="24"/>
      <c r="P3212" s="24"/>
    </row>
    <row r="3213" spans="2:16" x14ac:dyDescent="0.25">
      <c r="B3213" s="24"/>
      <c r="E3213" s="24"/>
      <c r="G3213" s="24"/>
      <c r="H3213" s="24"/>
      <c r="J3213" s="24"/>
      <c r="K3213" s="24"/>
      <c r="M3213" s="24"/>
      <c r="N3213" s="24"/>
      <c r="P3213" s="24"/>
    </row>
    <row r="3214" spans="2:16" x14ac:dyDescent="0.25">
      <c r="B3214" s="24"/>
      <c r="E3214" s="24"/>
      <c r="G3214" s="24"/>
      <c r="H3214" s="24"/>
      <c r="J3214" s="24"/>
      <c r="K3214" s="24"/>
      <c r="M3214" s="24"/>
      <c r="N3214" s="24"/>
      <c r="P3214" s="24"/>
    </row>
    <row r="3215" spans="2:16" x14ac:dyDescent="0.25">
      <c r="B3215" s="24"/>
      <c r="E3215" s="24"/>
      <c r="G3215" s="24"/>
      <c r="H3215" s="24"/>
      <c r="J3215" s="24"/>
      <c r="K3215" s="24"/>
      <c r="M3215" s="24"/>
      <c r="N3215" s="24"/>
      <c r="P3215" s="24"/>
    </row>
    <row r="3216" spans="2:16" x14ac:dyDescent="0.25">
      <c r="B3216" s="24"/>
      <c r="E3216" s="24"/>
      <c r="G3216" s="24"/>
      <c r="H3216" s="24"/>
      <c r="J3216" s="24"/>
      <c r="K3216" s="24"/>
      <c r="M3216" s="24"/>
      <c r="N3216" s="24"/>
      <c r="P3216" s="24"/>
    </row>
    <row r="3217" spans="2:16" x14ac:dyDescent="0.25">
      <c r="B3217" s="24"/>
      <c r="E3217" s="24"/>
      <c r="G3217" s="24"/>
      <c r="H3217" s="24"/>
      <c r="J3217" s="24"/>
      <c r="K3217" s="24"/>
      <c r="M3217" s="24"/>
      <c r="N3217" s="24"/>
      <c r="P3217" s="24"/>
    </row>
    <row r="3218" spans="2:16" x14ac:dyDescent="0.25">
      <c r="B3218" s="24"/>
      <c r="E3218" s="24"/>
      <c r="G3218" s="24"/>
      <c r="H3218" s="24"/>
      <c r="J3218" s="24"/>
      <c r="K3218" s="24"/>
      <c r="M3218" s="24"/>
      <c r="N3218" s="24"/>
      <c r="P3218" s="24"/>
    </row>
    <row r="3219" spans="2:16" x14ac:dyDescent="0.25">
      <c r="B3219" s="24"/>
      <c r="E3219" s="24"/>
      <c r="G3219" s="24"/>
      <c r="H3219" s="24"/>
      <c r="J3219" s="24"/>
      <c r="K3219" s="24"/>
      <c r="M3219" s="24"/>
      <c r="N3219" s="24"/>
      <c r="P3219" s="24"/>
    </row>
    <row r="3220" spans="2:16" x14ac:dyDescent="0.25">
      <c r="B3220" s="24"/>
      <c r="E3220" s="24"/>
      <c r="G3220" s="24"/>
      <c r="H3220" s="24"/>
      <c r="J3220" s="24"/>
      <c r="K3220" s="24"/>
      <c r="M3220" s="24"/>
      <c r="N3220" s="24"/>
      <c r="P3220" s="24"/>
    </row>
    <row r="3221" spans="2:16" x14ac:dyDescent="0.25">
      <c r="B3221" s="24"/>
      <c r="E3221" s="24"/>
      <c r="G3221" s="24"/>
      <c r="H3221" s="24"/>
      <c r="J3221" s="24"/>
      <c r="K3221" s="24"/>
      <c r="M3221" s="24"/>
      <c r="N3221" s="24"/>
      <c r="P3221" s="24"/>
    </row>
    <row r="3222" spans="2:16" x14ac:dyDescent="0.25">
      <c r="B3222" s="24"/>
      <c r="E3222" s="24"/>
      <c r="G3222" s="24"/>
      <c r="H3222" s="24"/>
      <c r="J3222" s="24"/>
      <c r="K3222" s="24"/>
      <c r="M3222" s="24"/>
      <c r="N3222" s="24"/>
      <c r="P3222" s="24"/>
    </row>
    <row r="3223" spans="2:16" x14ac:dyDescent="0.25">
      <c r="B3223" s="24"/>
      <c r="E3223" s="24"/>
      <c r="G3223" s="24"/>
      <c r="H3223" s="24"/>
      <c r="J3223" s="24"/>
      <c r="K3223" s="24"/>
      <c r="M3223" s="24"/>
      <c r="N3223" s="24"/>
      <c r="P3223" s="24"/>
    </row>
    <row r="3224" spans="2:16" x14ac:dyDescent="0.25">
      <c r="B3224" s="24"/>
      <c r="E3224" s="24"/>
      <c r="G3224" s="24"/>
      <c r="H3224" s="24"/>
      <c r="J3224" s="24"/>
      <c r="K3224" s="24"/>
      <c r="M3224" s="24"/>
      <c r="N3224" s="24"/>
      <c r="P3224" s="24"/>
    </row>
    <row r="3225" spans="2:16" x14ac:dyDescent="0.25">
      <c r="B3225" s="24"/>
      <c r="E3225" s="24"/>
      <c r="G3225" s="24"/>
      <c r="H3225" s="24"/>
      <c r="J3225" s="24"/>
      <c r="K3225" s="24"/>
      <c r="M3225" s="24"/>
      <c r="N3225" s="24"/>
      <c r="P3225" s="24"/>
    </row>
    <row r="3226" spans="2:16" x14ac:dyDescent="0.25">
      <c r="B3226" s="24"/>
      <c r="E3226" s="24"/>
      <c r="G3226" s="24"/>
      <c r="H3226" s="24"/>
      <c r="J3226" s="24"/>
      <c r="K3226" s="24"/>
      <c r="M3226" s="24"/>
      <c r="N3226" s="24"/>
      <c r="P3226" s="24"/>
    </row>
    <row r="3227" spans="2:16" x14ac:dyDescent="0.25">
      <c r="B3227" s="24"/>
      <c r="E3227" s="24"/>
      <c r="G3227" s="24"/>
      <c r="H3227" s="24"/>
      <c r="J3227" s="24"/>
      <c r="K3227" s="24"/>
      <c r="M3227" s="24"/>
      <c r="N3227" s="24"/>
      <c r="P3227" s="24"/>
    </row>
    <row r="3228" spans="2:16" x14ac:dyDescent="0.25">
      <c r="B3228" s="24"/>
      <c r="E3228" s="24"/>
      <c r="G3228" s="24"/>
      <c r="H3228" s="24"/>
      <c r="J3228" s="24"/>
      <c r="K3228" s="24"/>
      <c r="M3228" s="24"/>
      <c r="N3228" s="24"/>
      <c r="P3228" s="24"/>
    </row>
    <row r="3229" spans="2:16" x14ac:dyDescent="0.25">
      <c r="B3229" s="24"/>
      <c r="E3229" s="24"/>
      <c r="G3229" s="24"/>
      <c r="H3229" s="24"/>
      <c r="J3229" s="24"/>
      <c r="K3229" s="24"/>
      <c r="M3229" s="24"/>
      <c r="N3229" s="24"/>
      <c r="P3229" s="24"/>
    </row>
    <row r="3230" spans="2:16" x14ac:dyDescent="0.25">
      <c r="B3230" s="24"/>
      <c r="E3230" s="24"/>
      <c r="G3230" s="24"/>
      <c r="H3230" s="24"/>
      <c r="J3230" s="24"/>
      <c r="K3230" s="24"/>
      <c r="M3230" s="24"/>
      <c r="N3230" s="24"/>
      <c r="P3230" s="24"/>
    </row>
    <row r="3231" spans="2:16" x14ac:dyDescent="0.25">
      <c r="B3231" s="24"/>
      <c r="E3231" s="24"/>
      <c r="G3231" s="24"/>
      <c r="H3231" s="24"/>
      <c r="J3231" s="24"/>
      <c r="K3231" s="24"/>
      <c r="M3231" s="24"/>
      <c r="N3231" s="24"/>
      <c r="P3231" s="24"/>
    </row>
    <row r="3232" spans="2:16" x14ac:dyDescent="0.25">
      <c r="B3232" s="24"/>
      <c r="E3232" s="24"/>
      <c r="G3232" s="24"/>
      <c r="H3232" s="24"/>
      <c r="J3232" s="24"/>
      <c r="K3232" s="24"/>
      <c r="M3232" s="24"/>
      <c r="N3232" s="24"/>
      <c r="P3232" s="24"/>
    </row>
    <row r="3233" spans="2:16" x14ac:dyDescent="0.25">
      <c r="B3233" s="24"/>
      <c r="E3233" s="24"/>
      <c r="G3233" s="24"/>
      <c r="H3233" s="24"/>
      <c r="J3233" s="24"/>
      <c r="K3233" s="24"/>
      <c r="M3233" s="24"/>
      <c r="N3233" s="24"/>
      <c r="P3233" s="24"/>
    </row>
    <row r="3234" spans="2:16" x14ac:dyDescent="0.25">
      <c r="B3234" s="24"/>
      <c r="E3234" s="24"/>
      <c r="G3234" s="24"/>
      <c r="H3234" s="24"/>
      <c r="J3234" s="24"/>
      <c r="K3234" s="24"/>
      <c r="M3234" s="24"/>
      <c r="N3234" s="24"/>
      <c r="P3234" s="24"/>
    </row>
    <row r="3235" spans="2:16" x14ac:dyDescent="0.25">
      <c r="B3235" s="24"/>
      <c r="E3235" s="24"/>
      <c r="G3235" s="24"/>
      <c r="H3235" s="24"/>
      <c r="J3235" s="24"/>
      <c r="K3235" s="24"/>
      <c r="M3235" s="24"/>
      <c r="N3235" s="24"/>
      <c r="P3235" s="24"/>
    </row>
    <row r="3236" spans="2:16" x14ac:dyDescent="0.25">
      <c r="B3236" s="24"/>
      <c r="E3236" s="24"/>
      <c r="G3236" s="24"/>
      <c r="H3236" s="24"/>
      <c r="J3236" s="24"/>
      <c r="K3236" s="24"/>
      <c r="M3236" s="24"/>
      <c r="N3236" s="24"/>
      <c r="P3236" s="24"/>
    </row>
    <row r="3237" spans="2:16" x14ac:dyDescent="0.25">
      <c r="B3237" s="24"/>
      <c r="E3237" s="24"/>
      <c r="G3237" s="24"/>
      <c r="H3237" s="24"/>
      <c r="J3237" s="24"/>
      <c r="K3237" s="24"/>
      <c r="M3237" s="24"/>
      <c r="N3237" s="24"/>
      <c r="P3237" s="24"/>
    </row>
    <row r="3238" spans="2:16" x14ac:dyDescent="0.25">
      <c r="B3238" s="24"/>
      <c r="E3238" s="24"/>
      <c r="G3238" s="24"/>
      <c r="H3238" s="24"/>
      <c r="J3238" s="24"/>
      <c r="K3238" s="24"/>
      <c r="M3238" s="24"/>
      <c r="N3238" s="24"/>
      <c r="P3238" s="24"/>
    </row>
    <row r="3239" spans="2:16" x14ac:dyDescent="0.25">
      <c r="B3239" s="24"/>
      <c r="E3239" s="24"/>
      <c r="G3239" s="24"/>
      <c r="H3239" s="24"/>
      <c r="J3239" s="24"/>
      <c r="K3239" s="24"/>
      <c r="M3239" s="24"/>
      <c r="N3239" s="24"/>
      <c r="P3239" s="24"/>
    </row>
    <row r="3240" spans="2:16" x14ac:dyDescent="0.25">
      <c r="B3240" s="24"/>
      <c r="E3240" s="24"/>
      <c r="G3240" s="24"/>
      <c r="H3240" s="24"/>
      <c r="J3240" s="24"/>
      <c r="K3240" s="24"/>
      <c r="M3240" s="24"/>
      <c r="N3240" s="24"/>
      <c r="P3240" s="24"/>
    </row>
    <row r="3241" spans="2:16" x14ac:dyDescent="0.25">
      <c r="B3241" s="24"/>
      <c r="E3241" s="24"/>
      <c r="G3241" s="24"/>
      <c r="H3241" s="24"/>
      <c r="J3241" s="24"/>
      <c r="K3241" s="24"/>
      <c r="M3241" s="24"/>
      <c r="N3241" s="24"/>
      <c r="P3241" s="24"/>
    </row>
    <row r="3242" spans="2:16" x14ac:dyDescent="0.25">
      <c r="B3242" s="24"/>
      <c r="E3242" s="24"/>
      <c r="G3242" s="24"/>
      <c r="H3242" s="24"/>
      <c r="J3242" s="24"/>
      <c r="K3242" s="24"/>
      <c r="M3242" s="24"/>
      <c r="N3242" s="24"/>
      <c r="P3242" s="24"/>
    </row>
    <row r="3243" spans="2:16" x14ac:dyDescent="0.25">
      <c r="B3243" s="24"/>
      <c r="E3243" s="24"/>
      <c r="G3243" s="24"/>
      <c r="H3243" s="24"/>
      <c r="J3243" s="24"/>
      <c r="K3243" s="24"/>
      <c r="M3243" s="24"/>
      <c r="N3243" s="24"/>
      <c r="P3243" s="24"/>
    </row>
    <row r="3244" spans="2:16" x14ac:dyDescent="0.25">
      <c r="B3244" s="24"/>
      <c r="E3244" s="24"/>
      <c r="G3244" s="24"/>
      <c r="H3244" s="24"/>
      <c r="J3244" s="24"/>
      <c r="K3244" s="24"/>
      <c r="M3244" s="24"/>
      <c r="N3244" s="24"/>
      <c r="P3244" s="24"/>
    </row>
    <row r="3245" spans="2:16" x14ac:dyDescent="0.25">
      <c r="B3245" s="24"/>
      <c r="E3245" s="24"/>
      <c r="G3245" s="24"/>
      <c r="H3245" s="24"/>
      <c r="J3245" s="24"/>
      <c r="K3245" s="24"/>
      <c r="M3245" s="24"/>
      <c r="N3245" s="24"/>
      <c r="P3245" s="24"/>
    </row>
    <row r="3246" spans="2:16" x14ac:dyDescent="0.25">
      <c r="B3246" s="24"/>
      <c r="E3246" s="24"/>
      <c r="G3246" s="24"/>
      <c r="H3246" s="24"/>
      <c r="J3246" s="24"/>
      <c r="K3246" s="24"/>
      <c r="M3246" s="24"/>
      <c r="N3246" s="24"/>
      <c r="P3246" s="24"/>
    </row>
    <row r="3247" spans="2:16" x14ac:dyDescent="0.25">
      <c r="B3247" s="24"/>
      <c r="E3247" s="24"/>
      <c r="G3247" s="24"/>
      <c r="H3247" s="24"/>
      <c r="J3247" s="24"/>
      <c r="K3247" s="24"/>
      <c r="M3247" s="24"/>
      <c r="N3247" s="24"/>
      <c r="P3247" s="24"/>
    </row>
    <row r="3248" spans="2:16" x14ac:dyDescent="0.25">
      <c r="B3248" s="24"/>
      <c r="E3248" s="24"/>
      <c r="G3248" s="24"/>
      <c r="H3248" s="24"/>
      <c r="J3248" s="24"/>
      <c r="K3248" s="24"/>
      <c r="M3248" s="24"/>
      <c r="N3248" s="24"/>
      <c r="P3248" s="24"/>
    </row>
    <row r="3249" spans="2:16" x14ac:dyDescent="0.25">
      <c r="B3249" s="24"/>
      <c r="E3249" s="24"/>
      <c r="G3249" s="24"/>
      <c r="H3249" s="24"/>
      <c r="J3249" s="24"/>
      <c r="K3249" s="24"/>
      <c r="M3249" s="24"/>
      <c r="N3249" s="24"/>
      <c r="P3249" s="24"/>
    </row>
    <row r="3250" spans="2:16" x14ac:dyDescent="0.25">
      <c r="B3250" s="24"/>
      <c r="E3250" s="24"/>
      <c r="G3250" s="24"/>
      <c r="H3250" s="24"/>
      <c r="J3250" s="24"/>
      <c r="K3250" s="24"/>
      <c r="M3250" s="24"/>
      <c r="N3250" s="24"/>
      <c r="P3250" s="24"/>
    </row>
    <row r="3251" spans="2:16" x14ac:dyDescent="0.25">
      <c r="B3251" s="24"/>
      <c r="E3251" s="24"/>
      <c r="G3251" s="24"/>
      <c r="H3251" s="24"/>
      <c r="J3251" s="24"/>
      <c r="K3251" s="24"/>
      <c r="M3251" s="24"/>
      <c r="N3251" s="24"/>
      <c r="P3251" s="24"/>
    </row>
    <row r="3252" spans="2:16" x14ac:dyDescent="0.25">
      <c r="B3252" s="24"/>
      <c r="E3252" s="24"/>
      <c r="G3252" s="24"/>
      <c r="H3252" s="24"/>
      <c r="J3252" s="24"/>
      <c r="K3252" s="24"/>
      <c r="M3252" s="24"/>
      <c r="N3252" s="24"/>
      <c r="P3252" s="24"/>
    </row>
    <row r="3253" spans="2:16" x14ac:dyDescent="0.25">
      <c r="B3253" s="24"/>
      <c r="E3253" s="24"/>
      <c r="G3253" s="24"/>
      <c r="H3253" s="24"/>
      <c r="J3253" s="24"/>
      <c r="K3253" s="24"/>
      <c r="M3253" s="24"/>
      <c r="N3253" s="24"/>
      <c r="P3253" s="24"/>
    </row>
    <row r="3254" spans="2:16" x14ac:dyDescent="0.25">
      <c r="B3254" s="24"/>
      <c r="E3254" s="24"/>
      <c r="G3254" s="24"/>
      <c r="H3254" s="24"/>
      <c r="J3254" s="24"/>
      <c r="K3254" s="24"/>
      <c r="M3254" s="24"/>
      <c r="N3254" s="24"/>
      <c r="P3254" s="24"/>
    </row>
    <row r="3255" spans="2:16" x14ac:dyDescent="0.25">
      <c r="B3255" s="24"/>
      <c r="E3255" s="24"/>
      <c r="G3255" s="24"/>
      <c r="H3255" s="24"/>
      <c r="J3255" s="24"/>
      <c r="K3255" s="24"/>
      <c r="M3255" s="24"/>
      <c r="N3255" s="24"/>
      <c r="P3255" s="24"/>
    </row>
    <row r="3256" spans="2:16" x14ac:dyDescent="0.25">
      <c r="B3256" s="24"/>
      <c r="E3256" s="24"/>
      <c r="G3256" s="24"/>
      <c r="H3256" s="24"/>
      <c r="J3256" s="24"/>
      <c r="K3256" s="24"/>
      <c r="M3256" s="24"/>
      <c r="N3256" s="24"/>
      <c r="P3256" s="24"/>
    </row>
    <row r="3257" spans="2:16" x14ac:dyDescent="0.25">
      <c r="B3257" s="24"/>
      <c r="E3257" s="24"/>
      <c r="G3257" s="24"/>
      <c r="H3257" s="24"/>
      <c r="J3257" s="24"/>
      <c r="K3257" s="24"/>
      <c r="M3257" s="24"/>
      <c r="N3257" s="24"/>
      <c r="P3257" s="24"/>
    </row>
    <row r="3258" spans="2:16" x14ac:dyDescent="0.25">
      <c r="B3258" s="24"/>
      <c r="E3258" s="24"/>
      <c r="G3258" s="24"/>
      <c r="H3258" s="24"/>
      <c r="J3258" s="24"/>
      <c r="K3258" s="24"/>
      <c r="M3258" s="24"/>
      <c r="N3258" s="24"/>
      <c r="P3258" s="24"/>
    </row>
    <row r="3259" spans="2:16" x14ac:dyDescent="0.25">
      <c r="B3259" s="24"/>
      <c r="E3259" s="24"/>
      <c r="G3259" s="24"/>
      <c r="H3259" s="24"/>
      <c r="J3259" s="24"/>
      <c r="K3259" s="24"/>
      <c r="M3259" s="24"/>
      <c r="N3259" s="24"/>
      <c r="P3259" s="24"/>
    </row>
    <row r="3260" spans="2:16" x14ac:dyDescent="0.25">
      <c r="B3260" s="24"/>
      <c r="E3260" s="24"/>
      <c r="G3260" s="24"/>
      <c r="H3260" s="24"/>
      <c r="J3260" s="24"/>
      <c r="K3260" s="24"/>
      <c r="M3260" s="24"/>
      <c r="N3260" s="24"/>
      <c r="P3260" s="24"/>
    </row>
    <row r="3261" spans="2:16" x14ac:dyDescent="0.25">
      <c r="B3261" s="24"/>
      <c r="E3261" s="24"/>
      <c r="G3261" s="24"/>
      <c r="H3261" s="24"/>
      <c r="J3261" s="24"/>
      <c r="K3261" s="24"/>
      <c r="M3261" s="24"/>
      <c r="N3261" s="24"/>
      <c r="P3261" s="24"/>
    </row>
    <row r="3262" spans="2:16" x14ac:dyDescent="0.25">
      <c r="B3262" s="24"/>
      <c r="E3262" s="24"/>
      <c r="G3262" s="24"/>
      <c r="H3262" s="24"/>
      <c r="J3262" s="24"/>
      <c r="K3262" s="24"/>
      <c r="M3262" s="24"/>
      <c r="N3262" s="24"/>
      <c r="P3262" s="24"/>
    </row>
    <row r="3263" spans="2:16" x14ac:dyDescent="0.25">
      <c r="B3263" s="24"/>
      <c r="E3263" s="24"/>
      <c r="G3263" s="24"/>
      <c r="H3263" s="24"/>
      <c r="J3263" s="24"/>
      <c r="K3263" s="24"/>
      <c r="M3263" s="24"/>
      <c r="N3263" s="24"/>
      <c r="P3263" s="24"/>
    </row>
    <row r="3264" spans="2:16" x14ac:dyDescent="0.25">
      <c r="B3264" s="24"/>
      <c r="E3264" s="24"/>
      <c r="G3264" s="24"/>
      <c r="H3264" s="24"/>
      <c r="J3264" s="24"/>
      <c r="K3264" s="24"/>
      <c r="M3264" s="24"/>
      <c r="N3264" s="24"/>
      <c r="P3264" s="24"/>
    </row>
    <row r="3265" spans="2:16" x14ac:dyDescent="0.25">
      <c r="B3265" s="24"/>
      <c r="E3265" s="24"/>
      <c r="G3265" s="24"/>
      <c r="H3265" s="24"/>
      <c r="J3265" s="24"/>
      <c r="K3265" s="24"/>
      <c r="M3265" s="24"/>
      <c r="N3265" s="24"/>
      <c r="P3265" s="24"/>
    </row>
    <row r="3266" spans="2:16" x14ac:dyDescent="0.25">
      <c r="B3266" s="24"/>
      <c r="E3266" s="24"/>
      <c r="G3266" s="24"/>
      <c r="H3266" s="24"/>
      <c r="J3266" s="24"/>
      <c r="K3266" s="24"/>
      <c r="M3266" s="24"/>
      <c r="N3266" s="24"/>
      <c r="P3266" s="24"/>
    </row>
    <row r="3267" spans="2:16" x14ac:dyDescent="0.25">
      <c r="B3267" s="24"/>
      <c r="E3267" s="24"/>
      <c r="G3267" s="24"/>
      <c r="H3267" s="24"/>
      <c r="J3267" s="24"/>
      <c r="K3267" s="24"/>
      <c r="M3267" s="24"/>
      <c r="N3267" s="24"/>
      <c r="P3267" s="24"/>
    </row>
    <row r="3268" spans="2:16" x14ac:dyDescent="0.25">
      <c r="B3268" s="24"/>
      <c r="E3268" s="24"/>
      <c r="G3268" s="24"/>
      <c r="H3268" s="24"/>
      <c r="J3268" s="24"/>
      <c r="K3268" s="24"/>
      <c r="M3268" s="24"/>
      <c r="N3268" s="24"/>
      <c r="P3268" s="24"/>
    </row>
    <row r="3269" spans="2:16" x14ac:dyDescent="0.25">
      <c r="B3269" s="24"/>
      <c r="E3269" s="24"/>
      <c r="G3269" s="24"/>
      <c r="H3269" s="24"/>
      <c r="J3269" s="24"/>
      <c r="K3269" s="24"/>
      <c r="M3269" s="24"/>
      <c r="N3269" s="24"/>
      <c r="P3269" s="24"/>
    </row>
    <row r="3270" spans="2:16" x14ac:dyDescent="0.25">
      <c r="B3270" s="24"/>
      <c r="E3270" s="24"/>
      <c r="G3270" s="24"/>
      <c r="H3270" s="24"/>
      <c r="J3270" s="24"/>
      <c r="K3270" s="24"/>
      <c r="M3270" s="24"/>
      <c r="N3270" s="24"/>
      <c r="P3270" s="24"/>
    </row>
    <row r="3271" spans="2:16" x14ac:dyDescent="0.25">
      <c r="B3271" s="24"/>
      <c r="E3271" s="24"/>
      <c r="G3271" s="24"/>
      <c r="H3271" s="24"/>
      <c r="J3271" s="24"/>
      <c r="K3271" s="24"/>
      <c r="M3271" s="24"/>
      <c r="N3271" s="24"/>
      <c r="P3271" s="24"/>
    </row>
    <row r="3272" spans="2:16" x14ac:dyDescent="0.25">
      <c r="B3272" s="24"/>
      <c r="E3272" s="24"/>
      <c r="G3272" s="24"/>
      <c r="H3272" s="24"/>
      <c r="J3272" s="24"/>
      <c r="K3272" s="24"/>
      <c r="M3272" s="24"/>
      <c r="N3272" s="24"/>
      <c r="P3272" s="24"/>
    </row>
    <row r="3273" spans="2:16" x14ac:dyDescent="0.25">
      <c r="B3273" s="24"/>
      <c r="E3273" s="24"/>
      <c r="G3273" s="24"/>
      <c r="H3273" s="24"/>
      <c r="J3273" s="24"/>
      <c r="K3273" s="24"/>
      <c r="M3273" s="24"/>
      <c r="N3273" s="24"/>
      <c r="P3273" s="24"/>
    </row>
    <row r="3274" spans="2:16" x14ac:dyDescent="0.25">
      <c r="B3274" s="24"/>
      <c r="E3274" s="24"/>
      <c r="G3274" s="24"/>
      <c r="H3274" s="24"/>
      <c r="J3274" s="24"/>
      <c r="K3274" s="24"/>
      <c r="M3274" s="24"/>
      <c r="N3274" s="24"/>
      <c r="P3274" s="24"/>
    </row>
    <row r="3275" spans="2:16" x14ac:dyDescent="0.25">
      <c r="B3275" s="24"/>
      <c r="E3275" s="24"/>
      <c r="G3275" s="24"/>
      <c r="H3275" s="24"/>
      <c r="J3275" s="24"/>
      <c r="K3275" s="24"/>
      <c r="M3275" s="24"/>
      <c r="N3275" s="24"/>
      <c r="P3275" s="24"/>
    </row>
    <row r="3276" spans="2:16" x14ac:dyDescent="0.25">
      <c r="B3276" s="24"/>
      <c r="E3276" s="24"/>
      <c r="G3276" s="24"/>
      <c r="H3276" s="24"/>
      <c r="J3276" s="24"/>
      <c r="K3276" s="24"/>
      <c r="M3276" s="24"/>
      <c r="N3276" s="24"/>
      <c r="P3276" s="24"/>
    </row>
    <row r="3277" spans="2:16" x14ac:dyDescent="0.25">
      <c r="B3277" s="24"/>
      <c r="E3277" s="24"/>
      <c r="G3277" s="24"/>
      <c r="H3277" s="24"/>
      <c r="J3277" s="24"/>
      <c r="K3277" s="24"/>
      <c r="M3277" s="24"/>
      <c r="N3277" s="24"/>
      <c r="P3277" s="24"/>
    </row>
    <row r="3278" spans="2:16" x14ac:dyDescent="0.25">
      <c r="B3278" s="24"/>
      <c r="E3278" s="24"/>
      <c r="G3278" s="24"/>
      <c r="H3278" s="24"/>
      <c r="J3278" s="24"/>
      <c r="K3278" s="24"/>
      <c r="M3278" s="24"/>
      <c r="N3278" s="24"/>
      <c r="P3278" s="24"/>
    </row>
    <row r="3279" spans="2:16" x14ac:dyDescent="0.25">
      <c r="B3279" s="24"/>
      <c r="E3279" s="24"/>
      <c r="G3279" s="24"/>
      <c r="H3279" s="24"/>
      <c r="J3279" s="24"/>
      <c r="K3279" s="24"/>
      <c r="M3279" s="24"/>
      <c r="N3279" s="24"/>
      <c r="P3279" s="24"/>
    </row>
    <row r="3280" spans="2:16" x14ac:dyDescent="0.25">
      <c r="B3280" s="24"/>
      <c r="E3280" s="24"/>
      <c r="G3280" s="24"/>
      <c r="H3280" s="24"/>
      <c r="J3280" s="24"/>
      <c r="K3280" s="24"/>
      <c r="M3280" s="24"/>
      <c r="N3280" s="24"/>
      <c r="P3280" s="24"/>
    </row>
    <row r="3281" spans="2:16" x14ac:dyDescent="0.25">
      <c r="B3281" s="24"/>
      <c r="E3281" s="24"/>
      <c r="G3281" s="24"/>
      <c r="H3281" s="24"/>
      <c r="J3281" s="24"/>
      <c r="K3281" s="24"/>
      <c r="M3281" s="24"/>
      <c r="N3281" s="24"/>
      <c r="P3281" s="24"/>
    </row>
    <row r="3282" spans="2:16" x14ac:dyDescent="0.25">
      <c r="B3282" s="24"/>
      <c r="E3282" s="24"/>
      <c r="G3282" s="24"/>
      <c r="H3282" s="24"/>
      <c r="J3282" s="24"/>
      <c r="K3282" s="24"/>
      <c r="M3282" s="24"/>
      <c r="N3282" s="24"/>
      <c r="P3282" s="24"/>
    </row>
    <row r="3283" spans="2:16" x14ac:dyDescent="0.25">
      <c r="B3283" s="24"/>
      <c r="E3283" s="24"/>
      <c r="G3283" s="24"/>
      <c r="H3283" s="24"/>
      <c r="J3283" s="24"/>
      <c r="K3283" s="24"/>
      <c r="M3283" s="24"/>
      <c r="N3283" s="24"/>
      <c r="P3283" s="24"/>
    </row>
    <row r="3284" spans="2:16" x14ac:dyDescent="0.25">
      <c r="B3284" s="24"/>
      <c r="E3284" s="24"/>
      <c r="G3284" s="24"/>
      <c r="H3284" s="24"/>
      <c r="J3284" s="24"/>
      <c r="K3284" s="24"/>
      <c r="M3284" s="24"/>
      <c r="N3284" s="24"/>
      <c r="P3284" s="24"/>
    </row>
    <row r="3285" spans="2:16" x14ac:dyDescent="0.25">
      <c r="B3285" s="24"/>
      <c r="E3285" s="24"/>
      <c r="G3285" s="24"/>
      <c r="H3285" s="24"/>
      <c r="J3285" s="24"/>
      <c r="K3285" s="24"/>
      <c r="M3285" s="24"/>
      <c r="N3285" s="24"/>
      <c r="P3285" s="24"/>
    </row>
    <row r="3286" spans="2:16" x14ac:dyDescent="0.25">
      <c r="B3286" s="24"/>
      <c r="E3286" s="24"/>
      <c r="G3286" s="24"/>
      <c r="H3286" s="24"/>
      <c r="J3286" s="24"/>
      <c r="K3286" s="24"/>
      <c r="M3286" s="24"/>
      <c r="N3286" s="24"/>
      <c r="P3286" s="24"/>
    </row>
    <row r="3287" spans="2:16" x14ac:dyDescent="0.25">
      <c r="B3287" s="24"/>
      <c r="E3287" s="24"/>
      <c r="G3287" s="24"/>
      <c r="H3287" s="24"/>
      <c r="J3287" s="24"/>
      <c r="K3287" s="24"/>
      <c r="M3287" s="24"/>
      <c r="N3287" s="24"/>
      <c r="P3287" s="24"/>
    </row>
    <row r="3288" spans="2:16" x14ac:dyDescent="0.25">
      <c r="B3288" s="24"/>
      <c r="E3288" s="24"/>
      <c r="G3288" s="24"/>
      <c r="H3288" s="24"/>
      <c r="J3288" s="24"/>
      <c r="K3288" s="24"/>
      <c r="M3288" s="24"/>
      <c r="N3288" s="24"/>
      <c r="P3288" s="24"/>
    </row>
    <row r="3289" spans="2:16" x14ac:dyDescent="0.25">
      <c r="B3289" s="24"/>
      <c r="E3289" s="24"/>
      <c r="G3289" s="24"/>
      <c r="H3289" s="24"/>
      <c r="J3289" s="24"/>
      <c r="K3289" s="24"/>
      <c r="M3289" s="24"/>
      <c r="N3289" s="24"/>
      <c r="P3289" s="24"/>
    </row>
    <row r="3290" spans="2:16" x14ac:dyDescent="0.25">
      <c r="B3290" s="24"/>
      <c r="E3290" s="24"/>
      <c r="G3290" s="24"/>
      <c r="H3290" s="24"/>
      <c r="J3290" s="24"/>
      <c r="K3290" s="24"/>
      <c r="M3290" s="24"/>
      <c r="N3290" s="24"/>
      <c r="P3290" s="24"/>
    </row>
    <row r="3291" spans="2:16" x14ac:dyDescent="0.25">
      <c r="B3291" s="24"/>
      <c r="E3291" s="24"/>
      <c r="G3291" s="24"/>
      <c r="H3291" s="24"/>
      <c r="J3291" s="24"/>
      <c r="K3291" s="24"/>
      <c r="M3291" s="24"/>
      <c r="N3291" s="24"/>
      <c r="P3291" s="24"/>
    </row>
    <row r="3292" spans="2:16" x14ac:dyDescent="0.25">
      <c r="B3292" s="24"/>
      <c r="E3292" s="24"/>
      <c r="G3292" s="24"/>
      <c r="H3292" s="24"/>
      <c r="J3292" s="24"/>
      <c r="K3292" s="24"/>
      <c r="M3292" s="24"/>
      <c r="N3292" s="24"/>
      <c r="P3292" s="24"/>
    </row>
    <row r="3293" spans="2:16" x14ac:dyDescent="0.25">
      <c r="B3293" s="24"/>
      <c r="E3293" s="24"/>
      <c r="G3293" s="24"/>
      <c r="H3293" s="24"/>
      <c r="J3293" s="24"/>
      <c r="K3293" s="24"/>
      <c r="M3293" s="24"/>
      <c r="N3293" s="24"/>
      <c r="P3293" s="24"/>
    </row>
    <row r="3294" spans="2:16" x14ac:dyDescent="0.25">
      <c r="B3294" s="24"/>
      <c r="E3294" s="24"/>
      <c r="G3294" s="24"/>
      <c r="H3294" s="24"/>
      <c r="J3294" s="24"/>
      <c r="K3294" s="24"/>
      <c r="M3294" s="24"/>
      <c r="N3294" s="24"/>
      <c r="P3294" s="24"/>
    </row>
    <row r="3295" spans="2:16" x14ac:dyDescent="0.25">
      <c r="B3295" s="24"/>
      <c r="E3295" s="24"/>
      <c r="G3295" s="24"/>
      <c r="H3295" s="24"/>
      <c r="J3295" s="24"/>
      <c r="K3295" s="24"/>
      <c r="M3295" s="24"/>
      <c r="N3295" s="24"/>
      <c r="P3295" s="24"/>
    </row>
    <row r="3296" spans="2:16" x14ac:dyDescent="0.25">
      <c r="B3296" s="24"/>
      <c r="E3296" s="24"/>
      <c r="G3296" s="24"/>
      <c r="H3296" s="24"/>
      <c r="J3296" s="24"/>
      <c r="K3296" s="24"/>
      <c r="M3296" s="24"/>
      <c r="N3296" s="24"/>
      <c r="P3296" s="24"/>
    </row>
    <row r="3297" spans="2:16" x14ac:dyDescent="0.25">
      <c r="B3297" s="24"/>
      <c r="E3297" s="24"/>
      <c r="G3297" s="24"/>
      <c r="H3297" s="24"/>
      <c r="J3297" s="24"/>
      <c r="K3297" s="24"/>
      <c r="M3297" s="24"/>
      <c r="N3297" s="24"/>
      <c r="P3297" s="24"/>
    </row>
    <row r="3298" spans="2:16" x14ac:dyDescent="0.25">
      <c r="B3298" s="24"/>
      <c r="E3298" s="24"/>
      <c r="G3298" s="24"/>
      <c r="H3298" s="24"/>
      <c r="J3298" s="24"/>
      <c r="K3298" s="24"/>
      <c r="M3298" s="24"/>
      <c r="N3298" s="24"/>
      <c r="P3298" s="24"/>
    </row>
    <row r="3299" spans="2:16" x14ac:dyDescent="0.25">
      <c r="B3299" s="24"/>
      <c r="E3299" s="24"/>
      <c r="G3299" s="24"/>
      <c r="H3299" s="24"/>
      <c r="J3299" s="24"/>
      <c r="K3299" s="24"/>
      <c r="M3299" s="24"/>
      <c r="N3299" s="24"/>
      <c r="P3299" s="24"/>
    </row>
    <row r="3300" spans="2:16" x14ac:dyDescent="0.25">
      <c r="B3300" s="24"/>
      <c r="E3300" s="24"/>
      <c r="G3300" s="24"/>
      <c r="H3300" s="24"/>
      <c r="J3300" s="24"/>
      <c r="K3300" s="24"/>
      <c r="M3300" s="24"/>
      <c r="N3300" s="24"/>
      <c r="P3300" s="24"/>
    </row>
    <row r="3301" spans="2:16" x14ac:dyDescent="0.25">
      <c r="B3301" s="24"/>
      <c r="E3301" s="24"/>
      <c r="G3301" s="24"/>
      <c r="H3301" s="24"/>
      <c r="J3301" s="24"/>
      <c r="K3301" s="24"/>
      <c r="M3301" s="24"/>
      <c r="N3301" s="24"/>
      <c r="P3301" s="24"/>
    </row>
    <row r="3302" spans="2:16" x14ac:dyDescent="0.25">
      <c r="B3302" s="24"/>
      <c r="E3302" s="24"/>
      <c r="G3302" s="24"/>
      <c r="H3302" s="24"/>
      <c r="J3302" s="24"/>
      <c r="K3302" s="24"/>
      <c r="M3302" s="24"/>
      <c r="N3302" s="24"/>
      <c r="P3302" s="24"/>
    </row>
    <row r="3303" spans="2:16" x14ac:dyDescent="0.25">
      <c r="B3303" s="24"/>
      <c r="E3303" s="24"/>
      <c r="G3303" s="24"/>
      <c r="H3303" s="24"/>
      <c r="J3303" s="24"/>
      <c r="K3303" s="24"/>
      <c r="M3303" s="24"/>
      <c r="N3303" s="24"/>
      <c r="P3303" s="24"/>
    </row>
    <row r="3304" spans="2:16" x14ac:dyDescent="0.25">
      <c r="B3304" s="24"/>
      <c r="E3304" s="24"/>
      <c r="G3304" s="24"/>
      <c r="H3304" s="24"/>
      <c r="J3304" s="24"/>
      <c r="K3304" s="24"/>
      <c r="M3304" s="24"/>
      <c r="N3304" s="24"/>
      <c r="P3304" s="24"/>
    </row>
    <row r="3305" spans="2:16" x14ac:dyDescent="0.25">
      <c r="B3305" s="24"/>
      <c r="E3305" s="24"/>
      <c r="G3305" s="24"/>
      <c r="H3305" s="24"/>
      <c r="J3305" s="24"/>
      <c r="K3305" s="24"/>
      <c r="M3305" s="24"/>
      <c r="N3305" s="24"/>
      <c r="P3305" s="24"/>
    </row>
    <row r="3306" spans="2:16" x14ac:dyDescent="0.25">
      <c r="B3306" s="24"/>
      <c r="E3306" s="24"/>
      <c r="G3306" s="24"/>
      <c r="H3306" s="24"/>
      <c r="J3306" s="24"/>
      <c r="K3306" s="24"/>
      <c r="M3306" s="24"/>
      <c r="N3306" s="24"/>
      <c r="P3306" s="24"/>
    </row>
    <row r="3307" spans="2:16" x14ac:dyDescent="0.25">
      <c r="B3307" s="24"/>
      <c r="E3307" s="24"/>
      <c r="G3307" s="24"/>
      <c r="H3307" s="24"/>
      <c r="J3307" s="24"/>
      <c r="K3307" s="24"/>
      <c r="M3307" s="24"/>
      <c r="N3307" s="24"/>
      <c r="P3307" s="24"/>
    </row>
    <row r="3308" spans="2:16" x14ac:dyDescent="0.25">
      <c r="B3308" s="24"/>
      <c r="E3308" s="24"/>
      <c r="G3308" s="24"/>
      <c r="H3308" s="24"/>
      <c r="J3308" s="24"/>
      <c r="K3308" s="24"/>
      <c r="M3308" s="24"/>
      <c r="N3308" s="24"/>
      <c r="P3308" s="24"/>
    </row>
    <row r="3309" spans="2:16" x14ac:dyDescent="0.25">
      <c r="B3309" s="24"/>
      <c r="E3309" s="24"/>
      <c r="G3309" s="24"/>
      <c r="H3309" s="24"/>
      <c r="J3309" s="24"/>
      <c r="K3309" s="24"/>
      <c r="M3309" s="24"/>
      <c r="N3309" s="24"/>
      <c r="P3309" s="24"/>
    </row>
    <row r="3310" spans="2:16" x14ac:dyDescent="0.25">
      <c r="B3310" s="24"/>
      <c r="E3310" s="24"/>
      <c r="G3310" s="24"/>
      <c r="H3310" s="24"/>
      <c r="J3310" s="24"/>
      <c r="K3310" s="24"/>
      <c r="M3310" s="24"/>
      <c r="N3310" s="24"/>
      <c r="P3310" s="24"/>
    </row>
    <row r="3311" spans="2:16" x14ac:dyDescent="0.25">
      <c r="B3311" s="24"/>
      <c r="E3311" s="24"/>
      <c r="G3311" s="24"/>
      <c r="H3311" s="24"/>
      <c r="J3311" s="24"/>
      <c r="K3311" s="24"/>
      <c r="M3311" s="24"/>
      <c r="N3311" s="24"/>
      <c r="P3311" s="24"/>
    </row>
    <row r="3312" spans="2:16" x14ac:dyDescent="0.25">
      <c r="B3312" s="24"/>
      <c r="E3312" s="24"/>
      <c r="G3312" s="24"/>
      <c r="H3312" s="24"/>
      <c r="J3312" s="24"/>
      <c r="K3312" s="24"/>
      <c r="M3312" s="24"/>
      <c r="N3312" s="24"/>
      <c r="P3312" s="24"/>
    </row>
    <row r="3313" spans="2:16" x14ac:dyDescent="0.25">
      <c r="B3313" s="24"/>
      <c r="E3313" s="24"/>
      <c r="G3313" s="24"/>
      <c r="H3313" s="24"/>
      <c r="J3313" s="24"/>
      <c r="K3313" s="24"/>
      <c r="M3313" s="24"/>
      <c r="N3313" s="24"/>
      <c r="P3313" s="24"/>
    </row>
    <row r="3314" spans="2:16" x14ac:dyDescent="0.25">
      <c r="B3314" s="24"/>
      <c r="E3314" s="24"/>
      <c r="G3314" s="24"/>
      <c r="H3314" s="24"/>
      <c r="J3314" s="24"/>
      <c r="K3314" s="24"/>
      <c r="M3314" s="24"/>
      <c r="N3314" s="24"/>
      <c r="P3314" s="24"/>
    </row>
    <row r="3315" spans="2:16" x14ac:dyDescent="0.25">
      <c r="B3315" s="24"/>
      <c r="E3315" s="24"/>
      <c r="G3315" s="24"/>
      <c r="H3315" s="24"/>
      <c r="J3315" s="24"/>
      <c r="K3315" s="24"/>
      <c r="M3315" s="24"/>
      <c r="N3315" s="24"/>
      <c r="P3315" s="24"/>
    </row>
    <row r="3316" spans="2:16" x14ac:dyDescent="0.25">
      <c r="B3316" s="24"/>
      <c r="E3316" s="24"/>
      <c r="G3316" s="24"/>
      <c r="H3316" s="24"/>
      <c r="J3316" s="24"/>
      <c r="K3316" s="24"/>
      <c r="M3316" s="24"/>
      <c r="N3316" s="24"/>
      <c r="P3316" s="24"/>
    </row>
    <row r="3317" spans="2:16" x14ac:dyDescent="0.25">
      <c r="B3317" s="24"/>
      <c r="E3317" s="24"/>
      <c r="G3317" s="24"/>
      <c r="H3317" s="24"/>
      <c r="J3317" s="24"/>
      <c r="K3317" s="24"/>
      <c r="M3317" s="24"/>
      <c r="N3317" s="24"/>
      <c r="P3317" s="24"/>
    </row>
    <row r="3318" spans="2:16" x14ac:dyDescent="0.25">
      <c r="B3318" s="24"/>
      <c r="E3318" s="24"/>
      <c r="G3318" s="24"/>
      <c r="H3318" s="24"/>
      <c r="J3318" s="24"/>
      <c r="K3318" s="24"/>
      <c r="M3318" s="24"/>
      <c r="N3318" s="24"/>
      <c r="P3318" s="24"/>
    </row>
    <row r="3319" spans="2:16" x14ac:dyDescent="0.25">
      <c r="B3319" s="24"/>
      <c r="E3319" s="24"/>
      <c r="G3319" s="24"/>
      <c r="H3319" s="24"/>
      <c r="J3319" s="24"/>
      <c r="K3319" s="24"/>
      <c r="M3319" s="24"/>
      <c r="N3319" s="24"/>
      <c r="P3319" s="24"/>
    </row>
    <row r="3320" spans="2:16" x14ac:dyDescent="0.25">
      <c r="B3320" s="24"/>
      <c r="E3320" s="24"/>
      <c r="G3320" s="24"/>
      <c r="H3320" s="24"/>
      <c r="J3320" s="24"/>
      <c r="K3320" s="24"/>
      <c r="M3320" s="24"/>
      <c r="N3320" s="24"/>
      <c r="P3320" s="24"/>
    </row>
    <row r="3321" spans="2:16" x14ac:dyDescent="0.25">
      <c r="B3321" s="24"/>
      <c r="E3321" s="24"/>
      <c r="G3321" s="24"/>
      <c r="H3321" s="24"/>
      <c r="J3321" s="24"/>
      <c r="K3321" s="24"/>
      <c r="M3321" s="24"/>
      <c r="N3321" s="24"/>
      <c r="P3321" s="24"/>
    </row>
    <row r="3322" spans="2:16" x14ac:dyDescent="0.25">
      <c r="B3322" s="24"/>
      <c r="E3322" s="24"/>
      <c r="G3322" s="24"/>
      <c r="H3322" s="24"/>
      <c r="J3322" s="24"/>
      <c r="K3322" s="24"/>
      <c r="M3322" s="24"/>
      <c r="N3322" s="24"/>
      <c r="P3322" s="24"/>
    </row>
    <row r="3323" spans="2:16" x14ac:dyDescent="0.25">
      <c r="B3323" s="24"/>
      <c r="E3323" s="24"/>
      <c r="G3323" s="24"/>
      <c r="H3323" s="24"/>
      <c r="J3323" s="24"/>
      <c r="K3323" s="24"/>
      <c r="M3323" s="24"/>
      <c r="N3323" s="24"/>
      <c r="P3323" s="24"/>
    </row>
    <row r="3324" spans="2:16" x14ac:dyDescent="0.25">
      <c r="B3324" s="24"/>
      <c r="E3324" s="24"/>
      <c r="G3324" s="24"/>
      <c r="H3324" s="24"/>
      <c r="J3324" s="24"/>
      <c r="K3324" s="24"/>
      <c r="M3324" s="24"/>
      <c r="N3324" s="24"/>
      <c r="P3324" s="24"/>
    </row>
    <row r="3325" spans="2:16" x14ac:dyDescent="0.25">
      <c r="B3325" s="24"/>
      <c r="E3325" s="24"/>
      <c r="G3325" s="24"/>
      <c r="H3325" s="24"/>
      <c r="J3325" s="24"/>
      <c r="K3325" s="24"/>
      <c r="M3325" s="24"/>
      <c r="N3325" s="24"/>
      <c r="P3325" s="24"/>
    </row>
    <row r="3326" spans="2:16" x14ac:dyDescent="0.25">
      <c r="B3326" s="24"/>
      <c r="E3326" s="24"/>
      <c r="G3326" s="24"/>
      <c r="H3326" s="24"/>
      <c r="J3326" s="24"/>
      <c r="K3326" s="24"/>
      <c r="M3326" s="24"/>
      <c r="N3326" s="24"/>
      <c r="P3326" s="24"/>
    </row>
    <row r="3327" spans="2:16" x14ac:dyDescent="0.25">
      <c r="B3327" s="24"/>
      <c r="E3327" s="24"/>
      <c r="G3327" s="24"/>
      <c r="H3327" s="24"/>
      <c r="J3327" s="24"/>
      <c r="K3327" s="24"/>
      <c r="M3327" s="24"/>
      <c r="N3327" s="24"/>
      <c r="P3327" s="24"/>
    </row>
    <row r="3328" spans="2:16" x14ac:dyDescent="0.25">
      <c r="B3328" s="24"/>
      <c r="E3328" s="24"/>
      <c r="G3328" s="24"/>
      <c r="H3328" s="24"/>
      <c r="J3328" s="24"/>
      <c r="K3328" s="24"/>
      <c r="M3328" s="24"/>
      <c r="N3328" s="24"/>
      <c r="P3328" s="24"/>
    </row>
    <row r="3329" spans="2:16" x14ac:dyDescent="0.25">
      <c r="B3329" s="24"/>
      <c r="E3329" s="24"/>
      <c r="G3329" s="24"/>
      <c r="H3329" s="24"/>
      <c r="J3329" s="24"/>
      <c r="K3329" s="24"/>
      <c r="M3329" s="24"/>
      <c r="N3329" s="24"/>
      <c r="P3329" s="24"/>
    </row>
    <row r="3330" spans="2:16" x14ac:dyDescent="0.25">
      <c r="B3330" s="24"/>
      <c r="E3330" s="24"/>
      <c r="G3330" s="24"/>
      <c r="H3330" s="24"/>
      <c r="J3330" s="24"/>
      <c r="K3330" s="24"/>
      <c r="M3330" s="24"/>
      <c r="N3330" s="24"/>
      <c r="P3330" s="24"/>
    </row>
    <row r="3331" spans="2:16" x14ac:dyDescent="0.25">
      <c r="B3331" s="24"/>
      <c r="E3331" s="24"/>
      <c r="G3331" s="24"/>
      <c r="H3331" s="24"/>
      <c r="J3331" s="24"/>
      <c r="K3331" s="24"/>
      <c r="M3331" s="24"/>
      <c r="N3331" s="24"/>
      <c r="P3331" s="24"/>
    </row>
    <row r="3332" spans="2:16" x14ac:dyDescent="0.25">
      <c r="B3332" s="24"/>
      <c r="E3332" s="24"/>
      <c r="G3332" s="24"/>
      <c r="H3332" s="24"/>
      <c r="J3332" s="24"/>
      <c r="K3332" s="24"/>
      <c r="M3332" s="24"/>
      <c r="N3332" s="24"/>
      <c r="P3332" s="24"/>
    </row>
    <row r="3333" spans="2:16" x14ac:dyDescent="0.25">
      <c r="B3333" s="24"/>
      <c r="E3333" s="24"/>
      <c r="G3333" s="24"/>
      <c r="H3333" s="24"/>
      <c r="J3333" s="24"/>
      <c r="K3333" s="24"/>
      <c r="M3333" s="24"/>
      <c r="N3333" s="24"/>
      <c r="P3333" s="24"/>
    </row>
    <row r="3334" spans="2:16" x14ac:dyDescent="0.25">
      <c r="B3334" s="24"/>
      <c r="E3334" s="24"/>
      <c r="G3334" s="24"/>
      <c r="H3334" s="24"/>
      <c r="J3334" s="24"/>
      <c r="K3334" s="24"/>
      <c r="M3334" s="24"/>
      <c r="N3334" s="24"/>
      <c r="P3334" s="24"/>
    </row>
    <row r="3335" spans="2:16" x14ac:dyDescent="0.25">
      <c r="B3335" s="24"/>
      <c r="E3335" s="24"/>
      <c r="G3335" s="24"/>
      <c r="H3335" s="24"/>
      <c r="J3335" s="24"/>
      <c r="K3335" s="24"/>
      <c r="M3335" s="24"/>
      <c r="N3335" s="24"/>
      <c r="P3335" s="24"/>
    </row>
    <row r="3336" spans="2:16" x14ac:dyDescent="0.25">
      <c r="B3336" s="24"/>
      <c r="E3336" s="24"/>
      <c r="G3336" s="24"/>
      <c r="H3336" s="24"/>
      <c r="J3336" s="24"/>
      <c r="K3336" s="24"/>
      <c r="M3336" s="24"/>
      <c r="N3336" s="24"/>
      <c r="P3336" s="24"/>
    </row>
    <row r="3337" spans="2:16" x14ac:dyDescent="0.25">
      <c r="B3337" s="24"/>
      <c r="E3337" s="24"/>
      <c r="G3337" s="24"/>
      <c r="H3337" s="24"/>
      <c r="J3337" s="24"/>
      <c r="K3337" s="24"/>
      <c r="M3337" s="24"/>
      <c r="N3337" s="24"/>
      <c r="P3337" s="24"/>
    </row>
    <row r="3338" spans="2:16" x14ac:dyDescent="0.25">
      <c r="B3338" s="24"/>
      <c r="E3338" s="24"/>
      <c r="G3338" s="24"/>
      <c r="H3338" s="24"/>
      <c r="J3338" s="24"/>
      <c r="K3338" s="24"/>
      <c r="M3338" s="24"/>
      <c r="N3338" s="24"/>
      <c r="P3338" s="24"/>
    </row>
    <row r="3339" spans="2:16" x14ac:dyDescent="0.25">
      <c r="B3339" s="24"/>
      <c r="E3339" s="24"/>
      <c r="G3339" s="24"/>
      <c r="H3339" s="24"/>
      <c r="J3339" s="24"/>
      <c r="K3339" s="24"/>
      <c r="M3339" s="24"/>
      <c r="N3339" s="24"/>
      <c r="P3339" s="24"/>
    </row>
    <row r="3340" spans="2:16" x14ac:dyDescent="0.25">
      <c r="B3340" s="24"/>
      <c r="E3340" s="24"/>
      <c r="G3340" s="24"/>
      <c r="H3340" s="24"/>
      <c r="J3340" s="24"/>
      <c r="K3340" s="24"/>
      <c r="M3340" s="24"/>
      <c r="N3340" s="24"/>
      <c r="P3340" s="24"/>
    </row>
    <row r="3341" spans="2:16" x14ac:dyDescent="0.25">
      <c r="B3341" s="24"/>
      <c r="E3341" s="24"/>
      <c r="G3341" s="24"/>
      <c r="H3341" s="24"/>
      <c r="J3341" s="24"/>
      <c r="K3341" s="24"/>
      <c r="M3341" s="24"/>
      <c r="N3341" s="24"/>
      <c r="P3341" s="24"/>
    </row>
    <row r="3342" spans="2:16" x14ac:dyDescent="0.25">
      <c r="B3342" s="24"/>
      <c r="E3342" s="24"/>
      <c r="G3342" s="24"/>
      <c r="H3342" s="24"/>
      <c r="J3342" s="24"/>
      <c r="K3342" s="24"/>
      <c r="M3342" s="24"/>
      <c r="N3342" s="24"/>
      <c r="P3342" s="24"/>
    </row>
    <row r="3343" spans="2:16" x14ac:dyDescent="0.25">
      <c r="B3343" s="24"/>
      <c r="E3343" s="24"/>
      <c r="G3343" s="24"/>
      <c r="H3343" s="24"/>
      <c r="J3343" s="24"/>
      <c r="K3343" s="24"/>
      <c r="M3343" s="24"/>
      <c r="N3343" s="24"/>
      <c r="P3343" s="24"/>
    </row>
    <row r="3344" spans="2:16" x14ac:dyDescent="0.25">
      <c r="B3344" s="24"/>
      <c r="E3344" s="24"/>
      <c r="G3344" s="24"/>
      <c r="H3344" s="24"/>
      <c r="J3344" s="24"/>
      <c r="K3344" s="24"/>
      <c r="M3344" s="24"/>
      <c r="N3344" s="24"/>
      <c r="P3344" s="24"/>
    </row>
    <row r="3345" spans="2:16" x14ac:dyDescent="0.25">
      <c r="B3345" s="24"/>
      <c r="E3345" s="24"/>
      <c r="G3345" s="24"/>
      <c r="H3345" s="24"/>
      <c r="J3345" s="24"/>
      <c r="K3345" s="24"/>
      <c r="M3345" s="24"/>
      <c r="N3345" s="24"/>
      <c r="P3345" s="24"/>
    </row>
    <row r="3346" spans="2:16" x14ac:dyDescent="0.25">
      <c r="B3346" s="24"/>
      <c r="E3346" s="24"/>
      <c r="G3346" s="24"/>
      <c r="H3346" s="24"/>
      <c r="J3346" s="24"/>
      <c r="K3346" s="24"/>
      <c r="M3346" s="24"/>
      <c r="N3346" s="24"/>
      <c r="P3346" s="24"/>
    </row>
    <row r="3347" spans="2:16" x14ac:dyDescent="0.25">
      <c r="B3347" s="24"/>
      <c r="E3347" s="24"/>
      <c r="G3347" s="24"/>
      <c r="H3347" s="24"/>
      <c r="J3347" s="24"/>
      <c r="K3347" s="24"/>
      <c r="M3347" s="24"/>
      <c r="N3347" s="24"/>
      <c r="P3347" s="24"/>
    </row>
    <row r="3348" spans="2:16" x14ac:dyDescent="0.25">
      <c r="B3348" s="24"/>
      <c r="E3348" s="24"/>
      <c r="G3348" s="24"/>
      <c r="H3348" s="24"/>
      <c r="J3348" s="24"/>
      <c r="K3348" s="24"/>
      <c r="M3348" s="24"/>
      <c r="N3348" s="24"/>
      <c r="P3348" s="24"/>
    </row>
    <row r="3349" spans="2:16" x14ac:dyDescent="0.25">
      <c r="B3349" s="24"/>
      <c r="E3349" s="24"/>
      <c r="G3349" s="24"/>
      <c r="H3349" s="24"/>
      <c r="J3349" s="24"/>
      <c r="K3349" s="24"/>
      <c r="M3349" s="24"/>
      <c r="N3349" s="24"/>
      <c r="P3349" s="24"/>
    </row>
    <row r="3350" spans="2:16" x14ac:dyDescent="0.25">
      <c r="B3350" s="24"/>
      <c r="E3350" s="24"/>
      <c r="G3350" s="24"/>
      <c r="H3350" s="24"/>
      <c r="J3350" s="24"/>
      <c r="K3350" s="24"/>
      <c r="M3350" s="24"/>
      <c r="N3350" s="24"/>
      <c r="P3350" s="24"/>
    </row>
    <row r="3351" spans="2:16" x14ac:dyDescent="0.25">
      <c r="B3351" s="24"/>
      <c r="E3351" s="24"/>
      <c r="G3351" s="24"/>
      <c r="H3351" s="24"/>
      <c r="J3351" s="24"/>
      <c r="K3351" s="24"/>
      <c r="M3351" s="24"/>
      <c r="N3351" s="24"/>
      <c r="P3351" s="24"/>
    </row>
    <row r="3352" spans="2:16" x14ac:dyDescent="0.25">
      <c r="B3352" s="24"/>
      <c r="E3352" s="24"/>
      <c r="G3352" s="24"/>
      <c r="H3352" s="24"/>
      <c r="J3352" s="24"/>
      <c r="K3352" s="24"/>
      <c r="M3352" s="24"/>
      <c r="N3352" s="24"/>
      <c r="P3352" s="24"/>
    </row>
    <row r="3353" spans="2:16" x14ac:dyDescent="0.25">
      <c r="B3353" s="24"/>
      <c r="E3353" s="24"/>
      <c r="G3353" s="24"/>
      <c r="H3353" s="24"/>
      <c r="J3353" s="24"/>
      <c r="K3353" s="24"/>
      <c r="M3353" s="24"/>
      <c r="N3353" s="24"/>
      <c r="P3353" s="24"/>
    </row>
    <row r="3354" spans="2:16" x14ac:dyDescent="0.25">
      <c r="B3354" s="24"/>
      <c r="E3354" s="24"/>
      <c r="G3354" s="24"/>
      <c r="H3354" s="24"/>
      <c r="J3354" s="24"/>
      <c r="K3354" s="24"/>
      <c r="M3354" s="24"/>
      <c r="N3354" s="24"/>
      <c r="P3354" s="24"/>
    </row>
    <row r="3355" spans="2:16" x14ac:dyDescent="0.25">
      <c r="B3355" s="24"/>
      <c r="E3355" s="24"/>
      <c r="G3355" s="24"/>
      <c r="H3355" s="24"/>
      <c r="J3355" s="24"/>
      <c r="K3355" s="24"/>
      <c r="M3355" s="24"/>
      <c r="N3355" s="24"/>
      <c r="P3355" s="24"/>
    </row>
    <row r="3356" spans="2:16" x14ac:dyDescent="0.25">
      <c r="B3356" s="24"/>
      <c r="E3356" s="24"/>
      <c r="G3356" s="24"/>
      <c r="H3356" s="24"/>
      <c r="J3356" s="24"/>
      <c r="K3356" s="24"/>
      <c r="M3356" s="24"/>
      <c r="N3356" s="24"/>
      <c r="P3356" s="24"/>
    </row>
    <row r="3357" spans="2:16" x14ac:dyDescent="0.25">
      <c r="B3357" s="24"/>
      <c r="E3357" s="24"/>
      <c r="G3357" s="24"/>
      <c r="H3357" s="24"/>
      <c r="J3357" s="24"/>
      <c r="K3357" s="24"/>
      <c r="M3357" s="24"/>
      <c r="N3357" s="24"/>
      <c r="P3357" s="24"/>
    </row>
    <row r="3358" spans="2:16" x14ac:dyDescent="0.25">
      <c r="B3358" s="24"/>
      <c r="E3358" s="24"/>
      <c r="G3358" s="24"/>
      <c r="H3358" s="24"/>
      <c r="J3358" s="24"/>
      <c r="K3358" s="24"/>
      <c r="M3358" s="24"/>
      <c r="N3358" s="24"/>
      <c r="P3358" s="24"/>
    </row>
    <row r="3359" spans="2:16" x14ac:dyDescent="0.25">
      <c r="B3359" s="24"/>
      <c r="E3359" s="24"/>
      <c r="G3359" s="24"/>
      <c r="H3359" s="24"/>
      <c r="J3359" s="24"/>
      <c r="K3359" s="24"/>
      <c r="M3359" s="24"/>
      <c r="N3359" s="24"/>
      <c r="P3359" s="24"/>
    </row>
    <row r="3360" spans="2:16" x14ac:dyDescent="0.25">
      <c r="B3360" s="24"/>
      <c r="E3360" s="24"/>
      <c r="G3360" s="24"/>
      <c r="H3360" s="24"/>
      <c r="J3360" s="24"/>
      <c r="K3360" s="24"/>
      <c r="M3360" s="24"/>
      <c r="N3360" s="24"/>
      <c r="P3360" s="24"/>
    </row>
    <row r="3361" spans="2:16" x14ac:dyDescent="0.25">
      <c r="B3361" s="24"/>
      <c r="E3361" s="24"/>
      <c r="G3361" s="24"/>
      <c r="H3361" s="24"/>
      <c r="J3361" s="24"/>
      <c r="K3361" s="24"/>
      <c r="M3361" s="24"/>
      <c r="N3361" s="24"/>
      <c r="P3361" s="24"/>
    </row>
    <row r="3362" spans="2:16" x14ac:dyDescent="0.25">
      <c r="B3362" s="24"/>
      <c r="E3362" s="24"/>
      <c r="G3362" s="24"/>
      <c r="H3362" s="24"/>
      <c r="J3362" s="24"/>
      <c r="K3362" s="24"/>
      <c r="M3362" s="24"/>
      <c r="N3362" s="24"/>
      <c r="P3362" s="24"/>
    </row>
    <row r="3363" spans="2:16" x14ac:dyDescent="0.25">
      <c r="B3363" s="24"/>
      <c r="E3363" s="24"/>
      <c r="G3363" s="24"/>
      <c r="H3363" s="24"/>
      <c r="J3363" s="24"/>
      <c r="K3363" s="24"/>
      <c r="M3363" s="24"/>
      <c r="N3363" s="24"/>
      <c r="P3363" s="24"/>
    </row>
    <row r="3364" spans="2:16" x14ac:dyDescent="0.25">
      <c r="B3364" s="24"/>
      <c r="E3364" s="24"/>
      <c r="G3364" s="24"/>
      <c r="H3364" s="24"/>
      <c r="J3364" s="24"/>
      <c r="K3364" s="24"/>
      <c r="M3364" s="24"/>
      <c r="N3364" s="24"/>
      <c r="P3364" s="24"/>
    </row>
    <row r="3365" spans="2:16" x14ac:dyDescent="0.25">
      <c r="B3365" s="24"/>
      <c r="E3365" s="24"/>
      <c r="G3365" s="24"/>
      <c r="H3365" s="24"/>
      <c r="J3365" s="24"/>
      <c r="K3365" s="24"/>
      <c r="M3365" s="24"/>
      <c r="N3365" s="24"/>
      <c r="P3365" s="24"/>
    </row>
    <row r="3366" spans="2:16" x14ac:dyDescent="0.25">
      <c r="B3366" s="24"/>
      <c r="E3366" s="24"/>
      <c r="G3366" s="24"/>
      <c r="H3366" s="24"/>
      <c r="J3366" s="24"/>
      <c r="K3366" s="24"/>
      <c r="M3366" s="24"/>
      <c r="N3366" s="24"/>
      <c r="P3366" s="24"/>
    </row>
    <row r="3367" spans="2:16" x14ac:dyDescent="0.25">
      <c r="B3367" s="24"/>
      <c r="E3367" s="24"/>
      <c r="G3367" s="24"/>
      <c r="H3367" s="24"/>
      <c r="J3367" s="24"/>
      <c r="K3367" s="24"/>
      <c r="M3367" s="24"/>
      <c r="N3367" s="24"/>
      <c r="P3367" s="24"/>
    </row>
    <row r="3368" spans="2:16" x14ac:dyDescent="0.25">
      <c r="B3368" s="24"/>
      <c r="E3368" s="24"/>
      <c r="G3368" s="24"/>
      <c r="H3368" s="24"/>
      <c r="J3368" s="24"/>
      <c r="K3368" s="24"/>
      <c r="M3368" s="24"/>
      <c r="N3368" s="24"/>
      <c r="P3368" s="24"/>
    </row>
    <row r="3369" spans="2:16" x14ac:dyDescent="0.25">
      <c r="B3369" s="24"/>
      <c r="E3369" s="24"/>
      <c r="G3369" s="24"/>
      <c r="H3369" s="24"/>
      <c r="J3369" s="24"/>
      <c r="K3369" s="24"/>
      <c r="M3369" s="24"/>
      <c r="N3369" s="24"/>
      <c r="P3369" s="24"/>
    </row>
    <row r="3370" spans="2:16" x14ac:dyDescent="0.25">
      <c r="B3370" s="24"/>
      <c r="E3370" s="24"/>
      <c r="G3370" s="24"/>
      <c r="H3370" s="24"/>
      <c r="J3370" s="24"/>
      <c r="K3370" s="24"/>
      <c r="M3370" s="24"/>
      <c r="N3370" s="24"/>
      <c r="P3370" s="24"/>
    </row>
    <row r="3371" spans="2:16" x14ac:dyDescent="0.25">
      <c r="B3371" s="24"/>
      <c r="E3371" s="24"/>
      <c r="G3371" s="24"/>
      <c r="H3371" s="24"/>
      <c r="J3371" s="24"/>
      <c r="K3371" s="24"/>
      <c r="M3371" s="24"/>
      <c r="N3371" s="24"/>
      <c r="P3371" s="24"/>
    </row>
    <row r="3372" spans="2:16" x14ac:dyDescent="0.25">
      <c r="B3372" s="24"/>
      <c r="E3372" s="24"/>
      <c r="G3372" s="24"/>
      <c r="H3372" s="24"/>
      <c r="J3372" s="24"/>
      <c r="K3372" s="24"/>
      <c r="M3372" s="24"/>
      <c r="N3372" s="24"/>
      <c r="P3372" s="24"/>
    </row>
    <row r="3373" spans="2:16" x14ac:dyDescent="0.25">
      <c r="B3373" s="24"/>
      <c r="E3373" s="24"/>
      <c r="G3373" s="24"/>
      <c r="H3373" s="24"/>
      <c r="J3373" s="24"/>
      <c r="K3373" s="24"/>
      <c r="M3373" s="24"/>
      <c r="N3373" s="24"/>
      <c r="P3373" s="24"/>
    </row>
    <row r="3374" spans="2:16" x14ac:dyDescent="0.25">
      <c r="B3374" s="24"/>
      <c r="E3374" s="24"/>
      <c r="G3374" s="24"/>
      <c r="H3374" s="24"/>
      <c r="J3374" s="24"/>
      <c r="K3374" s="24"/>
      <c r="M3374" s="24"/>
      <c r="N3374" s="24"/>
      <c r="P3374" s="24"/>
    </row>
    <row r="3375" spans="2:16" x14ac:dyDescent="0.25">
      <c r="B3375" s="24"/>
      <c r="E3375" s="24"/>
      <c r="G3375" s="24"/>
      <c r="H3375" s="24"/>
      <c r="J3375" s="24"/>
      <c r="K3375" s="24"/>
      <c r="M3375" s="24"/>
      <c r="N3375" s="24"/>
      <c r="P3375" s="24"/>
    </row>
    <row r="3376" spans="2:16" x14ac:dyDescent="0.25">
      <c r="B3376" s="24"/>
      <c r="E3376" s="24"/>
      <c r="G3376" s="24"/>
      <c r="H3376" s="24"/>
      <c r="J3376" s="24"/>
      <c r="K3376" s="24"/>
      <c r="M3376" s="24"/>
      <c r="N3376" s="24"/>
      <c r="P3376" s="24"/>
    </row>
    <row r="3377" spans="2:16" x14ac:dyDescent="0.25">
      <c r="B3377" s="24"/>
      <c r="E3377" s="24"/>
      <c r="G3377" s="24"/>
      <c r="H3377" s="24"/>
      <c r="J3377" s="24"/>
      <c r="K3377" s="24"/>
      <c r="M3377" s="24"/>
      <c r="N3377" s="24"/>
      <c r="P3377" s="24"/>
    </row>
    <row r="3378" spans="2:16" x14ac:dyDescent="0.25">
      <c r="B3378" s="24"/>
      <c r="E3378" s="24"/>
      <c r="G3378" s="24"/>
      <c r="H3378" s="24"/>
      <c r="J3378" s="24"/>
      <c r="K3378" s="24"/>
      <c r="M3378" s="24"/>
      <c r="N3378" s="24"/>
      <c r="P3378" s="24"/>
    </row>
    <row r="3379" spans="2:16" x14ac:dyDescent="0.25">
      <c r="B3379" s="24"/>
      <c r="E3379" s="24"/>
      <c r="G3379" s="24"/>
      <c r="H3379" s="24"/>
      <c r="J3379" s="24"/>
      <c r="K3379" s="24"/>
      <c r="M3379" s="24"/>
      <c r="N3379" s="24"/>
      <c r="P3379" s="24"/>
    </row>
    <row r="3380" spans="2:16" x14ac:dyDescent="0.25">
      <c r="B3380" s="24"/>
      <c r="E3380" s="24"/>
      <c r="G3380" s="24"/>
      <c r="H3380" s="24"/>
      <c r="J3380" s="24"/>
      <c r="K3380" s="24"/>
      <c r="M3380" s="24"/>
      <c r="N3380" s="24"/>
      <c r="P3380" s="24"/>
    </row>
    <row r="3381" spans="2:16" x14ac:dyDescent="0.25">
      <c r="B3381" s="24"/>
      <c r="E3381" s="24"/>
      <c r="G3381" s="24"/>
      <c r="H3381" s="24"/>
      <c r="J3381" s="24"/>
      <c r="K3381" s="24"/>
      <c r="M3381" s="24"/>
      <c r="N3381" s="24"/>
      <c r="P3381" s="24"/>
    </row>
    <row r="3382" spans="2:16" x14ac:dyDescent="0.25">
      <c r="B3382" s="24"/>
      <c r="E3382" s="24"/>
      <c r="G3382" s="24"/>
      <c r="H3382" s="24"/>
      <c r="J3382" s="24"/>
      <c r="K3382" s="24"/>
      <c r="M3382" s="24"/>
      <c r="N3382" s="24"/>
      <c r="P3382" s="24"/>
    </row>
    <row r="3383" spans="2:16" x14ac:dyDescent="0.25">
      <c r="B3383" s="24"/>
      <c r="E3383" s="24"/>
      <c r="G3383" s="24"/>
      <c r="H3383" s="24"/>
      <c r="J3383" s="24"/>
      <c r="K3383" s="24"/>
      <c r="M3383" s="24"/>
      <c r="N3383" s="24"/>
      <c r="P3383" s="24"/>
    </row>
    <row r="3384" spans="2:16" x14ac:dyDescent="0.25">
      <c r="B3384" s="24"/>
      <c r="E3384" s="24"/>
      <c r="G3384" s="24"/>
      <c r="H3384" s="24"/>
      <c r="J3384" s="24"/>
      <c r="K3384" s="24"/>
      <c r="M3384" s="24"/>
      <c r="N3384" s="24"/>
      <c r="P3384" s="24"/>
    </row>
    <row r="3385" spans="2:16" x14ac:dyDescent="0.25">
      <c r="B3385" s="24"/>
      <c r="E3385" s="24"/>
      <c r="G3385" s="24"/>
      <c r="H3385" s="24"/>
      <c r="J3385" s="24"/>
      <c r="K3385" s="24"/>
      <c r="M3385" s="24"/>
      <c r="N3385" s="24"/>
      <c r="P3385" s="24"/>
    </row>
    <row r="3386" spans="2:16" x14ac:dyDescent="0.25">
      <c r="B3386" s="24"/>
      <c r="E3386" s="24"/>
      <c r="G3386" s="24"/>
      <c r="H3386" s="24"/>
      <c r="J3386" s="24"/>
      <c r="K3386" s="24"/>
      <c r="M3386" s="24"/>
      <c r="N3386" s="24"/>
      <c r="P3386" s="24"/>
    </row>
    <row r="3387" spans="2:16" x14ac:dyDescent="0.25">
      <c r="B3387" s="24"/>
      <c r="E3387" s="24"/>
      <c r="G3387" s="24"/>
      <c r="H3387" s="24"/>
      <c r="J3387" s="24"/>
      <c r="K3387" s="24"/>
      <c r="M3387" s="24"/>
      <c r="N3387" s="24"/>
      <c r="P3387" s="24"/>
    </row>
    <row r="3388" spans="2:16" x14ac:dyDescent="0.25">
      <c r="B3388" s="24"/>
      <c r="E3388" s="24"/>
      <c r="G3388" s="24"/>
      <c r="H3388" s="24"/>
      <c r="J3388" s="24"/>
      <c r="K3388" s="24"/>
      <c r="M3388" s="24"/>
      <c r="N3388" s="24"/>
      <c r="P3388" s="24"/>
    </row>
    <row r="3389" spans="2:16" x14ac:dyDescent="0.25">
      <c r="B3389" s="24"/>
      <c r="E3389" s="24"/>
      <c r="G3389" s="24"/>
      <c r="H3389" s="24"/>
      <c r="J3389" s="24"/>
      <c r="K3389" s="24"/>
      <c r="M3389" s="24"/>
      <c r="N3389" s="24"/>
      <c r="P3389" s="24"/>
    </row>
    <row r="3390" spans="2:16" x14ac:dyDescent="0.25">
      <c r="B3390" s="24"/>
      <c r="E3390" s="24"/>
      <c r="G3390" s="24"/>
      <c r="H3390" s="24"/>
      <c r="J3390" s="24"/>
      <c r="K3390" s="24"/>
      <c r="M3390" s="24"/>
      <c r="N3390" s="24"/>
      <c r="P3390" s="24"/>
    </row>
    <row r="3391" spans="2:16" x14ac:dyDescent="0.25">
      <c r="B3391" s="24"/>
      <c r="E3391" s="24"/>
      <c r="G3391" s="24"/>
      <c r="H3391" s="24"/>
      <c r="J3391" s="24"/>
      <c r="K3391" s="24"/>
      <c r="M3391" s="24"/>
      <c r="N3391" s="24"/>
      <c r="P3391" s="24"/>
    </row>
    <row r="3392" spans="2:16" x14ac:dyDescent="0.25">
      <c r="B3392" s="24"/>
      <c r="E3392" s="24"/>
      <c r="G3392" s="24"/>
      <c r="H3392" s="24"/>
      <c r="J3392" s="24"/>
      <c r="K3392" s="24"/>
      <c r="M3392" s="24"/>
      <c r="N3392" s="24"/>
      <c r="P3392" s="24"/>
    </row>
    <row r="3393" spans="2:16" x14ac:dyDescent="0.25">
      <c r="B3393" s="24"/>
      <c r="E3393" s="24"/>
      <c r="G3393" s="24"/>
      <c r="H3393" s="24"/>
      <c r="J3393" s="24"/>
      <c r="K3393" s="24"/>
      <c r="M3393" s="24"/>
      <c r="N3393" s="24"/>
      <c r="P3393" s="24"/>
    </row>
    <row r="3394" spans="2:16" x14ac:dyDescent="0.25">
      <c r="B3394" s="24"/>
      <c r="E3394" s="24"/>
      <c r="G3394" s="24"/>
      <c r="H3394" s="24"/>
      <c r="J3394" s="24"/>
      <c r="K3394" s="24"/>
      <c r="M3394" s="24"/>
      <c r="N3394" s="24"/>
      <c r="P3394" s="24"/>
    </row>
    <row r="3395" spans="2:16" x14ac:dyDescent="0.25">
      <c r="B3395" s="24"/>
      <c r="E3395" s="24"/>
      <c r="G3395" s="24"/>
      <c r="H3395" s="24"/>
      <c r="J3395" s="24"/>
      <c r="K3395" s="24"/>
      <c r="M3395" s="24"/>
      <c r="N3395" s="24"/>
      <c r="P3395" s="24"/>
    </row>
    <row r="3396" spans="2:16" x14ac:dyDescent="0.25">
      <c r="B3396" s="24"/>
      <c r="E3396" s="24"/>
      <c r="G3396" s="24"/>
      <c r="H3396" s="24"/>
      <c r="J3396" s="24"/>
      <c r="K3396" s="24"/>
      <c r="M3396" s="24"/>
      <c r="N3396" s="24"/>
      <c r="P3396" s="24"/>
    </row>
    <row r="3397" spans="2:16" x14ac:dyDescent="0.25">
      <c r="B3397" s="24"/>
      <c r="E3397" s="24"/>
      <c r="G3397" s="24"/>
      <c r="H3397" s="24"/>
      <c r="J3397" s="24"/>
      <c r="K3397" s="24"/>
      <c r="M3397" s="24"/>
      <c r="N3397" s="24"/>
      <c r="P3397" s="24"/>
    </row>
    <row r="3398" spans="2:16" x14ac:dyDescent="0.25">
      <c r="B3398" s="24"/>
      <c r="E3398" s="24"/>
      <c r="G3398" s="24"/>
      <c r="H3398" s="24"/>
      <c r="J3398" s="24"/>
      <c r="K3398" s="24"/>
      <c r="M3398" s="24"/>
      <c r="N3398" s="24"/>
      <c r="P3398" s="24"/>
    </row>
    <row r="3399" spans="2:16" x14ac:dyDescent="0.25">
      <c r="B3399" s="24"/>
      <c r="E3399" s="24"/>
      <c r="G3399" s="24"/>
      <c r="H3399" s="24"/>
      <c r="J3399" s="24"/>
      <c r="K3399" s="24"/>
      <c r="M3399" s="24"/>
      <c r="N3399" s="24"/>
      <c r="P3399" s="24"/>
    </row>
    <row r="3400" spans="2:16" x14ac:dyDescent="0.25">
      <c r="B3400" s="24"/>
      <c r="E3400" s="24"/>
      <c r="G3400" s="24"/>
      <c r="H3400" s="24"/>
      <c r="J3400" s="24"/>
      <c r="K3400" s="24"/>
      <c r="M3400" s="24"/>
      <c r="N3400" s="24"/>
      <c r="P3400" s="24"/>
    </row>
    <row r="3401" spans="2:16" x14ac:dyDescent="0.25">
      <c r="B3401" s="24"/>
      <c r="E3401" s="24"/>
      <c r="G3401" s="24"/>
      <c r="H3401" s="24"/>
      <c r="J3401" s="24"/>
      <c r="K3401" s="24"/>
      <c r="M3401" s="24"/>
      <c r="N3401" s="24"/>
      <c r="P3401" s="24"/>
    </row>
    <row r="3402" spans="2:16" x14ac:dyDescent="0.25">
      <c r="B3402" s="24"/>
      <c r="E3402" s="24"/>
      <c r="G3402" s="24"/>
      <c r="H3402" s="24"/>
      <c r="J3402" s="24"/>
      <c r="K3402" s="24"/>
      <c r="M3402" s="24"/>
      <c r="N3402" s="24"/>
      <c r="P3402" s="24"/>
    </row>
    <row r="3403" spans="2:16" x14ac:dyDescent="0.25">
      <c r="B3403" s="24"/>
      <c r="E3403" s="24"/>
      <c r="G3403" s="24"/>
      <c r="H3403" s="24"/>
      <c r="J3403" s="24"/>
      <c r="K3403" s="24"/>
      <c r="M3403" s="24"/>
      <c r="N3403" s="24"/>
      <c r="P3403" s="24"/>
    </row>
    <row r="3404" spans="2:16" x14ac:dyDescent="0.25">
      <c r="B3404" s="24"/>
      <c r="E3404" s="24"/>
      <c r="G3404" s="24"/>
      <c r="H3404" s="24"/>
      <c r="J3404" s="24"/>
      <c r="K3404" s="24"/>
      <c r="M3404" s="24"/>
      <c r="N3404" s="24"/>
      <c r="P3404" s="24"/>
    </row>
    <row r="3405" spans="2:16" x14ac:dyDescent="0.25">
      <c r="B3405" s="24"/>
      <c r="E3405" s="24"/>
      <c r="G3405" s="24"/>
      <c r="H3405" s="24"/>
      <c r="J3405" s="24"/>
      <c r="K3405" s="24"/>
      <c r="M3405" s="24"/>
      <c r="N3405" s="24"/>
      <c r="P3405" s="24"/>
    </row>
    <row r="3406" spans="2:16" x14ac:dyDescent="0.25">
      <c r="B3406" s="24"/>
      <c r="E3406" s="24"/>
      <c r="G3406" s="24"/>
      <c r="H3406" s="24"/>
      <c r="J3406" s="24"/>
      <c r="K3406" s="24"/>
      <c r="M3406" s="24"/>
      <c r="N3406" s="24"/>
      <c r="P3406" s="24"/>
    </row>
    <row r="3407" spans="2:16" x14ac:dyDescent="0.25">
      <c r="B3407" s="24"/>
      <c r="E3407" s="24"/>
      <c r="G3407" s="24"/>
      <c r="H3407" s="24"/>
      <c r="J3407" s="24"/>
      <c r="K3407" s="24"/>
      <c r="M3407" s="24"/>
      <c r="N3407" s="24"/>
      <c r="P3407" s="24"/>
    </row>
    <row r="3408" spans="2:16" x14ac:dyDescent="0.25">
      <c r="B3408" s="24"/>
      <c r="E3408" s="24"/>
      <c r="G3408" s="24"/>
      <c r="H3408" s="24"/>
      <c r="J3408" s="24"/>
      <c r="K3408" s="24"/>
      <c r="M3408" s="24"/>
      <c r="N3408" s="24"/>
      <c r="P3408" s="24"/>
    </row>
    <row r="3409" spans="2:16" x14ac:dyDescent="0.25">
      <c r="B3409" s="24"/>
      <c r="E3409" s="24"/>
      <c r="G3409" s="24"/>
      <c r="H3409" s="24"/>
      <c r="J3409" s="24"/>
      <c r="K3409" s="24"/>
      <c r="M3409" s="24"/>
      <c r="N3409" s="24"/>
      <c r="P3409" s="24"/>
    </row>
    <row r="3410" spans="2:16" x14ac:dyDescent="0.25">
      <c r="B3410" s="24"/>
      <c r="E3410" s="24"/>
      <c r="G3410" s="24"/>
      <c r="H3410" s="24"/>
      <c r="J3410" s="24"/>
      <c r="K3410" s="24"/>
      <c r="M3410" s="24"/>
      <c r="N3410" s="24"/>
      <c r="P3410" s="24"/>
    </row>
    <row r="3411" spans="2:16" x14ac:dyDescent="0.25">
      <c r="B3411" s="24"/>
      <c r="E3411" s="24"/>
      <c r="G3411" s="24"/>
      <c r="H3411" s="24"/>
      <c r="J3411" s="24"/>
      <c r="K3411" s="24"/>
      <c r="M3411" s="24"/>
      <c r="N3411" s="24"/>
      <c r="P3411" s="24"/>
    </row>
    <row r="3412" spans="2:16" x14ac:dyDescent="0.25">
      <c r="B3412" s="24"/>
      <c r="E3412" s="24"/>
      <c r="G3412" s="24"/>
      <c r="H3412" s="24"/>
      <c r="J3412" s="24"/>
      <c r="K3412" s="24"/>
      <c r="M3412" s="24"/>
      <c r="N3412" s="24"/>
      <c r="P3412" s="24"/>
    </row>
    <row r="3413" spans="2:16" x14ac:dyDescent="0.25">
      <c r="B3413" s="24"/>
      <c r="E3413" s="24"/>
      <c r="G3413" s="24"/>
      <c r="H3413" s="24"/>
      <c r="J3413" s="24"/>
      <c r="K3413" s="24"/>
      <c r="M3413" s="24"/>
      <c r="N3413" s="24"/>
      <c r="P3413" s="24"/>
    </row>
    <row r="3414" spans="2:16" x14ac:dyDescent="0.25">
      <c r="B3414" s="24"/>
      <c r="E3414" s="24"/>
      <c r="G3414" s="24"/>
      <c r="H3414" s="24"/>
      <c r="J3414" s="24"/>
      <c r="K3414" s="24"/>
      <c r="M3414" s="24"/>
      <c r="N3414" s="24"/>
      <c r="P3414" s="24"/>
    </row>
    <row r="3415" spans="2:16" x14ac:dyDescent="0.25">
      <c r="B3415" s="24"/>
      <c r="E3415" s="24"/>
      <c r="G3415" s="24"/>
      <c r="H3415" s="24"/>
      <c r="J3415" s="24"/>
      <c r="K3415" s="24"/>
      <c r="M3415" s="24"/>
      <c r="N3415" s="24"/>
      <c r="P3415" s="24"/>
    </row>
    <row r="3416" spans="2:16" x14ac:dyDescent="0.25">
      <c r="B3416" s="24"/>
      <c r="E3416" s="24"/>
      <c r="G3416" s="24"/>
      <c r="H3416" s="24"/>
      <c r="J3416" s="24"/>
      <c r="K3416" s="24"/>
      <c r="M3416" s="24"/>
      <c r="N3416" s="24"/>
      <c r="P3416" s="24"/>
    </row>
    <row r="3417" spans="2:16" x14ac:dyDescent="0.25">
      <c r="B3417" s="24"/>
      <c r="E3417" s="24"/>
      <c r="G3417" s="24"/>
      <c r="H3417" s="24"/>
      <c r="J3417" s="24"/>
      <c r="K3417" s="24"/>
      <c r="M3417" s="24"/>
      <c r="N3417" s="24"/>
      <c r="P3417" s="24"/>
    </row>
    <row r="3418" spans="2:16" x14ac:dyDescent="0.25">
      <c r="B3418" s="24"/>
      <c r="E3418" s="24"/>
      <c r="G3418" s="24"/>
      <c r="H3418" s="24"/>
      <c r="J3418" s="24"/>
      <c r="K3418" s="24"/>
      <c r="M3418" s="24"/>
      <c r="N3418" s="24"/>
      <c r="P3418" s="24"/>
    </row>
    <row r="3419" spans="2:16" x14ac:dyDescent="0.25">
      <c r="B3419" s="24"/>
      <c r="E3419" s="24"/>
      <c r="G3419" s="24"/>
      <c r="H3419" s="24"/>
      <c r="J3419" s="24"/>
      <c r="K3419" s="24"/>
      <c r="M3419" s="24"/>
      <c r="N3419" s="24"/>
      <c r="P3419" s="24"/>
    </row>
    <row r="3420" spans="2:16" x14ac:dyDescent="0.25">
      <c r="B3420" s="24"/>
      <c r="E3420" s="24"/>
      <c r="G3420" s="24"/>
      <c r="H3420" s="24"/>
      <c r="J3420" s="24"/>
      <c r="K3420" s="24"/>
      <c r="M3420" s="24"/>
      <c r="N3420" s="24"/>
      <c r="P3420" s="24"/>
    </row>
    <row r="3421" spans="2:16" x14ac:dyDescent="0.25">
      <c r="B3421" s="24"/>
      <c r="E3421" s="24"/>
      <c r="G3421" s="24"/>
      <c r="H3421" s="24"/>
      <c r="J3421" s="24"/>
      <c r="K3421" s="24"/>
      <c r="M3421" s="24"/>
      <c r="N3421" s="24"/>
      <c r="P3421" s="24"/>
    </row>
    <row r="3422" spans="2:16" x14ac:dyDescent="0.25">
      <c r="B3422" s="24"/>
      <c r="E3422" s="24"/>
      <c r="G3422" s="24"/>
      <c r="H3422" s="24"/>
      <c r="J3422" s="24"/>
      <c r="K3422" s="24"/>
      <c r="M3422" s="24"/>
      <c r="N3422" s="24"/>
      <c r="P3422" s="24"/>
    </row>
    <row r="3423" spans="2:16" x14ac:dyDescent="0.25">
      <c r="B3423" s="24"/>
      <c r="E3423" s="24"/>
      <c r="G3423" s="24"/>
      <c r="H3423" s="24"/>
      <c r="J3423" s="24"/>
      <c r="K3423" s="24"/>
      <c r="M3423" s="24"/>
      <c r="N3423" s="24"/>
      <c r="P3423" s="24"/>
    </row>
    <row r="3424" spans="2:16" x14ac:dyDescent="0.25">
      <c r="B3424" s="24"/>
      <c r="E3424" s="24"/>
      <c r="G3424" s="24"/>
      <c r="H3424" s="24"/>
      <c r="J3424" s="24"/>
      <c r="K3424" s="24"/>
      <c r="M3424" s="24"/>
      <c r="N3424" s="24"/>
      <c r="P3424" s="24"/>
    </row>
    <row r="3425" spans="2:16" x14ac:dyDescent="0.25">
      <c r="B3425" s="24"/>
      <c r="E3425" s="24"/>
      <c r="G3425" s="24"/>
      <c r="H3425" s="24"/>
      <c r="J3425" s="24"/>
      <c r="K3425" s="24"/>
      <c r="M3425" s="24"/>
      <c r="N3425" s="24"/>
      <c r="P3425" s="24"/>
    </row>
    <row r="3426" spans="2:16" x14ac:dyDescent="0.25">
      <c r="B3426" s="24"/>
      <c r="E3426" s="24"/>
      <c r="G3426" s="24"/>
      <c r="H3426" s="24"/>
      <c r="J3426" s="24"/>
      <c r="K3426" s="24"/>
      <c r="M3426" s="24"/>
      <c r="N3426" s="24"/>
      <c r="P3426" s="24"/>
    </row>
    <row r="3427" spans="2:16" x14ac:dyDescent="0.25">
      <c r="B3427" s="24"/>
      <c r="E3427" s="24"/>
      <c r="G3427" s="24"/>
      <c r="H3427" s="24"/>
      <c r="J3427" s="24"/>
      <c r="K3427" s="24"/>
      <c r="M3427" s="24"/>
      <c r="N3427" s="24"/>
      <c r="P3427" s="24"/>
    </row>
    <row r="3428" spans="2:16" x14ac:dyDescent="0.25">
      <c r="B3428" s="24"/>
      <c r="E3428" s="24"/>
      <c r="G3428" s="24"/>
      <c r="H3428" s="24"/>
      <c r="J3428" s="24"/>
      <c r="K3428" s="24"/>
      <c r="M3428" s="24"/>
      <c r="N3428" s="24"/>
      <c r="P3428" s="24"/>
    </row>
    <row r="3429" spans="2:16" x14ac:dyDescent="0.25">
      <c r="B3429" s="24"/>
      <c r="E3429" s="24"/>
      <c r="G3429" s="24"/>
      <c r="H3429" s="24"/>
      <c r="J3429" s="24"/>
      <c r="K3429" s="24"/>
      <c r="M3429" s="24"/>
      <c r="N3429" s="24"/>
      <c r="P3429" s="24"/>
    </row>
    <row r="3430" spans="2:16" x14ac:dyDescent="0.25">
      <c r="B3430" s="24"/>
      <c r="E3430" s="24"/>
      <c r="G3430" s="24"/>
      <c r="H3430" s="24"/>
      <c r="J3430" s="24"/>
      <c r="K3430" s="24"/>
      <c r="M3430" s="24"/>
      <c r="N3430" s="24"/>
      <c r="P3430" s="24"/>
    </row>
    <row r="3431" spans="2:16" x14ac:dyDescent="0.25">
      <c r="B3431" s="24"/>
      <c r="E3431" s="24"/>
      <c r="G3431" s="24"/>
      <c r="H3431" s="24"/>
      <c r="J3431" s="24"/>
      <c r="K3431" s="24"/>
      <c r="M3431" s="24"/>
      <c r="N3431" s="24"/>
      <c r="P3431" s="24"/>
    </row>
    <row r="3432" spans="2:16" x14ac:dyDescent="0.25">
      <c r="B3432" s="24"/>
      <c r="E3432" s="24"/>
      <c r="G3432" s="24"/>
      <c r="H3432" s="24"/>
      <c r="J3432" s="24"/>
      <c r="K3432" s="24"/>
      <c r="M3432" s="24"/>
      <c r="N3432" s="24"/>
      <c r="P3432" s="24"/>
    </row>
    <row r="3433" spans="2:16" x14ac:dyDescent="0.25">
      <c r="B3433" s="24"/>
      <c r="E3433" s="24"/>
      <c r="G3433" s="24"/>
      <c r="H3433" s="24"/>
      <c r="J3433" s="24"/>
      <c r="K3433" s="24"/>
      <c r="M3433" s="24"/>
      <c r="N3433" s="24"/>
      <c r="P3433" s="24"/>
    </row>
    <row r="3434" spans="2:16" x14ac:dyDescent="0.25">
      <c r="B3434" s="24"/>
      <c r="E3434" s="24"/>
      <c r="G3434" s="24"/>
      <c r="H3434" s="24"/>
      <c r="J3434" s="24"/>
      <c r="K3434" s="24"/>
      <c r="M3434" s="24"/>
      <c r="N3434" s="24"/>
      <c r="P3434" s="24"/>
    </row>
    <row r="3435" spans="2:16" x14ac:dyDescent="0.25">
      <c r="B3435" s="24"/>
      <c r="E3435" s="24"/>
      <c r="G3435" s="24"/>
      <c r="H3435" s="24"/>
      <c r="J3435" s="24"/>
      <c r="K3435" s="24"/>
      <c r="M3435" s="24"/>
      <c r="N3435" s="24"/>
      <c r="P3435" s="24"/>
    </row>
    <row r="3436" spans="2:16" x14ac:dyDescent="0.25">
      <c r="B3436" s="24"/>
      <c r="E3436" s="24"/>
      <c r="G3436" s="24"/>
      <c r="H3436" s="24"/>
      <c r="J3436" s="24"/>
      <c r="K3436" s="24"/>
      <c r="M3436" s="24"/>
      <c r="N3436" s="24"/>
      <c r="P3436" s="24"/>
    </row>
    <row r="3437" spans="2:16" x14ac:dyDescent="0.25">
      <c r="B3437" s="24"/>
      <c r="E3437" s="24"/>
      <c r="G3437" s="24"/>
      <c r="H3437" s="24"/>
      <c r="J3437" s="24"/>
      <c r="K3437" s="24"/>
      <c r="M3437" s="24"/>
      <c r="N3437" s="24"/>
      <c r="P3437" s="24"/>
    </row>
    <row r="3438" spans="2:16" x14ac:dyDescent="0.25">
      <c r="B3438" s="24"/>
      <c r="E3438" s="24"/>
      <c r="G3438" s="24"/>
      <c r="H3438" s="24"/>
      <c r="J3438" s="24"/>
      <c r="K3438" s="24"/>
      <c r="M3438" s="24"/>
      <c r="N3438" s="24"/>
      <c r="P3438" s="24"/>
    </row>
    <row r="3439" spans="2:16" x14ac:dyDescent="0.25">
      <c r="B3439" s="24"/>
      <c r="E3439" s="24"/>
      <c r="G3439" s="24"/>
      <c r="H3439" s="24"/>
      <c r="J3439" s="24"/>
      <c r="K3439" s="24"/>
      <c r="M3439" s="24"/>
      <c r="N3439" s="24"/>
      <c r="P3439" s="24"/>
    </row>
    <row r="3440" spans="2:16" x14ac:dyDescent="0.25">
      <c r="B3440" s="24"/>
      <c r="E3440" s="24"/>
      <c r="G3440" s="24"/>
      <c r="H3440" s="24"/>
      <c r="J3440" s="24"/>
      <c r="K3440" s="24"/>
      <c r="M3440" s="24"/>
      <c r="N3440" s="24"/>
      <c r="P3440" s="24"/>
    </row>
    <row r="3441" spans="2:16" x14ac:dyDescent="0.25">
      <c r="B3441" s="24"/>
      <c r="E3441" s="24"/>
      <c r="G3441" s="24"/>
      <c r="H3441" s="24"/>
      <c r="J3441" s="24"/>
      <c r="K3441" s="24"/>
      <c r="M3441" s="24"/>
      <c r="N3441" s="24"/>
      <c r="P3441" s="24"/>
    </row>
    <row r="3442" spans="2:16" x14ac:dyDescent="0.25">
      <c r="B3442" s="24"/>
      <c r="E3442" s="24"/>
      <c r="G3442" s="24"/>
      <c r="H3442" s="24"/>
      <c r="J3442" s="24"/>
      <c r="K3442" s="24"/>
      <c r="M3442" s="24"/>
      <c r="N3442" s="24"/>
      <c r="P3442" s="24"/>
    </row>
    <row r="3443" spans="2:16" x14ac:dyDescent="0.25">
      <c r="B3443" s="24"/>
      <c r="E3443" s="24"/>
      <c r="G3443" s="24"/>
      <c r="H3443" s="24"/>
      <c r="J3443" s="24"/>
      <c r="K3443" s="24"/>
      <c r="M3443" s="24"/>
      <c r="N3443" s="24"/>
      <c r="P3443" s="24"/>
    </row>
    <row r="3444" spans="2:16" x14ac:dyDescent="0.25">
      <c r="B3444" s="24"/>
      <c r="E3444" s="24"/>
      <c r="G3444" s="24"/>
      <c r="H3444" s="24"/>
      <c r="J3444" s="24"/>
      <c r="K3444" s="24"/>
      <c r="M3444" s="24"/>
      <c r="N3444" s="24"/>
      <c r="P3444" s="24"/>
    </row>
    <row r="3445" spans="2:16" x14ac:dyDescent="0.25">
      <c r="B3445" s="24"/>
      <c r="E3445" s="24"/>
      <c r="G3445" s="24"/>
      <c r="H3445" s="24"/>
      <c r="J3445" s="24"/>
      <c r="K3445" s="24"/>
      <c r="M3445" s="24"/>
      <c r="N3445" s="24"/>
      <c r="P3445" s="24"/>
    </row>
    <row r="3446" spans="2:16" x14ac:dyDescent="0.25">
      <c r="B3446" s="24"/>
      <c r="E3446" s="24"/>
      <c r="G3446" s="24"/>
      <c r="H3446" s="24"/>
      <c r="J3446" s="24"/>
      <c r="K3446" s="24"/>
      <c r="M3446" s="24"/>
      <c r="N3446" s="24"/>
      <c r="P3446" s="24"/>
    </row>
    <row r="3447" spans="2:16" x14ac:dyDescent="0.25">
      <c r="B3447" s="24"/>
      <c r="E3447" s="24"/>
      <c r="G3447" s="24"/>
      <c r="H3447" s="24"/>
      <c r="J3447" s="24"/>
      <c r="K3447" s="24"/>
      <c r="M3447" s="24"/>
      <c r="N3447" s="24"/>
      <c r="P3447" s="24"/>
    </row>
    <row r="3448" spans="2:16" x14ac:dyDescent="0.25">
      <c r="B3448" s="24"/>
      <c r="E3448" s="24"/>
      <c r="G3448" s="24"/>
      <c r="H3448" s="24"/>
      <c r="J3448" s="24"/>
      <c r="K3448" s="24"/>
      <c r="M3448" s="24"/>
      <c r="N3448" s="24"/>
      <c r="P3448" s="24"/>
    </row>
    <row r="3449" spans="2:16" x14ac:dyDescent="0.25">
      <c r="B3449" s="24"/>
      <c r="E3449" s="24"/>
      <c r="G3449" s="24"/>
      <c r="H3449" s="24"/>
      <c r="J3449" s="24"/>
      <c r="K3449" s="24"/>
      <c r="M3449" s="24"/>
      <c r="N3449" s="24"/>
      <c r="P3449" s="24"/>
    </row>
    <row r="3450" spans="2:16" x14ac:dyDescent="0.25">
      <c r="B3450" s="24"/>
      <c r="E3450" s="24"/>
      <c r="G3450" s="24"/>
      <c r="H3450" s="24"/>
      <c r="J3450" s="24"/>
      <c r="K3450" s="24"/>
      <c r="M3450" s="24"/>
      <c r="N3450" s="24"/>
      <c r="P3450" s="24"/>
    </row>
    <row r="3451" spans="2:16" x14ac:dyDescent="0.25">
      <c r="B3451" s="24"/>
      <c r="E3451" s="24"/>
      <c r="G3451" s="24"/>
      <c r="H3451" s="24"/>
      <c r="J3451" s="24"/>
      <c r="K3451" s="24"/>
      <c r="M3451" s="24"/>
      <c r="N3451" s="24"/>
      <c r="P3451" s="24"/>
    </row>
    <row r="3452" spans="2:16" x14ac:dyDescent="0.25">
      <c r="B3452" s="24"/>
      <c r="E3452" s="24"/>
      <c r="G3452" s="24"/>
      <c r="H3452" s="24"/>
      <c r="J3452" s="24"/>
      <c r="K3452" s="24"/>
      <c r="M3452" s="24"/>
      <c r="N3452" s="24"/>
      <c r="P3452" s="24"/>
    </row>
    <row r="3453" spans="2:16" x14ac:dyDescent="0.25">
      <c r="B3453" s="24"/>
      <c r="E3453" s="24"/>
      <c r="G3453" s="24"/>
      <c r="H3453" s="24"/>
      <c r="J3453" s="24"/>
      <c r="K3453" s="24"/>
      <c r="M3453" s="24"/>
      <c r="N3453" s="24"/>
      <c r="P3453" s="24"/>
    </row>
    <row r="3454" spans="2:16" x14ac:dyDescent="0.25">
      <c r="B3454" s="24"/>
      <c r="E3454" s="24"/>
      <c r="G3454" s="24"/>
      <c r="H3454" s="24"/>
      <c r="J3454" s="24"/>
      <c r="K3454" s="24"/>
      <c r="M3454" s="24"/>
      <c r="N3454" s="24"/>
      <c r="P3454" s="24"/>
    </row>
    <row r="3455" spans="2:16" x14ac:dyDescent="0.25">
      <c r="B3455" s="24"/>
      <c r="E3455" s="24"/>
      <c r="G3455" s="24"/>
      <c r="H3455" s="24"/>
      <c r="J3455" s="24"/>
      <c r="K3455" s="24"/>
      <c r="M3455" s="24"/>
      <c r="N3455" s="24"/>
      <c r="P3455" s="24"/>
    </row>
    <row r="3456" spans="2:16" x14ac:dyDescent="0.25">
      <c r="B3456" s="24"/>
      <c r="E3456" s="24"/>
      <c r="G3456" s="24"/>
      <c r="H3456" s="24"/>
      <c r="J3456" s="24"/>
      <c r="K3456" s="24"/>
      <c r="M3456" s="24"/>
      <c r="N3456" s="24"/>
      <c r="P3456" s="24"/>
    </row>
    <row r="3457" spans="2:16" x14ac:dyDescent="0.25">
      <c r="B3457" s="24"/>
      <c r="E3457" s="24"/>
      <c r="G3457" s="24"/>
      <c r="H3457" s="24"/>
      <c r="J3457" s="24"/>
      <c r="K3457" s="24"/>
      <c r="M3457" s="24"/>
      <c r="N3457" s="24"/>
      <c r="P3457" s="24"/>
    </row>
    <row r="3458" spans="2:16" x14ac:dyDescent="0.25">
      <c r="B3458" s="24"/>
      <c r="E3458" s="24"/>
      <c r="G3458" s="24"/>
      <c r="H3458" s="24"/>
      <c r="J3458" s="24"/>
      <c r="K3458" s="24"/>
      <c r="M3458" s="24"/>
      <c r="N3458" s="24"/>
      <c r="P3458" s="24"/>
    </row>
    <row r="3459" spans="2:16" x14ac:dyDescent="0.25">
      <c r="B3459" s="24"/>
      <c r="E3459" s="24"/>
      <c r="G3459" s="24"/>
      <c r="H3459" s="24"/>
      <c r="J3459" s="24"/>
      <c r="K3459" s="24"/>
      <c r="M3459" s="24"/>
      <c r="N3459" s="24"/>
      <c r="P3459" s="24"/>
    </row>
    <row r="3460" spans="2:16" x14ac:dyDescent="0.25">
      <c r="B3460" s="24"/>
      <c r="E3460" s="24"/>
      <c r="G3460" s="24"/>
      <c r="H3460" s="24"/>
      <c r="J3460" s="24"/>
      <c r="K3460" s="24"/>
      <c r="M3460" s="24"/>
      <c r="N3460" s="24"/>
      <c r="P3460" s="24"/>
    </row>
    <row r="3461" spans="2:16" x14ac:dyDescent="0.25">
      <c r="B3461" s="24"/>
      <c r="E3461" s="24"/>
      <c r="G3461" s="24"/>
      <c r="H3461" s="24"/>
      <c r="J3461" s="24"/>
      <c r="K3461" s="24"/>
      <c r="M3461" s="24"/>
      <c r="N3461" s="24"/>
      <c r="P3461" s="24"/>
    </row>
    <row r="3462" spans="2:16" x14ac:dyDescent="0.25">
      <c r="B3462" s="24"/>
      <c r="E3462" s="24"/>
      <c r="G3462" s="24"/>
      <c r="H3462" s="24"/>
      <c r="J3462" s="24"/>
      <c r="K3462" s="24"/>
      <c r="M3462" s="24"/>
      <c r="N3462" s="24"/>
      <c r="P3462" s="24"/>
    </row>
    <row r="3463" spans="2:16" x14ac:dyDescent="0.25">
      <c r="B3463" s="24"/>
      <c r="E3463" s="24"/>
      <c r="G3463" s="24"/>
      <c r="H3463" s="24"/>
      <c r="J3463" s="24"/>
      <c r="K3463" s="24"/>
      <c r="M3463" s="24"/>
      <c r="N3463" s="24"/>
      <c r="P3463" s="24"/>
    </row>
    <row r="3464" spans="2:16" x14ac:dyDescent="0.25">
      <c r="B3464" s="24"/>
      <c r="E3464" s="24"/>
      <c r="G3464" s="24"/>
      <c r="H3464" s="24"/>
      <c r="J3464" s="24"/>
      <c r="K3464" s="24"/>
      <c r="M3464" s="24"/>
      <c r="N3464" s="24"/>
      <c r="P3464" s="24"/>
    </row>
    <row r="3465" spans="2:16" x14ac:dyDescent="0.25">
      <c r="B3465" s="24"/>
      <c r="E3465" s="24"/>
      <c r="G3465" s="24"/>
      <c r="H3465" s="24"/>
      <c r="J3465" s="24"/>
      <c r="K3465" s="24"/>
      <c r="M3465" s="24"/>
      <c r="N3465" s="24"/>
      <c r="P3465" s="24"/>
    </row>
    <row r="3466" spans="2:16" x14ac:dyDescent="0.25">
      <c r="B3466" s="24"/>
      <c r="E3466" s="24"/>
      <c r="G3466" s="24"/>
      <c r="H3466" s="24"/>
      <c r="J3466" s="24"/>
      <c r="K3466" s="24"/>
      <c r="M3466" s="24"/>
      <c r="N3466" s="24"/>
      <c r="P3466" s="24"/>
    </row>
    <row r="3467" spans="2:16" x14ac:dyDescent="0.25">
      <c r="B3467" s="24"/>
      <c r="E3467" s="24"/>
      <c r="G3467" s="24"/>
      <c r="H3467" s="24"/>
      <c r="J3467" s="24"/>
      <c r="K3467" s="24"/>
      <c r="M3467" s="24"/>
      <c r="N3467" s="24"/>
      <c r="P3467" s="24"/>
    </row>
    <row r="3468" spans="2:16" x14ac:dyDescent="0.25">
      <c r="B3468" s="24"/>
      <c r="E3468" s="24"/>
      <c r="G3468" s="24"/>
      <c r="H3468" s="24"/>
      <c r="J3468" s="24"/>
      <c r="K3468" s="24"/>
      <c r="M3468" s="24"/>
      <c r="N3468" s="24"/>
      <c r="P3468" s="24"/>
    </row>
    <row r="3469" spans="2:16" x14ac:dyDescent="0.25">
      <c r="B3469" s="24"/>
      <c r="E3469" s="24"/>
      <c r="G3469" s="24"/>
      <c r="H3469" s="24"/>
      <c r="J3469" s="24"/>
      <c r="K3469" s="24"/>
      <c r="M3469" s="24"/>
      <c r="N3469" s="24"/>
      <c r="P3469" s="24"/>
    </row>
    <row r="3470" spans="2:16" x14ac:dyDescent="0.25">
      <c r="B3470" s="24"/>
      <c r="E3470" s="24"/>
      <c r="G3470" s="24"/>
      <c r="H3470" s="24"/>
      <c r="J3470" s="24"/>
      <c r="K3470" s="24"/>
      <c r="M3470" s="24"/>
      <c r="N3470" s="24"/>
      <c r="P3470" s="24"/>
    </row>
    <row r="3471" spans="2:16" x14ac:dyDescent="0.25">
      <c r="B3471" s="24"/>
      <c r="E3471" s="24"/>
      <c r="G3471" s="24"/>
      <c r="H3471" s="24"/>
      <c r="J3471" s="24"/>
      <c r="K3471" s="24"/>
      <c r="M3471" s="24"/>
      <c r="N3471" s="24"/>
      <c r="P3471" s="24"/>
    </row>
    <row r="3472" spans="2:16" x14ac:dyDescent="0.25">
      <c r="B3472" s="24"/>
      <c r="E3472" s="24"/>
      <c r="G3472" s="24"/>
      <c r="H3472" s="24"/>
      <c r="J3472" s="24"/>
      <c r="K3472" s="24"/>
      <c r="M3472" s="24"/>
      <c r="N3472" s="24"/>
      <c r="P3472" s="24"/>
    </row>
    <row r="3473" spans="2:16" x14ac:dyDescent="0.25">
      <c r="B3473" s="24"/>
      <c r="E3473" s="24"/>
      <c r="G3473" s="24"/>
      <c r="H3473" s="24"/>
      <c r="J3473" s="24"/>
      <c r="K3473" s="24"/>
      <c r="M3473" s="24"/>
      <c r="N3473" s="24"/>
      <c r="P3473" s="24"/>
    </row>
    <row r="3474" spans="2:16" x14ac:dyDescent="0.25">
      <c r="B3474" s="24"/>
      <c r="E3474" s="24"/>
      <c r="G3474" s="24"/>
      <c r="H3474" s="24"/>
      <c r="J3474" s="24"/>
      <c r="K3474" s="24"/>
      <c r="M3474" s="24"/>
      <c r="N3474" s="24"/>
      <c r="P3474" s="24"/>
    </row>
    <row r="3475" spans="2:16" x14ac:dyDescent="0.25">
      <c r="B3475" s="24"/>
      <c r="E3475" s="24"/>
      <c r="G3475" s="24"/>
      <c r="H3475" s="24"/>
      <c r="J3475" s="24"/>
      <c r="K3475" s="24"/>
      <c r="M3475" s="24"/>
      <c r="N3475" s="24"/>
      <c r="P3475" s="24"/>
    </row>
    <row r="3476" spans="2:16" x14ac:dyDescent="0.25">
      <c r="B3476" s="24"/>
      <c r="E3476" s="24"/>
      <c r="G3476" s="24"/>
      <c r="H3476" s="24"/>
      <c r="J3476" s="24"/>
      <c r="K3476" s="24"/>
      <c r="M3476" s="24"/>
      <c r="N3476" s="24"/>
      <c r="P3476" s="24"/>
    </row>
    <row r="3477" spans="2:16" x14ac:dyDescent="0.25">
      <c r="B3477" s="24"/>
      <c r="E3477" s="24"/>
      <c r="G3477" s="24"/>
      <c r="H3477" s="24"/>
      <c r="J3477" s="24"/>
      <c r="K3477" s="24"/>
      <c r="M3477" s="24"/>
      <c r="N3477" s="24"/>
      <c r="P3477" s="24"/>
    </row>
    <row r="3478" spans="2:16" x14ac:dyDescent="0.25">
      <c r="B3478" s="24"/>
      <c r="E3478" s="24"/>
      <c r="G3478" s="24"/>
      <c r="H3478" s="24"/>
      <c r="J3478" s="24"/>
      <c r="K3478" s="24"/>
      <c r="M3478" s="24"/>
      <c r="N3478" s="24"/>
      <c r="P3478" s="24"/>
    </row>
    <row r="3479" spans="2:16" x14ac:dyDescent="0.25">
      <c r="B3479" s="24"/>
      <c r="E3479" s="24"/>
      <c r="G3479" s="24"/>
      <c r="H3479" s="24"/>
      <c r="J3479" s="24"/>
      <c r="K3479" s="24"/>
      <c r="M3479" s="24"/>
      <c r="N3479" s="24"/>
      <c r="P3479" s="24"/>
    </row>
    <row r="3480" spans="2:16" x14ac:dyDescent="0.25">
      <c r="B3480" s="24"/>
      <c r="E3480" s="24"/>
      <c r="G3480" s="24"/>
      <c r="H3480" s="24"/>
      <c r="J3480" s="24"/>
      <c r="K3480" s="24"/>
      <c r="M3480" s="24"/>
      <c r="N3480" s="24"/>
      <c r="P3480" s="24"/>
    </row>
    <row r="3481" spans="2:16" x14ac:dyDescent="0.25">
      <c r="B3481" s="24"/>
      <c r="E3481" s="24"/>
      <c r="G3481" s="24"/>
      <c r="H3481" s="24"/>
      <c r="J3481" s="24"/>
      <c r="K3481" s="24"/>
      <c r="M3481" s="24"/>
      <c r="N3481" s="24"/>
      <c r="P3481" s="24"/>
    </row>
    <row r="3482" spans="2:16" x14ac:dyDescent="0.25">
      <c r="B3482" s="24"/>
      <c r="E3482" s="24"/>
      <c r="G3482" s="24"/>
      <c r="H3482" s="24"/>
      <c r="J3482" s="24"/>
      <c r="K3482" s="24"/>
      <c r="M3482" s="24"/>
      <c r="N3482" s="24"/>
      <c r="P3482" s="24"/>
    </row>
    <row r="3483" spans="2:16" x14ac:dyDescent="0.25">
      <c r="B3483" s="24"/>
      <c r="E3483" s="24"/>
      <c r="G3483" s="24"/>
      <c r="H3483" s="24"/>
      <c r="J3483" s="24"/>
      <c r="K3483" s="24"/>
      <c r="M3483" s="24"/>
      <c r="N3483" s="24"/>
      <c r="P3483" s="24"/>
    </row>
    <row r="3484" spans="2:16" x14ac:dyDescent="0.25">
      <c r="B3484" s="24"/>
      <c r="E3484" s="24"/>
      <c r="G3484" s="24"/>
      <c r="H3484" s="24"/>
      <c r="J3484" s="24"/>
      <c r="K3484" s="24"/>
      <c r="M3484" s="24"/>
      <c r="N3484" s="24"/>
      <c r="P3484" s="24"/>
    </row>
    <row r="3485" spans="2:16" x14ac:dyDescent="0.25">
      <c r="B3485" s="24"/>
      <c r="E3485" s="24"/>
      <c r="G3485" s="24"/>
      <c r="H3485" s="24"/>
      <c r="J3485" s="24"/>
      <c r="K3485" s="24"/>
      <c r="M3485" s="24"/>
      <c r="N3485" s="24"/>
      <c r="P3485" s="24"/>
    </row>
    <row r="3486" spans="2:16" x14ac:dyDescent="0.25">
      <c r="B3486" s="24"/>
      <c r="E3486" s="24"/>
      <c r="G3486" s="24"/>
      <c r="H3486" s="24"/>
      <c r="J3486" s="24"/>
      <c r="K3486" s="24"/>
      <c r="M3486" s="24"/>
      <c r="N3486" s="24"/>
      <c r="P3486" s="24"/>
    </row>
    <row r="3487" spans="2:16" x14ac:dyDescent="0.25">
      <c r="B3487" s="24"/>
      <c r="E3487" s="24"/>
      <c r="G3487" s="24"/>
      <c r="H3487" s="24"/>
      <c r="J3487" s="24"/>
      <c r="K3487" s="24"/>
      <c r="M3487" s="24"/>
      <c r="N3487" s="24"/>
      <c r="P3487" s="24"/>
    </row>
    <row r="3488" spans="2:16" x14ac:dyDescent="0.25">
      <c r="B3488" s="24"/>
      <c r="E3488" s="24"/>
      <c r="G3488" s="24"/>
      <c r="H3488" s="24"/>
      <c r="J3488" s="24"/>
      <c r="K3488" s="24"/>
      <c r="M3488" s="24"/>
      <c r="N3488" s="24"/>
      <c r="P3488" s="24"/>
    </row>
    <row r="3489" spans="2:16" x14ac:dyDescent="0.25">
      <c r="B3489" s="24"/>
      <c r="E3489" s="24"/>
      <c r="G3489" s="24"/>
      <c r="H3489" s="24"/>
      <c r="J3489" s="24"/>
      <c r="K3489" s="24"/>
      <c r="M3489" s="24"/>
      <c r="N3489" s="24"/>
      <c r="P3489" s="24"/>
    </row>
    <row r="3490" spans="2:16" x14ac:dyDescent="0.25">
      <c r="B3490" s="24"/>
      <c r="E3490" s="24"/>
      <c r="G3490" s="24"/>
      <c r="H3490" s="24"/>
      <c r="J3490" s="24"/>
      <c r="K3490" s="24"/>
      <c r="M3490" s="24"/>
      <c r="N3490" s="24"/>
      <c r="P3490" s="24"/>
    </row>
    <row r="3491" spans="2:16" x14ac:dyDescent="0.25">
      <c r="B3491" s="24"/>
      <c r="E3491" s="24"/>
      <c r="G3491" s="24"/>
      <c r="H3491" s="24"/>
      <c r="J3491" s="24"/>
      <c r="K3491" s="24"/>
      <c r="M3491" s="24"/>
      <c r="N3491" s="24"/>
      <c r="P3491" s="24"/>
    </row>
    <row r="3492" spans="2:16" x14ac:dyDescent="0.25">
      <c r="B3492" s="24"/>
      <c r="E3492" s="24"/>
      <c r="G3492" s="24"/>
      <c r="H3492" s="24"/>
      <c r="J3492" s="24"/>
      <c r="K3492" s="24"/>
      <c r="M3492" s="24"/>
      <c r="N3492" s="24"/>
      <c r="P3492" s="24"/>
    </row>
    <row r="3493" spans="2:16" x14ac:dyDescent="0.25">
      <c r="B3493" s="24"/>
      <c r="E3493" s="24"/>
      <c r="G3493" s="24"/>
      <c r="H3493" s="24"/>
      <c r="J3493" s="24"/>
      <c r="K3493" s="24"/>
      <c r="M3493" s="24"/>
      <c r="N3493" s="24"/>
      <c r="P3493" s="24"/>
    </row>
    <row r="3494" spans="2:16" x14ac:dyDescent="0.25">
      <c r="B3494" s="24"/>
      <c r="E3494" s="24"/>
      <c r="G3494" s="24"/>
      <c r="H3494" s="24"/>
      <c r="J3494" s="24"/>
      <c r="K3494" s="24"/>
      <c r="M3494" s="24"/>
      <c r="N3494" s="24"/>
      <c r="P3494" s="24"/>
    </row>
    <row r="3495" spans="2:16" x14ac:dyDescent="0.25">
      <c r="B3495" s="24"/>
      <c r="E3495" s="24"/>
      <c r="G3495" s="24"/>
      <c r="H3495" s="24"/>
      <c r="J3495" s="24"/>
      <c r="K3495" s="24"/>
      <c r="M3495" s="24"/>
      <c r="N3495" s="24"/>
      <c r="P3495" s="24"/>
    </row>
    <row r="3496" spans="2:16" x14ac:dyDescent="0.25">
      <c r="B3496" s="24"/>
      <c r="E3496" s="24"/>
      <c r="G3496" s="24"/>
      <c r="H3496" s="24"/>
      <c r="J3496" s="24"/>
      <c r="K3496" s="24"/>
      <c r="M3496" s="24"/>
      <c r="N3496" s="24"/>
      <c r="P3496" s="24"/>
    </row>
    <row r="3497" spans="2:16" x14ac:dyDescent="0.25">
      <c r="B3497" s="24"/>
      <c r="E3497" s="24"/>
      <c r="G3497" s="24"/>
      <c r="H3497" s="24"/>
      <c r="J3497" s="24"/>
      <c r="K3497" s="24"/>
      <c r="M3497" s="24"/>
      <c r="N3497" s="24"/>
      <c r="P3497" s="24"/>
    </row>
    <row r="3498" spans="2:16" x14ac:dyDescent="0.25">
      <c r="B3498" s="24"/>
      <c r="E3498" s="24"/>
      <c r="G3498" s="24"/>
      <c r="H3498" s="24"/>
      <c r="J3498" s="24"/>
      <c r="K3498" s="24"/>
      <c r="M3498" s="24"/>
      <c r="N3498" s="24"/>
      <c r="P3498" s="24"/>
    </row>
    <row r="3499" spans="2:16" x14ac:dyDescent="0.25">
      <c r="B3499" s="24"/>
      <c r="E3499" s="24"/>
      <c r="G3499" s="24"/>
      <c r="H3499" s="24"/>
      <c r="J3499" s="24"/>
      <c r="K3499" s="24"/>
      <c r="M3499" s="24"/>
      <c r="N3499" s="24"/>
      <c r="P3499" s="24"/>
    </row>
    <row r="3500" spans="2:16" x14ac:dyDescent="0.25">
      <c r="B3500" s="24"/>
      <c r="E3500" s="24"/>
      <c r="G3500" s="24"/>
      <c r="H3500" s="24"/>
      <c r="J3500" s="24"/>
      <c r="K3500" s="24"/>
      <c r="M3500" s="24"/>
      <c r="N3500" s="24"/>
      <c r="P3500" s="24"/>
    </row>
    <row r="3501" spans="2:16" x14ac:dyDescent="0.25">
      <c r="B3501" s="24"/>
      <c r="E3501" s="24"/>
      <c r="G3501" s="24"/>
      <c r="H3501" s="24"/>
      <c r="J3501" s="24"/>
      <c r="K3501" s="24"/>
      <c r="M3501" s="24"/>
      <c r="N3501" s="24"/>
      <c r="P3501" s="24"/>
    </row>
    <row r="3502" spans="2:16" x14ac:dyDescent="0.25">
      <c r="B3502" s="24"/>
      <c r="E3502" s="24"/>
      <c r="G3502" s="24"/>
      <c r="H3502" s="24"/>
      <c r="J3502" s="24"/>
      <c r="K3502" s="24"/>
      <c r="M3502" s="24"/>
      <c r="N3502" s="24"/>
      <c r="P3502" s="24"/>
    </row>
    <row r="3503" spans="2:16" x14ac:dyDescent="0.25">
      <c r="B3503" s="24"/>
      <c r="E3503" s="24"/>
      <c r="G3503" s="24"/>
      <c r="H3503" s="24"/>
      <c r="J3503" s="24"/>
      <c r="K3503" s="24"/>
      <c r="M3503" s="24"/>
      <c r="N3503" s="24"/>
      <c r="P3503" s="24"/>
    </row>
    <row r="3504" spans="2:16" x14ac:dyDescent="0.25">
      <c r="B3504" s="24"/>
      <c r="E3504" s="24"/>
      <c r="G3504" s="24"/>
      <c r="H3504" s="24"/>
      <c r="J3504" s="24"/>
      <c r="K3504" s="24"/>
      <c r="M3504" s="24"/>
      <c r="N3504" s="24"/>
      <c r="P3504" s="24"/>
    </row>
    <row r="3505" spans="2:16" x14ac:dyDescent="0.25">
      <c r="B3505" s="24"/>
      <c r="E3505" s="24"/>
      <c r="G3505" s="24"/>
      <c r="H3505" s="24"/>
      <c r="J3505" s="24"/>
      <c r="K3505" s="24"/>
      <c r="M3505" s="24"/>
      <c r="N3505" s="24"/>
      <c r="P3505" s="24"/>
    </row>
    <row r="3506" spans="2:16" x14ac:dyDescent="0.25">
      <c r="B3506" s="24"/>
      <c r="E3506" s="24"/>
      <c r="G3506" s="24"/>
      <c r="H3506" s="24"/>
      <c r="J3506" s="24"/>
      <c r="K3506" s="24"/>
      <c r="M3506" s="24"/>
      <c r="N3506" s="24"/>
      <c r="P3506" s="24"/>
    </row>
    <row r="3507" spans="2:16" x14ac:dyDescent="0.25">
      <c r="B3507" s="24"/>
      <c r="E3507" s="24"/>
      <c r="G3507" s="24"/>
      <c r="H3507" s="24"/>
      <c r="J3507" s="24"/>
      <c r="K3507" s="24"/>
      <c r="M3507" s="24"/>
      <c r="N3507" s="24"/>
      <c r="P3507" s="24"/>
    </row>
    <row r="3508" spans="2:16" x14ac:dyDescent="0.25">
      <c r="B3508" s="24"/>
      <c r="E3508" s="24"/>
      <c r="G3508" s="24"/>
      <c r="H3508" s="24"/>
      <c r="J3508" s="24"/>
      <c r="K3508" s="24"/>
      <c r="M3508" s="24"/>
      <c r="N3508" s="24"/>
      <c r="P3508" s="24"/>
    </row>
    <row r="3509" spans="2:16" x14ac:dyDescent="0.25">
      <c r="B3509" s="24"/>
      <c r="E3509" s="24"/>
      <c r="G3509" s="24"/>
      <c r="H3509" s="24"/>
      <c r="J3509" s="24"/>
      <c r="K3509" s="24"/>
      <c r="M3509" s="24"/>
      <c r="N3509" s="24"/>
      <c r="P3509" s="24"/>
    </row>
    <row r="3510" spans="2:16" x14ac:dyDescent="0.25">
      <c r="B3510" s="24"/>
      <c r="E3510" s="24"/>
      <c r="G3510" s="24"/>
      <c r="H3510" s="24"/>
      <c r="J3510" s="24"/>
      <c r="K3510" s="24"/>
      <c r="M3510" s="24"/>
      <c r="N3510" s="24"/>
      <c r="P3510" s="24"/>
    </row>
    <row r="3511" spans="2:16" x14ac:dyDescent="0.25">
      <c r="B3511" s="24"/>
      <c r="E3511" s="24"/>
      <c r="G3511" s="24"/>
      <c r="H3511" s="24"/>
      <c r="J3511" s="24"/>
      <c r="K3511" s="24"/>
      <c r="M3511" s="24"/>
      <c r="N3511" s="24"/>
      <c r="P3511" s="24"/>
    </row>
    <row r="3512" spans="2:16" x14ac:dyDescent="0.25">
      <c r="B3512" s="24"/>
      <c r="E3512" s="24"/>
      <c r="G3512" s="24"/>
      <c r="H3512" s="24"/>
      <c r="J3512" s="24"/>
      <c r="K3512" s="24"/>
      <c r="M3512" s="24"/>
      <c r="N3512" s="24"/>
      <c r="P3512" s="24"/>
    </row>
    <row r="3513" spans="2:16" x14ac:dyDescent="0.25">
      <c r="B3513" s="24"/>
      <c r="E3513" s="24"/>
      <c r="G3513" s="24"/>
      <c r="H3513" s="24"/>
      <c r="J3513" s="24"/>
      <c r="K3513" s="24"/>
      <c r="M3513" s="24"/>
      <c r="N3513" s="24"/>
      <c r="P3513" s="24"/>
    </row>
    <row r="3514" spans="2:16" x14ac:dyDescent="0.25">
      <c r="B3514" s="24"/>
      <c r="E3514" s="24"/>
      <c r="G3514" s="24"/>
      <c r="H3514" s="24"/>
      <c r="J3514" s="24"/>
      <c r="K3514" s="24"/>
      <c r="M3514" s="24"/>
      <c r="N3514" s="24"/>
      <c r="P3514" s="24"/>
    </row>
    <row r="3515" spans="2:16" x14ac:dyDescent="0.25">
      <c r="B3515" s="24"/>
      <c r="E3515" s="24"/>
      <c r="G3515" s="24"/>
      <c r="H3515" s="24"/>
      <c r="J3515" s="24"/>
      <c r="K3515" s="24"/>
      <c r="M3515" s="24"/>
      <c r="N3515" s="24"/>
      <c r="P3515" s="24"/>
    </row>
    <row r="3516" spans="2:16" x14ac:dyDescent="0.25">
      <c r="B3516" s="24"/>
      <c r="E3516" s="24"/>
      <c r="G3516" s="24"/>
      <c r="H3516" s="24"/>
      <c r="J3516" s="24"/>
      <c r="K3516" s="24"/>
      <c r="M3516" s="24"/>
      <c r="N3516" s="24"/>
      <c r="P3516" s="24"/>
    </row>
    <row r="3517" spans="2:16" x14ac:dyDescent="0.25">
      <c r="B3517" s="24"/>
      <c r="E3517" s="24"/>
      <c r="G3517" s="24"/>
      <c r="H3517" s="24"/>
      <c r="J3517" s="24"/>
      <c r="K3517" s="24"/>
      <c r="M3517" s="24"/>
      <c r="N3517" s="24"/>
      <c r="P3517" s="24"/>
    </row>
    <row r="3518" spans="2:16" x14ac:dyDescent="0.25">
      <c r="B3518" s="24"/>
      <c r="E3518" s="24"/>
      <c r="G3518" s="24"/>
      <c r="H3518" s="24"/>
      <c r="J3518" s="24"/>
      <c r="K3518" s="24"/>
      <c r="M3518" s="24"/>
      <c r="N3518" s="24"/>
      <c r="P3518" s="24"/>
    </row>
    <row r="3519" spans="2:16" x14ac:dyDescent="0.25">
      <c r="B3519" s="24"/>
      <c r="E3519" s="24"/>
      <c r="G3519" s="24"/>
      <c r="H3519" s="24"/>
      <c r="J3519" s="24"/>
      <c r="K3519" s="24"/>
      <c r="M3519" s="24"/>
      <c r="N3519" s="24"/>
      <c r="P3519" s="24"/>
    </row>
    <row r="3520" spans="2:16" x14ac:dyDescent="0.25">
      <c r="B3520" s="24"/>
      <c r="E3520" s="24"/>
      <c r="G3520" s="24"/>
      <c r="H3520" s="24"/>
      <c r="J3520" s="24"/>
      <c r="K3520" s="24"/>
      <c r="M3520" s="24"/>
      <c r="N3520" s="24"/>
      <c r="P3520" s="24"/>
    </row>
    <row r="3521" spans="2:16" x14ac:dyDescent="0.25">
      <c r="B3521" s="24"/>
      <c r="E3521" s="24"/>
      <c r="G3521" s="24"/>
      <c r="H3521" s="24"/>
      <c r="J3521" s="24"/>
      <c r="K3521" s="24"/>
      <c r="M3521" s="24"/>
      <c r="N3521" s="24"/>
      <c r="P3521" s="24"/>
    </row>
    <row r="3522" spans="2:16" x14ac:dyDescent="0.25">
      <c r="B3522" s="24"/>
      <c r="E3522" s="24"/>
      <c r="G3522" s="24"/>
      <c r="H3522" s="24"/>
      <c r="J3522" s="24"/>
      <c r="K3522" s="24"/>
      <c r="M3522" s="24"/>
      <c r="N3522" s="24"/>
      <c r="P3522" s="24"/>
    </row>
    <row r="3523" spans="2:16" x14ac:dyDescent="0.25">
      <c r="B3523" s="24"/>
      <c r="E3523" s="24"/>
      <c r="G3523" s="24"/>
      <c r="H3523" s="24"/>
      <c r="J3523" s="24"/>
      <c r="K3523" s="24"/>
      <c r="M3523" s="24"/>
      <c r="N3523" s="24"/>
      <c r="P3523" s="24"/>
    </row>
    <row r="3524" spans="2:16" x14ac:dyDescent="0.25">
      <c r="B3524" s="24"/>
      <c r="E3524" s="24"/>
      <c r="G3524" s="24"/>
      <c r="H3524" s="24"/>
      <c r="J3524" s="24"/>
      <c r="K3524" s="24"/>
      <c r="M3524" s="24"/>
      <c r="N3524" s="24"/>
      <c r="P3524" s="24"/>
    </row>
    <row r="3525" spans="2:16" x14ac:dyDescent="0.25">
      <c r="B3525" s="24"/>
      <c r="E3525" s="24"/>
      <c r="G3525" s="24"/>
      <c r="H3525" s="24"/>
      <c r="J3525" s="24"/>
      <c r="K3525" s="24"/>
      <c r="M3525" s="24"/>
      <c r="N3525" s="24"/>
      <c r="P3525" s="24"/>
    </row>
    <row r="3526" spans="2:16" x14ac:dyDescent="0.25">
      <c r="B3526" s="24"/>
      <c r="E3526" s="24"/>
      <c r="G3526" s="24"/>
      <c r="H3526" s="24"/>
      <c r="J3526" s="24"/>
      <c r="K3526" s="24"/>
      <c r="M3526" s="24"/>
      <c r="N3526" s="24"/>
      <c r="P3526" s="24"/>
    </row>
    <row r="3527" spans="2:16" x14ac:dyDescent="0.25">
      <c r="B3527" s="24"/>
      <c r="E3527" s="24"/>
      <c r="G3527" s="24"/>
      <c r="H3527" s="24"/>
      <c r="J3527" s="24"/>
      <c r="K3527" s="24"/>
      <c r="M3527" s="24"/>
      <c r="N3527" s="24"/>
      <c r="P3527" s="24"/>
    </row>
    <row r="3528" spans="2:16" x14ac:dyDescent="0.25">
      <c r="B3528" s="24"/>
      <c r="E3528" s="24"/>
      <c r="G3528" s="24"/>
      <c r="H3528" s="24"/>
      <c r="J3528" s="24"/>
      <c r="K3528" s="24"/>
      <c r="M3528" s="24"/>
      <c r="N3528" s="24"/>
      <c r="P3528" s="24"/>
    </row>
    <row r="3529" spans="2:16" x14ac:dyDescent="0.25">
      <c r="B3529" s="24"/>
      <c r="E3529" s="24"/>
      <c r="G3529" s="24"/>
      <c r="H3529" s="24"/>
      <c r="J3529" s="24"/>
      <c r="K3529" s="24"/>
      <c r="M3529" s="24"/>
      <c r="N3529" s="24"/>
      <c r="P3529" s="24"/>
    </row>
    <row r="3530" spans="2:16" x14ac:dyDescent="0.25">
      <c r="B3530" s="24"/>
      <c r="E3530" s="24"/>
      <c r="G3530" s="24"/>
      <c r="H3530" s="24"/>
      <c r="J3530" s="24"/>
      <c r="K3530" s="24"/>
      <c r="M3530" s="24"/>
      <c r="N3530" s="24"/>
      <c r="P3530" s="24"/>
    </row>
    <row r="3531" spans="2:16" x14ac:dyDescent="0.25">
      <c r="B3531" s="24"/>
      <c r="E3531" s="24"/>
      <c r="G3531" s="24"/>
      <c r="H3531" s="24"/>
      <c r="J3531" s="24"/>
      <c r="K3531" s="24"/>
      <c r="M3531" s="24"/>
      <c r="N3531" s="24"/>
      <c r="P3531" s="24"/>
    </row>
    <row r="3532" spans="2:16" x14ac:dyDescent="0.25">
      <c r="B3532" s="24"/>
      <c r="E3532" s="24"/>
      <c r="G3532" s="24"/>
      <c r="H3532" s="24"/>
      <c r="J3532" s="24"/>
      <c r="K3532" s="24"/>
      <c r="M3532" s="24"/>
      <c r="N3532" s="24"/>
      <c r="P3532" s="24"/>
    </row>
    <row r="3533" spans="2:16" x14ac:dyDescent="0.25">
      <c r="B3533" s="24"/>
      <c r="E3533" s="24"/>
      <c r="G3533" s="24"/>
      <c r="H3533" s="24"/>
      <c r="J3533" s="24"/>
      <c r="K3533" s="24"/>
      <c r="M3533" s="24"/>
      <c r="N3533" s="24"/>
      <c r="P3533" s="24"/>
    </row>
    <row r="3534" spans="2:16" x14ac:dyDescent="0.25">
      <c r="B3534" s="24"/>
      <c r="E3534" s="24"/>
      <c r="G3534" s="24"/>
      <c r="H3534" s="24"/>
      <c r="J3534" s="24"/>
      <c r="K3534" s="24"/>
      <c r="M3534" s="24"/>
      <c r="N3534" s="24"/>
      <c r="P3534" s="24"/>
    </row>
    <row r="3535" spans="2:16" x14ac:dyDescent="0.25">
      <c r="B3535" s="24"/>
      <c r="E3535" s="24"/>
      <c r="G3535" s="24"/>
      <c r="H3535" s="24"/>
      <c r="J3535" s="24"/>
      <c r="K3535" s="24"/>
      <c r="M3535" s="24"/>
      <c r="N3535" s="24"/>
      <c r="P3535" s="24"/>
    </row>
    <row r="3536" spans="2:16" x14ac:dyDescent="0.25">
      <c r="B3536" s="24"/>
      <c r="E3536" s="24"/>
      <c r="G3536" s="24"/>
      <c r="H3536" s="24"/>
      <c r="J3536" s="24"/>
      <c r="K3536" s="24"/>
      <c r="M3536" s="24"/>
      <c r="N3536" s="24"/>
      <c r="P3536" s="24"/>
    </row>
    <row r="3537" spans="2:16" x14ac:dyDescent="0.25">
      <c r="B3537" s="24"/>
      <c r="E3537" s="24"/>
      <c r="G3537" s="24"/>
      <c r="H3537" s="24"/>
      <c r="J3537" s="24"/>
      <c r="K3537" s="24"/>
      <c r="M3537" s="24"/>
      <c r="N3537" s="24"/>
      <c r="P3537" s="24"/>
    </row>
    <row r="3538" spans="2:16" x14ac:dyDescent="0.25">
      <c r="B3538" s="24"/>
      <c r="E3538" s="24"/>
      <c r="G3538" s="24"/>
      <c r="H3538" s="24"/>
      <c r="J3538" s="24"/>
      <c r="K3538" s="24"/>
      <c r="M3538" s="24"/>
      <c r="N3538" s="24"/>
      <c r="P3538" s="24"/>
    </row>
    <row r="3539" spans="2:16" x14ac:dyDescent="0.25">
      <c r="B3539" s="24"/>
      <c r="E3539" s="24"/>
      <c r="G3539" s="24"/>
      <c r="H3539" s="24"/>
      <c r="J3539" s="24"/>
      <c r="K3539" s="24"/>
      <c r="M3539" s="24"/>
      <c r="N3539" s="24"/>
      <c r="P3539" s="24"/>
    </row>
    <row r="3540" spans="2:16" x14ac:dyDescent="0.25">
      <c r="B3540" s="24"/>
      <c r="E3540" s="24"/>
      <c r="G3540" s="24"/>
      <c r="H3540" s="24"/>
      <c r="J3540" s="24"/>
      <c r="K3540" s="24"/>
      <c r="M3540" s="24"/>
      <c r="N3540" s="24"/>
      <c r="P3540" s="24"/>
    </row>
    <row r="3541" spans="2:16" x14ac:dyDescent="0.25">
      <c r="B3541" s="24"/>
      <c r="E3541" s="24"/>
      <c r="G3541" s="24"/>
      <c r="H3541" s="24"/>
      <c r="J3541" s="24"/>
      <c r="K3541" s="24"/>
      <c r="M3541" s="24"/>
      <c r="N3541" s="24"/>
      <c r="P3541" s="24"/>
    </row>
    <row r="3542" spans="2:16" x14ac:dyDescent="0.25">
      <c r="B3542" s="24"/>
      <c r="E3542" s="24"/>
      <c r="G3542" s="24"/>
      <c r="H3542" s="24"/>
      <c r="J3542" s="24"/>
      <c r="K3542" s="24"/>
      <c r="M3542" s="24"/>
      <c r="N3542" s="24"/>
      <c r="P3542" s="24"/>
    </row>
    <row r="3543" spans="2:16" x14ac:dyDescent="0.25">
      <c r="B3543" s="24"/>
      <c r="E3543" s="24"/>
      <c r="G3543" s="24"/>
      <c r="H3543" s="24"/>
      <c r="J3543" s="24"/>
      <c r="K3543" s="24"/>
      <c r="M3543" s="24"/>
      <c r="N3543" s="24"/>
      <c r="P3543" s="24"/>
    </row>
    <row r="3544" spans="2:16" x14ac:dyDescent="0.25">
      <c r="B3544" s="24"/>
      <c r="E3544" s="24"/>
      <c r="G3544" s="24"/>
      <c r="H3544" s="24"/>
      <c r="J3544" s="24"/>
      <c r="K3544" s="24"/>
      <c r="M3544" s="24"/>
      <c r="N3544" s="24"/>
      <c r="P3544" s="24"/>
    </row>
    <row r="3545" spans="2:16" x14ac:dyDescent="0.25">
      <c r="B3545" s="24"/>
      <c r="E3545" s="24"/>
      <c r="G3545" s="24"/>
      <c r="H3545" s="24"/>
      <c r="J3545" s="24"/>
      <c r="K3545" s="24"/>
      <c r="M3545" s="24"/>
      <c r="N3545" s="24"/>
      <c r="P3545" s="24"/>
    </row>
    <row r="3546" spans="2:16" x14ac:dyDescent="0.25">
      <c r="B3546" s="24"/>
      <c r="E3546" s="24"/>
      <c r="G3546" s="24"/>
      <c r="H3546" s="24"/>
      <c r="J3546" s="24"/>
      <c r="K3546" s="24"/>
      <c r="M3546" s="24"/>
      <c r="N3546" s="24"/>
      <c r="P3546" s="24"/>
    </row>
    <row r="3547" spans="2:16" x14ac:dyDescent="0.25">
      <c r="B3547" s="24"/>
      <c r="E3547" s="24"/>
      <c r="G3547" s="24"/>
      <c r="H3547" s="24"/>
      <c r="J3547" s="24"/>
      <c r="K3547" s="24"/>
      <c r="M3547" s="24"/>
      <c r="N3547" s="24"/>
      <c r="P3547" s="24"/>
    </row>
    <row r="3548" spans="2:16" x14ac:dyDescent="0.25">
      <c r="B3548" s="24"/>
      <c r="E3548" s="24"/>
      <c r="G3548" s="24"/>
      <c r="H3548" s="24"/>
      <c r="J3548" s="24"/>
      <c r="K3548" s="24"/>
      <c r="M3548" s="24"/>
      <c r="N3548" s="24"/>
      <c r="P3548" s="24"/>
    </row>
    <row r="3549" spans="2:16" x14ac:dyDescent="0.25">
      <c r="B3549" s="24"/>
      <c r="E3549" s="24"/>
      <c r="G3549" s="24"/>
      <c r="H3549" s="24"/>
      <c r="J3549" s="24"/>
      <c r="K3549" s="24"/>
      <c r="M3549" s="24"/>
      <c r="N3549" s="24"/>
      <c r="P3549" s="24"/>
    </row>
    <row r="3550" spans="2:16" x14ac:dyDescent="0.25">
      <c r="B3550" s="24"/>
      <c r="E3550" s="24"/>
      <c r="G3550" s="24"/>
      <c r="H3550" s="24"/>
      <c r="J3550" s="24"/>
      <c r="K3550" s="24"/>
      <c r="M3550" s="24"/>
      <c r="N3550" s="24"/>
      <c r="P3550" s="24"/>
    </row>
    <row r="3551" spans="2:16" x14ac:dyDescent="0.25">
      <c r="B3551" s="24"/>
      <c r="E3551" s="24"/>
      <c r="G3551" s="24"/>
      <c r="H3551" s="24"/>
      <c r="J3551" s="24"/>
      <c r="K3551" s="24"/>
      <c r="M3551" s="24"/>
      <c r="N3551" s="24"/>
      <c r="P3551" s="24"/>
    </row>
    <row r="3552" spans="2:16" x14ac:dyDescent="0.25">
      <c r="B3552" s="24"/>
      <c r="E3552" s="24"/>
      <c r="G3552" s="24"/>
      <c r="H3552" s="24"/>
      <c r="J3552" s="24"/>
      <c r="K3552" s="24"/>
      <c r="M3552" s="24"/>
      <c r="N3552" s="24"/>
      <c r="P3552" s="24"/>
    </row>
    <row r="3553" spans="2:16" x14ac:dyDescent="0.25">
      <c r="B3553" s="24"/>
      <c r="E3553" s="24"/>
      <c r="G3553" s="24"/>
      <c r="H3553" s="24"/>
      <c r="J3553" s="24"/>
      <c r="K3553" s="24"/>
      <c r="M3553" s="24"/>
      <c r="N3553" s="24"/>
      <c r="P3553" s="24"/>
    </row>
    <row r="3554" spans="2:16" x14ac:dyDescent="0.25">
      <c r="B3554" s="24"/>
      <c r="E3554" s="24"/>
      <c r="G3554" s="24"/>
      <c r="H3554" s="24"/>
      <c r="J3554" s="24"/>
      <c r="K3554" s="24"/>
      <c r="M3554" s="24"/>
      <c r="N3554" s="24"/>
      <c r="P3554" s="24"/>
    </row>
    <row r="3555" spans="2:16" x14ac:dyDescent="0.25">
      <c r="B3555" s="24"/>
      <c r="E3555" s="24"/>
      <c r="G3555" s="24"/>
      <c r="H3555" s="24"/>
      <c r="J3555" s="24"/>
      <c r="K3555" s="24"/>
      <c r="M3555" s="24"/>
      <c r="N3555" s="24"/>
      <c r="P3555" s="24"/>
    </row>
    <row r="3556" spans="2:16" x14ac:dyDescent="0.25">
      <c r="B3556" s="24"/>
      <c r="E3556" s="24"/>
      <c r="G3556" s="24"/>
      <c r="H3556" s="24"/>
      <c r="J3556" s="24"/>
      <c r="K3556" s="24"/>
      <c r="M3556" s="24"/>
      <c r="N3556" s="24"/>
      <c r="P3556" s="24"/>
    </row>
    <row r="3557" spans="2:16" x14ac:dyDescent="0.25">
      <c r="B3557" s="24"/>
      <c r="E3557" s="24"/>
      <c r="G3557" s="24"/>
      <c r="H3557" s="24"/>
      <c r="J3557" s="24"/>
      <c r="K3557" s="24"/>
      <c r="M3557" s="24"/>
      <c r="N3557" s="24"/>
      <c r="P3557" s="24"/>
    </row>
    <row r="3558" spans="2:16" x14ac:dyDescent="0.25">
      <c r="B3558" s="24"/>
      <c r="E3558" s="24"/>
      <c r="G3558" s="24"/>
      <c r="H3558" s="24"/>
      <c r="J3558" s="24"/>
      <c r="K3558" s="24"/>
      <c r="M3558" s="24"/>
      <c r="N3558" s="24"/>
      <c r="P3558" s="24"/>
    </row>
    <row r="3559" spans="2:16" x14ac:dyDescent="0.25">
      <c r="B3559" s="24"/>
      <c r="E3559" s="24"/>
      <c r="G3559" s="24"/>
      <c r="H3559" s="24"/>
      <c r="J3559" s="24"/>
      <c r="K3559" s="24"/>
      <c r="M3559" s="24"/>
      <c r="N3559" s="24"/>
      <c r="P3559" s="24"/>
    </row>
    <row r="3560" spans="2:16" x14ac:dyDescent="0.25">
      <c r="B3560" s="24"/>
      <c r="E3560" s="24"/>
      <c r="G3560" s="24"/>
      <c r="H3560" s="24"/>
      <c r="J3560" s="24"/>
      <c r="K3560" s="24"/>
      <c r="M3560" s="24"/>
      <c r="N3560" s="24"/>
      <c r="P3560" s="24"/>
    </row>
    <row r="3561" spans="2:16" x14ac:dyDescent="0.25">
      <c r="B3561" s="24"/>
      <c r="E3561" s="24"/>
      <c r="G3561" s="24"/>
      <c r="H3561" s="24"/>
      <c r="J3561" s="24"/>
      <c r="K3561" s="24"/>
      <c r="M3561" s="24"/>
      <c r="N3561" s="24"/>
      <c r="P3561" s="24"/>
    </row>
    <row r="3562" spans="2:16" x14ac:dyDescent="0.25">
      <c r="B3562" s="24"/>
      <c r="E3562" s="24"/>
      <c r="G3562" s="24"/>
      <c r="H3562" s="24"/>
      <c r="J3562" s="24"/>
      <c r="K3562" s="24"/>
      <c r="M3562" s="24"/>
      <c r="N3562" s="24"/>
      <c r="P3562" s="24"/>
    </row>
    <row r="3563" spans="2:16" x14ac:dyDescent="0.25">
      <c r="B3563" s="24"/>
      <c r="E3563" s="24"/>
      <c r="G3563" s="24"/>
      <c r="H3563" s="24"/>
      <c r="J3563" s="24"/>
      <c r="K3563" s="24"/>
      <c r="M3563" s="24"/>
      <c r="N3563" s="24"/>
      <c r="P3563" s="24"/>
    </row>
    <row r="3564" spans="2:16" x14ac:dyDescent="0.25">
      <c r="B3564" s="24"/>
      <c r="E3564" s="24"/>
      <c r="G3564" s="24"/>
      <c r="H3564" s="24"/>
      <c r="J3564" s="24"/>
      <c r="K3564" s="24"/>
      <c r="M3564" s="24"/>
      <c r="N3564" s="24"/>
      <c r="P3564" s="24"/>
    </row>
    <row r="3565" spans="2:16" x14ac:dyDescent="0.25">
      <c r="B3565" s="24"/>
      <c r="E3565" s="24"/>
      <c r="G3565" s="24"/>
      <c r="H3565" s="24"/>
      <c r="J3565" s="24"/>
      <c r="K3565" s="24"/>
      <c r="M3565" s="24"/>
      <c r="N3565" s="24"/>
      <c r="P3565" s="24"/>
    </row>
    <row r="3566" spans="2:16" x14ac:dyDescent="0.25">
      <c r="B3566" s="24"/>
      <c r="E3566" s="24"/>
      <c r="G3566" s="24"/>
      <c r="H3566" s="24"/>
      <c r="J3566" s="24"/>
      <c r="K3566" s="24"/>
      <c r="M3566" s="24"/>
      <c r="N3566" s="24"/>
      <c r="P3566" s="24"/>
    </row>
    <row r="3567" spans="2:16" x14ac:dyDescent="0.25">
      <c r="B3567" s="24"/>
      <c r="E3567" s="24"/>
      <c r="G3567" s="24"/>
      <c r="H3567" s="24"/>
      <c r="J3567" s="24"/>
      <c r="K3567" s="24"/>
      <c r="M3567" s="24"/>
      <c r="N3567" s="24"/>
      <c r="P3567" s="24"/>
    </row>
    <row r="3568" spans="2:16" x14ac:dyDescent="0.25">
      <c r="B3568" s="24"/>
      <c r="E3568" s="24"/>
      <c r="G3568" s="24"/>
      <c r="H3568" s="24"/>
      <c r="J3568" s="24"/>
      <c r="K3568" s="24"/>
      <c r="M3568" s="24"/>
      <c r="N3568" s="24"/>
      <c r="P3568" s="24"/>
    </row>
    <row r="3569" spans="2:16" x14ac:dyDescent="0.25">
      <c r="B3569" s="24"/>
      <c r="E3569" s="24"/>
      <c r="G3569" s="24"/>
      <c r="H3569" s="24"/>
      <c r="J3569" s="24"/>
      <c r="K3569" s="24"/>
      <c r="M3569" s="24"/>
      <c r="N3569" s="24"/>
      <c r="P3569" s="24"/>
    </row>
    <row r="3570" spans="2:16" x14ac:dyDescent="0.25">
      <c r="B3570" s="24"/>
      <c r="E3570" s="24"/>
      <c r="G3570" s="24"/>
      <c r="H3570" s="24"/>
      <c r="J3570" s="24"/>
      <c r="K3570" s="24"/>
      <c r="M3570" s="24"/>
      <c r="N3570" s="24"/>
      <c r="P3570" s="24"/>
    </row>
    <row r="3571" spans="2:16" x14ac:dyDescent="0.25">
      <c r="B3571" s="24"/>
      <c r="E3571" s="24"/>
      <c r="G3571" s="24"/>
      <c r="H3571" s="24"/>
      <c r="J3571" s="24"/>
      <c r="K3571" s="24"/>
      <c r="M3571" s="24"/>
      <c r="N3571" s="24"/>
      <c r="P3571" s="24"/>
    </row>
    <row r="3572" spans="2:16" x14ac:dyDescent="0.25">
      <c r="B3572" s="24"/>
      <c r="E3572" s="24"/>
      <c r="G3572" s="24"/>
      <c r="H3572" s="24"/>
      <c r="J3572" s="24"/>
      <c r="K3572" s="24"/>
      <c r="M3572" s="24"/>
      <c r="N3572" s="24"/>
      <c r="P3572" s="24"/>
    </row>
    <row r="3573" spans="2:16" x14ac:dyDescent="0.25">
      <c r="B3573" s="24"/>
      <c r="E3573" s="24"/>
      <c r="G3573" s="24"/>
      <c r="H3573" s="24"/>
      <c r="J3573" s="24"/>
      <c r="K3573" s="24"/>
      <c r="M3573" s="24"/>
      <c r="N3573" s="24"/>
      <c r="P3573" s="24"/>
    </row>
    <row r="3574" spans="2:16" x14ac:dyDescent="0.25">
      <c r="B3574" s="24"/>
      <c r="E3574" s="24"/>
      <c r="G3574" s="24"/>
      <c r="H3574" s="24"/>
      <c r="J3574" s="24"/>
      <c r="K3574" s="24"/>
      <c r="M3574" s="24"/>
      <c r="N3574" s="24"/>
      <c r="P3574" s="24"/>
    </row>
    <row r="3575" spans="2:16" x14ac:dyDescent="0.25">
      <c r="B3575" s="24"/>
      <c r="E3575" s="24"/>
      <c r="G3575" s="24"/>
      <c r="H3575" s="24"/>
      <c r="J3575" s="24"/>
      <c r="K3575" s="24"/>
      <c r="M3575" s="24"/>
      <c r="N3575" s="24"/>
      <c r="P3575" s="24"/>
    </row>
    <row r="3576" spans="2:16" x14ac:dyDescent="0.25">
      <c r="B3576" s="24"/>
      <c r="E3576" s="24"/>
      <c r="G3576" s="24"/>
      <c r="H3576" s="24"/>
      <c r="J3576" s="24"/>
      <c r="K3576" s="24"/>
      <c r="M3576" s="24"/>
      <c r="N3576" s="24"/>
      <c r="P3576" s="24"/>
    </row>
    <row r="3577" spans="2:16" x14ac:dyDescent="0.25">
      <c r="B3577" s="24"/>
      <c r="E3577" s="24"/>
      <c r="G3577" s="24"/>
      <c r="H3577" s="24"/>
      <c r="J3577" s="24"/>
      <c r="K3577" s="24"/>
      <c r="M3577" s="24"/>
      <c r="N3577" s="24"/>
      <c r="P3577" s="24"/>
    </row>
    <row r="3578" spans="2:16" x14ac:dyDescent="0.25">
      <c r="B3578" s="24"/>
      <c r="E3578" s="24"/>
      <c r="G3578" s="24"/>
      <c r="H3578" s="24"/>
      <c r="J3578" s="24"/>
      <c r="K3578" s="24"/>
      <c r="M3578" s="24"/>
      <c r="N3578" s="24"/>
      <c r="P3578" s="24"/>
    </row>
    <row r="3579" spans="2:16" x14ac:dyDescent="0.25">
      <c r="B3579" s="24"/>
      <c r="E3579" s="24"/>
      <c r="G3579" s="24"/>
      <c r="H3579" s="24"/>
      <c r="J3579" s="24"/>
      <c r="K3579" s="24"/>
      <c r="M3579" s="24"/>
      <c r="N3579" s="24"/>
      <c r="P3579" s="24"/>
    </row>
    <row r="3580" spans="2:16" x14ac:dyDescent="0.25">
      <c r="B3580" s="24"/>
      <c r="E3580" s="24"/>
      <c r="G3580" s="24"/>
      <c r="H3580" s="24"/>
      <c r="J3580" s="24"/>
      <c r="K3580" s="24"/>
      <c r="M3580" s="24"/>
      <c r="N3580" s="24"/>
      <c r="P3580" s="24"/>
    </row>
    <row r="3581" spans="2:16" x14ac:dyDescent="0.25">
      <c r="B3581" s="24"/>
      <c r="E3581" s="24"/>
      <c r="G3581" s="24"/>
      <c r="H3581" s="24"/>
      <c r="J3581" s="24"/>
      <c r="K3581" s="24"/>
      <c r="M3581" s="24"/>
      <c r="N3581" s="24"/>
      <c r="P3581" s="24"/>
    </row>
    <row r="3582" spans="2:16" x14ac:dyDescent="0.25">
      <c r="B3582" s="24"/>
      <c r="E3582" s="24"/>
      <c r="G3582" s="24"/>
      <c r="H3582" s="24"/>
      <c r="J3582" s="24"/>
      <c r="K3582" s="24"/>
      <c r="M3582" s="24"/>
      <c r="N3582" s="24"/>
      <c r="P3582" s="24"/>
    </row>
    <row r="3583" spans="2:16" x14ac:dyDescent="0.25">
      <c r="B3583" s="24"/>
      <c r="E3583" s="24"/>
      <c r="G3583" s="24"/>
      <c r="H3583" s="24"/>
      <c r="J3583" s="24"/>
      <c r="K3583" s="24"/>
      <c r="M3583" s="24"/>
      <c r="N3583" s="24"/>
      <c r="P3583" s="24"/>
    </row>
    <row r="3584" spans="2:16" x14ac:dyDescent="0.25">
      <c r="B3584" s="24"/>
      <c r="E3584" s="24"/>
      <c r="G3584" s="24"/>
      <c r="H3584" s="24"/>
      <c r="J3584" s="24"/>
      <c r="K3584" s="24"/>
      <c r="M3584" s="24"/>
      <c r="N3584" s="24"/>
      <c r="P3584" s="24"/>
    </row>
    <row r="3585" spans="2:16" x14ac:dyDescent="0.25">
      <c r="B3585" s="24"/>
      <c r="E3585" s="24"/>
      <c r="G3585" s="24"/>
      <c r="H3585" s="24"/>
      <c r="J3585" s="24"/>
      <c r="K3585" s="24"/>
      <c r="M3585" s="24"/>
      <c r="N3585" s="24"/>
      <c r="P3585" s="24"/>
    </row>
    <row r="3586" spans="2:16" x14ac:dyDescent="0.25">
      <c r="B3586" s="24"/>
      <c r="E3586" s="24"/>
      <c r="G3586" s="24"/>
      <c r="H3586" s="24"/>
      <c r="J3586" s="24"/>
      <c r="K3586" s="24"/>
      <c r="M3586" s="24"/>
      <c r="N3586" s="24"/>
      <c r="P3586" s="24"/>
    </row>
    <row r="3587" spans="2:16" x14ac:dyDescent="0.25">
      <c r="B3587" s="24"/>
      <c r="E3587" s="24"/>
      <c r="G3587" s="24"/>
      <c r="H3587" s="24"/>
      <c r="J3587" s="24"/>
      <c r="K3587" s="24"/>
      <c r="M3587" s="24"/>
      <c r="N3587" s="24"/>
      <c r="P3587" s="24"/>
    </row>
    <row r="3588" spans="2:16" x14ac:dyDescent="0.25">
      <c r="B3588" s="24"/>
      <c r="E3588" s="24"/>
      <c r="G3588" s="24"/>
      <c r="H3588" s="24"/>
      <c r="J3588" s="24"/>
      <c r="K3588" s="24"/>
      <c r="M3588" s="24"/>
      <c r="N3588" s="24"/>
      <c r="P3588" s="24"/>
    </row>
    <row r="3589" spans="2:16" x14ac:dyDescent="0.25">
      <c r="B3589" s="24"/>
      <c r="E3589" s="24"/>
      <c r="G3589" s="24"/>
      <c r="H3589" s="24"/>
      <c r="J3589" s="24"/>
      <c r="K3589" s="24"/>
      <c r="M3589" s="24"/>
      <c r="N3589" s="24"/>
      <c r="P3589" s="24"/>
    </row>
    <row r="3590" spans="2:16" x14ac:dyDescent="0.25">
      <c r="B3590" s="24"/>
      <c r="E3590" s="24"/>
      <c r="G3590" s="24"/>
      <c r="H3590" s="24"/>
      <c r="J3590" s="24"/>
      <c r="K3590" s="24"/>
      <c r="M3590" s="24"/>
      <c r="N3590" s="24"/>
      <c r="P3590" s="24"/>
    </row>
    <row r="3591" spans="2:16" x14ac:dyDescent="0.25">
      <c r="B3591" s="24"/>
      <c r="E3591" s="24"/>
      <c r="G3591" s="24"/>
      <c r="H3591" s="24"/>
      <c r="J3591" s="24"/>
      <c r="K3591" s="24"/>
      <c r="M3591" s="24"/>
      <c r="N3591" s="24"/>
      <c r="P3591" s="24"/>
    </row>
    <row r="3592" spans="2:16" x14ac:dyDescent="0.25">
      <c r="B3592" s="24"/>
      <c r="E3592" s="24"/>
      <c r="G3592" s="24"/>
      <c r="H3592" s="24"/>
      <c r="J3592" s="24"/>
      <c r="K3592" s="24"/>
      <c r="M3592" s="24"/>
      <c r="N3592" s="24"/>
      <c r="P3592" s="24"/>
    </row>
    <row r="3593" spans="2:16" x14ac:dyDescent="0.25">
      <c r="B3593" s="24"/>
      <c r="E3593" s="24"/>
      <c r="G3593" s="24"/>
      <c r="H3593" s="24"/>
      <c r="J3593" s="24"/>
      <c r="K3593" s="24"/>
      <c r="M3593" s="24"/>
      <c r="N3593" s="24"/>
      <c r="P3593" s="24"/>
    </row>
    <row r="3594" spans="2:16" x14ac:dyDescent="0.25">
      <c r="B3594" s="24"/>
      <c r="E3594" s="24"/>
      <c r="G3594" s="24"/>
      <c r="H3594" s="24"/>
      <c r="J3594" s="24"/>
      <c r="K3594" s="24"/>
      <c r="M3594" s="24"/>
      <c r="N3594" s="24"/>
      <c r="P3594" s="24"/>
    </row>
    <row r="3595" spans="2:16" x14ac:dyDescent="0.25">
      <c r="B3595" s="24"/>
      <c r="E3595" s="24"/>
      <c r="G3595" s="24"/>
      <c r="H3595" s="24"/>
      <c r="J3595" s="24"/>
      <c r="K3595" s="24"/>
      <c r="M3595" s="24"/>
      <c r="N3595" s="24"/>
      <c r="P3595" s="24"/>
    </row>
    <row r="3596" spans="2:16" x14ac:dyDescent="0.25">
      <c r="B3596" s="24"/>
      <c r="E3596" s="24"/>
      <c r="G3596" s="24"/>
      <c r="H3596" s="24"/>
      <c r="J3596" s="24"/>
      <c r="K3596" s="24"/>
      <c r="M3596" s="24"/>
      <c r="N3596" s="24"/>
      <c r="P3596" s="24"/>
    </row>
    <row r="3597" spans="2:16" x14ac:dyDescent="0.25">
      <c r="B3597" s="24"/>
      <c r="E3597" s="24"/>
      <c r="G3597" s="24"/>
      <c r="H3597" s="24"/>
      <c r="J3597" s="24"/>
      <c r="K3597" s="24"/>
      <c r="M3597" s="24"/>
      <c r="N3597" s="24"/>
      <c r="P3597" s="24"/>
    </row>
    <row r="3598" spans="2:16" x14ac:dyDescent="0.25">
      <c r="B3598" s="24"/>
      <c r="E3598" s="24"/>
      <c r="G3598" s="24"/>
      <c r="H3598" s="24"/>
      <c r="J3598" s="24"/>
      <c r="K3598" s="24"/>
      <c r="M3598" s="24"/>
      <c r="N3598" s="24"/>
      <c r="P3598" s="24"/>
    </row>
    <row r="3599" spans="2:16" x14ac:dyDescent="0.25">
      <c r="B3599" s="24"/>
      <c r="E3599" s="24"/>
      <c r="G3599" s="24"/>
      <c r="H3599" s="24"/>
      <c r="J3599" s="24"/>
      <c r="K3599" s="24"/>
      <c r="M3599" s="24"/>
      <c r="N3599" s="24"/>
      <c r="P3599" s="24"/>
    </row>
    <row r="3600" spans="2:16" x14ac:dyDescent="0.25">
      <c r="B3600" s="24"/>
      <c r="E3600" s="24"/>
      <c r="G3600" s="24"/>
      <c r="H3600" s="24"/>
      <c r="J3600" s="24"/>
      <c r="K3600" s="24"/>
      <c r="M3600" s="24"/>
      <c r="N3600" s="24"/>
      <c r="P3600" s="24"/>
    </row>
    <row r="3601" spans="2:16" x14ac:dyDescent="0.25">
      <c r="B3601" s="24"/>
      <c r="E3601" s="24"/>
      <c r="G3601" s="24"/>
      <c r="H3601" s="24"/>
      <c r="J3601" s="24"/>
      <c r="K3601" s="24"/>
      <c r="M3601" s="24"/>
      <c r="N3601" s="24"/>
      <c r="P3601" s="24"/>
    </row>
    <row r="3602" spans="2:16" x14ac:dyDescent="0.25">
      <c r="B3602" s="24"/>
      <c r="E3602" s="24"/>
      <c r="G3602" s="24"/>
      <c r="H3602" s="24"/>
      <c r="J3602" s="24"/>
      <c r="K3602" s="24"/>
      <c r="M3602" s="24"/>
      <c r="N3602" s="24"/>
      <c r="P3602" s="24"/>
    </row>
    <row r="3603" spans="2:16" x14ac:dyDescent="0.25">
      <c r="B3603" s="24"/>
      <c r="E3603" s="24"/>
      <c r="G3603" s="24"/>
      <c r="H3603" s="24"/>
      <c r="J3603" s="24"/>
      <c r="K3603" s="24"/>
      <c r="M3603" s="24"/>
      <c r="N3603" s="24"/>
      <c r="P3603" s="24"/>
    </row>
    <row r="3604" spans="2:16" x14ac:dyDescent="0.25">
      <c r="B3604" s="24"/>
      <c r="E3604" s="24"/>
      <c r="G3604" s="24"/>
      <c r="H3604" s="24"/>
      <c r="J3604" s="24"/>
      <c r="K3604" s="24"/>
      <c r="M3604" s="24"/>
      <c r="N3604" s="24"/>
      <c r="P3604" s="24"/>
    </row>
    <row r="3605" spans="2:16" x14ac:dyDescent="0.25">
      <c r="B3605" s="24"/>
      <c r="E3605" s="24"/>
      <c r="G3605" s="24"/>
      <c r="H3605" s="24"/>
      <c r="J3605" s="24"/>
      <c r="K3605" s="24"/>
      <c r="M3605" s="24"/>
      <c r="N3605" s="24"/>
      <c r="P3605" s="24"/>
    </row>
    <row r="3606" spans="2:16" x14ac:dyDescent="0.25">
      <c r="B3606" s="24"/>
      <c r="E3606" s="24"/>
      <c r="G3606" s="24"/>
      <c r="H3606" s="24"/>
      <c r="J3606" s="24"/>
      <c r="K3606" s="24"/>
      <c r="M3606" s="24"/>
      <c r="N3606" s="24"/>
      <c r="P3606" s="24"/>
    </row>
    <row r="3607" spans="2:16" x14ac:dyDescent="0.25">
      <c r="B3607" s="24"/>
      <c r="E3607" s="24"/>
      <c r="G3607" s="24"/>
      <c r="H3607" s="24"/>
      <c r="J3607" s="24"/>
      <c r="K3607" s="24"/>
      <c r="M3607" s="24"/>
      <c r="N3607" s="24"/>
      <c r="P3607" s="24"/>
    </row>
    <row r="3608" spans="2:16" x14ac:dyDescent="0.25">
      <c r="B3608" s="24"/>
      <c r="E3608" s="24"/>
      <c r="G3608" s="24"/>
      <c r="H3608" s="24"/>
      <c r="J3608" s="24"/>
      <c r="K3608" s="24"/>
      <c r="M3608" s="24"/>
      <c r="N3608" s="24"/>
      <c r="P3608" s="24"/>
    </row>
    <row r="3609" spans="2:16" x14ac:dyDescent="0.25">
      <c r="B3609" s="24"/>
      <c r="E3609" s="24"/>
      <c r="G3609" s="24"/>
      <c r="H3609" s="24"/>
      <c r="J3609" s="24"/>
      <c r="K3609" s="24"/>
      <c r="M3609" s="24"/>
      <c r="N3609" s="24"/>
      <c r="P3609" s="24"/>
    </row>
    <row r="3610" spans="2:16" x14ac:dyDescent="0.25">
      <c r="B3610" s="24"/>
      <c r="E3610" s="24"/>
      <c r="G3610" s="24"/>
      <c r="H3610" s="24"/>
      <c r="J3610" s="24"/>
      <c r="K3610" s="24"/>
      <c r="M3610" s="24"/>
      <c r="N3610" s="24"/>
      <c r="P3610" s="24"/>
    </row>
    <row r="3611" spans="2:16" x14ac:dyDescent="0.25">
      <c r="B3611" s="24"/>
      <c r="E3611" s="24"/>
      <c r="G3611" s="24"/>
      <c r="H3611" s="24"/>
      <c r="J3611" s="24"/>
      <c r="K3611" s="24"/>
      <c r="M3611" s="24"/>
      <c r="N3611" s="24"/>
      <c r="P3611" s="24"/>
    </row>
    <row r="3612" spans="2:16" x14ac:dyDescent="0.25">
      <c r="B3612" s="24"/>
      <c r="E3612" s="24"/>
      <c r="G3612" s="24"/>
      <c r="H3612" s="24"/>
      <c r="J3612" s="24"/>
      <c r="K3612" s="24"/>
      <c r="M3612" s="24"/>
      <c r="N3612" s="24"/>
      <c r="P3612" s="24"/>
    </row>
    <row r="3613" spans="2:16" x14ac:dyDescent="0.25">
      <c r="B3613" s="24"/>
      <c r="E3613" s="24"/>
      <c r="G3613" s="24"/>
      <c r="H3613" s="24"/>
      <c r="J3613" s="24"/>
      <c r="K3613" s="24"/>
      <c r="M3613" s="24"/>
      <c r="N3613" s="24"/>
      <c r="P3613" s="24"/>
    </row>
    <row r="3614" spans="2:16" x14ac:dyDescent="0.25">
      <c r="B3614" s="24"/>
      <c r="E3614" s="24"/>
      <c r="G3614" s="24"/>
      <c r="H3614" s="24"/>
      <c r="J3614" s="24"/>
      <c r="K3614" s="24"/>
      <c r="M3614" s="24"/>
      <c r="N3614" s="24"/>
      <c r="P3614" s="24"/>
    </row>
    <row r="3615" spans="2:16" x14ac:dyDescent="0.25">
      <c r="B3615" s="24"/>
      <c r="E3615" s="24"/>
      <c r="G3615" s="24"/>
      <c r="H3615" s="24"/>
      <c r="J3615" s="24"/>
      <c r="K3615" s="24"/>
      <c r="M3615" s="24"/>
      <c r="N3615" s="24"/>
      <c r="P3615" s="24"/>
    </row>
    <row r="3616" spans="2:16" x14ac:dyDescent="0.25">
      <c r="B3616" s="24"/>
      <c r="E3616" s="24"/>
      <c r="G3616" s="24"/>
      <c r="H3616" s="24"/>
      <c r="J3616" s="24"/>
      <c r="K3616" s="24"/>
      <c r="M3616" s="24"/>
      <c r="N3616" s="24"/>
      <c r="P3616" s="24"/>
    </row>
    <row r="3617" spans="2:16" x14ac:dyDescent="0.25">
      <c r="B3617" s="24"/>
      <c r="E3617" s="24"/>
      <c r="G3617" s="24"/>
      <c r="H3617" s="24"/>
      <c r="J3617" s="24"/>
      <c r="K3617" s="24"/>
      <c r="M3617" s="24"/>
      <c r="N3617" s="24"/>
      <c r="P3617" s="24"/>
    </row>
    <row r="3618" spans="2:16" x14ac:dyDescent="0.25">
      <c r="B3618" s="24"/>
      <c r="E3618" s="24"/>
      <c r="G3618" s="24"/>
      <c r="H3618" s="24"/>
      <c r="J3618" s="24"/>
      <c r="K3618" s="24"/>
      <c r="M3618" s="24"/>
      <c r="N3618" s="24"/>
      <c r="P3618" s="24"/>
    </row>
    <row r="3619" spans="2:16" x14ac:dyDescent="0.25">
      <c r="B3619" s="24"/>
      <c r="E3619" s="24"/>
      <c r="G3619" s="24"/>
      <c r="H3619" s="24"/>
      <c r="J3619" s="24"/>
      <c r="K3619" s="24"/>
      <c r="M3619" s="24"/>
      <c r="N3619" s="24"/>
      <c r="P3619" s="24"/>
    </row>
    <row r="3620" spans="2:16" x14ac:dyDescent="0.25">
      <c r="B3620" s="24"/>
      <c r="E3620" s="24"/>
      <c r="G3620" s="24"/>
      <c r="H3620" s="24"/>
      <c r="J3620" s="24"/>
      <c r="K3620" s="24"/>
      <c r="M3620" s="24"/>
      <c r="N3620" s="24"/>
      <c r="P3620" s="24"/>
    </row>
    <row r="3621" spans="2:16" x14ac:dyDescent="0.25">
      <c r="B3621" s="24"/>
      <c r="E3621" s="24"/>
      <c r="G3621" s="24"/>
      <c r="H3621" s="24"/>
      <c r="J3621" s="24"/>
      <c r="K3621" s="24"/>
      <c r="M3621" s="24"/>
      <c r="N3621" s="24"/>
      <c r="P3621" s="24"/>
    </row>
    <row r="3622" spans="2:16" x14ac:dyDescent="0.25">
      <c r="B3622" s="24"/>
      <c r="E3622" s="24"/>
      <c r="G3622" s="24"/>
      <c r="H3622" s="24"/>
      <c r="J3622" s="24"/>
      <c r="K3622" s="24"/>
      <c r="M3622" s="24"/>
      <c r="N3622" s="24"/>
      <c r="P3622" s="24"/>
    </row>
    <row r="3623" spans="2:16" x14ac:dyDescent="0.25">
      <c r="B3623" s="24"/>
      <c r="E3623" s="24"/>
      <c r="G3623" s="24"/>
      <c r="H3623" s="24"/>
      <c r="J3623" s="24"/>
      <c r="K3623" s="24"/>
      <c r="M3623" s="24"/>
      <c r="N3623" s="24"/>
      <c r="P3623" s="24"/>
    </row>
    <row r="3624" spans="2:16" x14ac:dyDescent="0.25">
      <c r="B3624" s="24"/>
      <c r="E3624" s="24"/>
      <c r="G3624" s="24"/>
      <c r="H3624" s="24"/>
      <c r="J3624" s="24"/>
      <c r="K3624" s="24"/>
      <c r="M3624" s="24"/>
      <c r="N3624" s="24"/>
      <c r="P3624" s="24"/>
    </row>
    <row r="3625" spans="2:16" x14ac:dyDescent="0.25">
      <c r="B3625" s="24"/>
      <c r="E3625" s="24"/>
      <c r="G3625" s="24"/>
      <c r="H3625" s="24"/>
      <c r="J3625" s="24"/>
      <c r="K3625" s="24"/>
      <c r="M3625" s="24"/>
      <c r="N3625" s="24"/>
      <c r="P3625" s="24"/>
    </row>
    <row r="3626" spans="2:16" x14ac:dyDescent="0.25">
      <c r="B3626" s="24"/>
      <c r="E3626" s="24"/>
      <c r="G3626" s="24"/>
      <c r="H3626" s="24"/>
      <c r="J3626" s="24"/>
      <c r="K3626" s="24"/>
      <c r="M3626" s="24"/>
      <c r="N3626" s="24"/>
      <c r="P3626" s="24"/>
    </row>
    <row r="3627" spans="2:16" x14ac:dyDescent="0.25">
      <c r="B3627" s="24"/>
      <c r="E3627" s="24"/>
      <c r="G3627" s="24"/>
      <c r="H3627" s="24"/>
      <c r="J3627" s="24"/>
      <c r="K3627" s="24"/>
      <c r="M3627" s="24"/>
      <c r="N3627" s="24"/>
      <c r="P3627" s="24"/>
    </row>
    <row r="3628" spans="2:16" x14ac:dyDescent="0.25">
      <c r="B3628" s="24"/>
      <c r="E3628" s="24"/>
      <c r="G3628" s="24"/>
      <c r="H3628" s="24"/>
      <c r="J3628" s="24"/>
      <c r="K3628" s="24"/>
      <c r="M3628" s="24"/>
      <c r="N3628" s="24"/>
      <c r="P3628" s="24"/>
    </row>
    <row r="3629" spans="2:16" x14ac:dyDescent="0.25">
      <c r="B3629" s="24"/>
      <c r="E3629" s="24"/>
      <c r="G3629" s="24"/>
      <c r="H3629" s="24"/>
      <c r="J3629" s="24"/>
      <c r="K3629" s="24"/>
      <c r="M3629" s="24"/>
      <c r="N3629" s="24"/>
      <c r="P3629" s="24"/>
    </row>
    <row r="3630" spans="2:16" x14ac:dyDescent="0.25">
      <c r="B3630" s="24"/>
      <c r="E3630" s="24"/>
      <c r="G3630" s="24"/>
      <c r="H3630" s="24"/>
      <c r="J3630" s="24"/>
      <c r="K3630" s="24"/>
      <c r="M3630" s="24"/>
      <c r="N3630" s="24"/>
      <c r="P3630" s="24"/>
    </row>
    <row r="3631" spans="2:16" x14ac:dyDescent="0.25">
      <c r="B3631" s="24"/>
      <c r="E3631" s="24"/>
      <c r="G3631" s="24"/>
      <c r="H3631" s="24"/>
      <c r="J3631" s="24"/>
      <c r="K3631" s="24"/>
      <c r="M3631" s="24"/>
      <c r="N3631" s="24"/>
      <c r="P3631" s="24"/>
    </row>
    <row r="3632" spans="2:16" x14ac:dyDescent="0.25">
      <c r="B3632" s="24"/>
      <c r="E3632" s="24"/>
      <c r="G3632" s="24"/>
      <c r="H3632" s="24"/>
      <c r="J3632" s="24"/>
      <c r="K3632" s="24"/>
      <c r="M3632" s="24"/>
      <c r="N3632" s="24"/>
      <c r="P3632" s="24"/>
    </row>
    <row r="3633" spans="2:16" x14ac:dyDescent="0.25">
      <c r="B3633" s="24"/>
      <c r="E3633" s="24"/>
      <c r="G3633" s="24"/>
      <c r="H3633" s="24"/>
      <c r="J3633" s="24"/>
      <c r="K3633" s="24"/>
      <c r="M3633" s="24"/>
      <c r="N3633" s="24"/>
      <c r="P3633" s="24"/>
    </row>
    <row r="3634" spans="2:16" x14ac:dyDescent="0.25">
      <c r="B3634" s="24"/>
      <c r="E3634" s="24"/>
      <c r="G3634" s="24"/>
      <c r="H3634" s="24"/>
      <c r="J3634" s="24"/>
      <c r="K3634" s="24"/>
      <c r="M3634" s="24"/>
      <c r="N3634" s="24"/>
      <c r="P3634" s="24"/>
    </row>
    <row r="3635" spans="2:16" x14ac:dyDescent="0.25">
      <c r="B3635" s="24"/>
      <c r="E3635" s="24"/>
      <c r="G3635" s="24"/>
      <c r="H3635" s="24"/>
      <c r="J3635" s="24"/>
      <c r="K3635" s="24"/>
      <c r="M3635" s="24"/>
      <c r="N3635" s="24"/>
      <c r="P3635" s="24"/>
    </row>
    <row r="3636" spans="2:16" x14ac:dyDescent="0.25">
      <c r="B3636" s="24"/>
      <c r="E3636" s="24"/>
      <c r="G3636" s="24"/>
      <c r="H3636" s="24"/>
      <c r="J3636" s="24"/>
      <c r="K3636" s="24"/>
      <c r="M3636" s="24"/>
      <c r="N3636" s="24"/>
      <c r="P3636" s="24"/>
    </row>
    <row r="3637" spans="2:16" x14ac:dyDescent="0.25">
      <c r="B3637" s="24"/>
      <c r="E3637" s="24"/>
      <c r="G3637" s="24"/>
      <c r="H3637" s="24"/>
      <c r="J3637" s="24"/>
      <c r="K3637" s="24"/>
      <c r="M3637" s="24"/>
      <c r="N3637" s="24"/>
      <c r="P3637" s="24"/>
    </row>
    <row r="3638" spans="2:16" x14ac:dyDescent="0.25">
      <c r="B3638" s="24"/>
      <c r="E3638" s="24"/>
      <c r="G3638" s="24"/>
      <c r="H3638" s="24"/>
      <c r="J3638" s="24"/>
      <c r="K3638" s="24"/>
      <c r="M3638" s="24"/>
      <c r="N3638" s="24"/>
      <c r="P3638" s="24"/>
    </row>
    <row r="3639" spans="2:16" x14ac:dyDescent="0.25">
      <c r="B3639" s="24"/>
      <c r="E3639" s="24"/>
      <c r="G3639" s="24"/>
      <c r="H3639" s="24"/>
      <c r="J3639" s="24"/>
      <c r="K3639" s="24"/>
      <c r="M3639" s="24"/>
      <c r="N3639" s="24"/>
      <c r="P3639" s="24"/>
    </row>
    <row r="3640" spans="2:16" x14ac:dyDescent="0.25">
      <c r="B3640" s="24"/>
      <c r="E3640" s="24"/>
      <c r="G3640" s="24"/>
      <c r="H3640" s="24"/>
      <c r="J3640" s="24"/>
      <c r="K3640" s="24"/>
      <c r="M3640" s="24"/>
      <c r="N3640" s="24"/>
      <c r="P3640" s="24"/>
    </row>
    <row r="3641" spans="2:16" x14ac:dyDescent="0.25">
      <c r="B3641" s="24"/>
      <c r="E3641" s="24"/>
      <c r="G3641" s="24"/>
      <c r="H3641" s="24"/>
      <c r="J3641" s="24"/>
      <c r="K3641" s="24"/>
      <c r="M3641" s="24"/>
      <c r="N3641" s="24"/>
      <c r="P3641" s="24"/>
    </row>
    <row r="3642" spans="2:16" x14ac:dyDescent="0.25">
      <c r="B3642" s="24"/>
      <c r="E3642" s="24"/>
      <c r="G3642" s="24"/>
      <c r="H3642" s="24"/>
      <c r="J3642" s="24"/>
      <c r="K3642" s="24"/>
      <c r="M3642" s="24"/>
      <c r="N3642" s="24"/>
      <c r="P3642" s="24"/>
    </row>
    <row r="3643" spans="2:16" x14ac:dyDescent="0.25">
      <c r="B3643" s="24"/>
      <c r="E3643" s="24"/>
      <c r="G3643" s="24"/>
      <c r="H3643" s="24"/>
      <c r="J3643" s="24"/>
      <c r="K3643" s="24"/>
      <c r="M3643" s="24"/>
      <c r="N3643" s="24"/>
      <c r="P3643" s="24"/>
    </row>
    <row r="3644" spans="2:16" x14ac:dyDescent="0.25">
      <c r="B3644" s="24"/>
      <c r="E3644" s="24"/>
      <c r="G3644" s="24"/>
      <c r="H3644" s="24"/>
      <c r="J3644" s="24"/>
      <c r="K3644" s="24"/>
      <c r="M3644" s="24"/>
      <c r="N3644" s="24"/>
      <c r="P3644" s="24"/>
    </row>
    <row r="3645" spans="2:16" x14ac:dyDescent="0.25">
      <c r="B3645" s="24"/>
      <c r="E3645" s="24"/>
      <c r="G3645" s="24"/>
      <c r="H3645" s="24"/>
      <c r="J3645" s="24"/>
      <c r="K3645" s="24"/>
      <c r="M3645" s="24"/>
      <c r="N3645" s="24"/>
      <c r="P3645" s="24"/>
    </row>
    <row r="3646" spans="2:16" x14ac:dyDescent="0.25">
      <c r="B3646" s="24"/>
      <c r="E3646" s="24"/>
      <c r="G3646" s="24"/>
      <c r="H3646" s="24"/>
      <c r="J3646" s="24"/>
      <c r="K3646" s="24"/>
      <c r="M3646" s="24"/>
      <c r="N3646" s="24"/>
      <c r="P3646" s="24"/>
    </row>
    <row r="3647" spans="2:16" x14ac:dyDescent="0.25">
      <c r="B3647" s="24"/>
      <c r="E3647" s="24"/>
      <c r="G3647" s="24"/>
      <c r="H3647" s="24"/>
      <c r="J3647" s="24"/>
      <c r="K3647" s="24"/>
      <c r="M3647" s="24"/>
      <c r="N3647" s="24"/>
      <c r="P3647" s="24"/>
    </row>
    <row r="3648" spans="2:16" x14ac:dyDescent="0.25">
      <c r="B3648" s="24"/>
      <c r="E3648" s="24"/>
      <c r="G3648" s="24"/>
      <c r="H3648" s="24"/>
      <c r="J3648" s="24"/>
      <c r="K3648" s="24"/>
      <c r="M3648" s="24"/>
      <c r="N3648" s="24"/>
      <c r="P3648" s="24"/>
    </row>
    <row r="3649" spans="2:16" x14ac:dyDescent="0.25">
      <c r="B3649" s="24"/>
      <c r="E3649" s="24"/>
      <c r="G3649" s="24"/>
      <c r="H3649" s="24"/>
      <c r="J3649" s="24"/>
      <c r="K3649" s="24"/>
      <c r="M3649" s="24"/>
      <c r="N3649" s="24"/>
      <c r="P3649" s="24"/>
    </row>
    <row r="3650" spans="2:16" x14ac:dyDescent="0.25">
      <c r="B3650" s="24"/>
      <c r="E3650" s="24"/>
      <c r="G3650" s="24"/>
      <c r="H3650" s="24"/>
      <c r="J3650" s="24"/>
      <c r="K3650" s="24"/>
      <c r="M3650" s="24"/>
      <c r="N3650" s="24"/>
      <c r="P3650" s="24"/>
    </row>
    <row r="3651" spans="2:16" x14ac:dyDescent="0.25">
      <c r="B3651" s="24"/>
      <c r="E3651" s="24"/>
      <c r="G3651" s="24"/>
      <c r="H3651" s="24"/>
      <c r="J3651" s="24"/>
      <c r="K3651" s="24"/>
      <c r="M3651" s="24"/>
      <c r="N3651" s="24"/>
      <c r="P3651" s="24"/>
    </row>
    <row r="3652" spans="2:16" x14ac:dyDescent="0.25">
      <c r="B3652" s="24"/>
      <c r="E3652" s="24"/>
      <c r="G3652" s="24"/>
      <c r="H3652" s="24"/>
      <c r="J3652" s="24"/>
      <c r="K3652" s="24"/>
      <c r="M3652" s="24"/>
      <c r="N3652" s="24"/>
      <c r="P3652" s="24"/>
    </row>
    <row r="3653" spans="2:16" x14ac:dyDescent="0.25">
      <c r="B3653" s="24"/>
      <c r="E3653" s="24"/>
      <c r="G3653" s="24"/>
      <c r="H3653" s="24"/>
      <c r="J3653" s="24"/>
      <c r="K3653" s="24"/>
      <c r="M3653" s="24"/>
      <c r="N3653" s="24"/>
      <c r="P3653" s="24"/>
    </row>
    <row r="3654" spans="2:16" x14ac:dyDescent="0.25">
      <c r="B3654" s="24"/>
      <c r="E3654" s="24"/>
      <c r="G3654" s="24"/>
      <c r="H3654" s="24"/>
      <c r="J3654" s="24"/>
      <c r="K3654" s="24"/>
      <c r="M3654" s="24"/>
      <c r="N3654" s="24"/>
      <c r="P3654" s="24"/>
    </row>
    <row r="3655" spans="2:16" x14ac:dyDescent="0.25">
      <c r="B3655" s="24"/>
      <c r="E3655" s="24"/>
      <c r="G3655" s="24"/>
      <c r="H3655" s="24"/>
      <c r="J3655" s="24"/>
      <c r="K3655" s="24"/>
      <c r="M3655" s="24"/>
      <c r="N3655" s="24"/>
      <c r="P3655" s="24"/>
    </row>
    <row r="3656" spans="2:16" x14ac:dyDescent="0.25">
      <c r="B3656" s="24"/>
      <c r="E3656" s="24"/>
      <c r="G3656" s="24"/>
      <c r="H3656" s="24"/>
      <c r="J3656" s="24"/>
      <c r="K3656" s="24"/>
      <c r="M3656" s="24"/>
      <c r="N3656" s="24"/>
      <c r="P3656" s="24"/>
    </row>
    <row r="3657" spans="2:16" x14ac:dyDescent="0.25">
      <c r="B3657" s="24"/>
      <c r="E3657" s="24"/>
      <c r="G3657" s="24"/>
      <c r="H3657" s="24"/>
      <c r="J3657" s="24"/>
      <c r="K3657" s="24"/>
      <c r="M3657" s="24"/>
      <c r="N3657" s="24"/>
      <c r="P3657" s="24"/>
    </row>
    <row r="3658" spans="2:16" x14ac:dyDescent="0.25">
      <c r="B3658" s="24"/>
      <c r="E3658" s="24"/>
      <c r="G3658" s="24"/>
      <c r="H3658" s="24"/>
      <c r="J3658" s="24"/>
      <c r="K3658" s="24"/>
      <c r="M3658" s="24"/>
      <c r="N3658" s="24"/>
      <c r="P3658" s="24"/>
    </row>
    <row r="3659" spans="2:16" x14ac:dyDescent="0.25">
      <c r="B3659" s="24"/>
      <c r="E3659" s="24"/>
      <c r="G3659" s="24"/>
      <c r="H3659" s="24"/>
      <c r="J3659" s="24"/>
      <c r="K3659" s="24"/>
      <c r="M3659" s="24"/>
      <c r="N3659" s="24"/>
      <c r="P3659" s="24"/>
    </row>
    <row r="3660" spans="2:16" x14ac:dyDescent="0.25">
      <c r="B3660" s="24"/>
      <c r="E3660" s="24"/>
      <c r="G3660" s="24"/>
      <c r="H3660" s="24"/>
      <c r="J3660" s="24"/>
      <c r="K3660" s="24"/>
      <c r="M3660" s="24"/>
      <c r="N3660" s="24"/>
      <c r="P3660" s="24"/>
    </row>
    <row r="3661" spans="2:16" x14ac:dyDescent="0.25">
      <c r="B3661" s="24"/>
      <c r="E3661" s="24"/>
      <c r="G3661" s="24"/>
      <c r="H3661" s="24"/>
      <c r="J3661" s="24"/>
      <c r="K3661" s="24"/>
      <c r="M3661" s="24"/>
      <c r="N3661" s="24"/>
      <c r="P3661" s="24"/>
    </row>
    <row r="3662" spans="2:16" x14ac:dyDescent="0.25">
      <c r="B3662" s="24"/>
      <c r="E3662" s="24"/>
      <c r="G3662" s="24"/>
      <c r="H3662" s="24"/>
      <c r="J3662" s="24"/>
      <c r="K3662" s="24"/>
      <c r="M3662" s="24"/>
      <c r="N3662" s="24"/>
      <c r="P3662" s="24"/>
    </row>
    <row r="3663" spans="2:16" x14ac:dyDescent="0.25">
      <c r="B3663" s="24"/>
      <c r="E3663" s="24"/>
      <c r="G3663" s="24"/>
      <c r="H3663" s="24"/>
      <c r="J3663" s="24"/>
      <c r="K3663" s="24"/>
      <c r="M3663" s="24"/>
      <c r="N3663" s="24"/>
      <c r="P3663" s="24"/>
    </row>
    <row r="3664" spans="2:16" x14ac:dyDescent="0.25">
      <c r="B3664" s="24"/>
      <c r="E3664" s="24"/>
      <c r="G3664" s="24"/>
      <c r="H3664" s="24"/>
      <c r="J3664" s="24"/>
      <c r="K3664" s="24"/>
      <c r="M3664" s="24"/>
      <c r="N3664" s="24"/>
      <c r="P3664" s="24"/>
    </row>
    <row r="3665" spans="2:16" x14ac:dyDescent="0.25">
      <c r="B3665" s="24"/>
      <c r="E3665" s="24"/>
      <c r="G3665" s="24"/>
      <c r="H3665" s="24"/>
      <c r="J3665" s="24"/>
      <c r="K3665" s="24"/>
      <c r="M3665" s="24"/>
      <c r="N3665" s="24"/>
      <c r="P3665" s="24"/>
    </row>
    <row r="3666" spans="2:16" x14ac:dyDescent="0.25">
      <c r="B3666" s="24"/>
      <c r="E3666" s="24"/>
      <c r="G3666" s="24"/>
      <c r="H3666" s="24"/>
      <c r="J3666" s="24"/>
      <c r="K3666" s="24"/>
      <c r="M3666" s="24"/>
      <c r="N3666" s="24"/>
      <c r="P3666" s="24"/>
    </row>
    <row r="3667" spans="2:16" x14ac:dyDescent="0.25">
      <c r="B3667" s="24"/>
      <c r="E3667" s="24"/>
      <c r="G3667" s="24"/>
      <c r="H3667" s="24"/>
      <c r="J3667" s="24"/>
      <c r="K3667" s="24"/>
      <c r="M3667" s="24"/>
      <c r="N3667" s="24"/>
      <c r="P3667" s="24"/>
    </row>
    <row r="3668" spans="2:16" x14ac:dyDescent="0.25">
      <c r="B3668" s="24"/>
      <c r="E3668" s="24"/>
      <c r="G3668" s="24"/>
      <c r="H3668" s="24"/>
      <c r="J3668" s="24"/>
      <c r="K3668" s="24"/>
      <c r="M3668" s="24"/>
      <c r="N3668" s="24"/>
      <c r="P3668" s="24"/>
    </row>
    <row r="3669" spans="2:16" x14ac:dyDescent="0.25">
      <c r="B3669" s="24"/>
      <c r="E3669" s="24"/>
      <c r="G3669" s="24"/>
      <c r="H3669" s="24"/>
      <c r="J3669" s="24"/>
      <c r="K3669" s="24"/>
      <c r="M3669" s="24"/>
      <c r="N3669" s="24"/>
      <c r="P3669" s="24"/>
    </row>
    <row r="3670" spans="2:16" x14ac:dyDescent="0.25">
      <c r="B3670" s="24"/>
      <c r="E3670" s="24"/>
      <c r="G3670" s="24"/>
      <c r="H3670" s="24"/>
      <c r="J3670" s="24"/>
      <c r="K3670" s="24"/>
      <c r="M3670" s="24"/>
      <c r="N3670" s="24"/>
      <c r="P3670" s="24"/>
    </row>
    <row r="3671" spans="2:16" x14ac:dyDescent="0.25">
      <c r="B3671" s="24"/>
      <c r="E3671" s="24"/>
      <c r="G3671" s="24"/>
      <c r="H3671" s="24"/>
      <c r="J3671" s="24"/>
      <c r="K3671" s="24"/>
      <c r="M3671" s="24"/>
      <c r="N3671" s="24"/>
      <c r="P3671" s="24"/>
    </row>
    <row r="3672" spans="2:16" x14ac:dyDescent="0.25">
      <c r="B3672" s="24"/>
      <c r="E3672" s="24"/>
      <c r="G3672" s="24"/>
      <c r="H3672" s="24"/>
      <c r="J3672" s="24"/>
      <c r="K3672" s="24"/>
      <c r="M3672" s="24"/>
      <c r="N3672" s="24"/>
      <c r="P3672" s="24"/>
    </row>
    <row r="3673" spans="2:16" x14ac:dyDescent="0.25">
      <c r="B3673" s="24"/>
      <c r="E3673" s="24"/>
      <c r="G3673" s="24"/>
      <c r="H3673" s="24"/>
      <c r="J3673" s="24"/>
      <c r="K3673" s="24"/>
      <c r="M3673" s="24"/>
      <c r="N3673" s="24"/>
      <c r="P3673" s="24"/>
    </row>
    <row r="3674" spans="2:16" x14ac:dyDescent="0.25">
      <c r="B3674" s="24"/>
      <c r="E3674" s="24"/>
      <c r="G3674" s="24"/>
      <c r="H3674" s="24"/>
      <c r="J3674" s="24"/>
      <c r="K3674" s="24"/>
      <c r="M3674" s="24"/>
      <c r="N3674" s="24"/>
      <c r="P3674" s="24"/>
    </row>
    <row r="3675" spans="2:16" x14ac:dyDescent="0.25">
      <c r="B3675" s="24"/>
      <c r="E3675" s="24"/>
      <c r="G3675" s="24"/>
      <c r="H3675" s="24"/>
      <c r="J3675" s="24"/>
      <c r="K3675" s="24"/>
      <c r="M3675" s="24"/>
      <c r="N3675" s="24"/>
      <c r="P3675" s="24"/>
    </row>
    <row r="3676" spans="2:16" x14ac:dyDescent="0.25">
      <c r="B3676" s="24"/>
      <c r="E3676" s="24"/>
      <c r="G3676" s="24"/>
      <c r="H3676" s="24"/>
      <c r="J3676" s="24"/>
      <c r="K3676" s="24"/>
      <c r="M3676" s="24"/>
      <c r="N3676" s="24"/>
      <c r="P3676" s="24"/>
    </row>
    <row r="3677" spans="2:16" x14ac:dyDescent="0.25">
      <c r="B3677" s="24"/>
      <c r="E3677" s="24"/>
      <c r="G3677" s="24"/>
      <c r="H3677" s="24"/>
      <c r="J3677" s="24"/>
      <c r="K3677" s="24"/>
      <c r="M3677" s="24"/>
      <c r="N3677" s="24"/>
      <c r="P3677" s="24"/>
    </row>
    <row r="3678" spans="2:16" x14ac:dyDescent="0.25">
      <c r="B3678" s="24"/>
      <c r="E3678" s="24"/>
      <c r="G3678" s="24"/>
      <c r="H3678" s="24"/>
      <c r="J3678" s="24"/>
      <c r="K3678" s="24"/>
      <c r="M3678" s="24"/>
      <c r="N3678" s="24"/>
      <c r="P3678" s="24"/>
    </row>
    <row r="3679" spans="2:16" x14ac:dyDescent="0.25">
      <c r="B3679" s="24"/>
      <c r="E3679" s="24"/>
      <c r="G3679" s="24"/>
      <c r="H3679" s="24"/>
      <c r="J3679" s="24"/>
      <c r="K3679" s="24"/>
      <c r="M3679" s="24"/>
      <c r="N3679" s="24"/>
      <c r="P3679" s="24"/>
    </row>
    <row r="3680" spans="2:16" x14ac:dyDescent="0.25">
      <c r="B3680" s="24"/>
      <c r="E3680" s="24"/>
      <c r="G3680" s="24"/>
      <c r="H3680" s="24"/>
      <c r="J3680" s="24"/>
      <c r="K3680" s="24"/>
      <c r="M3680" s="24"/>
      <c r="N3680" s="24"/>
      <c r="P3680" s="24"/>
    </row>
    <row r="3681" spans="2:16" x14ac:dyDescent="0.25">
      <c r="B3681" s="24"/>
      <c r="E3681" s="24"/>
      <c r="G3681" s="24"/>
      <c r="H3681" s="24"/>
      <c r="J3681" s="24"/>
      <c r="K3681" s="24"/>
      <c r="M3681" s="24"/>
      <c r="N3681" s="24"/>
      <c r="P3681" s="24"/>
    </row>
    <row r="3682" spans="2:16" x14ac:dyDescent="0.25">
      <c r="B3682" s="24"/>
      <c r="E3682" s="24"/>
      <c r="G3682" s="24"/>
      <c r="H3682" s="24"/>
      <c r="J3682" s="24"/>
      <c r="K3682" s="24"/>
      <c r="M3682" s="24"/>
      <c r="N3682" s="24"/>
      <c r="P3682" s="24"/>
    </row>
    <row r="3683" spans="2:16" x14ac:dyDescent="0.25">
      <c r="B3683" s="24"/>
      <c r="E3683" s="24"/>
      <c r="G3683" s="24"/>
      <c r="H3683" s="24"/>
      <c r="J3683" s="24"/>
      <c r="K3683" s="24"/>
      <c r="M3683" s="24"/>
      <c r="N3683" s="24"/>
      <c r="P3683" s="24"/>
    </row>
    <row r="3684" spans="2:16" x14ac:dyDescent="0.25">
      <c r="B3684" s="24"/>
      <c r="E3684" s="24"/>
      <c r="G3684" s="24"/>
      <c r="H3684" s="24"/>
      <c r="J3684" s="24"/>
      <c r="K3684" s="24"/>
      <c r="M3684" s="24"/>
      <c r="N3684" s="24"/>
      <c r="P3684" s="24"/>
    </row>
    <row r="3685" spans="2:16" x14ac:dyDescent="0.25">
      <c r="B3685" s="24"/>
      <c r="E3685" s="24"/>
      <c r="G3685" s="24"/>
      <c r="H3685" s="24"/>
      <c r="J3685" s="24"/>
      <c r="K3685" s="24"/>
      <c r="M3685" s="24"/>
      <c r="N3685" s="24"/>
      <c r="P3685" s="24"/>
    </row>
    <row r="3686" spans="2:16" x14ac:dyDescent="0.25">
      <c r="B3686" s="24"/>
      <c r="E3686" s="24"/>
      <c r="G3686" s="24"/>
      <c r="H3686" s="24"/>
      <c r="J3686" s="24"/>
      <c r="K3686" s="24"/>
      <c r="M3686" s="24"/>
      <c r="N3686" s="24"/>
      <c r="P3686" s="24"/>
    </row>
    <row r="3687" spans="2:16" x14ac:dyDescent="0.25">
      <c r="B3687" s="24"/>
      <c r="E3687" s="24"/>
      <c r="G3687" s="24"/>
      <c r="H3687" s="24"/>
      <c r="J3687" s="24"/>
      <c r="K3687" s="24"/>
      <c r="M3687" s="24"/>
      <c r="N3687" s="24"/>
      <c r="P3687" s="24"/>
    </row>
    <row r="3688" spans="2:16" x14ac:dyDescent="0.25">
      <c r="B3688" s="24"/>
      <c r="E3688" s="24"/>
      <c r="G3688" s="24"/>
      <c r="H3688" s="24"/>
      <c r="J3688" s="24"/>
      <c r="K3688" s="24"/>
      <c r="M3688" s="24"/>
      <c r="N3688" s="24"/>
      <c r="P3688" s="24"/>
    </row>
    <row r="3689" spans="2:16" x14ac:dyDescent="0.25">
      <c r="B3689" s="24"/>
      <c r="E3689" s="24"/>
      <c r="G3689" s="24"/>
      <c r="H3689" s="24"/>
      <c r="J3689" s="24"/>
      <c r="K3689" s="24"/>
      <c r="M3689" s="24"/>
      <c r="N3689" s="24"/>
      <c r="P3689" s="24"/>
    </row>
    <row r="3690" spans="2:16" x14ac:dyDescent="0.25">
      <c r="B3690" s="24"/>
      <c r="E3690" s="24"/>
      <c r="G3690" s="24"/>
      <c r="H3690" s="24"/>
      <c r="J3690" s="24"/>
      <c r="K3690" s="24"/>
      <c r="M3690" s="24"/>
      <c r="N3690" s="24"/>
      <c r="P3690" s="24"/>
    </row>
    <row r="3691" spans="2:16" x14ac:dyDescent="0.25">
      <c r="B3691" s="24"/>
      <c r="E3691" s="24"/>
      <c r="G3691" s="24"/>
      <c r="H3691" s="24"/>
      <c r="J3691" s="24"/>
      <c r="K3691" s="24"/>
      <c r="M3691" s="24"/>
      <c r="N3691" s="24"/>
      <c r="P3691" s="24"/>
    </row>
    <row r="3692" spans="2:16" x14ac:dyDescent="0.25">
      <c r="B3692" s="24"/>
      <c r="E3692" s="24"/>
      <c r="G3692" s="24"/>
      <c r="H3692" s="24"/>
      <c r="J3692" s="24"/>
      <c r="K3692" s="24"/>
      <c r="M3692" s="24"/>
      <c r="N3692" s="24"/>
      <c r="P3692" s="24"/>
    </row>
    <row r="3693" spans="2:16" x14ac:dyDescent="0.25">
      <c r="B3693" s="24"/>
      <c r="E3693" s="24"/>
      <c r="G3693" s="24"/>
      <c r="H3693" s="24"/>
      <c r="J3693" s="24"/>
      <c r="K3693" s="24"/>
      <c r="M3693" s="24"/>
      <c r="N3693" s="24"/>
      <c r="P3693" s="24"/>
    </row>
    <row r="3694" spans="2:16" x14ac:dyDescent="0.25">
      <c r="B3694" s="24"/>
      <c r="E3694" s="24"/>
      <c r="G3694" s="24"/>
      <c r="H3694" s="24"/>
      <c r="J3694" s="24"/>
      <c r="K3694" s="24"/>
      <c r="M3694" s="24"/>
      <c r="N3694" s="24"/>
      <c r="P3694" s="24"/>
    </row>
    <row r="3695" spans="2:16" x14ac:dyDescent="0.25">
      <c r="B3695" s="24"/>
      <c r="E3695" s="24"/>
      <c r="G3695" s="24"/>
      <c r="H3695" s="24"/>
      <c r="J3695" s="24"/>
      <c r="K3695" s="24"/>
      <c r="M3695" s="24"/>
      <c r="N3695" s="24"/>
      <c r="P3695" s="24"/>
    </row>
    <row r="3696" spans="2:16" x14ac:dyDescent="0.25">
      <c r="B3696" s="24"/>
      <c r="E3696" s="24"/>
      <c r="G3696" s="24"/>
      <c r="H3696" s="24"/>
      <c r="J3696" s="24"/>
      <c r="K3696" s="24"/>
      <c r="M3696" s="24"/>
      <c r="N3696" s="24"/>
      <c r="P3696" s="24"/>
    </row>
    <row r="3697" spans="2:16" x14ac:dyDescent="0.25">
      <c r="B3697" s="24"/>
      <c r="E3697" s="24"/>
      <c r="G3697" s="24"/>
      <c r="H3697" s="24"/>
      <c r="J3697" s="24"/>
      <c r="K3697" s="24"/>
      <c r="M3697" s="24"/>
      <c r="N3697" s="24"/>
      <c r="P3697" s="24"/>
    </row>
    <row r="3698" spans="2:16" x14ac:dyDescent="0.25">
      <c r="B3698" s="24"/>
      <c r="E3698" s="24"/>
      <c r="G3698" s="24"/>
      <c r="H3698" s="24"/>
      <c r="J3698" s="24"/>
      <c r="K3698" s="24"/>
      <c r="M3698" s="24"/>
      <c r="N3698" s="24"/>
      <c r="P3698" s="24"/>
    </row>
    <row r="3699" spans="2:16" x14ac:dyDescent="0.25">
      <c r="B3699" s="24"/>
      <c r="E3699" s="24"/>
      <c r="G3699" s="24"/>
      <c r="H3699" s="24"/>
      <c r="J3699" s="24"/>
      <c r="K3699" s="24"/>
      <c r="M3699" s="24"/>
      <c r="N3699" s="24"/>
      <c r="P3699" s="24"/>
    </row>
    <row r="3700" spans="2:16" x14ac:dyDescent="0.25">
      <c r="B3700" s="24"/>
      <c r="E3700" s="24"/>
      <c r="G3700" s="24"/>
      <c r="H3700" s="24"/>
      <c r="J3700" s="24"/>
      <c r="K3700" s="24"/>
      <c r="M3700" s="24"/>
      <c r="N3700" s="24"/>
      <c r="P3700" s="24"/>
    </row>
    <row r="3701" spans="2:16" x14ac:dyDescent="0.25">
      <c r="B3701" s="24"/>
      <c r="E3701" s="24"/>
      <c r="G3701" s="24"/>
      <c r="H3701" s="24"/>
      <c r="J3701" s="24"/>
      <c r="K3701" s="24"/>
      <c r="M3701" s="24"/>
      <c r="N3701" s="24"/>
      <c r="P3701" s="24"/>
    </row>
    <row r="3702" spans="2:16" x14ac:dyDescent="0.25">
      <c r="B3702" s="24"/>
      <c r="E3702" s="24"/>
      <c r="G3702" s="24"/>
      <c r="H3702" s="24"/>
      <c r="J3702" s="24"/>
      <c r="K3702" s="24"/>
      <c r="M3702" s="24"/>
      <c r="N3702" s="24"/>
      <c r="P3702" s="24"/>
    </row>
    <row r="3703" spans="2:16" x14ac:dyDescent="0.25">
      <c r="B3703" s="24"/>
      <c r="E3703" s="24"/>
      <c r="G3703" s="24"/>
      <c r="H3703" s="24"/>
      <c r="J3703" s="24"/>
      <c r="K3703" s="24"/>
      <c r="M3703" s="24"/>
      <c r="N3703" s="24"/>
      <c r="P3703" s="24"/>
    </row>
    <row r="3704" spans="2:16" x14ac:dyDescent="0.25">
      <c r="B3704" s="24"/>
      <c r="E3704" s="24"/>
      <c r="G3704" s="24"/>
      <c r="H3704" s="24"/>
      <c r="J3704" s="24"/>
      <c r="K3704" s="24"/>
      <c r="M3704" s="24"/>
      <c r="N3704" s="24"/>
      <c r="P3704" s="24"/>
    </row>
    <row r="3705" spans="2:16" x14ac:dyDescent="0.25">
      <c r="B3705" s="24"/>
      <c r="E3705" s="24"/>
      <c r="G3705" s="24"/>
      <c r="H3705" s="24"/>
      <c r="J3705" s="24"/>
      <c r="K3705" s="24"/>
      <c r="M3705" s="24"/>
      <c r="N3705" s="24"/>
      <c r="P3705" s="24"/>
    </row>
    <row r="3706" spans="2:16" x14ac:dyDescent="0.25">
      <c r="B3706" s="24"/>
      <c r="E3706" s="24"/>
      <c r="G3706" s="24"/>
      <c r="H3706" s="24"/>
      <c r="J3706" s="24"/>
      <c r="K3706" s="24"/>
      <c r="M3706" s="24"/>
      <c r="N3706" s="24"/>
      <c r="P3706" s="24"/>
    </row>
    <row r="3707" spans="2:16" x14ac:dyDescent="0.25">
      <c r="B3707" s="24"/>
      <c r="E3707" s="24"/>
      <c r="G3707" s="24"/>
      <c r="H3707" s="24"/>
      <c r="J3707" s="24"/>
      <c r="K3707" s="24"/>
      <c r="M3707" s="24"/>
      <c r="N3707" s="24"/>
      <c r="P3707" s="24"/>
    </row>
    <row r="3708" spans="2:16" x14ac:dyDescent="0.25">
      <c r="B3708" s="24"/>
      <c r="E3708" s="24"/>
      <c r="G3708" s="24"/>
      <c r="H3708" s="24"/>
      <c r="J3708" s="24"/>
      <c r="K3708" s="24"/>
      <c r="M3708" s="24"/>
      <c r="N3708" s="24"/>
      <c r="P3708" s="24"/>
    </row>
    <row r="3709" spans="2:16" x14ac:dyDescent="0.25">
      <c r="B3709" s="24"/>
      <c r="E3709" s="24"/>
      <c r="G3709" s="24"/>
      <c r="H3709" s="24"/>
      <c r="J3709" s="24"/>
      <c r="K3709" s="24"/>
      <c r="M3709" s="24"/>
      <c r="N3709" s="24"/>
      <c r="P3709" s="24"/>
    </row>
    <row r="3710" spans="2:16" x14ac:dyDescent="0.25">
      <c r="B3710" s="24"/>
      <c r="E3710" s="24"/>
      <c r="G3710" s="24"/>
      <c r="H3710" s="24"/>
      <c r="J3710" s="24"/>
      <c r="K3710" s="24"/>
      <c r="M3710" s="24"/>
      <c r="N3710" s="24"/>
      <c r="P3710" s="24"/>
    </row>
    <row r="3711" spans="2:16" x14ac:dyDescent="0.25">
      <c r="B3711" s="24"/>
      <c r="E3711" s="24"/>
      <c r="G3711" s="24"/>
      <c r="H3711" s="24"/>
      <c r="J3711" s="24"/>
      <c r="K3711" s="24"/>
      <c r="M3711" s="24"/>
      <c r="N3711" s="24"/>
      <c r="P3711" s="24"/>
    </row>
    <row r="3712" spans="2:16" x14ac:dyDescent="0.25">
      <c r="B3712" s="24"/>
      <c r="E3712" s="24"/>
      <c r="G3712" s="24"/>
      <c r="H3712" s="24"/>
      <c r="J3712" s="24"/>
      <c r="K3712" s="24"/>
      <c r="M3712" s="24"/>
      <c r="N3712" s="24"/>
      <c r="P3712" s="24"/>
    </row>
    <row r="3713" spans="2:16" x14ac:dyDescent="0.25">
      <c r="B3713" s="24"/>
      <c r="E3713" s="24"/>
      <c r="G3713" s="24"/>
      <c r="H3713" s="24"/>
      <c r="J3713" s="24"/>
      <c r="K3713" s="24"/>
      <c r="M3713" s="24"/>
      <c r="N3713" s="24"/>
      <c r="P3713" s="24"/>
    </row>
    <row r="3714" spans="2:16" x14ac:dyDescent="0.25">
      <c r="B3714" s="24"/>
      <c r="E3714" s="24"/>
      <c r="G3714" s="24"/>
      <c r="H3714" s="24"/>
      <c r="J3714" s="24"/>
      <c r="K3714" s="24"/>
      <c r="M3714" s="24"/>
      <c r="N3714" s="24"/>
      <c r="P3714" s="24"/>
    </row>
    <row r="3715" spans="2:16" x14ac:dyDescent="0.25">
      <c r="B3715" s="24"/>
      <c r="E3715" s="24"/>
      <c r="G3715" s="24"/>
      <c r="H3715" s="24"/>
      <c r="J3715" s="24"/>
      <c r="K3715" s="24"/>
      <c r="M3715" s="24"/>
      <c r="N3715" s="24"/>
      <c r="P3715" s="24"/>
    </row>
    <row r="3716" spans="2:16" x14ac:dyDescent="0.25">
      <c r="B3716" s="24"/>
      <c r="E3716" s="24"/>
      <c r="G3716" s="24"/>
      <c r="H3716" s="24"/>
      <c r="J3716" s="24"/>
      <c r="K3716" s="24"/>
      <c r="M3716" s="24"/>
      <c r="N3716" s="24"/>
      <c r="P3716" s="24"/>
    </row>
    <row r="3717" spans="2:16" x14ac:dyDescent="0.25">
      <c r="B3717" s="24"/>
      <c r="E3717" s="24"/>
      <c r="G3717" s="24"/>
      <c r="H3717" s="24"/>
      <c r="J3717" s="24"/>
      <c r="K3717" s="24"/>
      <c r="M3717" s="24"/>
      <c r="N3717" s="24"/>
      <c r="P3717" s="24"/>
    </row>
    <row r="3718" spans="2:16" x14ac:dyDescent="0.25">
      <c r="B3718" s="24"/>
      <c r="E3718" s="24"/>
      <c r="G3718" s="24"/>
      <c r="H3718" s="24"/>
      <c r="J3718" s="24"/>
      <c r="K3718" s="24"/>
      <c r="M3718" s="24"/>
      <c r="N3718" s="24"/>
      <c r="P3718" s="24"/>
    </row>
    <row r="3719" spans="2:16" x14ac:dyDescent="0.25">
      <c r="B3719" s="24"/>
      <c r="E3719" s="24"/>
      <c r="G3719" s="24"/>
      <c r="H3719" s="24"/>
      <c r="J3719" s="24"/>
      <c r="K3719" s="24"/>
      <c r="M3719" s="24"/>
      <c r="N3719" s="24"/>
      <c r="P3719" s="24"/>
    </row>
    <row r="3720" spans="2:16" x14ac:dyDescent="0.25">
      <c r="B3720" s="24"/>
      <c r="E3720" s="24"/>
      <c r="G3720" s="24"/>
      <c r="H3720" s="24"/>
      <c r="J3720" s="24"/>
      <c r="K3720" s="24"/>
      <c r="M3720" s="24"/>
      <c r="N3720" s="24"/>
      <c r="P3720" s="24"/>
    </row>
    <row r="3721" spans="2:16" x14ac:dyDescent="0.25">
      <c r="B3721" s="24"/>
      <c r="E3721" s="24"/>
      <c r="G3721" s="24"/>
      <c r="H3721" s="24"/>
      <c r="J3721" s="24"/>
      <c r="K3721" s="24"/>
      <c r="M3721" s="24"/>
      <c r="N3721" s="24"/>
      <c r="P3721" s="24"/>
    </row>
    <row r="3722" spans="2:16" x14ac:dyDescent="0.25">
      <c r="B3722" s="24"/>
      <c r="E3722" s="24"/>
      <c r="G3722" s="24"/>
      <c r="H3722" s="24"/>
      <c r="J3722" s="24"/>
      <c r="K3722" s="24"/>
      <c r="M3722" s="24"/>
      <c r="N3722" s="24"/>
      <c r="P3722" s="24"/>
    </row>
    <row r="3723" spans="2:16" x14ac:dyDescent="0.25">
      <c r="B3723" s="24"/>
      <c r="E3723" s="24"/>
      <c r="G3723" s="24"/>
      <c r="H3723" s="24"/>
      <c r="J3723" s="24"/>
      <c r="K3723" s="24"/>
      <c r="M3723" s="24"/>
      <c r="N3723" s="24"/>
      <c r="P3723" s="24"/>
    </row>
    <row r="3724" spans="2:16" x14ac:dyDescent="0.25">
      <c r="B3724" s="24"/>
      <c r="E3724" s="24"/>
      <c r="G3724" s="24"/>
      <c r="H3724" s="24"/>
      <c r="J3724" s="24"/>
      <c r="K3724" s="24"/>
      <c r="M3724" s="24"/>
      <c r="N3724" s="24"/>
      <c r="P3724" s="24"/>
    </row>
    <row r="3725" spans="2:16" x14ac:dyDescent="0.25">
      <c r="B3725" s="24"/>
      <c r="E3725" s="24"/>
      <c r="G3725" s="24"/>
      <c r="H3725" s="24"/>
      <c r="J3725" s="24"/>
      <c r="K3725" s="24"/>
      <c r="M3725" s="24"/>
      <c r="N3725" s="24"/>
      <c r="P3725" s="24"/>
    </row>
    <row r="3726" spans="2:16" x14ac:dyDescent="0.25">
      <c r="B3726" s="24"/>
      <c r="E3726" s="24"/>
      <c r="G3726" s="24"/>
      <c r="H3726" s="24"/>
      <c r="J3726" s="24"/>
      <c r="K3726" s="24"/>
      <c r="M3726" s="24"/>
      <c r="N3726" s="24"/>
      <c r="P3726" s="24"/>
    </row>
    <row r="3727" spans="2:16" x14ac:dyDescent="0.25">
      <c r="B3727" s="24"/>
      <c r="E3727" s="24"/>
      <c r="G3727" s="24"/>
      <c r="H3727" s="24"/>
      <c r="J3727" s="24"/>
      <c r="K3727" s="24"/>
      <c r="M3727" s="24"/>
      <c r="N3727" s="24"/>
      <c r="P3727" s="24"/>
    </row>
    <row r="3728" spans="2:16" x14ac:dyDescent="0.25">
      <c r="B3728" s="24"/>
      <c r="E3728" s="24"/>
      <c r="G3728" s="24"/>
      <c r="H3728" s="24"/>
      <c r="J3728" s="24"/>
      <c r="K3728" s="24"/>
      <c r="M3728" s="24"/>
      <c r="N3728" s="24"/>
      <c r="P3728" s="24"/>
    </row>
    <row r="3729" spans="2:16" x14ac:dyDescent="0.25">
      <c r="B3729" s="24"/>
      <c r="E3729" s="24"/>
      <c r="G3729" s="24"/>
      <c r="H3729" s="24"/>
      <c r="J3729" s="24"/>
      <c r="K3729" s="24"/>
      <c r="M3729" s="24"/>
      <c r="N3729" s="24"/>
      <c r="P3729" s="24"/>
    </row>
    <row r="3730" spans="2:16" x14ac:dyDescent="0.25">
      <c r="B3730" s="24"/>
      <c r="E3730" s="24"/>
      <c r="G3730" s="24"/>
      <c r="H3730" s="24"/>
      <c r="J3730" s="24"/>
      <c r="K3730" s="24"/>
      <c r="M3730" s="24"/>
      <c r="N3730" s="24"/>
      <c r="P3730" s="24"/>
    </row>
    <row r="3731" spans="2:16" x14ac:dyDescent="0.25">
      <c r="B3731" s="24"/>
      <c r="E3731" s="24"/>
      <c r="G3731" s="24"/>
      <c r="H3731" s="24"/>
      <c r="J3731" s="24"/>
      <c r="K3731" s="24"/>
      <c r="M3731" s="24"/>
      <c r="N3731" s="24"/>
      <c r="P3731" s="24"/>
    </row>
    <row r="3732" spans="2:16" x14ac:dyDescent="0.25">
      <c r="B3732" s="24"/>
      <c r="E3732" s="24"/>
      <c r="G3732" s="24"/>
      <c r="H3732" s="24"/>
      <c r="J3732" s="24"/>
      <c r="K3732" s="24"/>
      <c r="M3732" s="24"/>
      <c r="N3732" s="24"/>
      <c r="P3732" s="24"/>
    </row>
    <row r="3733" spans="2:16" x14ac:dyDescent="0.25">
      <c r="B3733" s="24"/>
      <c r="E3733" s="24"/>
      <c r="G3733" s="24"/>
      <c r="H3733" s="24"/>
      <c r="J3733" s="24"/>
      <c r="K3733" s="24"/>
      <c r="M3733" s="24"/>
      <c r="N3733" s="24"/>
      <c r="P3733" s="24"/>
    </row>
    <row r="3734" spans="2:16" x14ac:dyDescent="0.25">
      <c r="B3734" s="24"/>
      <c r="E3734" s="24"/>
      <c r="G3734" s="24"/>
      <c r="H3734" s="24"/>
      <c r="J3734" s="24"/>
      <c r="K3734" s="24"/>
      <c r="M3734" s="24"/>
      <c r="N3734" s="24"/>
      <c r="P3734" s="24"/>
    </row>
    <row r="3735" spans="2:16" x14ac:dyDescent="0.25">
      <c r="B3735" s="24"/>
      <c r="E3735" s="24"/>
      <c r="G3735" s="24"/>
      <c r="H3735" s="24"/>
      <c r="J3735" s="24"/>
      <c r="K3735" s="24"/>
      <c r="M3735" s="24"/>
      <c r="N3735" s="24"/>
      <c r="P3735" s="24"/>
    </row>
    <row r="3736" spans="2:16" x14ac:dyDescent="0.25">
      <c r="B3736" s="24"/>
      <c r="E3736" s="24"/>
      <c r="G3736" s="24"/>
      <c r="H3736" s="24"/>
      <c r="J3736" s="24"/>
      <c r="K3736" s="24"/>
      <c r="M3736" s="24"/>
      <c r="N3736" s="24"/>
      <c r="P3736" s="24"/>
    </row>
    <row r="3737" spans="2:16" x14ac:dyDescent="0.25">
      <c r="B3737" s="24"/>
      <c r="E3737" s="24"/>
      <c r="G3737" s="24"/>
      <c r="H3737" s="24"/>
      <c r="J3737" s="24"/>
      <c r="K3737" s="24"/>
      <c r="M3737" s="24"/>
      <c r="N3737" s="24"/>
      <c r="P3737" s="24"/>
    </row>
    <row r="3738" spans="2:16" x14ac:dyDescent="0.25">
      <c r="B3738" s="24"/>
      <c r="E3738" s="24"/>
      <c r="G3738" s="24"/>
      <c r="H3738" s="24"/>
      <c r="J3738" s="24"/>
      <c r="K3738" s="24"/>
      <c r="M3738" s="24"/>
      <c r="N3738" s="24"/>
      <c r="P3738" s="24"/>
    </row>
    <row r="3739" spans="2:16" x14ac:dyDescent="0.25">
      <c r="B3739" s="24"/>
      <c r="E3739" s="24"/>
      <c r="G3739" s="24"/>
      <c r="H3739" s="24"/>
      <c r="J3739" s="24"/>
      <c r="K3739" s="24"/>
      <c r="M3739" s="24"/>
      <c r="N3739" s="24"/>
      <c r="P3739" s="24"/>
    </row>
    <row r="3740" spans="2:16" x14ac:dyDescent="0.25">
      <c r="B3740" s="24"/>
      <c r="E3740" s="24"/>
      <c r="G3740" s="24"/>
      <c r="H3740" s="24"/>
      <c r="J3740" s="24"/>
      <c r="K3740" s="24"/>
      <c r="M3740" s="24"/>
      <c r="N3740" s="24"/>
      <c r="P3740" s="24"/>
    </row>
    <row r="3741" spans="2:16" x14ac:dyDescent="0.25">
      <c r="B3741" s="24"/>
      <c r="E3741" s="24"/>
      <c r="G3741" s="24"/>
      <c r="H3741" s="24"/>
      <c r="J3741" s="24"/>
      <c r="K3741" s="24"/>
      <c r="M3741" s="24"/>
      <c r="N3741" s="24"/>
      <c r="P3741" s="24"/>
    </row>
    <row r="3742" spans="2:16" x14ac:dyDescent="0.25">
      <c r="B3742" s="24"/>
      <c r="E3742" s="24"/>
      <c r="G3742" s="24"/>
      <c r="H3742" s="24"/>
      <c r="J3742" s="24"/>
      <c r="K3742" s="24"/>
      <c r="M3742" s="24"/>
      <c r="N3742" s="24"/>
      <c r="P3742" s="24"/>
    </row>
    <row r="3743" spans="2:16" x14ac:dyDescent="0.25">
      <c r="B3743" s="24"/>
      <c r="E3743" s="24"/>
      <c r="G3743" s="24"/>
      <c r="H3743" s="24"/>
      <c r="J3743" s="24"/>
      <c r="K3743" s="24"/>
      <c r="M3743" s="24"/>
      <c r="N3743" s="24"/>
      <c r="P3743" s="24"/>
    </row>
    <row r="3744" spans="2:16" x14ac:dyDescent="0.25">
      <c r="B3744" s="24"/>
      <c r="E3744" s="24"/>
      <c r="G3744" s="24"/>
      <c r="H3744" s="24"/>
      <c r="J3744" s="24"/>
      <c r="K3744" s="24"/>
      <c r="M3744" s="24"/>
      <c r="N3744" s="24"/>
      <c r="P3744" s="24"/>
    </row>
    <row r="3745" spans="2:16" x14ac:dyDescent="0.25">
      <c r="B3745" s="24"/>
      <c r="E3745" s="24"/>
      <c r="G3745" s="24"/>
      <c r="H3745" s="24"/>
      <c r="J3745" s="24"/>
      <c r="K3745" s="24"/>
      <c r="M3745" s="24"/>
      <c r="N3745" s="24"/>
      <c r="P3745" s="24"/>
    </row>
    <row r="3746" spans="2:16" x14ac:dyDescent="0.25">
      <c r="B3746" s="24"/>
      <c r="E3746" s="24"/>
      <c r="G3746" s="24"/>
      <c r="H3746" s="24"/>
      <c r="J3746" s="24"/>
      <c r="K3746" s="24"/>
      <c r="M3746" s="24"/>
      <c r="N3746" s="24"/>
      <c r="P3746" s="24"/>
    </row>
    <row r="3747" spans="2:16" x14ac:dyDescent="0.25">
      <c r="B3747" s="24"/>
      <c r="E3747" s="24"/>
      <c r="G3747" s="24"/>
      <c r="H3747" s="24"/>
      <c r="J3747" s="24"/>
      <c r="K3747" s="24"/>
      <c r="M3747" s="24"/>
      <c r="N3747" s="24"/>
      <c r="P3747" s="24"/>
    </row>
    <row r="3748" spans="2:16" x14ac:dyDescent="0.25">
      <c r="B3748" s="24"/>
      <c r="E3748" s="24"/>
      <c r="G3748" s="24"/>
      <c r="H3748" s="24"/>
      <c r="J3748" s="24"/>
      <c r="K3748" s="24"/>
      <c r="M3748" s="24"/>
      <c r="N3748" s="24"/>
      <c r="P3748" s="24"/>
    </row>
    <row r="3749" spans="2:16" x14ac:dyDescent="0.25">
      <c r="B3749" s="24"/>
      <c r="E3749" s="24"/>
      <c r="G3749" s="24"/>
      <c r="H3749" s="24"/>
      <c r="J3749" s="24"/>
      <c r="K3749" s="24"/>
      <c r="M3749" s="24"/>
      <c r="N3749" s="24"/>
      <c r="P3749" s="24"/>
    </row>
    <row r="3750" spans="2:16" x14ac:dyDescent="0.25">
      <c r="B3750" s="24"/>
      <c r="E3750" s="24"/>
      <c r="G3750" s="24"/>
      <c r="H3750" s="24"/>
      <c r="J3750" s="24"/>
      <c r="K3750" s="24"/>
      <c r="M3750" s="24"/>
      <c r="N3750" s="24"/>
      <c r="P3750" s="24"/>
    </row>
    <row r="3751" spans="2:16" x14ac:dyDescent="0.25">
      <c r="B3751" s="24"/>
      <c r="E3751" s="24"/>
      <c r="G3751" s="24"/>
      <c r="H3751" s="24"/>
      <c r="J3751" s="24"/>
      <c r="K3751" s="24"/>
      <c r="M3751" s="24"/>
      <c r="N3751" s="24"/>
      <c r="P3751" s="24"/>
    </row>
    <row r="3752" spans="2:16" x14ac:dyDescent="0.25">
      <c r="B3752" s="24"/>
      <c r="E3752" s="24"/>
      <c r="G3752" s="24"/>
      <c r="H3752" s="24"/>
      <c r="J3752" s="24"/>
      <c r="K3752" s="24"/>
      <c r="M3752" s="24"/>
      <c r="N3752" s="24"/>
      <c r="P3752" s="24"/>
    </row>
    <row r="3753" spans="2:16" x14ac:dyDescent="0.25">
      <c r="B3753" s="24"/>
      <c r="E3753" s="24"/>
      <c r="G3753" s="24"/>
      <c r="H3753" s="24"/>
      <c r="J3753" s="24"/>
      <c r="K3753" s="24"/>
      <c r="M3753" s="24"/>
      <c r="N3753" s="24"/>
      <c r="P3753" s="24"/>
    </row>
    <row r="3754" spans="2:16" x14ac:dyDescent="0.25">
      <c r="B3754" s="24"/>
      <c r="E3754" s="24"/>
      <c r="G3754" s="24"/>
      <c r="H3754" s="24"/>
      <c r="J3754" s="24"/>
      <c r="K3754" s="24"/>
      <c r="M3754" s="24"/>
      <c r="N3754" s="24"/>
      <c r="P3754" s="24"/>
    </row>
    <row r="3755" spans="2:16" x14ac:dyDescent="0.25">
      <c r="B3755" s="24"/>
      <c r="E3755" s="24"/>
      <c r="G3755" s="24"/>
      <c r="H3755" s="24"/>
      <c r="J3755" s="24"/>
      <c r="K3755" s="24"/>
      <c r="M3755" s="24"/>
      <c r="N3755" s="24"/>
      <c r="P3755" s="24"/>
    </row>
    <row r="3756" spans="2:16" x14ac:dyDescent="0.25">
      <c r="B3756" s="24"/>
      <c r="E3756" s="24"/>
      <c r="G3756" s="24"/>
      <c r="H3756" s="24"/>
      <c r="J3756" s="24"/>
      <c r="K3756" s="24"/>
      <c r="M3756" s="24"/>
      <c r="N3756" s="24"/>
      <c r="P3756" s="24"/>
    </row>
    <row r="3757" spans="2:16" x14ac:dyDescent="0.25">
      <c r="B3757" s="24"/>
      <c r="E3757" s="24"/>
      <c r="G3757" s="24"/>
      <c r="H3757" s="24"/>
      <c r="J3757" s="24"/>
      <c r="K3757" s="24"/>
      <c r="M3757" s="24"/>
      <c r="N3757" s="24"/>
      <c r="P3757" s="24"/>
    </row>
    <row r="3758" spans="2:16" x14ac:dyDescent="0.25">
      <c r="B3758" s="24"/>
      <c r="E3758" s="24"/>
      <c r="G3758" s="24"/>
      <c r="H3758" s="24"/>
      <c r="J3758" s="24"/>
      <c r="K3758" s="24"/>
      <c r="M3758" s="24"/>
      <c r="N3758" s="24"/>
      <c r="P3758" s="24"/>
    </row>
    <row r="3759" spans="2:16" x14ac:dyDescent="0.25">
      <c r="B3759" s="24"/>
      <c r="E3759" s="24"/>
      <c r="G3759" s="24"/>
      <c r="H3759" s="24"/>
      <c r="J3759" s="24"/>
      <c r="K3759" s="24"/>
      <c r="M3759" s="24"/>
      <c r="N3759" s="24"/>
      <c r="P3759" s="24"/>
    </row>
    <row r="3760" spans="2:16" x14ac:dyDescent="0.25">
      <c r="B3760" s="24"/>
      <c r="E3760" s="24"/>
      <c r="G3760" s="24"/>
      <c r="H3760" s="24"/>
      <c r="J3760" s="24"/>
      <c r="K3760" s="24"/>
      <c r="M3760" s="24"/>
      <c r="N3760" s="24"/>
      <c r="P3760" s="24"/>
    </row>
    <row r="3761" spans="2:16" x14ac:dyDescent="0.25">
      <c r="B3761" s="24"/>
      <c r="E3761" s="24"/>
      <c r="G3761" s="24"/>
      <c r="H3761" s="24"/>
      <c r="J3761" s="24"/>
      <c r="K3761" s="24"/>
      <c r="M3761" s="24"/>
      <c r="N3761" s="24"/>
      <c r="P3761" s="24"/>
    </row>
    <row r="3762" spans="2:16" x14ac:dyDescent="0.25">
      <c r="B3762" s="24"/>
      <c r="E3762" s="24"/>
      <c r="G3762" s="24"/>
      <c r="H3762" s="24"/>
      <c r="J3762" s="24"/>
      <c r="K3762" s="24"/>
      <c r="M3762" s="24"/>
      <c r="N3762" s="24"/>
      <c r="P3762" s="24"/>
    </row>
    <row r="3763" spans="2:16" x14ac:dyDescent="0.25">
      <c r="B3763" s="24"/>
      <c r="E3763" s="24"/>
      <c r="G3763" s="24"/>
      <c r="H3763" s="24"/>
      <c r="J3763" s="24"/>
      <c r="K3763" s="24"/>
      <c r="M3763" s="24"/>
      <c r="N3763" s="24"/>
      <c r="P3763" s="24"/>
    </row>
    <row r="3764" spans="2:16" x14ac:dyDescent="0.25">
      <c r="B3764" s="24"/>
      <c r="E3764" s="24"/>
      <c r="G3764" s="24"/>
      <c r="H3764" s="24"/>
      <c r="J3764" s="24"/>
      <c r="K3764" s="24"/>
      <c r="M3764" s="24"/>
      <c r="N3764" s="24"/>
      <c r="P3764" s="24"/>
    </row>
    <row r="3765" spans="2:16" x14ac:dyDescent="0.25">
      <c r="B3765" s="24"/>
      <c r="E3765" s="24"/>
      <c r="G3765" s="24"/>
      <c r="H3765" s="24"/>
      <c r="J3765" s="24"/>
      <c r="K3765" s="24"/>
      <c r="M3765" s="24"/>
      <c r="N3765" s="24"/>
      <c r="P3765" s="24"/>
    </row>
    <row r="3766" spans="2:16" x14ac:dyDescent="0.25">
      <c r="B3766" s="24"/>
      <c r="E3766" s="24"/>
      <c r="G3766" s="24"/>
      <c r="H3766" s="24"/>
      <c r="J3766" s="24"/>
      <c r="K3766" s="24"/>
      <c r="M3766" s="24"/>
      <c r="N3766" s="24"/>
      <c r="P3766" s="24"/>
    </row>
    <row r="3767" spans="2:16" x14ac:dyDescent="0.25">
      <c r="B3767" s="24"/>
      <c r="E3767" s="24"/>
      <c r="G3767" s="24"/>
      <c r="H3767" s="24"/>
      <c r="J3767" s="24"/>
      <c r="K3767" s="24"/>
      <c r="M3767" s="24"/>
      <c r="N3767" s="24"/>
      <c r="P3767" s="24"/>
    </row>
    <row r="3768" spans="2:16" x14ac:dyDescent="0.25">
      <c r="B3768" s="24"/>
      <c r="E3768" s="24"/>
      <c r="G3768" s="24"/>
      <c r="H3768" s="24"/>
      <c r="J3768" s="24"/>
      <c r="K3768" s="24"/>
      <c r="M3768" s="24"/>
      <c r="N3768" s="24"/>
      <c r="P3768" s="24"/>
    </row>
    <row r="3769" spans="2:16" x14ac:dyDescent="0.25">
      <c r="B3769" s="24"/>
      <c r="E3769" s="24"/>
      <c r="G3769" s="24"/>
      <c r="H3769" s="24"/>
      <c r="J3769" s="24"/>
      <c r="K3769" s="24"/>
      <c r="M3769" s="24"/>
      <c r="N3769" s="24"/>
      <c r="P3769" s="24"/>
    </row>
    <row r="3770" spans="2:16" x14ac:dyDescent="0.25">
      <c r="B3770" s="24"/>
      <c r="E3770" s="24"/>
      <c r="G3770" s="24"/>
      <c r="H3770" s="24"/>
      <c r="J3770" s="24"/>
      <c r="K3770" s="24"/>
      <c r="M3770" s="24"/>
      <c r="N3770" s="24"/>
      <c r="P3770" s="24"/>
    </row>
    <row r="3771" spans="2:16" x14ac:dyDescent="0.25">
      <c r="B3771" s="24"/>
      <c r="E3771" s="24"/>
      <c r="G3771" s="24"/>
      <c r="H3771" s="24"/>
      <c r="J3771" s="24"/>
      <c r="K3771" s="24"/>
      <c r="M3771" s="24"/>
      <c r="N3771" s="24"/>
      <c r="P3771" s="24"/>
    </row>
    <row r="3772" spans="2:16" x14ac:dyDescent="0.25">
      <c r="B3772" s="24"/>
      <c r="E3772" s="24"/>
      <c r="G3772" s="24"/>
      <c r="H3772" s="24"/>
      <c r="J3772" s="24"/>
      <c r="K3772" s="24"/>
      <c r="M3772" s="24"/>
      <c r="N3772" s="24"/>
      <c r="P3772" s="24"/>
    </row>
    <row r="3773" spans="2:16" x14ac:dyDescent="0.25">
      <c r="B3773" s="24"/>
      <c r="E3773" s="24"/>
      <c r="G3773" s="24"/>
      <c r="H3773" s="24"/>
      <c r="J3773" s="24"/>
      <c r="K3773" s="24"/>
      <c r="M3773" s="24"/>
      <c r="N3773" s="24"/>
      <c r="P3773" s="24"/>
    </row>
    <row r="3774" spans="2:16" x14ac:dyDescent="0.25">
      <c r="B3774" s="24"/>
      <c r="E3774" s="24"/>
      <c r="G3774" s="24"/>
      <c r="H3774" s="24"/>
      <c r="J3774" s="24"/>
      <c r="K3774" s="24"/>
      <c r="M3774" s="24"/>
      <c r="N3774" s="24"/>
      <c r="P3774" s="24"/>
    </row>
    <row r="3775" spans="2:16" x14ac:dyDescent="0.25">
      <c r="B3775" s="24"/>
      <c r="E3775" s="24"/>
      <c r="G3775" s="24"/>
      <c r="H3775" s="24"/>
      <c r="J3775" s="24"/>
      <c r="K3775" s="24"/>
      <c r="M3775" s="24"/>
      <c r="N3775" s="24"/>
      <c r="P3775" s="24"/>
    </row>
    <row r="3776" spans="2:16" x14ac:dyDescent="0.25">
      <c r="B3776" s="24"/>
      <c r="E3776" s="24"/>
      <c r="G3776" s="24"/>
      <c r="H3776" s="24"/>
      <c r="J3776" s="24"/>
      <c r="K3776" s="24"/>
      <c r="M3776" s="24"/>
      <c r="N3776" s="24"/>
      <c r="P3776" s="24"/>
    </row>
    <row r="3777" spans="2:16" x14ac:dyDescent="0.25">
      <c r="B3777" s="24"/>
      <c r="E3777" s="24"/>
      <c r="G3777" s="24"/>
      <c r="H3777" s="24"/>
      <c r="J3777" s="24"/>
      <c r="K3777" s="24"/>
      <c r="M3777" s="24"/>
      <c r="N3777" s="24"/>
      <c r="P3777" s="24"/>
    </row>
    <row r="3778" spans="2:16" x14ac:dyDescent="0.25">
      <c r="B3778" s="24"/>
      <c r="E3778" s="24"/>
      <c r="G3778" s="24"/>
      <c r="H3778" s="24"/>
      <c r="J3778" s="24"/>
      <c r="K3778" s="24"/>
      <c r="M3778" s="24"/>
      <c r="N3778" s="24"/>
      <c r="P3778" s="24"/>
    </row>
    <row r="3779" spans="2:16" x14ac:dyDescent="0.25">
      <c r="B3779" s="24"/>
      <c r="E3779" s="24"/>
      <c r="G3779" s="24"/>
      <c r="H3779" s="24"/>
      <c r="J3779" s="24"/>
      <c r="K3779" s="24"/>
      <c r="M3779" s="24"/>
      <c r="N3779" s="24"/>
      <c r="P3779" s="24"/>
    </row>
    <row r="3780" spans="2:16" x14ac:dyDescent="0.25">
      <c r="B3780" s="24"/>
      <c r="E3780" s="24"/>
      <c r="G3780" s="24"/>
      <c r="H3780" s="24"/>
      <c r="J3780" s="24"/>
      <c r="K3780" s="24"/>
      <c r="M3780" s="24"/>
      <c r="N3780" s="24"/>
      <c r="P3780" s="24"/>
    </row>
    <row r="3781" spans="2:16" x14ac:dyDescent="0.25">
      <c r="B3781" s="24"/>
      <c r="E3781" s="24"/>
      <c r="G3781" s="24"/>
      <c r="H3781" s="24"/>
      <c r="J3781" s="24"/>
      <c r="K3781" s="24"/>
      <c r="M3781" s="24"/>
      <c r="N3781" s="24"/>
      <c r="P3781" s="24"/>
    </row>
    <row r="3782" spans="2:16" x14ac:dyDescent="0.25">
      <c r="B3782" s="24"/>
      <c r="E3782" s="24"/>
      <c r="G3782" s="24"/>
      <c r="H3782" s="24"/>
      <c r="J3782" s="24"/>
      <c r="K3782" s="24"/>
      <c r="M3782" s="24"/>
      <c r="N3782" s="24"/>
      <c r="P3782" s="24"/>
    </row>
    <row r="3783" spans="2:16" x14ac:dyDescent="0.25">
      <c r="B3783" s="24"/>
      <c r="E3783" s="24"/>
      <c r="G3783" s="24"/>
      <c r="H3783" s="24"/>
      <c r="J3783" s="24"/>
      <c r="K3783" s="24"/>
      <c r="M3783" s="24"/>
      <c r="N3783" s="24"/>
      <c r="P3783" s="24"/>
    </row>
    <row r="3784" spans="2:16" x14ac:dyDescent="0.25">
      <c r="B3784" s="24"/>
      <c r="E3784" s="24"/>
      <c r="G3784" s="24"/>
      <c r="H3784" s="24"/>
      <c r="J3784" s="24"/>
      <c r="K3784" s="24"/>
      <c r="M3784" s="24"/>
      <c r="N3784" s="24"/>
      <c r="P3784" s="24"/>
    </row>
    <row r="3785" spans="2:16" x14ac:dyDescent="0.25">
      <c r="B3785" s="24"/>
      <c r="E3785" s="24"/>
      <c r="G3785" s="24"/>
      <c r="H3785" s="24"/>
      <c r="J3785" s="24"/>
      <c r="K3785" s="24"/>
      <c r="M3785" s="24"/>
      <c r="N3785" s="24"/>
      <c r="P3785" s="24"/>
    </row>
    <row r="3786" spans="2:16" x14ac:dyDescent="0.25">
      <c r="B3786" s="24"/>
      <c r="E3786" s="24"/>
      <c r="G3786" s="24"/>
      <c r="H3786" s="24"/>
      <c r="J3786" s="24"/>
      <c r="K3786" s="24"/>
      <c r="M3786" s="24"/>
      <c r="N3786" s="24"/>
      <c r="P3786" s="24"/>
    </row>
    <row r="3787" spans="2:16" x14ac:dyDescent="0.25">
      <c r="B3787" s="24"/>
      <c r="E3787" s="24"/>
      <c r="G3787" s="24"/>
      <c r="H3787" s="24"/>
      <c r="J3787" s="24"/>
      <c r="K3787" s="24"/>
      <c r="M3787" s="24"/>
      <c r="N3787" s="24"/>
      <c r="P3787" s="24"/>
    </row>
    <row r="3788" spans="2:16" x14ac:dyDescent="0.25">
      <c r="B3788" s="24"/>
      <c r="E3788" s="24"/>
      <c r="G3788" s="24"/>
      <c r="H3788" s="24"/>
      <c r="J3788" s="24"/>
      <c r="K3788" s="24"/>
      <c r="M3788" s="24"/>
      <c r="N3788" s="24"/>
      <c r="P3788" s="24"/>
    </row>
    <row r="3789" spans="2:16" x14ac:dyDescent="0.25">
      <c r="B3789" s="24"/>
      <c r="E3789" s="24"/>
      <c r="G3789" s="24"/>
      <c r="H3789" s="24"/>
      <c r="J3789" s="24"/>
      <c r="K3789" s="24"/>
      <c r="M3789" s="24"/>
      <c r="N3789" s="24"/>
      <c r="P3789" s="24"/>
    </row>
    <row r="3790" spans="2:16" x14ac:dyDescent="0.25">
      <c r="B3790" s="24"/>
      <c r="E3790" s="24"/>
      <c r="G3790" s="24"/>
      <c r="H3790" s="24"/>
      <c r="J3790" s="24"/>
      <c r="K3790" s="24"/>
      <c r="M3790" s="24"/>
      <c r="N3790" s="24"/>
      <c r="P3790" s="24"/>
    </row>
    <row r="3791" spans="2:16" x14ac:dyDescent="0.25">
      <c r="B3791" s="24"/>
      <c r="E3791" s="24"/>
      <c r="G3791" s="24"/>
      <c r="H3791" s="24"/>
      <c r="J3791" s="24"/>
      <c r="K3791" s="24"/>
      <c r="M3791" s="24"/>
      <c r="N3791" s="24"/>
      <c r="P3791" s="24"/>
    </row>
    <row r="3792" spans="2:16" x14ac:dyDescent="0.25">
      <c r="B3792" s="24"/>
      <c r="E3792" s="24"/>
      <c r="G3792" s="24"/>
      <c r="H3792" s="24"/>
      <c r="J3792" s="24"/>
      <c r="K3792" s="24"/>
      <c r="M3792" s="24"/>
      <c r="N3792" s="24"/>
      <c r="P3792" s="24"/>
    </row>
    <row r="3793" spans="2:16" x14ac:dyDescent="0.25">
      <c r="B3793" s="24"/>
      <c r="E3793" s="24"/>
      <c r="G3793" s="24"/>
      <c r="H3793" s="24"/>
      <c r="J3793" s="24"/>
      <c r="K3793" s="24"/>
      <c r="M3793" s="24"/>
      <c r="N3793" s="24"/>
      <c r="P3793" s="24"/>
    </row>
    <row r="3794" spans="2:16" x14ac:dyDescent="0.25">
      <c r="B3794" s="24"/>
      <c r="E3794" s="24"/>
      <c r="G3794" s="24"/>
      <c r="H3794" s="24"/>
      <c r="J3794" s="24"/>
      <c r="K3794" s="24"/>
      <c r="M3794" s="24"/>
      <c r="N3794" s="24"/>
      <c r="P3794" s="24"/>
    </row>
    <row r="3795" spans="2:16" x14ac:dyDescent="0.25">
      <c r="B3795" s="24"/>
      <c r="E3795" s="24"/>
      <c r="G3795" s="24"/>
      <c r="H3795" s="24"/>
      <c r="J3795" s="24"/>
      <c r="K3795" s="24"/>
      <c r="M3795" s="24"/>
      <c r="N3795" s="24"/>
      <c r="P3795" s="24"/>
    </row>
    <row r="3796" spans="2:16" x14ac:dyDescent="0.25">
      <c r="B3796" s="24"/>
      <c r="E3796" s="24"/>
      <c r="G3796" s="24"/>
      <c r="H3796" s="24"/>
      <c r="J3796" s="24"/>
      <c r="K3796" s="24"/>
      <c r="M3796" s="24"/>
      <c r="N3796" s="24"/>
      <c r="P3796" s="24"/>
    </row>
    <row r="3797" spans="2:16" x14ac:dyDescent="0.25">
      <c r="B3797" s="24"/>
      <c r="E3797" s="24"/>
      <c r="G3797" s="24"/>
      <c r="H3797" s="24"/>
      <c r="J3797" s="24"/>
      <c r="K3797" s="24"/>
      <c r="M3797" s="24"/>
      <c r="N3797" s="24"/>
      <c r="P3797" s="24"/>
    </row>
    <row r="3798" spans="2:16" x14ac:dyDescent="0.25">
      <c r="B3798" s="24"/>
      <c r="E3798" s="24"/>
      <c r="G3798" s="24"/>
      <c r="H3798" s="24"/>
      <c r="J3798" s="24"/>
      <c r="K3798" s="24"/>
      <c r="M3798" s="24"/>
      <c r="N3798" s="24"/>
      <c r="P3798" s="24"/>
    </row>
    <row r="3799" spans="2:16" x14ac:dyDescent="0.25">
      <c r="B3799" s="24"/>
      <c r="E3799" s="24"/>
      <c r="G3799" s="24"/>
      <c r="H3799" s="24"/>
      <c r="J3799" s="24"/>
      <c r="K3799" s="24"/>
      <c r="M3799" s="24"/>
      <c r="N3799" s="24"/>
      <c r="P3799" s="24"/>
    </row>
    <row r="3800" spans="2:16" x14ac:dyDescent="0.25">
      <c r="B3800" s="24"/>
      <c r="E3800" s="24"/>
      <c r="G3800" s="24"/>
      <c r="H3800" s="24"/>
      <c r="J3800" s="24"/>
      <c r="K3800" s="24"/>
      <c r="M3800" s="24"/>
      <c r="N3800" s="24"/>
      <c r="P3800" s="24"/>
    </row>
    <row r="3801" spans="2:16" x14ac:dyDescent="0.25">
      <c r="B3801" s="24"/>
      <c r="E3801" s="24"/>
      <c r="G3801" s="24"/>
      <c r="H3801" s="24"/>
      <c r="J3801" s="24"/>
      <c r="K3801" s="24"/>
      <c r="M3801" s="24"/>
      <c r="N3801" s="24"/>
      <c r="P3801" s="24"/>
    </row>
    <row r="3802" spans="2:16" x14ac:dyDescent="0.25">
      <c r="B3802" s="24"/>
      <c r="E3802" s="24"/>
      <c r="G3802" s="24"/>
      <c r="H3802" s="24"/>
      <c r="J3802" s="24"/>
      <c r="K3802" s="24"/>
      <c r="M3802" s="24"/>
      <c r="N3802" s="24"/>
      <c r="P3802" s="24"/>
    </row>
    <row r="3803" spans="2:16" x14ac:dyDescent="0.25">
      <c r="B3803" s="24"/>
      <c r="E3803" s="24"/>
      <c r="G3803" s="24"/>
      <c r="H3803" s="24"/>
      <c r="J3803" s="24"/>
      <c r="K3803" s="24"/>
      <c r="M3803" s="24"/>
      <c r="N3803" s="24"/>
      <c r="P3803" s="24"/>
    </row>
    <row r="3804" spans="2:16" x14ac:dyDescent="0.25">
      <c r="B3804" s="24"/>
      <c r="E3804" s="24"/>
      <c r="G3804" s="24"/>
      <c r="H3804" s="24"/>
      <c r="J3804" s="24"/>
      <c r="K3804" s="24"/>
      <c r="M3804" s="24"/>
      <c r="N3804" s="24"/>
      <c r="P3804" s="24"/>
    </row>
    <row r="3805" spans="2:16" x14ac:dyDescent="0.25">
      <c r="B3805" s="24"/>
      <c r="E3805" s="24"/>
      <c r="G3805" s="24"/>
      <c r="H3805" s="24"/>
      <c r="J3805" s="24"/>
      <c r="K3805" s="24"/>
      <c r="M3805" s="24"/>
      <c r="N3805" s="24"/>
      <c r="P3805" s="24"/>
    </row>
    <row r="3806" spans="2:16" x14ac:dyDescent="0.25">
      <c r="B3806" s="24"/>
      <c r="E3806" s="24"/>
      <c r="G3806" s="24"/>
      <c r="H3806" s="24"/>
      <c r="J3806" s="24"/>
      <c r="K3806" s="24"/>
      <c r="M3806" s="24"/>
      <c r="N3806" s="24"/>
      <c r="P3806" s="24"/>
    </row>
    <row r="3807" spans="2:16" x14ac:dyDescent="0.25">
      <c r="B3807" s="24"/>
      <c r="E3807" s="24"/>
      <c r="G3807" s="24"/>
      <c r="H3807" s="24"/>
      <c r="J3807" s="24"/>
      <c r="K3807" s="24"/>
      <c r="M3807" s="24"/>
      <c r="N3807" s="24"/>
      <c r="P3807" s="24"/>
    </row>
    <row r="3808" spans="2:16" x14ac:dyDescent="0.25">
      <c r="B3808" s="24"/>
      <c r="E3808" s="24"/>
      <c r="G3808" s="24"/>
      <c r="H3808" s="24"/>
      <c r="J3808" s="24"/>
      <c r="K3808" s="24"/>
      <c r="M3808" s="24"/>
      <c r="N3808" s="24"/>
      <c r="P3808" s="24"/>
    </row>
    <row r="3809" spans="2:16" x14ac:dyDescent="0.25">
      <c r="B3809" s="24"/>
      <c r="E3809" s="24"/>
      <c r="G3809" s="24"/>
      <c r="H3809" s="24"/>
      <c r="J3809" s="24"/>
      <c r="K3809" s="24"/>
      <c r="M3809" s="24"/>
      <c r="N3809" s="24"/>
      <c r="P3809" s="24"/>
    </row>
    <row r="3810" spans="2:16" x14ac:dyDescent="0.25">
      <c r="B3810" s="24"/>
      <c r="E3810" s="24"/>
      <c r="G3810" s="24"/>
      <c r="H3810" s="24"/>
      <c r="J3810" s="24"/>
      <c r="K3810" s="24"/>
      <c r="M3810" s="24"/>
      <c r="N3810" s="24"/>
      <c r="P3810" s="24"/>
    </row>
    <row r="3811" spans="2:16" x14ac:dyDescent="0.25">
      <c r="B3811" s="24"/>
      <c r="E3811" s="24"/>
      <c r="G3811" s="24"/>
      <c r="H3811" s="24"/>
      <c r="J3811" s="24"/>
      <c r="K3811" s="24"/>
      <c r="M3811" s="24"/>
      <c r="N3811" s="24"/>
      <c r="P3811" s="24"/>
    </row>
    <row r="3812" spans="2:16" x14ac:dyDescent="0.25">
      <c r="B3812" s="24"/>
      <c r="E3812" s="24"/>
      <c r="G3812" s="24"/>
      <c r="H3812" s="24"/>
      <c r="J3812" s="24"/>
      <c r="K3812" s="24"/>
      <c r="M3812" s="24"/>
      <c r="N3812" s="24"/>
      <c r="P3812" s="24"/>
    </row>
    <row r="3813" spans="2:16" x14ac:dyDescent="0.25">
      <c r="B3813" s="24"/>
      <c r="E3813" s="24"/>
      <c r="G3813" s="24"/>
      <c r="H3813" s="24"/>
      <c r="J3813" s="24"/>
      <c r="K3813" s="24"/>
      <c r="M3813" s="24"/>
      <c r="N3813" s="24"/>
      <c r="P3813" s="24"/>
    </row>
    <row r="3814" spans="2:16" x14ac:dyDescent="0.25">
      <c r="B3814" s="24"/>
      <c r="E3814" s="24"/>
      <c r="G3814" s="24"/>
      <c r="H3814" s="24"/>
      <c r="J3814" s="24"/>
      <c r="K3814" s="24"/>
      <c r="M3814" s="24"/>
      <c r="N3814" s="24"/>
      <c r="P3814" s="24"/>
    </row>
    <row r="3815" spans="2:16" x14ac:dyDescent="0.25">
      <c r="B3815" s="24"/>
      <c r="E3815" s="24"/>
      <c r="G3815" s="24"/>
      <c r="H3815" s="24"/>
      <c r="J3815" s="24"/>
      <c r="K3815" s="24"/>
      <c r="M3815" s="24"/>
      <c r="N3815" s="24"/>
      <c r="P3815" s="24"/>
    </row>
    <row r="3816" spans="2:16" x14ac:dyDescent="0.25">
      <c r="B3816" s="24"/>
      <c r="E3816" s="24"/>
      <c r="G3816" s="24"/>
      <c r="H3816" s="24"/>
      <c r="J3816" s="24"/>
      <c r="K3816" s="24"/>
      <c r="M3816" s="24"/>
      <c r="N3816" s="24"/>
      <c r="P3816" s="24"/>
    </row>
    <row r="3817" spans="2:16" x14ac:dyDescent="0.25">
      <c r="B3817" s="24"/>
      <c r="E3817" s="24"/>
      <c r="G3817" s="24"/>
      <c r="H3817" s="24"/>
      <c r="J3817" s="24"/>
      <c r="K3817" s="24"/>
      <c r="M3817" s="24"/>
      <c r="N3817" s="24"/>
      <c r="P3817" s="24"/>
    </row>
    <row r="3818" spans="2:16" x14ac:dyDescent="0.25">
      <c r="B3818" s="24"/>
      <c r="E3818" s="24"/>
      <c r="G3818" s="24"/>
      <c r="H3818" s="24"/>
      <c r="J3818" s="24"/>
      <c r="K3818" s="24"/>
      <c r="M3818" s="24"/>
      <c r="N3818" s="24"/>
      <c r="P3818" s="24"/>
    </row>
    <row r="3819" spans="2:16" x14ac:dyDescent="0.25">
      <c r="B3819" s="24"/>
      <c r="E3819" s="24"/>
      <c r="G3819" s="24"/>
      <c r="H3819" s="24"/>
      <c r="J3819" s="24"/>
      <c r="K3819" s="24"/>
      <c r="M3819" s="24"/>
      <c r="N3819" s="24"/>
      <c r="P3819" s="24"/>
    </row>
    <row r="3820" spans="2:16" x14ac:dyDescent="0.25">
      <c r="B3820" s="24"/>
      <c r="E3820" s="24"/>
      <c r="G3820" s="24"/>
      <c r="H3820" s="24"/>
      <c r="J3820" s="24"/>
      <c r="K3820" s="24"/>
      <c r="M3820" s="24"/>
      <c r="N3820" s="24"/>
      <c r="P3820" s="24"/>
    </row>
    <row r="3821" spans="2:16" x14ac:dyDescent="0.25">
      <c r="B3821" s="24"/>
      <c r="E3821" s="24"/>
      <c r="G3821" s="24"/>
      <c r="H3821" s="24"/>
      <c r="J3821" s="24"/>
      <c r="K3821" s="24"/>
      <c r="M3821" s="24"/>
      <c r="N3821" s="24"/>
      <c r="P3821" s="24"/>
    </row>
    <row r="3822" spans="2:16" x14ac:dyDescent="0.25">
      <c r="B3822" s="24"/>
      <c r="E3822" s="24"/>
      <c r="G3822" s="24"/>
      <c r="H3822" s="24"/>
      <c r="J3822" s="24"/>
      <c r="K3822" s="24"/>
      <c r="M3822" s="24"/>
      <c r="N3822" s="24"/>
      <c r="P3822" s="24"/>
    </row>
    <row r="3823" spans="2:16" x14ac:dyDescent="0.25">
      <c r="B3823" s="24"/>
      <c r="E3823" s="24"/>
      <c r="G3823" s="24"/>
      <c r="H3823" s="24"/>
      <c r="J3823" s="24"/>
      <c r="K3823" s="24"/>
      <c r="M3823" s="24"/>
      <c r="N3823" s="24"/>
      <c r="P3823" s="24"/>
    </row>
    <row r="3824" spans="2:16" x14ac:dyDescent="0.25">
      <c r="B3824" s="24"/>
      <c r="E3824" s="24"/>
      <c r="G3824" s="24"/>
      <c r="H3824" s="24"/>
      <c r="J3824" s="24"/>
      <c r="K3824" s="24"/>
      <c r="M3824" s="24"/>
      <c r="N3824" s="24"/>
      <c r="P3824" s="24"/>
    </row>
    <row r="3825" spans="2:16" x14ac:dyDescent="0.25">
      <c r="B3825" s="24"/>
      <c r="E3825" s="24"/>
      <c r="G3825" s="24"/>
      <c r="H3825" s="24"/>
      <c r="J3825" s="24"/>
      <c r="K3825" s="24"/>
      <c r="M3825" s="24"/>
      <c r="N3825" s="24"/>
      <c r="P3825" s="24"/>
    </row>
    <row r="3826" spans="2:16" x14ac:dyDescent="0.25">
      <c r="B3826" s="24"/>
      <c r="E3826" s="24"/>
      <c r="G3826" s="24"/>
      <c r="H3826" s="24"/>
      <c r="J3826" s="24"/>
      <c r="K3826" s="24"/>
      <c r="M3826" s="24"/>
      <c r="N3826" s="24"/>
      <c r="P3826" s="24"/>
    </row>
    <row r="3827" spans="2:16" x14ac:dyDescent="0.25">
      <c r="B3827" s="24"/>
      <c r="E3827" s="24"/>
      <c r="G3827" s="24"/>
      <c r="H3827" s="24"/>
      <c r="J3827" s="24"/>
      <c r="K3827" s="24"/>
      <c r="M3827" s="24"/>
      <c r="N3827" s="24"/>
      <c r="P3827" s="24"/>
    </row>
    <row r="3828" spans="2:16" x14ac:dyDescent="0.25">
      <c r="B3828" s="24"/>
      <c r="E3828" s="24"/>
      <c r="G3828" s="24"/>
      <c r="H3828" s="24"/>
      <c r="J3828" s="24"/>
      <c r="K3828" s="24"/>
      <c r="M3828" s="24"/>
      <c r="N3828" s="24"/>
      <c r="P3828" s="24"/>
    </row>
    <row r="3829" spans="2:16" x14ac:dyDescent="0.25">
      <c r="B3829" s="24"/>
      <c r="E3829" s="24"/>
      <c r="G3829" s="24"/>
      <c r="H3829" s="24"/>
      <c r="J3829" s="24"/>
      <c r="K3829" s="24"/>
      <c r="M3829" s="24"/>
      <c r="N3829" s="24"/>
      <c r="P3829" s="24"/>
    </row>
    <row r="3830" spans="2:16" x14ac:dyDescent="0.25">
      <c r="B3830" s="24"/>
      <c r="E3830" s="24"/>
      <c r="G3830" s="24"/>
      <c r="H3830" s="24"/>
      <c r="J3830" s="24"/>
      <c r="K3830" s="24"/>
      <c r="M3830" s="24"/>
      <c r="N3830" s="24"/>
      <c r="P3830" s="24"/>
    </row>
    <row r="3831" spans="2:16" x14ac:dyDescent="0.25">
      <c r="B3831" s="24"/>
      <c r="E3831" s="24"/>
      <c r="G3831" s="24"/>
      <c r="H3831" s="24"/>
      <c r="J3831" s="24"/>
      <c r="K3831" s="24"/>
      <c r="M3831" s="24"/>
      <c r="N3831" s="24"/>
      <c r="P3831" s="24"/>
    </row>
    <row r="3832" spans="2:16" x14ac:dyDescent="0.25">
      <c r="B3832" s="24"/>
      <c r="E3832" s="24"/>
      <c r="G3832" s="24"/>
      <c r="H3832" s="24"/>
      <c r="J3832" s="24"/>
      <c r="K3832" s="24"/>
      <c r="M3832" s="24"/>
      <c r="N3832" s="24"/>
      <c r="P3832" s="24"/>
    </row>
    <row r="3833" spans="2:16" x14ac:dyDescent="0.25">
      <c r="B3833" s="24"/>
      <c r="E3833" s="24"/>
      <c r="G3833" s="24"/>
      <c r="H3833" s="24"/>
      <c r="J3833" s="24"/>
      <c r="K3833" s="24"/>
      <c r="M3833" s="24"/>
      <c r="N3833" s="24"/>
      <c r="P3833" s="24"/>
    </row>
    <row r="3834" spans="2:16" x14ac:dyDescent="0.25">
      <c r="B3834" s="24"/>
      <c r="E3834" s="24"/>
      <c r="G3834" s="24"/>
      <c r="H3834" s="24"/>
      <c r="J3834" s="24"/>
      <c r="K3834" s="24"/>
      <c r="M3834" s="24"/>
      <c r="N3834" s="24"/>
      <c r="P3834" s="24"/>
    </row>
    <row r="3835" spans="2:16" x14ac:dyDescent="0.25">
      <c r="B3835" s="24"/>
      <c r="E3835" s="24"/>
      <c r="G3835" s="24"/>
      <c r="H3835" s="24"/>
      <c r="J3835" s="24"/>
      <c r="K3835" s="24"/>
      <c r="M3835" s="24"/>
      <c r="N3835" s="24"/>
      <c r="P3835" s="24"/>
    </row>
    <row r="3836" spans="2:16" x14ac:dyDescent="0.25">
      <c r="B3836" s="24"/>
      <c r="E3836" s="24"/>
      <c r="G3836" s="24"/>
      <c r="H3836" s="24"/>
      <c r="J3836" s="24"/>
      <c r="K3836" s="24"/>
      <c r="M3836" s="24"/>
      <c r="N3836" s="24"/>
      <c r="P3836" s="24"/>
    </row>
    <row r="3837" spans="2:16" x14ac:dyDescent="0.25">
      <c r="B3837" s="24"/>
      <c r="E3837" s="24"/>
      <c r="G3837" s="24"/>
      <c r="H3837" s="24"/>
      <c r="J3837" s="24"/>
      <c r="K3837" s="24"/>
      <c r="M3837" s="24"/>
      <c r="N3837" s="24"/>
      <c r="P3837" s="24"/>
    </row>
    <row r="3838" spans="2:16" x14ac:dyDescent="0.25">
      <c r="B3838" s="24"/>
      <c r="E3838" s="24"/>
      <c r="G3838" s="24"/>
      <c r="H3838" s="24"/>
      <c r="J3838" s="24"/>
      <c r="K3838" s="24"/>
      <c r="M3838" s="24"/>
      <c r="N3838" s="24"/>
      <c r="P3838" s="24"/>
    </row>
    <row r="3839" spans="2:16" x14ac:dyDescent="0.25">
      <c r="B3839" s="24"/>
      <c r="E3839" s="24"/>
      <c r="G3839" s="24"/>
      <c r="H3839" s="24"/>
      <c r="J3839" s="24"/>
      <c r="K3839" s="24"/>
      <c r="M3839" s="24"/>
      <c r="N3839" s="24"/>
      <c r="P3839" s="24"/>
    </row>
    <row r="3840" spans="2:16" x14ac:dyDescent="0.25">
      <c r="B3840" s="24"/>
      <c r="E3840" s="24"/>
      <c r="G3840" s="24"/>
      <c r="H3840" s="24"/>
      <c r="J3840" s="24"/>
      <c r="K3840" s="24"/>
      <c r="M3840" s="24"/>
      <c r="N3840" s="24"/>
      <c r="P3840" s="24"/>
    </row>
    <row r="3841" spans="2:16" x14ac:dyDescent="0.25">
      <c r="B3841" s="24"/>
      <c r="E3841" s="24"/>
      <c r="G3841" s="24"/>
      <c r="H3841" s="24"/>
      <c r="J3841" s="24"/>
      <c r="K3841" s="24"/>
      <c r="M3841" s="24"/>
      <c r="N3841" s="24"/>
      <c r="P3841" s="24"/>
    </row>
    <row r="3842" spans="2:16" x14ac:dyDescent="0.25">
      <c r="B3842" s="24"/>
      <c r="E3842" s="24"/>
      <c r="G3842" s="24"/>
      <c r="H3842" s="24"/>
      <c r="J3842" s="24"/>
      <c r="K3842" s="24"/>
      <c r="M3842" s="24"/>
      <c r="N3842" s="24"/>
      <c r="P3842" s="24"/>
    </row>
    <row r="3843" spans="2:16" x14ac:dyDescent="0.25">
      <c r="B3843" s="24"/>
      <c r="E3843" s="24"/>
      <c r="G3843" s="24"/>
      <c r="H3843" s="24"/>
      <c r="J3843" s="24"/>
      <c r="K3843" s="24"/>
      <c r="M3843" s="24"/>
      <c r="N3843" s="24"/>
      <c r="P3843" s="24"/>
    </row>
    <row r="3844" spans="2:16" x14ac:dyDescent="0.25">
      <c r="B3844" s="24"/>
      <c r="E3844" s="24"/>
      <c r="G3844" s="24"/>
      <c r="H3844" s="24"/>
      <c r="J3844" s="24"/>
      <c r="K3844" s="24"/>
      <c r="M3844" s="24"/>
      <c r="N3844" s="24"/>
      <c r="P3844" s="24"/>
    </row>
    <row r="3845" spans="2:16" x14ac:dyDescent="0.25">
      <c r="B3845" s="24"/>
      <c r="E3845" s="24"/>
      <c r="G3845" s="24"/>
      <c r="H3845" s="24"/>
      <c r="J3845" s="24"/>
      <c r="K3845" s="24"/>
      <c r="M3845" s="24"/>
      <c r="N3845" s="24"/>
      <c r="P3845" s="24"/>
    </row>
    <row r="3846" spans="2:16" x14ac:dyDescent="0.25">
      <c r="B3846" s="24"/>
      <c r="E3846" s="24"/>
      <c r="G3846" s="24"/>
      <c r="H3846" s="24"/>
      <c r="J3846" s="24"/>
      <c r="K3846" s="24"/>
      <c r="M3846" s="24"/>
      <c r="N3846" s="24"/>
      <c r="P3846" s="24"/>
    </row>
    <row r="3847" spans="2:16" x14ac:dyDescent="0.25">
      <c r="B3847" s="24"/>
      <c r="E3847" s="24"/>
      <c r="G3847" s="24"/>
      <c r="H3847" s="24"/>
      <c r="J3847" s="24"/>
      <c r="K3847" s="24"/>
      <c r="M3847" s="24"/>
      <c r="N3847" s="24"/>
      <c r="P3847" s="24"/>
    </row>
    <row r="3848" spans="2:16" x14ac:dyDescent="0.25">
      <c r="B3848" s="24"/>
      <c r="E3848" s="24"/>
      <c r="G3848" s="24"/>
      <c r="H3848" s="24"/>
      <c r="J3848" s="24"/>
      <c r="K3848" s="24"/>
      <c r="M3848" s="24"/>
      <c r="N3848" s="24"/>
      <c r="P3848" s="24"/>
    </row>
    <row r="3849" spans="2:16" x14ac:dyDescent="0.25">
      <c r="B3849" s="24"/>
      <c r="E3849" s="24"/>
      <c r="G3849" s="24"/>
      <c r="H3849" s="24"/>
      <c r="J3849" s="24"/>
      <c r="K3849" s="24"/>
      <c r="M3849" s="24"/>
      <c r="N3849" s="24"/>
      <c r="P3849" s="24"/>
    </row>
    <row r="3850" spans="2:16" x14ac:dyDescent="0.25">
      <c r="B3850" s="24"/>
      <c r="E3850" s="24"/>
      <c r="G3850" s="24"/>
      <c r="H3850" s="24"/>
      <c r="J3850" s="24"/>
      <c r="K3850" s="24"/>
      <c r="M3850" s="24"/>
      <c r="N3850" s="24"/>
      <c r="P3850" s="24"/>
    </row>
    <row r="3851" spans="2:16" x14ac:dyDescent="0.25">
      <c r="B3851" s="24"/>
      <c r="E3851" s="24"/>
      <c r="G3851" s="24"/>
      <c r="H3851" s="24"/>
      <c r="J3851" s="24"/>
      <c r="K3851" s="24"/>
      <c r="M3851" s="24"/>
      <c r="N3851" s="24"/>
      <c r="P3851" s="24"/>
    </row>
    <row r="3852" spans="2:16" x14ac:dyDescent="0.25">
      <c r="B3852" s="24"/>
      <c r="E3852" s="24"/>
      <c r="G3852" s="24"/>
      <c r="H3852" s="24"/>
      <c r="J3852" s="24"/>
      <c r="K3852" s="24"/>
      <c r="M3852" s="24"/>
      <c r="N3852" s="24"/>
      <c r="P3852" s="24"/>
    </row>
    <row r="3853" spans="2:16" x14ac:dyDescent="0.25">
      <c r="B3853" s="24"/>
      <c r="E3853" s="24"/>
      <c r="G3853" s="24"/>
      <c r="H3853" s="24"/>
      <c r="J3853" s="24"/>
      <c r="K3853" s="24"/>
      <c r="M3853" s="24"/>
      <c r="N3853" s="24"/>
      <c r="P3853" s="24"/>
    </row>
    <row r="3854" spans="2:16" x14ac:dyDescent="0.25">
      <c r="B3854" s="24"/>
      <c r="E3854" s="24"/>
      <c r="G3854" s="24"/>
      <c r="H3854" s="24"/>
      <c r="J3854" s="24"/>
      <c r="K3854" s="24"/>
      <c r="M3854" s="24"/>
      <c r="N3854" s="24"/>
      <c r="P3854" s="24"/>
    </row>
    <row r="3855" spans="2:16" x14ac:dyDescent="0.25">
      <c r="B3855" s="24"/>
      <c r="E3855" s="24"/>
      <c r="G3855" s="24"/>
      <c r="H3855" s="24"/>
      <c r="J3855" s="24"/>
      <c r="K3855" s="24"/>
      <c r="M3855" s="24"/>
      <c r="N3855" s="24"/>
      <c r="P3855" s="24"/>
    </row>
    <row r="3856" spans="2:16" x14ac:dyDescent="0.25">
      <c r="B3856" s="24"/>
      <c r="E3856" s="24"/>
      <c r="G3856" s="24"/>
      <c r="H3856" s="24"/>
      <c r="J3856" s="24"/>
      <c r="K3856" s="24"/>
      <c r="M3856" s="24"/>
      <c r="N3856" s="24"/>
      <c r="P3856" s="24"/>
    </row>
    <row r="3857" spans="2:16" x14ac:dyDescent="0.25">
      <c r="B3857" s="24"/>
      <c r="E3857" s="24"/>
      <c r="G3857" s="24"/>
      <c r="H3857" s="24"/>
      <c r="J3857" s="24"/>
      <c r="K3857" s="24"/>
      <c r="M3857" s="24"/>
      <c r="N3857" s="24"/>
      <c r="P3857" s="24"/>
    </row>
    <row r="3858" spans="2:16" x14ac:dyDescent="0.25">
      <c r="B3858" s="24"/>
      <c r="E3858" s="24"/>
      <c r="G3858" s="24"/>
      <c r="H3858" s="24"/>
      <c r="J3858" s="24"/>
      <c r="K3858" s="24"/>
      <c r="M3858" s="24"/>
      <c r="N3858" s="24"/>
      <c r="P3858" s="24"/>
    </row>
    <row r="3859" spans="2:16" x14ac:dyDescent="0.25">
      <c r="B3859" s="24"/>
      <c r="E3859" s="24"/>
      <c r="G3859" s="24"/>
      <c r="H3859" s="24"/>
      <c r="J3859" s="24"/>
      <c r="K3859" s="24"/>
      <c r="M3859" s="24"/>
      <c r="N3859" s="24"/>
      <c r="P3859" s="24"/>
    </row>
    <row r="3860" spans="2:16" x14ac:dyDescent="0.25">
      <c r="B3860" s="24"/>
      <c r="E3860" s="24"/>
      <c r="G3860" s="24"/>
      <c r="H3860" s="24"/>
      <c r="J3860" s="24"/>
      <c r="K3860" s="24"/>
      <c r="M3860" s="24"/>
      <c r="N3860" s="24"/>
      <c r="P3860" s="24"/>
    </row>
    <row r="3861" spans="2:16" x14ac:dyDescent="0.25">
      <c r="B3861" s="24"/>
      <c r="E3861" s="24"/>
      <c r="G3861" s="24"/>
      <c r="H3861" s="24"/>
      <c r="J3861" s="24"/>
      <c r="K3861" s="24"/>
      <c r="M3861" s="24"/>
      <c r="N3861" s="24"/>
      <c r="P3861" s="24"/>
    </row>
    <row r="3862" spans="2:16" x14ac:dyDescent="0.25">
      <c r="B3862" s="24"/>
      <c r="E3862" s="24"/>
      <c r="G3862" s="24"/>
      <c r="H3862" s="24"/>
      <c r="J3862" s="24"/>
      <c r="K3862" s="24"/>
      <c r="M3862" s="24"/>
      <c r="N3862" s="24"/>
      <c r="P3862" s="24"/>
    </row>
    <row r="3863" spans="2:16" x14ac:dyDescent="0.25">
      <c r="B3863" s="24"/>
      <c r="E3863" s="24"/>
      <c r="G3863" s="24"/>
      <c r="H3863" s="24"/>
      <c r="J3863" s="24"/>
      <c r="K3863" s="24"/>
      <c r="M3863" s="24"/>
      <c r="N3863" s="24"/>
      <c r="P3863" s="24"/>
    </row>
    <row r="3864" spans="2:16" x14ac:dyDescent="0.25">
      <c r="B3864" s="24"/>
      <c r="E3864" s="24"/>
      <c r="G3864" s="24"/>
      <c r="H3864" s="24"/>
      <c r="J3864" s="24"/>
      <c r="K3864" s="24"/>
      <c r="M3864" s="24"/>
      <c r="N3864" s="24"/>
      <c r="P3864" s="24"/>
    </row>
    <row r="3865" spans="2:16" x14ac:dyDescent="0.25">
      <c r="B3865" s="24"/>
      <c r="E3865" s="24"/>
      <c r="G3865" s="24"/>
      <c r="H3865" s="24"/>
      <c r="J3865" s="24"/>
      <c r="K3865" s="24"/>
      <c r="M3865" s="24"/>
      <c r="N3865" s="24"/>
      <c r="P3865" s="24"/>
    </row>
    <row r="3866" spans="2:16" x14ac:dyDescent="0.25">
      <c r="B3866" s="24"/>
      <c r="E3866" s="24"/>
      <c r="G3866" s="24"/>
      <c r="H3866" s="24"/>
      <c r="J3866" s="24"/>
      <c r="K3866" s="24"/>
      <c r="M3866" s="24"/>
      <c r="N3866" s="24"/>
      <c r="P3866" s="24"/>
    </row>
    <row r="3867" spans="2:16" x14ac:dyDescent="0.25">
      <c r="B3867" s="24"/>
      <c r="E3867" s="24"/>
      <c r="G3867" s="24"/>
      <c r="H3867" s="24"/>
      <c r="J3867" s="24"/>
      <c r="K3867" s="24"/>
      <c r="M3867" s="24"/>
      <c r="N3867" s="24"/>
      <c r="P3867" s="24"/>
    </row>
    <row r="3868" spans="2:16" x14ac:dyDescent="0.25">
      <c r="B3868" s="24"/>
      <c r="E3868" s="24"/>
      <c r="G3868" s="24"/>
      <c r="H3868" s="24"/>
      <c r="J3868" s="24"/>
      <c r="K3868" s="24"/>
      <c r="M3868" s="24"/>
      <c r="N3868" s="24"/>
      <c r="P3868" s="24"/>
    </row>
    <row r="3869" spans="2:16" x14ac:dyDescent="0.25">
      <c r="B3869" s="24"/>
      <c r="E3869" s="24"/>
      <c r="G3869" s="24"/>
      <c r="H3869" s="24"/>
      <c r="J3869" s="24"/>
      <c r="K3869" s="24"/>
      <c r="M3869" s="24"/>
      <c r="N3869" s="24"/>
      <c r="P3869" s="24"/>
    </row>
    <row r="3870" spans="2:16" x14ac:dyDescent="0.25">
      <c r="B3870" s="24"/>
      <c r="E3870" s="24"/>
      <c r="G3870" s="24"/>
      <c r="H3870" s="24"/>
      <c r="J3870" s="24"/>
      <c r="K3870" s="24"/>
      <c r="M3870" s="24"/>
      <c r="N3870" s="24"/>
      <c r="P3870" s="24"/>
    </row>
    <row r="3871" spans="2:16" x14ac:dyDescent="0.25">
      <c r="B3871" s="24"/>
      <c r="E3871" s="24"/>
      <c r="G3871" s="24"/>
      <c r="H3871" s="24"/>
      <c r="J3871" s="24"/>
      <c r="K3871" s="24"/>
      <c r="M3871" s="24"/>
      <c r="N3871" s="24"/>
      <c r="P3871" s="24"/>
    </row>
    <row r="3872" spans="2:16" x14ac:dyDescent="0.25">
      <c r="B3872" s="24"/>
      <c r="E3872" s="24"/>
      <c r="G3872" s="24"/>
      <c r="H3872" s="24"/>
      <c r="J3872" s="24"/>
      <c r="K3872" s="24"/>
      <c r="M3872" s="24"/>
      <c r="N3872" s="24"/>
      <c r="P3872" s="24"/>
    </row>
    <row r="3873" spans="2:16" x14ac:dyDescent="0.25">
      <c r="B3873" s="24"/>
      <c r="E3873" s="24"/>
      <c r="G3873" s="24"/>
      <c r="H3873" s="24"/>
      <c r="J3873" s="24"/>
      <c r="K3873" s="24"/>
      <c r="M3873" s="24"/>
      <c r="N3873" s="24"/>
      <c r="P3873" s="24"/>
    </row>
    <row r="3874" spans="2:16" x14ac:dyDescent="0.25">
      <c r="B3874" s="24"/>
      <c r="E3874" s="24"/>
      <c r="G3874" s="24"/>
      <c r="H3874" s="24"/>
      <c r="J3874" s="24"/>
      <c r="K3874" s="24"/>
      <c r="M3874" s="24"/>
      <c r="N3874" s="24"/>
      <c r="P3874" s="24"/>
    </row>
    <row r="3875" spans="2:16" x14ac:dyDescent="0.25">
      <c r="B3875" s="24"/>
      <c r="E3875" s="24"/>
      <c r="G3875" s="24"/>
      <c r="H3875" s="24"/>
      <c r="J3875" s="24"/>
      <c r="K3875" s="24"/>
      <c r="M3875" s="24"/>
      <c r="N3875" s="24"/>
      <c r="P3875" s="24"/>
    </row>
    <row r="3876" spans="2:16" x14ac:dyDescent="0.25">
      <c r="B3876" s="24"/>
      <c r="E3876" s="24"/>
      <c r="G3876" s="24"/>
      <c r="H3876" s="24"/>
      <c r="J3876" s="24"/>
      <c r="K3876" s="24"/>
      <c r="M3876" s="24"/>
      <c r="N3876" s="24"/>
      <c r="P3876" s="24"/>
    </row>
    <row r="3877" spans="2:16" x14ac:dyDescent="0.25">
      <c r="B3877" s="24"/>
      <c r="E3877" s="24"/>
      <c r="G3877" s="24"/>
      <c r="H3877" s="24"/>
      <c r="J3877" s="24"/>
      <c r="K3877" s="24"/>
      <c r="M3877" s="24"/>
      <c r="N3877" s="24"/>
      <c r="P3877" s="24"/>
    </row>
    <row r="3878" spans="2:16" x14ac:dyDescent="0.25">
      <c r="B3878" s="24"/>
      <c r="E3878" s="24"/>
      <c r="G3878" s="24"/>
      <c r="H3878" s="24"/>
      <c r="J3878" s="24"/>
      <c r="K3878" s="24"/>
      <c r="M3878" s="24"/>
      <c r="N3878" s="24"/>
      <c r="P3878" s="24"/>
    </row>
    <row r="3879" spans="2:16" x14ac:dyDescent="0.25">
      <c r="B3879" s="24"/>
      <c r="E3879" s="24"/>
      <c r="G3879" s="24"/>
      <c r="H3879" s="24"/>
      <c r="J3879" s="24"/>
      <c r="K3879" s="24"/>
      <c r="M3879" s="24"/>
      <c r="N3879" s="24"/>
      <c r="P3879" s="24"/>
    </row>
    <row r="3880" spans="2:16" x14ac:dyDescent="0.25">
      <c r="B3880" s="24"/>
      <c r="E3880" s="24"/>
      <c r="G3880" s="24"/>
      <c r="H3880" s="24"/>
      <c r="J3880" s="24"/>
      <c r="K3880" s="24"/>
      <c r="M3880" s="24"/>
      <c r="N3880" s="24"/>
      <c r="P3880" s="24"/>
    </row>
    <row r="3881" spans="2:16" x14ac:dyDescent="0.25">
      <c r="B3881" s="24"/>
      <c r="E3881" s="24"/>
      <c r="G3881" s="24"/>
      <c r="H3881" s="24"/>
      <c r="J3881" s="24"/>
      <c r="K3881" s="24"/>
      <c r="M3881" s="24"/>
      <c r="N3881" s="24"/>
      <c r="P3881" s="24"/>
    </row>
    <row r="3882" spans="2:16" x14ac:dyDescent="0.25">
      <c r="B3882" s="24"/>
      <c r="E3882" s="24"/>
      <c r="G3882" s="24"/>
      <c r="H3882" s="24"/>
      <c r="J3882" s="24"/>
      <c r="K3882" s="24"/>
      <c r="M3882" s="24"/>
      <c r="N3882" s="24"/>
      <c r="P3882" s="24"/>
    </row>
    <row r="3883" spans="2:16" x14ac:dyDescent="0.25">
      <c r="B3883" s="24"/>
      <c r="E3883" s="24"/>
      <c r="G3883" s="24"/>
      <c r="H3883" s="24"/>
      <c r="J3883" s="24"/>
      <c r="K3883" s="24"/>
      <c r="M3883" s="24"/>
      <c r="N3883" s="24"/>
      <c r="P3883" s="24"/>
    </row>
    <row r="3884" spans="2:16" x14ac:dyDescent="0.25">
      <c r="B3884" s="24"/>
      <c r="E3884" s="24"/>
      <c r="G3884" s="24"/>
      <c r="H3884" s="24"/>
      <c r="J3884" s="24"/>
      <c r="K3884" s="24"/>
      <c r="M3884" s="24"/>
      <c r="N3884" s="24"/>
      <c r="P3884" s="24"/>
    </row>
    <row r="3885" spans="2:16" x14ac:dyDescent="0.25">
      <c r="B3885" s="24"/>
      <c r="E3885" s="24"/>
      <c r="G3885" s="24"/>
      <c r="H3885" s="24"/>
      <c r="J3885" s="24"/>
      <c r="K3885" s="24"/>
      <c r="M3885" s="24"/>
      <c r="N3885" s="24"/>
      <c r="P3885" s="24"/>
    </row>
    <row r="3886" spans="2:16" x14ac:dyDescent="0.25">
      <c r="B3886" s="24"/>
      <c r="E3886" s="24"/>
      <c r="G3886" s="24"/>
      <c r="H3886" s="24"/>
      <c r="J3886" s="24"/>
      <c r="K3886" s="24"/>
      <c r="M3886" s="24"/>
      <c r="N3886" s="24"/>
      <c r="P3886" s="24"/>
    </row>
    <row r="3887" spans="2:16" x14ac:dyDescent="0.25">
      <c r="B3887" s="24"/>
      <c r="E3887" s="24"/>
      <c r="G3887" s="24"/>
      <c r="H3887" s="24"/>
      <c r="J3887" s="24"/>
      <c r="K3887" s="24"/>
      <c r="M3887" s="24"/>
      <c r="N3887" s="24"/>
      <c r="P3887" s="24"/>
    </row>
    <row r="3888" spans="2:16" x14ac:dyDescent="0.25">
      <c r="B3888" s="24"/>
      <c r="E3888" s="24"/>
      <c r="G3888" s="24"/>
      <c r="H3888" s="24"/>
      <c r="J3888" s="24"/>
      <c r="K3888" s="24"/>
      <c r="M3888" s="24"/>
      <c r="N3888" s="24"/>
      <c r="P3888" s="24"/>
    </row>
    <row r="3889" spans="2:16" x14ac:dyDescent="0.25">
      <c r="B3889" s="24"/>
      <c r="E3889" s="24"/>
      <c r="G3889" s="24"/>
      <c r="H3889" s="24"/>
      <c r="J3889" s="24"/>
      <c r="K3889" s="24"/>
      <c r="M3889" s="24"/>
      <c r="N3889" s="24"/>
      <c r="P3889" s="24"/>
    </row>
    <row r="3890" spans="2:16" x14ac:dyDescent="0.25">
      <c r="B3890" s="24"/>
      <c r="E3890" s="24"/>
      <c r="G3890" s="24"/>
      <c r="H3890" s="24"/>
      <c r="J3890" s="24"/>
      <c r="K3890" s="24"/>
      <c r="M3890" s="24"/>
      <c r="N3890" s="24"/>
      <c r="P3890" s="24"/>
    </row>
    <row r="3891" spans="2:16" x14ac:dyDescent="0.25">
      <c r="B3891" s="24"/>
      <c r="E3891" s="24"/>
      <c r="G3891" s="24"/>
      <c r="H3891" s="24"/>
      <c r="J3891" s="24"/>
      <c r="K3891" s="24"/>
      <c r="M3891" s="24"/>
      <c r="N3891" s="24"/>
      <c r="P3891" s="24"/>
    </row>
    <row r="3892" spans="2:16" x14ac:dyDescent="0.25">
      <c r="B3892" s="24"/>
      <c r="E3892" s="24"/>
      <c r="G3892" s="24"/>
      <c r="H3892" s="24"/>
      <c r="J3892" s="24"/>
      <c r="K3892" s="24"/>
      <c r="M3892" s="24"/>
      <c r="N3892" s="24"/>
      <c r="P3892" s="24"/>
    </row>
    <row r="3893" spans="2:16" x14ac:dyDescent="0.25">
      <c r="B3893" s="24"/>
      <c r="E3893" s="24"/>
      <c r="G3893" s="24"/>
      <c r="H3893" s="24"/>
      <c r="J3893" s="24"/>
      <c r="K3893" s="24"/>
      <c r="M3893" s="24"/>
      <c r="N3893" s="24"/>
      <c r="P3893" s="24"/>
    </row>
    <row r="3894" spans="2:16" x14ac:dyDescent="0.25">
      <c r="B3894" s="24"/>
      <c r="E3894" s="24"/>
      <c r="G3894" s="24"/>
      <c r="H3894" s="24"/>
      <c r="J3894" s="24"/>
      <c r="K3894" s="24"/>
      <c r="M3894" s="24"/>
      <c r="N3894" s="24"/>
      <c r="P3894" s="24"/>
    </row>
    <row r="3895" spans="2:16" x14ac:dyDescent="0.25">
      <c r="B3895" s="24"/>
      <c r="E3895" s="24"/>
      <c r="G3895" s="24"/>
      <c r="H3895" s="24"/>
      <c r="J3895" s="24"/>
      <c r="K3895" s="24"/>
      <c r="M3895" s="24"/>
      <c r="N3895" s="24"/>
      <c r="P3895" s="24"/>
    </row>
    <row r="3896" spans="2:16" x14ac:dyDescent="0.25">
      <c r="B3896" s="24"/>
      <c r="E3896" s="24"/>
      <c r="G3896" s="24"/>
      <c r="H3896" s="24"/>
      <c r="J3896" s="24"/>
      <c r="K3896" s="24"/>
      <c r="M3896" s="24"/>
      <c r="N3896" s="24"/>
      <c r="P3896" s="24"/>
    </row>
    <row r="3897" spans="2:16" x14ac:dyDescent="0.25">
      <c r="B3897" s="24"/>
      <c r="E3897" s="24"/>
      <c r="G3897" s="24"/>
      <c r="H3897" s="24"/>
      <c r="J3897" s="24"/>
      <c r="K3897" s="24"/>
      <c r="M3897" s="24"/>
      <c r="N3897" s="24"/>
      <c r="P3897" s="24"/>
    </row>
    <row r="3898" spans="2:16" x14ac:dyDescent="0.25">
      <c r="B3898" s="24"/>
      <c r="E3898" s="24"/>
      <c r="G3898" s="24"/>
      <c r="H3898" s="24"/>
      <c r="J3898" s="24"/>
      <c r="K3898" s="24"/>
      <c r="M3898" s="24"/>
      <c r="N3898" s="24"/>
      <c r="P3898" s="24"/>
    </row>
    <row r="3899" spans="2:16" x14ac:dyDescent="0.25">
      <c r="B3899" s="24"/>
      <c r="E3899" s="24"/>
      <c r="G3899" s="24"/>
      <c r="H3899" s="24"/>
      <c r="J3899" s="24"/>
      <c r="K3899" s="24"/>
      <c r="M3899" s="24"/>
      <c r="N3899" s="24"/>
      <c r="P3899" s="24"/>
    </row>
    <row r="3900" spans="2:16" x14ac:dyDescent="0.25">
      <c r="B3900" s="24"/>
      <c r="E3900" s="24"/>
      <c r="G3900" s="24"/>
      <c r="H3900" s="24"/>
      <c r="J3900" s="24"/>
      <c r="K3900" s="24"/>
      <c r="M3900" s="24"/>
      <c r="N3900" s="24"/>
      <c r="P3900" s="24"/>
    </row>
    <row r="3901" spans="2:16" x14ac:dyDescent="0.25">
      <c r="B3901" s="24"/>
      <c r="E3901" s="24"/>
      <c r="G3901" s="24"/>
      <c r="H3901" s="24"/>
      <c r="J3901" s="24"/>
      <c r="K3901" s="24"/>
      <c r="M3901" s="24"/>
      <c r="N3901" s="24"/>
      <c r="P3901" s="24"/>
    </row>
    <row r="3902" spans="2:16" x14ac:dyDescent="0.25">
      <c r="B3902" s="24"/>
      <c r="E3902" s="24"/>
      <c r="G3902" s="24"/>
      <c r="H3902" s="24"/>
      <c r="J3902" s="24"/>
      <c r="K3902" s="24"/>
      <c r="M3902" s="24"/>
      <c r="N3902" s="24"/>
      <c r="P3902" s="24"/>
    </row>
    <row r="3903" spans="2:16" x14ac:dyDescent="0.25">
      <c r="B3903" s="24"/>
      <c r="E3903" s="24"/>
      <c r="G3903" s="24"/>
      <c r="H3903" s="24"/>
      <c r="J3903" s="24"/>
      <c r="K3903" s="24"/>
      <c r="M3903" s="24"/>
      <c r="N3903" s="24"/>
      <c r="P3903" s="24"/>
    </row>
    <row r="3904" spans="2:16" x14ac:dyDescent="0.25">
      <c r="B3904" s="24"/>
      <c r="E3904" s="24"/>
      <c r="G3904" s="24"/>
      <c r="H3904" s="24"/>
      <c r="J3904" s="24"/>
      <c r="K3904" s="24"/>
      <c r="M3904" s="24"/>
      <c r="N3904" s="24"/>
      <c r="P3904" s="24"/>
    </row>
    <row r="3905" spans="2:16" x14ac:dyDescent="0.25">
      <c r="B3905" s="24"/>
      <c r="E3905" s="24"/>
      <c r="G3905" s="24"/>
      <c r="H3905" s="24"/>
      <c r="J3905" s="24"/>
      <c r="K3905" s="24"/>
      <c r="M3905" s="24"/>
      <c r="N3905" s="24"/>
      <c r="P3905" s="24"/>
    </row>
    <row r="3906" spans="2:16" x14ac:dyDescent="0.25">
      <c r="B3906" s="24"/>
      <c r="E3906" s="24"/>
      <c r="G3906" s="24"/>
      <c r="H3906" s="24"/>
      <c r="J3906" s="24"/>
      <c r="K3906" s="24"/>
      <c r="M3906" s="24"/>
      <c r="N3906" s="24"/>
      <c r="P3906" s="24"/>
    </row>
    <row r="3907" spans="2:16" x14ac:dyDescent="0.25">
      <c r="B3907" s="24"/>
      <c r="E3907" s="24"/>
      <c r="G3907" s="24"/>
      <c r="H3907" s="24"/>
      <c r="J3907" s="24"/>
      <c r="K3907" s="24"/>
      <c r="M3907" s="24"/>
      <c r="N3907" s="24"/>
      <c r="P3907" s="24"/>
    </row>
    <row r="3908" spans="2:16" x14ac:dyDescent="0.25">
      <c r="B3908" s="24"/>
      <c r="E3908" s="24"/>
      <c r="G3908" s="24"/>
      <c r="H3908" s="24"/>
      <c r="J3908" s="24"/>
      <c r="K3908" s="24"/>
      <c r="M3908" s="24"/>
      <c r="N3908" s="24"/>
      <c r="P3908" s="24"/>
    </row>
    <row r="3909" spans="2:16" x14ac:dyDescent="0.25">
      <c r="B3909" s="24"/>
      <c r="E3909" s="24"/>
      <c r="G3909" s="24"/>
      <c r="H3909" s="24"/>
      <c r="J3909" s="24"/>
      <c r="K3909" s="24"/>
      <c r="M3909" s="24"/>
      <c r="N3909" s="24"/>
      <c r="P3909" s="24"/>
    </row>
    <row r="3910" spans="2:16" x14ac:dyDescent="0.25">
      <c r="B3910" s="24"/>
      <c r="E3910" s="24"/>
      <c r="G3910" s="24"/>
      <c r="H3910" s="24"/>
      <c r="J3910" s="24"/>
      <c r="K3910" s="24"/>
      <c r="M3910" s="24"/>
      <c r="N3910" s="24"/>
      <c r="P3910" s="24"/>
    </row>
    <row r="3911" spans="2:16" x14ac:dyDescent="0.25">
      <c r="B3911" s="24"/>
      <c r="E3911" s="24"/>
      <c r="G3911" s="24"/>
      <c r="H3911" s="24"/>
      <c r="J3911" s="24"/>
      <c r="K3911" s="24"/>
      <c r="M3911" s="24"/>
      <c r="N3911" s="24"/>
      <c r="P3911" s="24"/>
    </row>
    <row r="3912" spans="2:16" x14ac:dyDescent="0.25">
      <c r="B3912" s="24"/>
      <c r="E3912" s="24"/>
      <c r="G3912" s="24"/>
      <c r="H3912" s="24"/>
      <c r="J3912" s="24"/>
      <c r="K3912" s="24"/>
      <c r="M3912" s="24"/>
      <c r="N3912" s="24"/>
      <c r="P3912" s="24"/>
    </row>
    <row r="3913" spans="2:16" x14ac:dyDescent="0.25">
      <c r="B3913" s="24"/>
      <c r="E3913" s="24"/>
      <c r="G3913" s="24"/>
      <c r="H3913" s="24"/>
      <c r="J3913" s="24"/>
      <c r="K3913" s="24"/>
      <c r="M3913" s="24"/>
      <c r="N3913" s="24"/>
      <c r="P3913" s="24"/>
    </row>
    <row r="3914" spans="2:16" x14ac:dyDescent="0.25">
      <c r="B3914" s="24"/>
      <c r="E3914" s="24"/>
      <c r="G3914" s="24"/>
      <c r="H3914" s="24"/>
      <c r="J3914" s="24"/>
      <c r="K3914" s="24"/>
      <c r="M3914" s="24"/>
      <c r="N3914" s="24"/>
      <c r="P3914" s="24"/>
    </row>
    <row r="3915" spans="2:16" x14ac:dyDescent="0.25">
      <c r="B3915" s="24"/>
      <c r="E3915" s="24"/>
      <c r="G3915" s="24"/>
      <c r="H3915" s="24"/>
      <c r="J3915" s="24"/>
      <c r="K3915" s="24"/>
      <c r="M3915" s="24"/>
      <c r="N3915" s="24"/>
      <c r="P3915" s="24"/>
    </row>
    <row r="3916" spans="2:16" x14ac:dyDescent="0.25">
      <c r="B3916" s="24"/>
      <c r="E3916" s="24"/>
      <c r="G3916" s="24"/>
      <c r="H3916" s="24"/>
      <c r="J3916" s="24"/>
      <c r="K3916" s="24"/>
      <c r="M3916" s="24"/>
      <c r="N3916" s="24"/>
      <c r="P3916" s="24"/>
    </row>
    <row r="3917" spans="2:16" x14ac:dyDescent="0.25">
      <c r="B3917" s="24"/>
      <c r="E3917" s="24"/>
      <c r="G3917" s="24"/>
      <c r="H3917" s="24"/>
      <c r="J3917" s="24"/>
      <c r="K3917" s="24"/>
      <c r="M3917" s="24"/>
      <c r="N3917" s="24"/>
      <c r="P3917" s="24"/>
    </row>
    <row r="3918" spans="2:16" x14ac:dyDescent="0.25">
      <c r="B3918" s="24"/>
      <c r="E3918" s="24"/>
      <c r="G3918" s="24"/>
      <c r="H3918" s="24"/>
      <c r="J3918" s="24"/>
      <c r="K3918" s="24"/>
      <c r="M3918" s="24"/>
      <c r="N3918" s="24"/>
      <c r="P3918" s="24"/>
    </row>
    <row r="3919" spans="2:16" x14ac:dyDescent="0.25">
      <c r="B3919" s="24"/>
      <c r="E3919" s="24"/>
      <c r="G3919" s="24"/>
      <c r="H3919" s="24"/>
      <c r="J3919" s="24"/>
      <c r="K3919" s="24"/>
      <c r="M3919" s="24"/>
      <c r="N3919" s="24"/>
      <c r="P3919" s="24"/>
    </row>
    <row r="3920" spans="2:16" x14ac:dyDescent="0.25">
      <c r="B3920" s="24"/>
      <c r="E3920" s="24"/>
      <c r="G3920" s="24"/>
      <c r="H3920" s="24"/>
      <c r="J3920" s="24"/>
      <c r="K3920" s="24"/>
      <c r="M3920" s="24"/>
      <c r="N3920" s="24"/>
      <c r="P3920" s="24"/>
    </row>
    <row r="3921" spans="2:16" x14ac:dyDescent="0.25">
      <c r="B3921" s="24"/>
      <c r="E3921" s="24"/>
      <c r="G3921" s="24"/>
      <c r="H3921" s="24"/>
      <c r="J3921" s="24"/>
      <c r="K3921" s="24"/>
      <c r="M3921" s="24"/>
      <c r="N3921" s="24"/>
      <c r="P3921" s="24"/>
    </row>
    <row r="3922" spans="2:16" x14ac:dyDescent="0.25">
      <c r="B3922" s="24"/>
      <c r="E3922" s="24"/>
      <c r="G3922" s="24"/>
      <c r="H3922" s="24"/>
      <c r="J3922" s="24"/>
      <c r="K3922" s="24"/>
      <c r="M3922" s="24"/>
      <c r="N3922" s="24"/>
      <c r="P3922" s="24"/>
    </row>
    <row r="3923" spans="2:16" x14ac:dyDescent="0.25">
      <c r="B3923" s="24"/>
      <c r="E3923" s="24"/>
      <c r="G3923" s="24"/>
      <c r="H3923" s="24"/>
      <c r="J3923" s="24"/>
      <c r="K3923" s="24"/>
      <c r="M3923" s="24"/>
      <c r="N3923" s="24"/>
      <c r="P3923" s="24"/>
    </row>
    <row r="3924" spans="2:16" x14ac:dyDescent="0.25">
      <c r="B3924" s="24"/>
      <c r="E3924" s="24"/>
      <c r="G3924" s="24"/>
      <c r="H3924" s="24"/>
      <c r="J3924" s="24"/>
      <c r="K3924" s="24"/>
      <c r="M3924" s="24"/>
      <c r="N3924" s="24"/>
      <c r="P3924" s="24"/>
    </row>
    <row r="3925" spans="2:16" x14ac:dyDescent="0.25">
      <c r="B3925" s="24"/>
      <c r="E3925" s="24"/>
      <c r="G3925" s="24"/>
      <c r="H3925" s="24"/>
      <c r="J3925" s="24"/>
      <c r="K3925" s="24"/>
      <c r="M3925" s="24"/>
      <c r="N3925" s="24"/>
      <c r="P3925" s="24"/>
    </row>
    <row r="3926" spans="2:16" x14ac:dyDescent="0.25">
      <c r="B3926" s="24"/>
      <c r="E3926" s="24"/>
      <c r="G3926" s="24"/>
      <c r="H3926" s="24"/>
      <c r="J3926" s="24"/>
      <c r="K3926" s="24"/>
      <c r="M3926" s="24"/>
      <c r="N3926" s="24"/>
      <c r="P3926" s="24"/>
    </row>
    <row r="3927" spans="2:16" x14ac:dyDescent="0.25">
      <c r="B3927" s="24"/>
      <c r="E3927" s="24"/>
      <c r="G3927" s="24"/>
      <c r="H3927" s="24"/>
      <c r="J3927" s="24"/>
      <c r="K3927" s="24"/>
      <c r="M3927" s="24"/>
      <c r="N3927" s="24"/>
      <c r="P3927" s="24"/>
    </row>
    <row r="3928" spans="2:16" x14ac:dyDescent="0.25">
      <c r="B3928" s="24"/>
      <c r="E3928" s="24"/>
      <c r="G3928" s="24"/>
      <c r="H3928" s="24"/>
      <c r="J3928" s="24"/>
      <c r="K3928" s="24"/>
      <c r="M3928" s="24"/>
      <c r="N3928" s="24"/>
      <c r="P3928" s="24"/>
    </row>
    <row r="3929" spans="2:16" x14ac:dyDescent="0.25">
      <c r="B3929" s="24"/>
      <c r="E3929" s="24"/>
      <c r="G3929" s="24"/>
      <c r="H3929" s="24"/>
      <c r="J3929" s="24"/>
      <c r="K3929" s="24"/>
      <c r="M3929" s="24"/>
      <c r="N3929" s="24"/>
      <c r="P3929" s="24"/>
    </row>
    <row r="3930" spans="2:16" x14ac:dyDescent="0.25">
      <c r="B3930" s="24"/>
      <c r="E3930" s="24"/>
      <c r="G3930" s="24"/>
      <c r="H3930" s="24"/>
      <c r="J3930" s="24"/>
      <c r="K3930" s="24"/>
      <c r="M3930" s="24"/>
      <c r="N3930" s="24"/>
      <c r="P3930" s="24"/>
    </row>
    <row r="3931" spans="2:16" x14ac:dyDescent="0.25">
      <c r="B3931" s="24"/>
      <c r="E3931" s="24"/>
      <c r="G3931" s="24"/>
      <c r="H3931" s="24"/>
      <c r="J3931" s="24"/>
      <c r="K3931" s="24"/>
      <c r="M3931" s="24"/>
      <c r="N3931" s="24"/>
      <c r="P3931" s="24"/>
    </row>
    <row r="3932" spans="2:16" x14ac:dyDescent="0.25">
      <c r="B3932" s="24"/>
      <c r="E3932" s="24"/>
      <c r="G3932" s="24"/>
      <c r="H3932" s="24"/>
      <c r="J3932" s="24"/>
      <c r="K3932" s="24"/>
      <c r="M3932" s="24"/>
      <c r="N3932" s="24"/>
      <c r="P3932" s="24"/>
    </row>
    <row r="3933" spans="2:16" x14ac:dyDescent="0.25">
      <c r="B3933" s="24"/>
      <c r="E3933" s="24"/>
      <c r="G3933" s="24"/>
      <c r="H3933" s="24"/>
      <c r="J3933" s="24"/>
      <c r="K3933" s="24"/>
      <c r="M3933" s="24"/>
      <c r="N3933" s="24"/>
      <c r="P3933" s="24"/>
    </row>
    <row r="3934" spans="2:16" x14ac:dyDescent="0.25">
      <c r="B3934" s="24"/>
      <c r="E3934" s="24"/>
      <c r="G3934" s="24"/>
      <c r="H3934" s="24"/>
      <c r="J3934" s="24"/>
      <c r="K3934" s="24"/>
      <c r="M3934" s="24"/>
      <c r="N3934" s="24"/>
      <c r="P3934" s="24"/>
    </row>
    <row r="3935" spans="2:16" x14ac:dyDescent="0.25">
      <c r="B3935" s="24"/>
      <c r="E3935" s="24"/>
      <c r="G3935" s="24"/>
      <c r="H3935" s="24"/>
      <c r="J3935" s="24"/>
      <c r="K3935" s="24"/>
      <c r="M3935" s="24"/>
      <c r="N3935" s="24"/>
      <c r="P3935" s="24"/>
    </row>
    <row r="3936" spans="2:16" x14ac:dyDescent="0.25">
      <c r="B3936" s="24"/>
      <c r="E3936" s="24"/>
      <c r="G3936" s="24"/>
      <c r="H3936" s="24"/>
      <c r="J3936" s="24"/>
      <c r="K3936" s="24"/>
      <c r="M3936" s="24"/>
      <c r="N3936" s="24"/>
      <c r="P3936" s="24"/>
    </row>
    <row r="3937" spans="2:16" x14ac:dyDescent="0.25">
      <c r="B3937" s="24"/>
      <c r="E3937" s="24"/>
      <c r="G3937" s="24"/>
      <c r="H3937" s="24"/>
      <c r="J3937" s="24"/>
      <c r="K3937" s="24"/>
      <c r="M3937" s="24"/>
      <c r="N3937" s="24"/>
      <c r="P3937" s="24"/>
    </row>
    <row r="3938" spans="2:16" x14ac:dyDescent="0.25">
      <c r="B3938" s="24"/>
      <c r="E3938" s="24"/>
      <c r="G3938" s="24"/>
      <c r="H3938" s="24"/>
      <c r="J3938" s="24"/>
      <c r="K3938" s="24"/>
      <c r="M3938" s="24"/>
      <c r="N3938" s="24"/>
      <c r="P3938" s="24"/>
    </row>
    <row r="3939" spans="2:16" x14ac:dyDescent="0.25">
      <c r="B3939" s="24"/>
      <c r="E3939" s="24"/>
      <c r="G3939" s="24"/>
      <c r="H3939" s="24"/>
      <c r="J3939" s="24"/>
      <c r="K3939" s="24"/>
      <c r="M3939" s="24"/>
      <c r="N3939" s="24"/>
      <c r="P3939" s="24"/>
    </row>
    <row r="3940" spans="2:16" x14ac:dyDescent="0.25">
      <c r="B3940" s="24"/>
      <c r="E3940" s="24"/>
      <c r="G3940" s="24"/>
      <c r="H3940" s="24"/>
      <c r="J3940" s="24"/>
      <c r="K3940" s="24"/>
      <c r="M3940" s="24"/>
      <c r="N3940" s="24"/>
      <c r="P3940" s="24"/>
    </row>
    <row r="3941" spans="2:16" x14ac:dyDescent="0.25">
      <c r="B3941" s="24"/>
      <c r="E3941" s="24"/>
      <c r="G3941" s="24"/>
      <c r="H3941" s="24"/>
      <c r="J3941" s="24"/>
      <c r="K3941" s="24"/>
      <c r="M3941" s="24"/>
      <c r="N3941" s="24"/>
      <c r="P3941" s="24"/>
    </row>
    <row r="3942" spans="2:16" x14ac:dyDescent="0.25">
      <c r="B3942" s="24"/>
      <c r="E3942" s="24"/>
      <c r="G3942" s="24"/>
      <c r="H3942" s="24"/>
      <c r="J3942" s="24"/>
      <c r="K3942" s="24"/>
      <c r="M3942" s="24"/>
      <c r="N3942" s="24"/>
      <c r="P3942" s="24"/>
    </row>
    <row r="3943" spans="2:16" x14ac:dyDescent="0.25">
      <c r="B3943" s="24"/>
      <c r="E3943" s="24"/>
      <c r="G3943" s="24"/>
      <c r="H3943" s="24"/>
      <c r="J3943" s="24"/>
      <c r="K3943" s="24"/>
      <c r="M3943" s="24"/>
      <c r="N3943" s="24"/>
      <c r="P3943" s="24"/>
    </row>
    <row r="3944" spans="2:16" x14ac:dyDescent="0.25">
      <c r="B3944" s="24"/>
      <c r="E3944" s="24"/>
      <c r="G3944" s="24"/>
      <c r="H3944" s="24"/>
      <c r="J3944" s="24"/>
      <c r="K3944" s="24"/>
      <c r="M3944" s="24"/>
      <c r="N3944" s="24"/>
      <c r="P3944" s="24"/>
    </row>
    <row r="3945" spans="2:16" x14ac:dyDescent="0.25">
      <c r="B3945" s="24"/>
      <c r="E3945" s="24"/>
      <c r="G3945" s="24"/>
      <c r="H3945" s="24"/>
      <c r="J3945" s="24"/>
      <c r="K3945" s="24"/>
      <c r="M3945" s="24"/>
      <c r="N3945" s="24"/>
      <c r="P3945" s="24"/>
    </row>
    <row r="3946" spans="2:16" x14ac:dyDescent="0.25">
      <c r="B3946" s="24"/>
      <c r="E3946" s="24"/>
      <c r="G3946" s="24"/>
      <c r="H3946" s="24"/>
      <c r="J3946" s="24"/>
      <c r="K3946" s="24"/>
      <c r="M3946" s="24"/>
      <c r="N3946" s="24"/>
      <c r="P3946" s="24"/>
    </row>
    <row r="3947" spans="2:16" x14ac:dyDescent="0.25">
      <c r="B3947" s="24"/>
      <c r="E3947" s="24"/>
      <c r="G3947" s="24"/>
      <c r="H3947" s="24"/>
      <c r="J3947" s="24"/>
      <c r="K3947" s="24"/>
      <c r="M3947" s="24"/>
      <c r="N3947" s="24"/>
      <c r="P3947" s="24"/>
    </row>
    <row r="3948" spans="2:16" x14ac:dyDescent="0.25">
      <c r="B3948" s="24"/>
      <c r="E3948" s="24"/>
      <c r="G3948" s="24"/>
      <c r="H3948" s="24"/>
      <c r="J3948" s="24"/>
      <c r="K3948" s="24"/>
      <c r="M3948" s="24"/>
      <c r="N3948" s="24"/>
      <c r="P3948" s="24"/>
    </row>
    <row r="3949" spans="2:16" x14ac:dyDescent="0.25">
      <c r="B3949" s="24"/>
      <c r="E3949" s="24"/>
      <c r="G3949" s="24"/>
      <c r="H3949" s="24"/>
      <c r="J3949" s="24"/>
      <c r="K3949" s="24"/>
      <c r="M3949" s="24"/>
      <c r="N3949" s="24"/>
      <c r="P3949" s="24"/>
    </row>
    <row r="3950" spans="2:16" x14ac:dyDescent="0.25">
      <c r="B3950" s="24"/>
      <c r="E3950" s="24"/>
      <c r="G3950" s="24"/>
      <c r="H3950" s="24"/>
      <c r="J3950" s="24"/>
      <c r="K3950" s="24"/>
      <c r="M3950" s="24"/>
      <c r="N3950" s="24"/>
      <c r="P3950" s="24"/>
    </row>
    <row r="3951" spans="2:16" x14ac:dyDescent="0.25">
      <c r="B3951" s="24"/>
      <c r="E3951" s="24"/>
      <c r="G3951" s="24"/>
      <c r="H3951" s="24"/>
      <c r="J3951" s="24"/>
      <c r="K3951" s="24"/>
      <c r="M3951" s="24"/>
      <c r="N3951" s="24"/>
      <c r="P3951" s="24"/>
    </row>
    <row r="3952" spans="2:16" x14ac:dyDescent="0.25">
      <c r="B3952" s="24"/>
      <c r="E3952" s="24"/>
      <c r="G3952" s="24"/>
      <c r="H3952" s="24"/>
      <c r="J3952" s="24"/>
      <c r="K3952" s="24"/>
      <c r="M3952" s="24"/>
      <c r="N3952" s="24"/>
      <c r="P3952" s="24"/>
    </row>
    <row r="3953" spans="2:16" x14ac:dyDescent="0.25">
      <c r="B3953" s="24"/>
      <c r="E3953" s="24"/>
      <c r="G3953" s="24"/>
      <c r="H3953" s="24"/>
      <c r="J3953" s="24"/>
      <c r="K3953" s="24"/>
      <c r="M3953" s="24"/>
      <c r="N3953" s="24"/>
      <c r="P3953" s="24"/>
    </row>
    <row r="3954" spans="2:16" x14ac:dyDescent="0.25">
      <c r="B3954" s="24"/>
      <c r="E3954" s="24"/>
      <c r="G3954" s="24"/>
      <c r="H3954" s="24"/>
      <c r="J3954" s="24"/>
      <c r="K3954" s="24"/>
      <c r="M3954" s="24"/>
      <c r="N3954" s="24"/>
      <c r="P3954" s="24"/>
    </row>
    <row r="3955" spans="2:16" x14ac:dyDescent="0.25">
      <c r="B3955" s="24"/>
      <c r="E3955" s="24"/>
      <c r="G3955" s="24"/>
      <c r="H3955" s="24"/>
      <c r="J3955" s="24"/>
      <c r="K3955" s="24"/>
      <c r="M3955" s="24"/>
      <c r="N3955" s="24"/>
      <c r="P3955" s="24"/>
    </row>
    <row r="3956" spans="2:16" x14ac:dyDescent="0.25">
      <c r="B3956" s="24"/>
      <c r="E3956" s="24"/>
      <c r="G3956" s="24"/>
      <c r="H3956" s="24"/>
      <c r="J3956" s="24"/>
      <c r="K3956" s="24"/>
      <c r="M3956" s="24"/>
      <c r="N3956" s="24"/>
      <c r="P3956" s="24"/>
    </row>
    <row r="3957" spans="2:16" x14ac:dyDescent="0.25">
      <c r="B3957" s="24"/>
      <c r="E3957" s="24"/>
      <c r="G3957" s="24"/>
      <c r="H3957" s="24"/>
      <c r="J3957" s="24"/>
      <c r="K3957" s="24"/>
      <c r="M3957" s="24"/>
      <c r="N3957" s="24"/>
      <c r="P3957" s="24"/>
    </row>
    <row r="3958" spans="2:16" x14ac:dyDescent="0.25">
      <c r="B3958" s="24"/>
      <c r="E3958" s="24"/>
      <c r="G3958" s="24"/>
      <c r="H3958" s="24"/>
      <c r="J3958" s="24"/>
      <c r="K3958" s="24"/>
      <c r="M3958" s="24"/>
      <c r="N3958" s="24"/>
      <c r="P3958" s="24"/>
    </row>
    <row r="3959" spans="2:16" x14ac:dyDescent="0.25">
      <c r="B3959" s="24"/>
      <c r="E3959" s="24"/>
      <c r="G3959" s="24"/>
      <c r="H3959" s="24"/>
      <c r="J3959" s="24"/>
      <c r="K3959" s="24"/>
      <c r="M3959" s="24"/>
      <c r="N3959" s="24"/>
      <c r="P3959" s="24"/>
    </row>
    <row r="3960" spans="2:16" x14ac:dyDescent="0.25">
      <c r="B3960" s="24"/>
      <c r="E3960" s="24"/>
      <c r="G3960" s="24"/>
      <c r="H3960" s="24"/>
      <c r="J3960" s="24"/>
      <c r="K3960" s="24"/>
      <c r="M3960" s="24"/>
      <c r="N3960" s="24"/>
      <c r="P3960" s="24"/>
    </row>
    <row r="3961" spans="2:16" x14ac:dyDescent="0.25">
      <c r="B3961" s="24"/>
      <c r="E3961" s="24"/>
      <c r="G3961" s="24"/>
      <c r="H3961" s="24"/>
      <c r="J3961" s="24"/>
      <c r="K3961" s="24"/>
      <c r="M3961" s="24"/>
      <c r="N3961" s="24"/>
      <c r="P3961" s="24"/>
    </row>
    <row r="3962" spans="2:16" x14ac:dyDescent="0.25">
      <c r="B3962" s="24"/>
      <c r="E3962" s="24"/>
      <c r="G3962" s="24"/>
      <c r="H3962" s="24"/>
      <c r="J3962" s="24"/>
      <c r="K3962" s="24"/>
      <c r="M3962" s="24"/>
      <c r="N3962" s="24"/>
      <c r="P3962" s="24"/>
    </row>
    <row r="3963" spans="2:16" x14ac:dyDescent="0.25">
      <c r="B3963" s="24"/>
      <c r="E3963" s="24"/>
      <c r="G3963" s="24"/>
      <c r="H3963" s="24"/>
      <c r="J3963" s="24"/>
      <c r="K3963" s="24"/>
      <c r="M3963" s="24"/>
      <c r="N3963" s="24"/>
      <c r="P3963" s="24"/>
    </row>
    <row r="3964" spans="2:16" x14ac:dyDescent="0.25">
      <c r="B3964" s="24"/>
      <c r="E3964" s="24"/>
      <c r="G3964" s="24"/>
      <c r="H3964" s="24"/>
      <c r="J3964" s="24"/>
      <c r="K3964" s="24"/>
      <c r="M3964" s="24"/>
      <c r="N3964" s="24"/>
      <c r="P3964" s="24"/>
    </row>
    <row r="3965" spans="2:16" x14ac:dyDescent="0.25">
      <c r="B3965" s="24"/>
      <c r="E3965" s="24"/>
      <c r="G3965" s="24"/>
      <c r="H3965" s="24"/>
      <c r="J3965" s="24"/>
      <c r="K3965" s="24"/>
      <c r="M3965" s="24"/>
      <c r="N3965" s="24"/>
      <c r="P3965" s="24"/>
    </row>
    <row r="3966" spans="2:16" x14ac:dyDescent="0.25">
      <c r="B3966" s="24"/>
      <c r="E3966" s="24"/>
      <c r="G3966" s="24"/>
      <c r="H3966" s="24"/>
      <c r="J3966" s="24"/>
      <c r="K3966" s="24"/>
      <c r="M3966" s="24"/>
      <c r="N3966" s="24"/>
      <c r="P3966" s="24"/>
    </row>
    <row r="3967" spans="2:16" x14ac:dyDescent="0.25">
      <c r="B3967" s="24"/>
      <c r="E3967" s="24"/>
      <c r="G3967" s="24"/>
      <c r="H3967" s="24"/>
      <c r="J3967" s="24"/>
      <c r="K3967" s="24"/>
      <c r="M3967" s="24"/>
      <c r="N3967" s="24"/>
      <c r="P3967" s="24"/>
    </row>
    <row r="3968" spans="2:16" x14ac:dyDescent="0.25">
      <c r="B3968" s="24"/>
      <c r="E3968" s="24"/>
      <c r="G3968" s="24"/>
      <c r="H3968" s="24"/>
      <c r="J3968" s="24"/>
      <c r="K3968" s="24"/>
      <c r="M3968" s="24"/>
      <c r="N3968" s="24"/>
      <c r="P3968" s="24"/>
    </row>
    <row r="3969" spans="2:16" x14ac:dyDescent="0.25">
      <c r="B3969" s="24"/>
      <c r="E3969" s="24"/>
      <c r="G3969" s="24"/>
      <c r="H3969" s="24"/>
      <c r="J3969" s="24"/>
      <c r="K3969" s="24"/>
      <c r="M3969" s="24"/>
      <c r="N3969" s="24"/>
      <c r="P3969" s="24"/>
    </row>
    <row r="3970" spans="2:16" x14ac:dyDescent="0.25">
      <c r="B3970" s="24"/>
      <c r="E3970" s="24"/>
      <c r="G3970" s="24"/>
      <c r="H3970" s="24"/>
      <c r="J3970" s="24"/>
      <c r="K3970" s="24"/>
      <c r="M3970" s="24"/>
      <c r="N3970" s="24"/>
      <c r="P3970" s="24"/>
    </row>
    <row r="3971" spans="2:16" x14ac:dyDescent="0.25">
      <c r="B3971" s="24"/>
      <c r="E3971" s="24"/>
      <c r="G3971" s="24"/>
      <c r="H3971" s="24"/>
      <c r="J3971" s="24"/>
      <c r="K3971" s="24"/>
      <c r="M3971" s="24"/>
      <c r="N3971" s="24"/>
      <c r="P3971" s="24"/>
    </row>
    <row r="3972" spans="2:16" x14ac:dyDescent="0.25">
      <c r="B3972" s="24"/>
      <c r="E3972" s="24"/>
      <c r="G3972" s="24"/>
      <c r="H3972" s="24"/>
      <c r="J3972" s="24"/>
      <c r="K3972" s="24"/>
      <c r="M3972" s="24"/>
      <c r="N3972" s="24"/>
      <c r="P3972" s="24"/>
    </row>
    <row r="3973" spans="2:16" x14ac:dyDescent="0.25">
      <c r="B3973" s="24"/>
      <c r="E3973" s="24"/>
      <c r="G3973" s="24"/>
      <c r="H3973" s="24"/>
      <c r="J3973" s="24"/>
      <c r="K3973" s="24"/>
      <c r="M3973" s="24"/>
      <c r="N3973" s="24"/>
      <c r="P3973" s="24"/>
    </row>
    <row r="3974" spans="2:16" x14ac:dyDescent="0.25">
      <c r="B3974" s="24"/>
      <c r="E3974" s="24"/>
      <c r="G3974" s="24"/>
      <c r="H3974" s="24"/>
      <c r="J3974" s="24"/>
      <c r="K3974" s="24"/>
      <c r="M3974" s="24"/>
      <c r="N3974" s="24"/>
      <c r="P3974" s="24"/>
    </row>
    <row r="3975" spans="2:16" x14ac:dyDescent="0.25">
      <c r="B3975" s="24"/>
      <c r="E3975" s="24"/>
      <c r="G3975" s="24"/>
      <c r="H3975" s="24"/>
      <c r="J3975" s="24"/>
      <c r="K3975" s="24"/>
      <c r="M3975" s="24"/>
      <c r="N3975" s="24"/>
      <c r="P3975" s="24"/>
    </row>
    <row r="3976" spans="2:16" x14ac:dyDescent="0.25">
      <c r="B3976" s="24"/>
      <c r="E3976" s="24"/>
      <c r="G3976" s="24"/>
      <c r="H3976" s="24"/>
      <c r="J3976" s="24"/>
      <c r="K3976" s="24"/>
      <c r="M3976" s="24"/>
      <c r="N3976" s="24"/>
      <c r="P3976" s="24"/>
    </row>
    <row r="3977" spans="2:16" x14ac:dyDescent="0.25">
      <c r="B3977" s="24"/>
      <c r="E3977" s="24"/>
      <c r="G3977" s="24"/>
      <c r="H3977" s="24"/>
      <c r="J3977" s="24"/>
      <c r="K3977" s="24"/>
      <c r="M3977" s="24"/>
      <c r="N3977" s="24"/>
      <c r="P3977" s="24"/>
    </row>
    <row r="3978" spans="2:16" x14ac:dyDescent="0.25">
      <c r="B3978" s="24"/>
      <c r="E3978" s="24"/>
      <c r="G3978" s="24"/>
      <c r="H3978" s="24"/>
      <c r="J3978" s="24"/>
      <c r="K3978" s="24"/>
      <c r="M3978" s="24"/>
      <c r="N3978" s="24"/>
      <c r="P3978" s="24"/>
    </row>
    <row r="3979" spans="2:16" x14ac:dyDescent="0.25">
      <c r="B3979" s="24"/>
      <c r="E3979" s="24"/>
      <c r="G3979" s="24"/>
      <c r="H3979" s="24"/>
      <c r="J3979" s="24"/>
      <c r="K3979" s="24"/>
      <c r="M3979" s="24"/>
      <c r="N3979" s="24"/>
      <c r="P3979" s="24"/>
    </row>
    <row r="3980" spans="2:16" x14ac:dyDescent="0.25">
      <c r="B3980" s="24"/>
      <c r="E3980" s="24"/>
      <c r="G3980" s="24"/>
      <c r="H3980" s="24"/>
      <c r="J3980" s="24"/>
      <c r="K3980" s="24"/>
      <c r="M3980" s="24"/>
      <c r="N3980" s="24"/>
      <c r="P3980" s="24"/>
    </row>
    <row r="3981" spans="2:16" x14ac:dyDescent="0.25">
      <c r="B3981" s="24"/>
      <c r="E3981" s="24"/>
      <c r="G3981" s="24"/>
      <c r="H3981" s="24"/>
      <c r="J3981" s="24"/>
      <c r="K3981" s="24"/>
      <c r="M3981" s="24"/>
      <c r="N3981" s="24"/>
      <c r="P3981" s="24"/>
    </row>
    <row r="3982" spans="2:16" x14ac:dyDescent="0.25">
      <c r="B3982" s="24"/>
      <c r="E3982" s="24"/>
      <c r="G3982" s="24"/>
      <c r="H3982" s="24"/>
      <c r="J3982" s="24"/>
      <c r="K3982" s="24"/>
      <c r="M3982" s="24"/>
      <c r="N3982" s="24"/>
      <c r="P3982" s="24"/>
    </row>
    <row r="3983" spans="2:16" x14ac:dyDescent="0.25">
      <c r="B3983" s="24"/>
      <c r="E3983" s="24"/>
      <c r="G3983" s="24"/>
      <c r="H3983" s="24"/>
      <c r="J3983" s="24"/>
      <c r="K3983" s="24"/>
      <c r="M3983" s="24"/>
      <c r="N3983" s="24"/>
      <c r="P3983" s="24"/>
    </row>
    <row r="3984" spans="2:16" x14ac:dyDescent="0.25">
      <c r="B3984" s="24"/>
      <c r="E3984" s="24"/>
      <c r="G3984" s="24"/>
      <c r="H3984" s="24"/>
      <c r="J3984" s="24"/>
      <c r="K3984" s="24"/>
      <c r="M3984" s="24"/>
      <c r="N3984" s="24"/>
      <c r="P3984" s="24"/>
    </row>
    <row r="3985" spans="2:16" x14ac:dyDescent="0.25">
      <c r="B3985" s="24"/>
      <c r="E3985" s="24"/>
      <c r="G3985" s="24"/>
      <c r="H3985" s="24"/>
      <c r="J3985" s="24"/>
      <c r="K3985" s="24"/>
      <c r="M3985" s="24"/>
      <c r="N3985" s="24"/>
      <c r="P3985" s="24"/>
    </row>
    <row r="3986" spans="2:16" x14ac:dyDescent="0.25">
      <c r="B3986" s="24"/>
      <c r="E3986" s="24"/>
      <c r="G3986" s="24"/>
      <c r="H3986" s="24"/>
      <c r="J3986" s="24"/>
      <c r="K3986" s="24"/>
      <c r="M3986" s="24"/>
      <c r="N3986" s="24"/>
      <c r="P3986" s="24"/>
    </row>
    <row r="3987" spans="2:16" x14ac:dyDescent="0.25">
      <c r="B3987" s="24"/>
      <c r="E3987" s="24"/>
      <c r="G3987" s="24"/>
      <c r="H3987" s="24"/>
      <c r="J3987" s="24"/>
      <c r="K3987" s="24"/>
      <c r="M3987" s="24"/>
      <c r="N3987" s="24"/>
      <c r="P3987" s="24"/>
    </row>
    <row r="3988" spans="2:16" x14ac:dyDescent="0.25">
      <c r="B3988" s="24"/>
      <c r="E3988" s="24"/>
      <c r="G3988" s="24"/>
      <c r="H3988" s="24"/>
      <c r="J3988" s="24"/>
      <c r="K3988" s="24"/>
      <c r="M3988" s="24"/>
      <c r="N3988" s="24"/>
      <c r="P3988" s="24"/>
    </row>
    <row r="3989" spans="2:16" x14ac:dyDescent="0.25">
      <c r="B3989" s="24"/>
      <c r="E3989" s="24"/>
      <c r="G3989" s="24"/>
      <c r="H3989" s="24"/>
      <c r="J3989" s="24"/>
      <c r="K3989" s="24"/>
      <c r="M3989" s="24"/>
      <c r="N3989" s="24"/>
      <c r="P3989" s="24"/>
    </row>
    <row r="3990" spans="2:16" x14ac:dyDescent="0.25">
      <c r="B3990" s="24"/>
      <c r="E3990" s="24"/>
      <c r="G3990" s="24"/>
      <c r="H3990" s="24"/>
      <c r="J3990" s="24"/>
      <c r="K3990" s="24"/>
      <c r="M3990" s="24"/>
      <c r="N3990" s="24"/>
      <c r="P3990" s="24"/>
    </row>
    <row r="3991" spans="2:16" x14ac:dyDescent="0.25">
      <c r="B3991" s="24"/>
      <c r="E3991" s="24"/>
      <c r="G3991" s="24"/>
      <c r="H3991" s="24"/>
      <c r="J3991" s="24"/>
      <c r="K3991" s="24"/>
      <c r="M3991" s="24"/>
      <c r="N3991" s="24"/>
      <c r="P3991" s="24"/>
    </row>
    <row r="3992" spans="2:16" x14ac:dyDescent="0.25">
      <c r="B3992" s="24"/>
      <c r="E3992" s="24"/>
      <c r="G3992" s="24"/>
      <c r="H3992" s="24"/>
      <c r="J3992" s="24"/>
      <c r="K3992" s="24"/>
      <c r="M3992" s="24"/>
      <c r="N3992" s="24"/>
      <c r="P3992" s="24"/>
    </row>
    <row r="3993" spans="2:16" x14ac:dyDescent="0.25">
      <c r="B3993" s="24"/>
      <c r="E3993" s="24"/>
      <c r="G3993" s="24"/>
      <c r="H3993" s="24"/>
      <c r="J3993" s="24"/>
      <c r="K3993" s="24"/>
      <c r="M3993" s="24"/>
      <c r="N3993" s="24"/>
      <c r="P3993" s="24"/>
    </row>
    <row r="3994" spans="2:16" x14ac:dyDescent="0.25">
      <c r="B3994" s="24"/>
      <c r="E3994" s="24"/>
      <c r="G3994" s="24"/>
      <c r="H3994" s="24"/>
      <c r="J3994" s="24"/>
      <c r="K3994" s="24"/>
      <c r="M3994" s="24"/>
      <c r="N3994" s="24"/>
      <c r="P3994" s="24"/>
    </row>
    <row r="3995" spans="2:16" x14ac:dyDescent="0.25">
      <c r="B3995" s="24"/>
      <c r="E3995" s="24"/>
      <c r="G3995" s="24"/>
      <c r="H3995" s="24"/>
      <c r="J3995" s="24"/>
      <c r="K3995" s="24"/>
      <c r="M3995" s="24"/>
      <c r="N3995" s="24"/>
      <c r="P3995" s="24"/>
    </row>
    <row r="3996" spans="2:16" x14ac:dyDescent="0.25">
      <c r="B3996" s="24"/>
      <c r="E3996" s="24"/>
      <c r="G3996" s="24"/>
      <c r="H3996" s="24"/>
      <c r="J3996" s="24"/>
      <c r="K3996" s="24"/>
      <c r="M3996" s="24"/>
      <c r="N3996" s="24"/>
      <c r="P3996" s="24"/>
    </row>
    <row r="3997" spans="2:16" x14ac:dyDescent="0.25">
      <c r="B3997" s="24"/>
      <c r="E3997" s="24"/>
      <c r="G3997" s="24"/>
      <c r="H3997" s="24"/>
      <c r="J3997" s="24"/>
      <c r="K3997" s="24"/>
      <c r="M3997" s="24"/>
      <c r="N3997" s="24"/>
      <c r="P3997" s="24"/>
    </row>
    <row r="3998" spans="2:16" x14ac:dyDescent="0.25">
      <c r="B3998" s="24"/>
      <c r="E3998" s="24"/>
      <c r="G3998" s="24"/>
      <c r="H3998" s="24"/>
      <c r="J3998" s="24"/>
      <c r="K3998" s="24"/>
      <c r="M3998" s="24"/>
      <c r="N3998" s="24"/>
      <c r="P3998" s="24"/>
    </row>
    <row r="3999" spans="2:16" x14ac:dyDescent="0.25">
      <c r="B3999" s="24"/>
      <c r="E3999" s="24"/>
      <c r="G3999" s="24"/>
      <c r="H3999" s="24"/>
      <c r="J3999" s="24"/>
      <c r="K3999" s="24"/>
      <c r="M3999" s="24"/>
      <c r="N3999" s="24"/>
      <c r="P3999" s="24"/>
    </row>
    <row r="4000" spans="2:16" x14ac:dyDescent="0.25">
      <c r="B4000" s="24"/>
      <c r="E4000" s="24"/>
      <c r="G4000" s="24"/>
      <c r="H4000" s="24"/>
      <c r="J4000" s="24"/>
      <c r="K4000" s="24"/>
      <c r="M4000" s="24"/>
      <c r="N4000" s="24"/>
      <c r="P4000" s="24"/>
    </row>
    <row r="4001" spans="2:16" x14ac:dyDescent="0.25">
      <c r="B4001" s="24"/>
      <c r="E4001" s="24"/>
      <c r="G4001" s="24"/>
      <c r="H4001" s="24"/>
      <c r="J4001" s="24"/>
      <c r="K4001" s="24"/>
      <c r="M4001" s="24"/>
      <c r="N4001" s="24"/>
      <c r="P4001" s="24"/>
    </row>
    <row r="4002" spans="2:16" x14ac:dyDescent="0.25">
      <c r="B4002" s="24"/>
      <c r="E4002" s="24"/>
      <c r="G4002" s="24"/>
      <c r="H4002" s="24"/>
      <c r="J4002" s="24"/>
      <c r="K4002" s="24"/>
      <c r="M4002" s="24"/>
      <c r="N4002" s="24"/>
      <c r="P4002" s="24"/>
    </row>
    <row r="4003" spans="2:16" x14ac:dyDescent="0.25">
      <c r="B4003" s="24"/>
      <c r="E4003" s="24"/>
      <c r="G4003" s="24"/>
      <c r="H4003" s="24"/>
      <c r="J4003" s="24"/>
      <c r="K4003" s="24"/>
      <c r="M4003" s="24"/>
      <c r="N4003" s="24"/>
      <c r="P4003" s="24"/>
    </row>
    <row r="4004" spans="2:16" x14ac:dyDescent="0.25">
      <c r="B4004" s="24"/>
      <c r="E4004" s="24"/>
      <c r="G4004" s="24"/>
      <c r="H4004" s="24"/>
      <c r="J4004" s="24"/>
      <c r="K4004" s="24"/>
      <c r="M4004" s="24"/>
      <c r="N4004" s="24"/>
      <c r="P4004" s="24"/>
    </row>
    <row r="4005" spans="2:16" x14ac:dyDescent="0.25">
      <c r="B4005" s="24"/>
      <c r="E4005" s="24"/>
      <c r="G4005" s="24"/>
      <c r="H4005" s="24"/>
      <c r="J4005" s="24"/>
      <c r="K4005" s="24"/>
      <c r="M4005" s="24"/>
      <c r="N4005" s="24"/>
      <c r="P4005" s="24"/>
    </row>
    <row r="4006" spans="2:16" x14ac:dyDescent="0.25">
      <c r="B4006" s="24"/>
      <c r="E4006" s="24"/>
      <c r="G4006" s="24"/>
      <c r="H4006" s="24"/>
      <c r="J4006" s="24"/>
      <c r="K4006" s="24"/>
      <c r="M4006" s="24"/>
      <c r="N4006" s="24"/>
      <c r="P4006" s="24"/>
    </row>
    <row r="4007" spans="2:16" x14ac:dyDescent="0.25">
      <c r="B4007" s="24"/>
      <c r="E4007" s="24"/>
      <c r="G4007" s="24"/>
      <c r="H4007" s="24"/>
      <c r="J4007" s="24"/>
      <c r="K4007" s="24"/>
      <c r="M4007" s="24"/>
      <c r="N4007" s="24"/>
      <c r="P4007" s="24"/>
    </row>
    <row r="4008" spans="2:16" x14ac:dyDescent="0.25">
      <c r="B4008" s="24"/>
      <c r="E4008" s="24"/>
      <c r="G4008" s="24"/>
      <c r="H4008" s="24"/>
      <c r="J4008" s="24"/>
      <c r="K4008" s="24"/>
      <c r="M4008" s="24"/>
      <c r="N4008" s="24"/>
      <c r="P4008" s="24"/>
    </row>
    <row r="4009" spans="2:16" x14ac:dyDescent="0.25">
      <c r="B4009" s="24"/>
      <c r="E4009" s="24"/>
      <c r="G4009" s="24"/>
      <c r="H4009" s="24"/>
      <c r="J4009" s="24"/>
      <c r="K4009" s="24"/>
      <c r="M4009" s="24"/>
      <c r="N4009" s="24"/>
      <c r="P4009" s="24"/>
    </row>
    <row r="4010" spans="2:16" x14ac:dyDescent="0.25">
      <c r="B4010" s="24"/>
      <c r="E4010" s="24"/>
      <c r="G4010" s="24"/>
      <c r="H4010" s="24"/>
      <c r="J4010" s="24"/>
      <c r="K4010" s="24"/>
      <c r="M4010" s="24"/>
      <c r="N4010" s="24"/>
      <c r="P4010" s="24"/>
    </row>
    <row r="4011" spans="2:16" x14ac:dyDescent="0.25">
      <c r="B4011" s="24"/>
      <c r="E4011" s="24"/>
      <c r="G4011" s="24"/>
      <c r="H4011" s="24"/>
      <c r="J4011" s="24"/>
      <c r="K4011" s="24"/>
      <c r="M4011" s="24"/>
      <c r="N4011" s="24"/>
      <c r="P4011" s="24"/>
    </row>
    <row r="4012" spans="2:16" x14ac:dyDescent="0.25">
      <c r="B4012" s="24"/>
      <c r="E4012" s="24"/>
      <c r="G4012" s="24"/>
      <c r="H4012" s="24"/>
      <c r="J4012" s="24"/>
      <c r="K4012" s="24"/>
      <c r="M4012" s="24"/>
      <c r="N4012" s="24"/>
      <c r="P4012" s="24"/>
    </row>
    <row r="4013" spans="2:16" x14ac:dyDescent="0.25">
      <c r="B4013" s="24"/>
      <c r="E4013" s="24"/>
      <c r="G4013" s="24"/>
      <c r="H4013" s="24"/>
      <c r="J4013" s="24"/>
      <c r="K4013" s="24"/>
      <c r="M4013" s="24"/>
      <c r="N4013" s="24"/>
      <c r="P4013" s="24"/>
    </row>
    <row r="4014" spans="2:16" x14ac:dyDescent="0.25">
      <c r="B4014" s="24"/>
      <c r="E4014" s="24"/>
      <c r="G4014" s="24"/>
      <c r="H4014" s="24"/>
      <c r="J4014" s="24"/>
      <c r="K4014" s="24"/>
      <c r="M4014" s="24"/>
      <c r="N4014" s="24"/>
      <c r="P4014" s="24"/>
    </row>
    <row r="4015" spans="2:16" x14ac:dyDescent="0.25">
      <c r="B4015" s="24"/>
      <c r="E4015" s="24"/>
      <c r="G4015" s="24"/>
      <c r="H4015" s="24"/>
      <c r="J4015" s="24"/>
      <c r="K4015" s="24"/>
      <c r="M4015" s="24"/>
      <c r="N4015" s="24"/>
      <c r="P4015" s="24"/>
    </row>
    <row r="4016" spans="2:16" x14ac:dyDescent="0.25">
      <c r="B4016" s="24"/>
      <c r="E4016" s="24"/>
      <c r="G4016" s="24"/>
      <c r="H4016" s="24"/>
      <c r="J4016" s="24"/>
      <c r="K4016" s="24"/>
      <c r="M4016" s="24"/>
      <c r="N4016" s="24"/>
      <c r="P4016" s="24"/>
    </row>
    <row r="4017" spans="2:16" x14ac:dyDescent="0.25">
      <c r="B4017" s="24"/>
      <c r="E4017" s="24"/>
      <c r="G4017" s="24"/>
      <c r="H4017" s="24"/>
      <c r="J4017" s="24"/>
      <c r="K4017" s="24"/>
      <c r="M4017" s="24"/>
      <c r="N4017" s="24"/>
      <c r="P4017" s="24"/>
    </row>
    <row r="4018" spans="2:16" x14ac:dyDescent="0.25">
      <c r="B4018" s="24"/>
      <c r="E4018" s="24"/>
      <c r="G4018" s="24"/>
      <c r="H4018" s="24"/>
      <c r="J4018" s="24"/>
      <c r="K4018" s="24"/>
      <c r="M4018" s="24"/>
      <c r="N4018" s="24"/>
      <c r="P4018" s="24"/>
    </row>
    <row r="4019" spans="2:16" x14ac:dyDescent="0.25">
      <c r="B4019" s="24"/>
      <c r="E4019" s="24"/>
      <c r="G4019" s="24"/>
      <c r="H4019" s="24"/>
      <c r="J4019" s="24"/>
      <c r="K4019" s="24"/>
      <c r="M4019" s="24"/>
      <c r="N4019" s="24"/>
      <c r="P4019" s="24"/>
    </row>
    <row r="4020" spans="2:16" x14ac:dyDescent="0.25">
      <c r="B4020" s="24"/>
      <c r="E4020" s="24"/>
      <c r="G4020" s="24"/>
      <c r="H4020" s="24"/>
      <c r="J4020" s="24"/>
      <c r="K4020" s="24"/>
      <c r="M4020" s="24"/>
      <c r="N4020" s="24"/>
      <c r="P4020" s="24"/>
    </row>
    <row r="4021" spans="2:16" x14ac:dyDescent="0.25">
      <c r="B4021" s="24"/>
      <c r="E4021" s="24"/>
      <c r="G4021" s="24"/>
      <c r="H4021" s="24"/>
      <c r="J4021" s="24"/>
      <c r="K4021" s="24"/>
      <c r="M4021" s="24"/>
      <c r="N4021" s="24"/>
      <c r="P4021" s="24"/>
    </row>
    <row r="4022" spans="2:16" x14ac:dyDescent="0.25">
      <c r="B4022" s="24"/>
      <c r="E4022" s="24"/>
      <c r="G4022" s="24"/>
      <c r="H4022" s="24"/>
      <c r="J4022" s="24"/>
      <c r="K4022" s="24"/>
      <c r="M4022" s="24"/>
      <c r="N4022" s="24"/>
      <c r="P4022" s="24"/>
    </row>
    <row r="4023" spans="2:16" x14ac:dyDescent="0.25">
      <c r="B4023" s="24"/>
      <c r="E4023" s="24"/>
      <c r="G4023" s="24"/>
      <c r="H4023" s="24"/>
      <c r="J4023" s="24"/>
      <c r="K4023" s="24"/>
      <c r="M4023" s="24"/>
      <c r="N4023" s="24"/>
      <c r="P4023" s="24"/>
    </row>
    <row r="4024" spans="2:16" x14ac:dyDescent="0.25">
      <c r="B4024" s="24"/>
      <c r="E4024" s="24"/>
      <c r="G4024" s="24"/>
      <c r="H4024" s="24"/>
      <c r="J4024" s="24"/>
      <c r="K4024" s="24"/>
      <c r="M4024" s="24"/>
      <c r="N4024" s="24"/>
      <c r="P4024" s="24"/>
    </row>
    <row r="4025" spans="2:16" x14ac:dyDescent="0.25">
      <c r="B4025" s="24"/>
      <c r="E4025" s="24"/>
      <c r="G4025" s="24"/>
      <c r="H4025" s="24"/>
      <c r="J4025" s="24"/>
      <c r="K4025" s="24"/>
      <c r="M4025" s="24"/>
      <c r="N4025" s="24"/>
      <c r="P4025" s="24"/>
    </row>
    <row r="4026" spans="2:16" x14ac:dyDescent="0.25">
      <c r="B4026" s="24"/>
      <c r="E4026" s="24"/>
      <c r="G4026" s="24"/>
      <c r="H4026" s="24"/>
      <c r="J4026" s="24"/>
      <c r="K4026" s="24"/>
      <c r="M4026" s="24"/>
      <c r="N4026" s="24"/>
      <c r="P4026" s="24"/>
    </row>
    <row r="4027" spans="2:16" x14ac:dyDescent="0.25">
      <c r="B4027" s="24"/>
      <c r="E4027" s="24"/>
      <c r="G4027" s="24"/>
      <c r="H4027" s="24"/>
      <c r="J4027" s="24"/>
      <c r="K4027" s="24"/>
      <c r="M4027" s="24"/>
      <c r="N4027" s="24"/>
      <c r="P4027" s="24"/>
    </row>
    <row r="4028" spans="2:16" x14ac:dyDescent="0.25">
      <c r="B4028" s="24"/>
      <c r="E4028" s="24"/>
      <c r="G4028" s="24"/>
      <c r="H4028" s="24"/>
      <c r="J4028" s="24"/>
      <c r="K4028" s="24"/>
      <c r="M4028" s="24"/>
      <c r="N4028" s="24"/>
      <c r="P4028" s="24"/>
    </row>
    <row r="4029" spans="2:16" x14ac:dyDescent="0.25">
      <c r="B4029" s="24"/>
      <c r="E4029" s="24"/>
      <c r="G4029" s="24"/>
      <c r="H4029" s="24"/>
      <c r="J4029" s="24"/>
      <c r="K4029" s="24"/>
      <c r="M4029" s="24"/>
      <c r="N4029" s="24"/>
      <c r="P4029" s="24"/>
    </row>
    <row r="4030" spans="2:16" x14ac:dyDescent="0.25">
      <c r="B4030" s="24"/>
      <c r="E4030" s="24"/>
      <c r="G4030" s="24"/>
      <c r="H4030" s="24"/>
      <c r="J4030" s="24"/>
      <c r="K4030" s="24"/>
      <c r="M4030" s="24"/>
      <c r="N4030" s="24"/>
      <c r="P4030" s="24"/>
    </row>
    <row r="4031" spans="2:16" x14ac:dyDescent="0.25">
      <c r="B4031" s="24"/>
      <c r="E4031" s="24"/>
      <c r="G4031" s="24"/>
      <c r="H4031" s="24"/>
      <c r="J4031" s="24"/>
      <c r="K4031" s="24"/>
      <c r="M4031" s="24"/>
      <c r="N4031" s="24"/>
      <c r="P4031" s="24"/>
    </row>
    <row r="4032" spans="2:16" x14ac:dyDescent="0.25">
      <c r="B4032" s="24"/>
      <c r="E4032" s="24"/>
      <c r="G4032" s="24"/>
      <c r="H4032" s="24"/>
      <c r="J4032" s="24"/>
      <c r="K4032" s="24"/>
      <c r="M4032" s="24"/>
      <c r="N4032" s="24"/>
      <c r="P4032" s="24"/>
    </row>
    <row r="4033" spans="2:16" x14ac:dyDescent="0.25">
      <c r="B4033" s="24"/>
      <c r="E4033" s="24"/>
      <c r="G4033" s="24"/>
      <c r="H4033" s="24"/>
      <c r="J4033" s="24"/>
      <c r="K4033" s="24"/>
      <c r="M4033" s="24"/>
      <c r="N4033" s="24"/>
      <c r="P4033" s="24"/>
    </row>
    <row r="4034" spans="2:16" x14ac:dyDescent="0.25">
      <c r="B4034" s="24"/>
      <c r="E4034" s="24"/>
      <c r="G4034" s="24"/>
      <c r="H4034" s="24"/>
      <c r="J4034" s="24"/>
      <c r="K4034" s="24"/>
      <c r="M4034" s="24"/>
      <c r="N4034" s="24"/>
      <c r="P4034" s="24"/>
    </row>
    <row r="4035" spans="2:16" x14ac:dyDescent="0.25">
      <c r="B4035" s="24"/>
      <c r="E4035" s="24"/>
      <c r="G4035" s="24"/>
      <c r="H4035" s="24"/>
      <c r="J4035" s="24"/>
      <c r="K4035" s="24"/>
      <c r="M4035" s="24"/>
      <c r="N4035" s="24"/>
      <c r="P4035" s="24"/>
    </row>
    <row r="4036" spans="2:16" x14ac:dyDescent="0.25">
      <c r="B4036" s="24"/>
      <c r="E4036" s="24"/>
      <c r="G4036" s="24"/>
      <c r="H4036" s="24"/>
      <c r="J4036" s="24"/>
      <c r="K4036" s="24"/>
      <c r="M4036" s="24"/>
      <c r="N4036" s="24"/>
      <c r="P4036" s="24"/>
    </row>
    <row r="4037" spans="2:16" x14ac:dyDescent="0.25">
      <c r="B4037" s="24"/>
      <c r="E4037" s="24"/>
      <c r="G4037" s="24"/>
      <c r="H4037" s="24"/>
      <c r="J4037" s="24"/>
      <c r="K4037" s="24"/>
      <c r="M4037" s="24"/>
      <c r="N4037" s="24"/>
      <c r="P4037" s="24"/>
    </row>
    <row r="4038" spans="2:16" x14ac:dyDescent="0.25">
      <c r="B4038" s="24"/>
      <c r="E4038" s="24"/>
      <c r="G4038" s="24"/>
      <c r="H4038" s="24"/>
      <c r="J4038" s="24"/>
      <c r="K4038" s="24"/>
      <c r="M4038" s="24"/>
      <c r="N4038" s="24"/>
      <c r="P4038" s="24"/>
    </row>
    <row r="4039" spans="2:16" x14ac:dyDescent="0.25">
      <c r="B4039" s="24"/>
      <c r="E4039" s="24"/>
      <c r="G4039" s="24"/>
      <c r="H4039" s="24"/>
      <c r="J4039" s="24"/>
      <c r="K4039" s="24"/>
      <c r="M4039" s="24"/>
      <c r="N4039" s="24"/>
      <c r="P4039" s="24"/>
    </row>
    <row r="4040" spans="2:16" x14ac:dyDescent="0.25">
      <c r="B4040" s="24"/>
      <c r="E4040" s="24"/>
      <c r="G4040" s="24"/>
      <c r="H4040" s="24"/>
      <c r="J4040" s="24"/>
      <c r="K4040" s="24"/>
      <c r="M4040" s="24"/>
      <c r="N4040" s="24"/>
      <c r="P4040" s="24"/>
    </row>
    <row r="4041" spans="2:16" x14ac:dyDescent="0.25">
      <c r="B4041" s="24"/>
      <c r="E4041" s="24"/>
      <c r="G4041" s="24"/>
      <c r="H4041" s="24"/>
      <c r="J4041" s="24"/>
      <c r="K4041" s="24"/>
      <c r="M4041" s="24"/>
      <c r="N4041" s="24"/>
      <c r="P4041" s="24"/>
    </row>
    <row r="4042" spans="2:16" x14ac:dyDescent="0.25">
      <c r="B4042" s="24"/>
      <c r="E4042" s="24"/>
      <c r="G4042" s="24"/>
      <c r="H4042" s="24"/>
      <c r="J4042" s="24"/>
      <c r="K4042" s="24"/>
      <c r="M4042" s="24"/>
      <c r="N4042" s="24"/>
      <c r="P4042" s="24"/>
    </row>
    <row r="4043" spans="2:16" x14ac:dyDescent="0.25">
      <c r="B4043" s="24"/>
      <c r="E4043" s="24"/>
      <c r="G4043" s="24"/>
      <c r="H4043" s="24"/>
      <c r="J4043" s="24"/>
      <c r="K4043" s="24"/>
      <c r="M4043" s="24"/>
      <c r="N4043" s="24"/>
      <c r="P4043" s="24"/>
    </row>
    <row r="4044" spans="2:16" x14ac:dyDescent="0.25">
      <c r="B4044" s="24"/>
      <c r="E4044" s="24"/>
      <c r="G4044" s="24"/>
      <c r="H4044" s="24"/>
      <c r="J4044" s="24"/>
      <c r="K4044" s="24"/>
      <c r="M4044" s="24"/>
      <c r="N4044" s="24"/>
      <c r="P4044" s="24"/>
    </row>
    <row r="4045" spans="2:16" x14ac:dyDescent="0.25">
      <c r="B4045" s="24"/>
      <c r="E4045" s="24"/>
      <c r="G4045" s="24"/>
      <c r="H4045" s="24"/>
      <c r="J4045" s="24"/>
      <c r="K4045" s="24"/>
      <c r="M4045" s="24"/>
      <c r="N4045" s="24"/>
      <c r="P4045" s="24"/>
    </row>
    <row r="4046" spans="2:16" x14ac:dyDescent="0.25">
      <c r="B4046" s="24"/>
      <c r="E4046" s="24"/>
      <c r="G4046" s="24"/>
      <c r="H4046" s="24"/>
      <c r="J4046" s="24"/>
      <c r="K4046" s="24"/>
      <c r="M4046" s="24"/>
      <c r="N4046" s="24"/>
      <c r="P4046" s="24"/>
    </row>
    <row r="4047" spans="2:16" x14ac:dyDescent="0.25">
      <c r="B4047" s="24"/>
      <c r="E4047" s="24"/>
      <c r="G4047" s="24"/>
      <c r="H4047" s="24"/>
      <c r="J4047" s="24"/>
      <c r="K4047" s="24"/>
      <c r="M4047" s="24"/>
      <c r="N4047" s="24"/>
      <c r="P4047" s="24"/>
    </row>
    <row r="4048" spans="2:16" x14ac:dyDescent="0.25">
      <c r="B4048" s="24"/>
      <c r="E4048" s="24"/>
      <c r="G4048" s="24"/>
      <c r="H4048" s="24"/>
      <c r="J4048" s="24"/>
      <c r="K4048" s="24"/>
      <c r="M4048" s="24"/>
      <c r="N4048" s="24"/>
      <c r="P4048" s="24"/>
    </row>
    <row r="4049" spans="2:16" x14ac:dyDescent="0.25">
      <c r="B4049" s="24"/>
      <c r="E4049" s="24"/>
      <c r="G4049" s="24"/>
      <c r="H4049" s="24"/>
      <c r="J4049" s="24"/>
      <c r="K4049" s="24"/>
      <c r="M4049" s="24"/>
      <c r="N4049" s="24"/>
      <c r="P4049" s="24"/>
    </row>
    <row r="4050" spans="2:16" x14ac:dyDescent="0.25">
      <c r="B4050" s="24"/>
      <c r="E4050" s="24"/>
      <c r="G4050" s="24"/>
      <c r="H4050" s="24"/>
      <c r="J4050" s="24"/>
      <c r="K4050" s="24"/>
      <c r="M4050" s="24"/>
      <c r="N4050" s="24"/>
      <c r="P4050" s="24"/>
    </row>
    <row r="4051" spans="2:16" x14ac:dyDescent="0.25">
      <c r="B4051" s="24"/>
      <c r="E4051" s="24"/>
      <c r="G4051" s="24"/>
      <c r="H4051" s="24"/>
      <c r="J4051" s="24"/>
      <c r="K4051" s="24"/>
      <c r="M4051" s="24"/>
      <c r="N4051" s="24"/>
      <c r="P4051" s="24"/>
    </row>
    <row r="4052" spans="2:16" x14ac:dyDescent="0.25">
      <c r="B4052" s="24"/>
      <c r="E4052" s="24"/>
      <c r="G4052" s="24"/>
      <c r="H4052" s="24"/>
      <c r="J4052" s="24"/>
      <c r="K4052" s="24"/>
      <c r="M4052" s="24"/>
      <c r="N4052" s="24"/>
      <c r="P4052" s="24"/>
    </row>
    <row r="4053" spans="2:16" x14ac:dyDescent="0.25">
      <c r="B4053" s="24"/>
      <c r="E4053" s="24"/>
      <c r="G4053" s="24"/>
      <c r="H4053" s="24"/>
      <c r="J4053" s="24"/>
      <c r="K4053" s="24"/>
      <c r="M4053" s="24"/>
      <c r="N4053" s="24"/>
      <c r="P4053" s="24"/>
    </row>
    <row r="4054" spans="2:16" x14ac:dyDescent="0.25">
      <c r="B4054" s="24"/>
      <c r="E4054" s="24"/>
      <c r="G4054" s="24"/>
      <c r="H4054" s="24"/>
      <c r="J4054" s="24"/>
      <c r="K4054" s="24"/>
      <c r="M4054" s="24"/>
      <c r="N4054" s="24"/>
      <c r="P4054" s="24"/>
    </row>
    <row r="4055" spans="2:16" x14ac:dyDescent="0.25">
      <c r="B4055" s="24"/>
      <c r="E4055" s="24"/>
      <c r="G4055" s="24"/>
      <c r="H4055" s="24"/>
      <c r="J4055" s="24"/>
      <c r="K4055" s="24"/>
      <c r="M4055" s="24"/>
      <c r="N4055" s="24"/>
      <c r="P4055" s="24"/>
    </row>
    <row r="4056" spans="2:16" x14ac:dyDescent="0.25">
      <c r="B4056" s="24"/>
      <c r="E4056" s="24"/>
      <c r="G4056" s="24"/>
      <c r="H4056" s="24"/>
      <c r="J4056" s="24"/>
      <c r="K4056" s="24"/>
      <c r="M4056" s="24"/>
      <c r="N4056" s="24"/>
      <c r="P4056" s="24"/>
    </row>
    <row r="4057" spans="2:16" x14ac:dyDescent="0.25">
      <c r="B4057" s="24"/>
      <c r="E4057" s="24"/>
      <c r="G4057" s="24"/>
      <c r="H4057" s="24"/>
      <c r="J4057" s="24"/>
      <c r="K4057" s="24"/>
      <c r="M4057" s="24"/>
      <c r="N4057" s="24"/>
      <c r="P4057" s="24"/>
    </row>
    <row r="4058" spans="2:16" x14ac:dyDescent="0.25">
      <c r="B4058" s="24"/>
      <c r="E4058" s="24"/>
      <c r="G4058" s="24"/>
      <c r="H4058" s="24"/>
      <c r="J4058" s="24"/>
      <c r="K4058" s="24"/>
      <c r="M4058" s="24"/>
      <c r="N4058" s="24"/>
      <c r="P4058" s="24"/>
    </row>
    <row r="4059" spans="2:16" x14ac:dyDescent="0.25">
      <c r="B4059" s="24"/>
      <c r="E4059" s="24"/>
      <c r="G4059" s="24"/>
      <c r="H4059" s="24"/>
      <c r="J4059" s="24"/>
      <c r="K4059" s="24"/>
      <c r="M4059" s="24"/>
      <c r="N4059" s="24"/>
      <c r="P4059" s="24"/>
    </row>
    <row r="4060" spans="2:16" x14ac:dyDescent="0.25">
      <c r="B4060" s="24"/>
      <c r="E4060" s="24"/>
      <c r="G4060" s="24"/>
      <c r="H4060" s="24"/>
      <c r="J4060" s="24"/>
      <c r="K4060" s="24"/>
      <c r="M4060" s="24"/>
      <c r="N4060" s="24"/>
      <c r="P4060" s="24"/>
    </row>
    <row r="4061" spans="2:16" x14ac:dyDescent="0.25">
      <c r="B4061" s="24"/>
      <c r="E4061" s="24"/>
      <c r="G4061" s="24"/>
      <c r="H4061" s="24"/>
      <c r="J4061" s="24"/>
      <c r="K4061" s="24"/>
      <c r="M4061" s="24"/>
      <c r="N4061" s="24"/>
      <c r="P4061" s="24"/>
    </row>
    <row r="4062" spans="2:16" x14ac:dyDescent="0.25">
      <c r="B4062" s="24"/>
      <c r="E4062" s="24"/>
      <c r="G4062" s="24"/>
      <c r="H4062" s="24"/>
      <c r="J4062" s="24"/>
      <c r="K4062" s="24"/>
      <c r="M4062" s="24"/>
      <c r="N4062" s="24"/>
      <c r="P4062" s="24"/>
    </row>
    <row r="4063" spans="2:16" x14ac:dyDescent="0.25">
      <c r="B4063" s="24"/>
      <c r="E4063" s="24"/>
      <c r="G4063" s="24"/>
      <c r="H4063" s="24"/>
      <c r="J4063" s="24"/>
      <c r="K4063" s="24"/>
      <c r="M4063" s="24"/>
      <c r="N4063" s="24"/>
      <c r="P4063" s="24"/>
    </row>
    <row r="4064" spans="2:16" x14ac:dyDescent="0.25">
      <c r="B4064" s="24"/>
      <c r="E4064" s="24"/>
      <c r="G4064" s="24"/>
      <c r="H4064" s="24"/>
      <c r="J4064" s="24"/>
      <c r="K4064" s="24"/>
      <c r="M4064" s="24"/>
      <c r="N4064" s="24"/>
      <c r="P4064" s="24"/>
    </row>
    <row r="4065" spans="2:16" x14ac:dyDescent="0.25">
      <c r="B4065" s="24"/>
      <c r="E4065" s="24"/>
      <c r="G4065" s="24"/>
      <c r="H4065" s="24"/>
      <c r="J4065" s="24"/>
      <c r="K4065" s="24"/>
      <c r="M4065" s="24"/>
      <c r="N4065" s="24"/>
      <c r="P4065" s="24"/>
    </row>
    <row r="4066" spans="2:16" x14ac:dyDescent="0.25">
      <c r="B4066" s="24"/>
      <c r="E4066" s="24"/>
      <c r="G4066" s="24"/>
      <c r="H4066" s="24"/>
      <c r="J4066" s="24"/>
      <c r="K4066" s="24"/>
      <c r="M4066" s="24"/>
      <c r="N4066" s="24"/>
      <c r="P4066" s="24"/>
    </row>
    <row r="4067" spans="2:16" x14ac:dyDescent="0.25">
      <c r="B4067" s="24"/>
      <c r="E4067" s="24"/>
      <c r="G4067" s="24"/>
      <c r="H4067" s="24"/>
      <c r="J4067" s="24"/>
      <c r="K4067" s="24"/>
      <c r="M4067" s="24"/>
      <c r="N4067" s="24"/>
      <c r="P4067" s="24"/>
    </row>
    <row r="4068" spans="2:16" x14ac:dyDescent="0.25">
      <c r="B4068" s="24"/>
      <c r="E4068" s="24"/>
      <c r="G4068" s="24"/>
      <c r="H4068" s="24"/>
      <c r="J4068" s="24"/>
      <c r="K4068" s="24"/>
      <c r="M4068" s="24"/>
      <c r="N4068" s="24"/>
      <c r="P4068" s="24"/>
    </row>
    <row r="4069" spans="2:16" x14ac:dyDescent="0.25">
      <c r="B4069" s="24"/>
      <c r="E4069" s="24"/>
      <c r="G4069" s="24"/>
      <c r="H4069" s="24"/>
      <c r="J4069" s="24"/>
      <c r="K4069" s="24"/>
      <c r="M4069" s="24"/>
      <c r="N4069" s="24"/>
      <c r="P4069" s="24"/>
    </row>
    <row r="4070" spans="2:16" x14ac:dyDescent="0.25">
      <c r="B4070" s="24"/>
      <c r="E4070" s="24"/>
      <c r="G4070" s="24"/>
      <c r="H4070" s="24"/>
      <c r="J4070" s="24"/>
      <c r="K4070" s="24"/>
      <c r="M4070" s="24"/>
      <c r="N4070" s="24"/>
      <c r="P4070" s="24"/>
    </row>
    <row r="4071" spans="2:16" x14ac:dyDescent="0.25">
      <c r="B4071" s="24"/>
      <c r="E4071" s="24"/>
      <c r="G4071" s="24"/>
      <c r="H4071" s="24"/>
      <c r="J4071" s="24"/>
      <c r="K4071" s="24"/>
      <c r="M4071" s="24"/>
      <c r="N4071" s="24"/>
      <c r="P4071" s="24"/>
    </row>
    <row r="4072" spans="2:16" x14ac:dyDescent="0.25">
      <c r="B4072" s="24"/>
      <c r="E4072" s="24"/>
      <c r="G4072" s="24"/>
      <c r="H4072" s="24"/>
      <c r="J4072" s="24"/>
      <c r="K4072" s="24"/>
      <c r="M4072" s="24"/>
      <c r="N4072" s="24"/>
      <c r="P4072" s="24"/>
    </row>
    <row r="4073" spans="2:16" x14ac:dyDescent="0.25">
      <c r="B4073" s="24"/>
      <c r="E4073" s="24"/>
      <c r="G4073" s="24"/>
      <c r="H4073" s="24"/>
      <c r="J4073" s="24"/>
      <c r="K4073" s="24"/>
      <c r="M4073" s="24"/>
      <c r="N4073" s="24"/>
      <c r="P4073" s="24"/>
    </row>
    <row r="4074" spans="2:16" x14ac:dyDescent="0.25">
      <c r="B4074" s="24"/>
      <c r="E4074" s="24"/>
      <c r="G4074" s="24"/>
      <c r="H4074" s="24"/>
      <c r="J4074" s="24"/>
      <c r="K4074" s="24"/>
      <c r="M4074" s="24"/>
      <c r="N4074" s="24"/>
      <c r="P4074" s="24"/>
    </row>
    <row r="4075" spans="2:16" x14ac:dyDescent="0.25">
      <c r="B4075" s="24"/>
      <c r="E4075" s="24"/>
      <c r="G4075" s="24"/>
      <c r="H4075" s="24"/>
      <c r="J4075" s="24"/>
      <c r="K4075" s="24"/>
      <c r="M4075" s="24"/>
      <c r="N4075" s="24"/>
      <c r="P4075" s="24"/>
    </row>
    <row r="4076" spans="2:16" x14ac:dyDescent="0.25">
      <c r="B4076" s="24"/>
      <c r="E4076" s="24"/>
      <c r="G4076" s="24"/>
      <c r="H4076" s="24"/>
      <c r="J4076" s="24"/>
      <c r="K4076" s="24"/>
      <c r="M4076" s="24"/>
      <c r="N4076" s="24"/>
      <c r="P4076" s="24"/>
    </row>
    <row r="4077" spans="2:16" x14ac:dyDescent="0.25">
      <c r="B4077" s="24"/>
      <c r="E4077" s="24"/>
      <c r="G4077" s="24"/>
      <c r="H4077" s="24"/>
      <c r="J4077" s="24"/>
      <c r="K4077" s="24"/>
      <c r="M4077" s="24"/>
      <c r="N4077" s="24"/>
      <c r="P4077" s="24"/>
    </row>
    <row r="4078" spans="2:16" x14ac:dyDescent="0.25">
      <c r="B4078" s="24"/>
      <c r="E4078" s="24"/>
      <c r="G4078" s="24"/>
      <c r="H4078" s="24"/>
      <c r="J4078" s="24"/>
      <c r="K4078" s="24"/>
      <c r="M4078" s="24"/>
      <c r="N4078" s="24"/>
      <c r="P4078" s="24"/>
    </row>
    <row r="4079" spans="2:16" x14ac:dyDescent="0.25">
      <c r="B4079" s="24"/>
      <c r="E4079" s="24"/>
      <c r="G4079" s="24"/>
      <c r="H4079" s="24"/>
      <c r="J4079" s="24"/>
      <c r="K4079" s="24"/>
      <c r="M4079" s="24"/>
      <c r="N4079" s="24"/>
      <c r="P4079" s="24"/>
    </row>
    <row r="4080" spans="2:16" x14ac:dyDescent="0.25">
      <c r="B4080" s="24"/>
      <c r="E4080" s="24"/>
      <c r="G4080" s="24"/>
      <c r="H4080" s="24"/>
      <c r="J4080" s="24"/>
      <c r="K4080" s="24"/>
      <c r="M4080" s="24"/>
      <c r="N4080" s="24"/>
      <c r="P4080" s="24"/>
    </row>
    <row r="4081" spans="2:16" x14ac:dyDescent="0.25">
      <c r="B4081" s="24"/>
      <c r="E4081" s="24"/>
      <c r="G4081" s="24"/>
      <c r="H4081" s="24"/>
      <c r="J4081" s="24"/>
      <c r="K4081" s="24"/>
      <c r="M4081" s="24"/>
      <c r="N4081" s="24"/>
      <c r="P4081" s="24"/>
    </row>
    <row r="4082" spans="2:16" x14ac:dyDescent="0.25">
      <c r="B4082" s="24"/>
      <c r="E4082" s="24"/>
      <c r="G4082" s="24"/>
      <c r="H4082" s="24"/>
      <c r="J4082" s="24"/>
      <c r="K4082" s="24"/>
      <c r="M4082" s="24"/>
      <c r="N4082" s="24"/>
      <c r="P4082" s="24"/>
    </row>
    <row r="4083" spans="2:16" x14ac:dyDescent="0.25">
      <c r="B4083" s="24"/>
      <c r="E4083" s="24"/>
      <c r="G4083" s="24"/>
      <c r="H4083" s="24"/>
      <c r="J4083" s="24"/>
      <c r="K4083" s="24"/>
      <c r="M4083" s="24"/>
      <c r="N4083" s="24"/>
      <c r="P4083" s="24"/>
    </row>
    <row r="4084" spans="2:16" x14ac:dyDescent="0.25">
      <c r="B4084" s="24"/>
      <c r="E4084" s="24"/>
      <c r="G4084" s="24"/>
      <c r="H4084" s="24"/>
      <c r="J4084" s="24"/>
      <c r="K4084" s="24"/>
      <c r="M4084" s="24"/>
      <c r="N4084" s="24"/>
      <c r="P4084" s="24"/>
    </row>
    <row r="4085" spans="2:16" x14ac:dyDescent="0.25">
      <c r="B4085" s="24"/>
      <c r="E4085" s="24"/>
      <c r="G4085" s="24"/>
      <c r="H4085" s="24"/>
      <c r="J4085" s="24"/>
      <c r="K4085" s="24"/>
      <c r="M4085" s="24"/>
      <c r="N4085" s="24"/>
      <c r="P4085" s="24"/>
    </row>
    <row r="4086" spans="2:16" x14ac:dyDescent="0.25">
      <c r="B4086" s="24"/>
      <c r="E4086" s="24"/>
      <c r="G4086" s="24"/>
      <c r="H4086" s="24"/>
      <c r="J4086" s="24"/>
      <c r="K4086" s="24"/>
      <c r="M4086" s="24"/>
      <c r="N4086" s="24"/>
      <c r="P4086" s="24"/>
    </row>
    <row r="4087" spans="2:16" x14ac:dyDescent="0.25">
      <c r="B4087" s="24"/>
      <c r="E4087" s="24"/>
      <c r="G4087" s="24"/>
      <c r="H4087" s="24"/>
      <c r="J4087" s="24"/>
      <c r="K4087" s="24"/>
      <c r="M4087" s="24"/>
      <c r="N4087" s="24"/>
      <c r="P4087" s="24"/>
    </row>
    <row r="4088" spans="2:16" x14ac:dyDescent="0.25">
      <c r="B4088" s="24"/>
      <c r="E4088" s="24"/>
      <c r="G4088" s="24"/>
      <c r="H4088" s="24"/>
      <c r="J4088" s="24"/>
      <c r="K4088" s="24"/>
      <c r="M4088" s="24"/>
      <c r="N4088" s="24"/>
      <c r="P4088" s="24"/>
    </row>
    <row r="4089" spans="2:16" x14ac:dyDescent="0.25">
      <c r="B4089" s="24"/>
      <c r="E4089" s="24"/>
      <c r="G4089" s="24"/>
      <c r="H4089" s="24"/>
      <c r="J4089" s="24"/>
      <c r="K4089" s="24"/>
      <c r="M4089" s="24"/>
      <c r="N4089" s="24"/>
      <c r="P4089" s="24"/>
    </row>
    <row r="4090" spans="2:16" x14ac:dyDescent="0.25">
      <c r="B4090" s="24"/>
      <c r="E4090" s="24"/>
      <c r="G4090" s="24"/>
      <c r="H4090" s="24"/>
      <c r="J4090" s="24"/>
      <c r="K4090" s="24"/>
      <c r="M4090" s="24"/>
      <c r="N4090" s="24"/>
      <c r="P4090" s="24"/>
    </row>
    <row r="4091" spans="2:16" x14ac:dyDescent="0.25">
      <c r="B4091" s="24"/>
      <c r="E4091" s="24"/>
      <c r="G4091" s="24"/>
      <c r="H4091" s="24"/>
      <c r="J4091" s="24"/>
      <c r="K4091" s="24"/>
      <c r="M4091" s="24"/>
      <c r="N4091" s="24"/>
      <c r="P4091" s="24"/>
    </row>
    <row r="4092" spans="2:16" x14ac:dyDescent="0.25">
      <c r="B4092" s="24"/>
      <c r="E4092" s="24"/>
      <c r="G4092" s="24"/>
      <c r="H4092" s="24"/>
      <c r="J4092" s="24"/>
      <c r="K4092" s="24"/>
      <c r="M4092" s="24"/>
      <c r="N4092" s="24"/>
      <c r="P4092" s="24"/>
    </row>
    <row r="4093" spans="2:16" x14ac:dyDescent="0.25">
      <c r="B4093" s="24"/>
      <c r="E4093" s="24"/>
      <c r="G4093" s="24"/>
      <c r="H4093" s="24"/>
      <c r="J4093" s="24"/>
      <c r="K4093" s="24"/>
      <c r="M4093" s="24"/>
      <c r="N4093" s="24"/>
      <c r="P4093" s="24"/>
    </row>
    <row r="4094" spans="2:16" x14ac:dyDescent="0.25">
      <c r="B4094" s="24"/>
      <c r="E4094" s="24"/>
      <c r="G4094" s="24"/>
      <c r="H4094" s="24"/>
      <c r="J4094" s="24"/>
      <c r="K4094" s="24"/>
      <c r="M4094" s="24"/>
      <c r="N4094" s="24"/>
      <c r="P4094" s="24"/>
    </row>
    <row r="4095" spans="2:16" x14ac:dyDescent="0.25">
      <c r="B4095" s="24"/>
      <c r="E4095" s="24"/>
      <c r="G4095" s="24"/>
      <c r="H4095" s="24"/>
      <c r="J4095" s="24"/>
      <c r="K4095" s="24"/>
      <c r="M4095" s="24"/>
      <c r="N4095" s="24"/>
      <c r="P4095" s="24"/>
    </row>
    <row r="4096" spans="2:16" x14ac:dyDescent="0.25">
      <c r="B4096" s="24"/>
      <c r="E4096" s="24"/>
      <c r="G4096" s="24"/>
      <c r="H4096" s="24"/>
      <c r="J4096" s="24"/>
      <c r="K4096" s="24"/>
      <c r="M4096" s="24"/>
      <c r="N4096" s="24"/>
      <c r="P4096" s="24"/>
    </row>
    <row r="4097" spans="2:16" x14ac:dyDescent="0.25">
      <c r="B4097" s="24"/>
      <c r="E4097" s="24"/>
      <c r="G4097" s="24"/>
      <c r="H4097" s="24"/>
      <c r="J4097" s="24"/>
      <c r="K4097" s="24"/>
      <c r="M4097" s="24"/>
      <c r="N4097" s="24"/>
      <c r="P4097" s="24"/>
    </row>
    <row r="4098" spans="2:16" x14ac:dyDescent="0.25">
      <c r="B4098" s="24"/>
      <c r="E4098" s="24"/>
      <c r="G4098" s="24"/>
      <c r="H4098" s="24"/>
      <c r="J4098" s="24"/>
      <c r="K4098" s="24"/>
      <c r="M4098" s="24"/>
      <c r="N4098" s="24"/>
      <c r="P4098" s="24"/>
    </row>
    <row r="4099" spans="2:16" x14ac:dyDescent="0.25">
      <c r="B4099" s="24"/>
      <c r="E4099" s="24"/>
      <c r="G4099" s="24"/>
      <c r="H4099" s="24"/>
      <c r="J4099" s="24"/>
      <c r="K4099" s="24"/>
      <c r="M4099" s="24"/>
      <c r="N4099" s="24"/>
      <c r="P4099" s="24"/>
    </row>
    <row r="4100" spans="2:16" x14ac:dyDescent="0.25">
      <c r="B4100" s="24"/>
      <c r="E4100" s="24"/>
      <c r="G4100" s="24"/>
      <c r="H4100" s="24"/>
      <c r="J4100" s="24"/>
      <c r="K4100" s="24"/>
      <c r="M4100" s="24"/>
      <c r="N4100" s="24"/>
      <c r="P4100" s="24"/>
    </row>
    <row r="4101" spans="2:16" x14ac:dyDescent="0.25">
      <c r="B4101" s="24"/>
      <c r="E4101" s="24"/>
      <c r="G4101" s="24"/>
      <c r="H4101" s="24"/>
      <c r="J4101" s="24"/>
      <c r="K4101" s="24"/>
      <c r="M4101" s="24"/>
      <c r="N4101" s="24"/>
      <c r="P4101" s="24"/>
    </row>
    <row r="4102" spans="2:16" x14ac:dyDescent="0.25">
      <c r="B4102" s="24"/>
      <c r="E4102" s="24"/>
      <c r="G4102" s="24"/>
      <c r="H4102" s="24"/>
      <c r="J4102" s="24"/>
      <c r="K4102" s="24"/>
      <c r="M4102" s="24"/>
      <c r="N4102" s="24"/>
      <c r="P4102" s="24"/>
    </row>
    <row r="4103" spans="2:16" x14ac:dyDescent="0.25">
      <c r="B4103" s="24"/>
      <c r="E4103" s="24"/>
      <c r="G4103" s="24"/>
      <c r="H4103" s="24"/>
      <c r="J4103" s="24"/>
      <c r="K4103" s="24"/>
      <c r="M4103" s="24"/>
      <c r="N4103" s="24"/>
      <c r="P4103" s="24"/>
    </row>
    <row r="4104" spans="2:16" x14ac:dyDescent="0.25">
      <c r="B4104" s="24"/>
      <c r="E4104" s="24"/>
      <c r="G4104" s="24"/>
      <c r="H4104" s="24"/>
      <c r="J4104" s="24"/>
      <c r="K4104" s="24"/>
      <c r="M4104" s="24"/>
      <c r="N4104" s="24"/>
      <c r="P4104" s="24"/>
    </row>
    <row r="4105" spans="2:16" x14ac:dyDescent="0.25">
      <c r="B4105" s="24"/>
      <c r="E4105" s="24"/>
      <c r="G4105" s="24"/>
      <c r="H4105" s="24"/>
      <c r="J4105" s="24"/>
      <c r="K4105" s="24"/>
      <c r="M4105" s="24"/>
      <c r="N4105" s="24"/>
      <c r="P4105" s="24"/>
    </row>
    <row r="4106" spans="2:16" x14ac:dyDescent="0.25">
      <c r="B4106" s="24"/>
      <c r="E4106" s="24"/>
      <c r="G4106" s="24"/>
      <c r="H4106" s="24"/>
      <c r="J4106" s="24"/>
      <c r="K4106" s="24"/>
      <c r="M4106" s="24"/>
      <c r="N4106" s="24"/>
      <c r="P4106" s="24"/>
    </row>
    <row r="4107" spans="2:16" x14ac:dyDescent="0.25">
      <c r="B4107" s="24"/>
      <c r="E4107" s="24"/>
      <c r="G4107" s="24"/>
      <c r="H4107" s="24"/>
      <c r="J4107" s="24"/>
      <c r="K4107" s="24"/>
      <c r="M4107" s="24"/>
      <c r="N4107" s="24"/>
      <c r="P4107" s="24"/>
    </row>
    <row r="4108" spans="2:16" x14ac:dyDescent="0.25">
      <c r="B4108" s="24"/>
      <c r="E4108" s="24"/>
      <c r="G4108" s="24"/>
      <c r="H4108" s="24"/>
      <c r="J4108" s="24"/>
      <c r="K4108" s="24"/>
      <c r="M4108" s="24"/>
      <c r="N4108" s="24"/>
      <c r="P4108" s="24"/>
    </row>
    <row r="4109" spans="2:16" x14ac:dyDescent="0.25">
      <c r="B4109" s="24"/>
      <c r="E4109" s="24"/>
      <c r="G4109" s="24"/>
      <c r="H4109" s="24"/>
      <c r="J4109" s="24"/>
      <c r="K4109" s="24"/>
      <c r="M4109" s="24"/>
      <c r="N4109" s="24"/>
      <c r="P4109" s="24"/>
    </row>
    <row r="4110" spans="2:16" x14ac:dyDescent="0.25">
      <c r="B4110" s="24"/>
      <c r="E4110" s="24"/>
      <c r="G4110" s="24"/>
      <c r="H4110" s="24"/>
      <c r="J4110" s="24"/>
      <c r="K4110" s="24"/>
      <c r="M4110" s="24"/>
      <c r="N4110" s="24"/>
      <c r="P4110" s="24"/>
    </row>
    <row r="4111" spans="2:16" x14ac:dyDescent="0.25">
      <c r="B4111" s="24"/>
      <c r="E4111" s="24"/>
      <c r="G4111" s="24"/>
      <c r="H4111" s="24"/>
      <c r="J4111" s="24"/>
      <c r="K4111" s="24"/>
      <c r="M4111" s="24"/>
      <c r="N4111" s="24"/>
      <c r="P4111" s="24"/>
    </row>
    <row r="4112" spans="2:16" x14ac:dyDescent="0.25">
      <c r="B4112" s="24"/>
      <c r="E4112" s="24"/>
      <c r="G4112" s="24"/>
      <c r="H4112" s="24"/>
      <c r="J4112" s="24"/>
      <c r="K4112" s="24"/>
      <c r="M4112" s="24"/>
      <c r="N4112" s="24"/>
      <c r="P4112" s="24"/>
    </row>
    <row r="4113" spans="2:16" x14ac:dyDescent="0.25">
      <c r="B4113" s="24"/>
      <c r="E4113" s="24"/>
      <c r="G4113" s="24"/>
      <c r="H4113" s="24"/>
      <c r="J4113" s="24"/>
      <c r="K4113" s="24"/>
      <c r="M4113" s="24"/>
      <c r="N4113" s="24"/>
      <c r="P4113" s="24"/>
    </row>
    <row r="4114" spans="2:16" x14ac:dyDescent="0.25">
      <c r="B4114" s="24"/>
      <c r="E4114" s="24"/>
      <c r="G4114" s="24"/>
      <c r="H4114" s="24"/>
      <c r="J4114" s="24"/>
      <c r="K4114" s="24"/>
      <c r="M4114" s="24"/>
      <c r="N4114" s="24"/>
      <c r="P4114" s="24"/>
    </row>
    <row r="4115" spans="2:16" x14ac:dyDescent="0.25">
      <c r="B4115" s="24"/>
      <c r="E4115" s="24"/>
      <c r="G4115" s="24"/>
      <c r="H4115" s="24"/>
      <c r="J4115" s="24"/>
      <c r="K4115" s="24"/>
      <c r="M4115" s="24"/>
      <c r="N4115" s="24"/>
      <c r="P4115" s="24"/>
    </row>
    <row r="4116" spans="2:16" x14ac:dyDescent="0.25">
      <c r="B4116" s="24"/>
      <c r="E4116" s="24"/>
      <c r="G4116" s="24"/>
      <c r="H4116" s="24"/>
      <c r="J4116" s="24"/>
      <c r="K4116" s="24"/>
      <c r="M4116" s="24"/>
      <c r="N4116" s="24"/>
      <c r="P4116" s="24"/>
    </row>
    <row r="4117" spans="2:16" x14ac:dyDescent="0.25">
      <c r="B4117" s="24"/>
      <c r="E4117" s="24"/>
      <c r="G4117" s="24"/>
      <c r="H4117" s="24"/>
      <c r="J4117" s="24"/>
      <c r="K4117" s="24"/>
      <c r="M4117" s="24"/>
      <c r="N4117" s="24"/>
      <c r="P4117" s="24"/>
    </row>
    <row r="4118" spans="2:16" x14ac:dyDescent="0.25">
      <c r="B4118" s="24"/>
      <c r="E4118" s="24"/>
      <c r="G4118" s="24"/>
      <c r="H4118" s="24"/>
      <c r="J4118" s="24"/>
      <c r="K4118" s="24"/>
      <c r="M4118" s="24"/>
      <c r="N4118" s="24"/>
      <c r="P4118" s="24"/>
    </row>
    <row r="4119" spans="2:16" x14ac:dyDescent="0.25">
      <c r="B4119" s="24"/>
      <c r="E4119" s="24"/>
      <c r="G4119" s="24"/>
      <c r="H4119" s="24"/>
      <c r="J4119" s="24"/>
      <c r="K4119" s="24"/>
      <c r="M4119" s="24"/>
      <c r="N4119" s="24"/>
      <c r="P4119" s="24"/>
    </row>
    <row r="4120" spans="2:16" x14ac:dyDescent="0.25">
      <c r="B4120" s="24"/>
      <c r="E4120" s="24"/>
      <c r="G4120" s="24"/>
      <c r="H4120" s="24"/>
      <c r="J4120" s="24"/>
      <c r="K4120" s="24"/>
      <c r="M4120" s="24"/>
      <c r="N4120" s="24"/>
      <c r="P4120" s="24"/>
    </row>
    <row r="4121" spans="2:16" x14ac:dyDescent="0.25">
      <c r="B4121" s="24"/>
      <c r="E4121" s="24"/>
      <c r="G4121" s="24"/>
      <c r="H4121" s="24"/>
      <c r="J4121" s="24"/>
      <c r="K4121" s="24"/>
      <c r="M4121" s="24"/>
      <c r="N4121" s="24"/>
      <c r="P4121" s="24"/>
    </row>
    <row r="4122" spans="2:16" x14ac:dyDescent="0.25">
      <c r="B4122" s="24"/>
      <c r="E4122" s="24"/>
      <c r="G4122" s="24"/>
      <c r="H4122" s="24"/>
      <c r="J4122" s="24"/>
      <c r="K4122" s="24"/>
      <c r="M4122" s="24"/>
      <c r="N4122" s="24"/>
      <c r="P4122" s="24"/>
    </row>
    <row r="4123" spans="2:16" x14ac:dyDescent="0.25">
      <c r="B4123" s="24"/>
      <c r="E4123" s="24"/>
      <c r="G4123" s="24"/>
      <c r="H4123" s="24"/>
      <c r="J4123" s="24"/>
      <c r="K4123" s="24"/>
      <c r="M4123" s="24"/>
      <c r="N4123" s="24"/>
      <c r="P4123" s="24"/>
    </row>
    <row r="4124" spans="2:16" x14ac:dyDescent="0.25">
      <c r="B4124" s="24"/>
      <c r="E4124" s="24"/>
      <c r="G4124" s="24"/>
      <c r="H4124" s="24"/>
      <c r="J4124" s="24"/>
      <c r="K4124" s="24"/>
      <c r="M4124" s="24"/>
      <c r="N4124" s="24"/>
      <c r="P4124" s="24"/>
    </row>
    <row r="4125" spans="2:16" x14ac:dyDescent="0.25">
      <c r="B4125" s="24"/>
      <c r="E4125" s="24"/>
      <c r="G4125" s="24"/>
      <c r="H4125" s="24"/>
      <c r="J4125" s="24"/>
      <c r="K4125" s="24"/>
      <c r="M4125" s="24"/>
      <c r="N4125" s="24"/>
      <c r="P4125" s="24"/>
    </row>
    <row r="4126" spans="2:16" x14ac:dyDescent="0.25">
      <c r="B4126" s="24"/>
      <c r="E4126" s="24"/>
      <c r="G4126" s="24"/>
      <c r="H4126" s="24"/>
      <c r="J4126" s="24"/>
      <c r="K4126" s="24"/>
      <c r="M4126" s="24"/>
      <c r="N4126" s="24"/>
      <c r="P4126" s="24"/>
    </row>
    <row r="4127" spans="2:16" x14ac:dyDescent="0.25">
      <c r="B4127" s="24"/>
      <c r="E4127" s="24"/>
      <c r="G4127" s="24"/>
      <c r="H4127" s="24"/>
      <c r="J4127" s="24"/>
      <c r="K4127" s="24"/>
      <c r="M4127" s="24"/>
      <c r="N4127" s="24"/>
      <c r="P4127" s="24"/>
    </row>
    <row r="4128" spans="2:16" x14ac:dyDescent="0.25">
      <c r="B4128" s="24"/>
      <c r="E4128" s="24"/>
      <c r="G4128" s="24"/>
      <c r="H4128" s="24"/>
      <c r="J4128" s="24"/>
      <c r="K4128" s="24"/>
      <c r="M4128" s="24"/>
      <c r="N4128" s="24"/>
      <c r="P4128" s="24"/>
    </row>
    <row r="4129" spans="2:16" x14ac:dyDescent="0.25">
      <c r="B4129" s="24"/>
      <c r="E4129" s="24"/>
      <c r="G4129" s="24"/>
      <c r="H4129" s="24"/>
      <c r="J4129" s="24"/>
      <c r="K4129" s="24"/>
      <c r="M4129" s="24"/>
      <c r="N4129" s="24"/>
      <c r="P4129" s="24"/>
    </row>
    <row r="4130" spans="2:16" x14ac:dyDescent="0.25">
      <c r="B4130" s="24"/>
      <c r="E4130" s="24"/>
      <c r="G4130" s="24"/>
      <c r="H4130" s="24"/>
      <c r="J4130" s="24"/>
      <c r="K4130" s="24"/>
      <c r="M4130" s="24"/>
      <c r="N4130" s="24"/>
      <c r="P4130" s="24"/>
    </row>
    <row r="4131" spans="2:16" x14ac:dyDescent="0.25">
      <c r="B4131" s="24"/>
      <c r="E4131" s="24"/>
      <c r="G4131" s="24"/>
      <c r="H4131" s="24"/>
      <c r="J4131" s="24"/>
      <c r="K4131" s="24"/>
      <c r="M4131" s="24"/>
      <c r="N4131" s="24"/>
      <c r="P4131" s="24"/>
    </row>
    <row r="4132" spans="2:16" x14ac:dyDescent="0.25">
      <c r="B4132" s="24"/>
      <c r="E4132" s="24"/>
      <c r="G4132" s="24"/>
      <c r="H4132" s="24"/>
      <c r="J4132" s="24"/>
      <c r="K4132" s="24"/>
      <c r="M4132" s="24"/>
      <c r="N4132" s="24"/>
      <c r="P4132" s="24"/>
    </row>
    <row r="4133" spans="2:16" x14ac:dyDescent="0.25">
      <c r="B4133" s="24"/>
      <c r="E4133" s="24"/>
      <c r="G4133" s="24"/>
      <c r="H4133" s="24"/>
      <c r="J4133" s="24"/>
      <c r="K4133" s="24"/>
      <c r="M4133" s="24"/>
      <c r="N4133" s="24"/>
      <c r="P4133" s="24"/>
    </row>
    <row r="4134" spans="2:16" x14ac:dyDescent="0.25">
      <c r="B4134" s="24"/>
      <c r="E4134" s="24"/>
      <c r="G4134" s="24"/>
      <c r="H4134" s="24"/>
      <c r="J4134" s="24"/>
      <c r="K4134" s="24"/>
      <c r="M4134" s="24"/>
      <c r="N4134" s="24"/>
      <c r="P4134" s="24"/>
    </row>
    <row r="4135" spans="2:16" x14ac:dyDescent="0.25">
      <c r="B4135" s="24"/>
      <c r="E4135" s="24"/>
      <c r="G4135" s="24"/>
      <c r="H4135" s="24"/>
      <c r="J4135" s="24"/>
      <c r="K4135" s="24"/>
      <c r="M4135" s="24"/>
      <c r="N4135" s="24"/>
      <c r="P4135" s="24"/>
    </row>
    <row r="4136" spans="2:16" x14ac:dyDescent="0.25">
      <c r="B4136" s="24"/>
      <c r="E4136" s="24"/>
      <c r="G4136" s="24"/>
      <c r="H4136" s="24"/>
      <c r="J4136" s="24"/>
      <c r="K4136" s="24"/>
      <c r="M4136" s="24"/>
      <c r="N4136" s="24"/>
      <c r="P4136" s="24"/>
    </row>
    <row r="4137" spans="2:16" x14ac:dyDescent="0.25">
      <c r="B4137" s="24"/>
      <c r="E4137" s="24"/>
      <c r="G4137" s="24"/>
      <c r="H4137" s="24"/>
      <c r="J4137" s="24"/>
      <c r="K4137" s="24"/>
      <c r="M4137" s="24"/>
      <c r="N4137" s="24"/>
      <c r="P4137" s="24"/>
    </row>
    <row r="4138" spans="2:16" x14ac:dyDescent="0.25">
      <c r="B4138" s="24"/>
      <c r="E4138" s="24"/>
      <c r="G4138" s="24"/>
      <c r="H4138" s="24"/>
      <c r="J4138" s="24"/>
      <c r="K4138" s="24"/>
      <c r="M4138" s="24"/>
      <c r="N4138" s="24"/>
      <c r="P4138" s="24"/>
    </row>
    <row r="4139" spans="2:16" x14ac:dyDescent="0.25">
      <c r="B4139" s="24"/>
      <c r="E4139" s="24"/>
      <c r="G4139" s="24"/>
      <c r="H4139" s="24"/>
      <c r="J4139" s="24"/>
      <c r="K4139" s="24"/>
      <c r="M4139" s="24"/>
      <c r="N4139" s="24"/>
      <c r="P4139" s="24"/>
    </row>
    <row r="4140" spans="2:16" x14ac:dyDescent="0.25">
      <c r="B4140" s="24"/>
      <c r="E4140" s="24"/>
      <c r="G4140" s="24"/>
      <c r="H4140" s="24"/>
      <c r="J4140" s="24"/>
      <c r="K4140" s="24"/>
      <c r="M4140" s="24"/>
      <c r="N4140" s="24"/>
      <c r="P4140" s="24"/>
    </row>
    <row r="4141" spans="2:16" x14ac:dyDescent="0.25">
      <c r="B4141" s="24"/>
      <c r="E4141" s="24"/>
      <c r="G4141" s="24"/>
      <c r="H4141" s="24"/>
      <c r="J4141" s="24"/>
      <c r="K4141" s="24"/>
      <c r="M4141" s="24"/>
      <c r="N4141" s="24"/>
      <c r="P4141" s="24"/>
    </row>
    <row r="4142" spans="2:16" x14ac:dyDescent="0.25">
      <c r="B4142" s="24"/>
      <c r="E4142" s="24"/>
      <c r="G4142" s="24"/>
      <c r="H4142" s="24"/>
      <c r="J4142" s="24"/>
      <c r="K4142" s="24"/>
      <c r="M4142" s="24"/>
      <c r="N4142" s="24"/>
      <c r="P4142" s="24"/>
    </row>
    <row r="4143" spans="2:16" x14ac:dyDescent="0.25">
      <c r="B4143" s="24"/>
      <c r="E4143" s="24"/>
      <c r="G4143" s="24"/>
      <c r="H4143" s="24"/>
      <c r="J4143" s="24"/>
      <c r="K4143" s="24"/>
      <c r="M4143" s="24"/>
      <c r="N4143" s="24"/>
      <c r="P4143" s="24"/>
    </row>
    <row r="4144" spans="2:16" x14ac:dyDescent="0.25">
      <c r="B4144" s="24"/>
      <c r="E4144" s="24"/>
      <c r="G4144" s="24"/>
      <c r="H4144" s="24"/>
      <c r="J4144" s="24"/>
      <c r="K4144" s="24"/>
      <c r="M4144" s="24"/>
      <c r="N4144" s="24"/>
      <c r="P4144" s="24"/>
    </row>
    <row r="4145" spans="2:16" x14ac:dyDescent="0.25">
      <c r="B4145" s="24"/>
      <c r="E4145" s="24"/>
      <c r="G4145" s="24"/>
      <c r="H4145" s="24"/>
      <c r="J4145" s="24"/>
      <c r="K4145" s="24"/>
      <c r="M4145" s="24"/>
      <c r="N4145" s="24"/>
      <c r="P4145" s="24"/>
    </row>
    <row r="4146" spans="2:16" x14ac:dyDescent="0.25">
      <c r="B4146" s="24"/>
      <c r="E4146" s="24"/>
      <c r="G4146" s="24"/>
      <c r="H4146" s="24"/>
      <c r="J4146" s="24"/>
      <c r="K4146" s="24"/>
      <c r="M4146" s="24"/>
      <c r="N4146" s="24"/>
      <c r="P4146" s="24"/>
    </row>
    <row r="4147" spans="2:16" x14ac:dyDescent="0.25">
      <c r="B4147" s="24"/>
      <c r="E4147" s="24"/>
      <c r="G4147" s="24"/>
      <c r="H4147" s="24"/>
      <c r="J4147" s="24"/>
      <c r="K4147" s="24"/>
      <c r="M4147" s="24"/>
      <c r="N4147" s="24"/>
      <c r="P4147" s="24"/>
    </row>
    <row r="4148" spans="2:16" x14ac:dyDescent="0.25">
      <c r="B4148" s="24"/>
      <c r="E4148" s="24"/>
      <c r="G4148" s="24"/>
      <c r="H4148" s="24"/>
      <c r="J4148" s="24"/>
      <c r="K4148" s="24"/>
      <c r="M4148" s="24"/>
      <c r="N4148" s="24"/>
      <c r="P4148" s="24"/>
    </row>
    <row r="4149" spans="2:16" x14ac:dyDescent="0.25">
      <c r="B4149" s="24"/>
      <c r="E4149" s="24"/>
      <c r="G4149" s="24"/>
      <c r="H4149" s="24"/>
      <c r="J4149" s="24"/>
      <c r="K4149" s="24"/>
      <c r="M4149" s="24"/>
      <c r="N4149" s="24"/>
      <c r="P4149" s="24"/>
    </row>
    <row r="4150" spans="2:16" x14ac:dyDescent="0.25">
      <c r="B4150" s="24"/>
      <c r="E4150" s="24"/>
      <c r="G4150" s="24"/>
      <c r="H4150" s="24"/>
      <c r="J4150" s="24"/>
      <c r="K4150" s="24"/>
      <c r="M4150" s="24"/>
      <c r="N4150" s="24"/>
      <c r="P4150" s="24"/>
    </row>
    <row r="4151" spans="2:16" x14ac:dyDescent="0.25">
      <c r="B4151" s="24"/>
      <c r="E4151" s="24"/>
      <c r="G4151" s="24"/>
      <c r="H4151" s="24"/>
      <c r="J4151" s="24"/>
      <c r="K4151" s="24"/>
      <c r="M4151" s="24"/>
      <c r="N4151" s="24"/>
      <c r="P4151" s="24"/>
    </row>
    <row r="4152" spans="2:16" x14ac:dyDescent="0.25">
      <c r="B4152" s="24"/>
      <c r="E4152" s="24"/>
      <c r="G4152" s="24"/>
      <c r="H4152" s="24"/>
      <c r="J4152" s="24"/>
      <c r="K4152" s="24"/>
      <c r="M4152" s="24"/>
      <c r="N4152" s="24"/>
      <c r="P4152" s="24"/>
    </row>
    <row r="4153" spans="2:16" x14ac:dyDescent="0.25">
      <c r="B4153" s="24"/>
      <c r="E4153" s="24"/>
      <c r="G4153" s="24"/>
      <c r="H4153" s="24"/>
      <c r="J4153" s="24"/>
      <c r="K4153" s="24"/>
      <c r="M4153" s="24"/>
      <c r="N4153" s="24"/>
      <c r="P4153" s="24"/>
    </row>
    <row r="4154" spans="2:16" x14ac:dyDescent="0.25">
      <c r="B4154" s="24"/>
      <c r="E4154" s="24"/>
      <c r="G4154" s="24"/>
      <c r="H4154" s="24"/>
      <c r="J4154" s="24"/>
      <c r="K4154" s="24"/>
      <c r="M4154" s="24"/>
      <c r="N4154" s="24"/>
      <c r="P4154" s="24"/>
    </row>
    <row r="4155" spans="2:16" x14ac:dyDescent="0.25">
      <c r="B4155" s="24"/>
      <c r="E4155" s="24"/>
      <c r="G4155" s="24"/>
      <c r="H4155" s="24"/>
      <c r="J4155" s="24"/>
      <c r="K4155" s="24"/>
      <c r="M4155" s="24"/>
      <c r="N4155" s="24"/>
      <c r="P4155" s="24"/>
    </row>
    <row r="4156" spans="2:16" x14ac:dyDescent="0.25">
      <c r="B4156" s="24"/>
      <c r="E4156" s="24"/>
      <c r="G4156" s="24"/>
      <c r="H4156" s="24"/>
      <c r="J4156" s="24"/>
      <c r="K4156" s="24"/>
      <c r="M4156" s="24"/>
      <c r="N4156" s="24"/>
      <c r="P4156" s="24"/>
    </row>
    <row r="4157" spans="2:16" x14ac:dyDescent="0.25">
      <c r="B4157" s="24"/>
      <c r="E4157" s="24"/>
      <c r="G4157" s="24"/>
      <c r="H4157" s="24"/>
      <c r="J4157" s="24"/>
      <c r="K4157" s="24"/>
      <c r="M4157" s="24"/>
      <c r="N4157" s="24"/>
      <c r="P4157" s="24"/>
    </row>
    <row r="4158" spans="2:16" x14ac:dyDescent="0.25">
      <c r="B4158" s="24"/>
      <c r="E4158" s="24"/>
      <c r="G4158" s="24"/>
      <c r="H4158" s="24"/>
      <c r="J4158" s="24"/>
      <c r="K4158" s="24"/>
      <c r="M4158" s="24"/>
      <c r="N4158" s="24"/>
      <c r="P4158" s="24"/>
    </row>
    <row r="4159" spans="2:16" x14ac:dyDescent="0.25">
      <c r="B4159" s="24"/>
      <c r="E4159" s="24"/>
      <c r="G4159" s="24"/>
      <c r="H4159" s="24"/>
      <c r="J4159" s="24"/>
      <c r="K4159" s="24"/>
      <c r="M4159" s="24"/>
      <c r="N4159" s="24"/>
      <c r="P4159" s="24"/>
    </row>
    <row r="4160" spans="2:16" x14ac:dyDescent="0.25">
      <c r="B4160" s="24"/>
      <c r="E4160" s="24"/>
      <c r="G4160" s="24"/>
      <c r="H4160" s="24"/>
      <c r="J4160" s="24"/>
      <c r="K4160" s="24"/>
      <c r="M4160" s="24"/>
      <c r="N4160" s="24"/>
      <c r="P4160" s="24"/>
    </row>
    <row r="4161" spans="2:16" x14ac:dyDescent="0.25">
      <c r="B4161" s="24"/>
      <c r="E4161" s="24"/>
      <c r="G4161" s="24"/>
      <c r="H4161" s="24"/>
      <c r="J4161" s="24"/>
      <c r="K4161" s="24"/>
      <c r="M4161" s="24"/>
      <c r="N4161" s="24"/>
      <c r="P4161" s="24"/>
    </row>
    <row r="4162" spans="2:16" x14ac:dyDescent="0.25">
      <c r="B4162" s="24"/>
      <c r="E4162" s="24"/>
      <c r="G4162" s="24"/>
      <c r="H4162" s="24"/>
      <c r="J4162" s="24"/>
      <c r="K4162" s="24"/>
      <c r="M4162" s="24"/>
      <c r="N4162" s="24"/>
      <c r="P4162" s="24"/>
    </row>
    <row r="4163" spans="2:16" x14ac:dyDescent="0.25">
      <c r="B4163" s="24"/>
      <c r="E4163" s="24"/>
      <c r="G4163" s="24"/>
      <c r="H4163" s="24"/>
      <c r="J4163" s="24"/>
      <c r="K4163" s="24"/>
      <c r="M4163" s="24"/>
      <c r="N4163" s="24"/>
      <c r="P4163" s="24"/>
    </row>
    <row r="4164" spans="2:16" x14ac:dyDescent="0.25">
      <c r="B4164" s="24"/>
      <c r="E4164" s="24"/>
      <c r="G4164" s="24"/>
      <c r="H4164" s="24"/>
      <c r="J4164" s="24"/>
      <c r="K4164" s="24"/>
      <c r="M4164" s="24"/>
      <c r="N4164" s="24"/>
      <c r="P4164" s="24"/>
    </row>
    <row r="4165" spans="2:16" x14ac:dyDescent="0.25">
      <c r="B4165" s="24"/>
      <c r="E4165" s="24"/>
      <c r="G4165" s="24"/>
      <c r="H4165" s="24"/>
      <c r="J4165" s="24"/>
      <c r="K4165" s="24"/>
      <c r="M4165" s="24"/>
      <c r="N4165" s="24"/>
      <c r="P4165" s="24"/>
    </row>
    <row r="4166" spans="2:16" x14ac:dyDescent="0.25">
      <c r="B4166" s="24"/>
      <c r="E4166" s="24"/>
      <c r="G4166" s="24"/>
      <c r="H4166" s="24"/>
      <c r="J4166" s="24"/>
      <c r="K4166" s="24"/>
      <c r="M4166" s="24"/>
      <c r="N4166" s="24"/>
      <c r="P4166" s="24"/>
    </row>
    <row r="4167" spans="2:16" x14ac:dyDescent="0.25">
      <c r="B4167" s="24"/>
      <c r="E4167" s="24"/>
      <c r="G4167" s="24"/>
      <c r="H4167" s="24"/>
      <c r="J4167" s="24"/>
      <c r="K4167" s="24"/>
      <c r="M4167" s="24"/>
      <c r="N4167" s="24"/>
      <c r="P4167" s="24"/>
    </row>
    <row r="4168" spans="2:16" x14ac:dyDescent="0.25">
      <c r="B4168" s="24"/>
      <c r="E4168" s="24"/>
      <c r="G4168" s="24"/>
      <c r="H4168" s="24"/>
      <c r="J4168" s="24"/>
      <c r="K4168" s="24"/>
      <c r="M4168" s="24"/>
      <c r="N4168" s="24"/>
      <c r="P4168" s="24"/>
    </row>
    <row r="4169" spans="2:16" x14ac:dyDescent="0.25">
      <c r="B4169" s="24"/>
      <c r="E4169" s="24"/>
      <c r="G4169" s="24"/>
      <c r="H4169" s="24"/>
      <c r="J4169" s="24"/>
      <c r="K4169" s="24"/>
      <c r="M4169" s="24"/>
      <c r="N4169" s="24"/>
      <c r="P4169" s="24"/>
    </row>
    <row r="4170" spans="2:16" x14ac:dyDescent="0.25">
      <c r="B4170" s="24"/>
      <c r="E4170" s="24"/>
      <c r="G4170" s="24"/>
      <c r="H4170" s="24"/>
      <c r="J4170" s="24"/>
      <c r="K4170" s="24"/>
      <c r="M4170" s="24"/>
      <c r="N4170" s="24"/>
      <c r="P4170" s="24"/>
    </row>
    <row r="4171" spans="2:16" x14ac:dyDescent="0.25">
      <c r="B4171" s="24"/>
      <c r="E4171" s="24"/>
      <c r="G4171" s="24"/>
      <c r="H4171" s="24"/>
      <c r="J4171" s="24"/>
      <c r="K4171" s="24"/>
      <c r="M4171" s="24"/>
      <c r="N4171" s="24"/>
      <c r="P4171" s="24"/>
    </row>
    <row r="4172" spans="2:16" x14ac:dyDescent="0.25">
      <c r="B4172" s="24"/>
      <c r="E4172" s="24"/>
      <c r="G4172" s="24"/>
      <c r="H4172" s="24"/>
      <c r="J4172" s="24"/>
      <c r="K4172" s="24"/>
      <c r="M4172" s="24"/>
      <c r="N4172" s="24"/>
      <c r="P4172" s="24"/>
    </row>
    <row r="4173" spans="2:16" x14ac:dyDescent="0.25">
      <c r="B4173" s="24"/>
      <c r="E4173" s="24"/>
      <c r="G4173" s="24"/>
      <c r="H4173" s="24"/>
      <c r="J4173" s="24"/>
      <c r="K4173" s="24"/>
      <c r="M4173" s="24"/>
      <c r="N4173" s="24"/>
      <c r="P4173" s="24"/>
    </row>
    <row r="4174" spans="2:16" x14ac:dyDescent="0.25">
      <c r="B4174" s="24"/>
      <c r="E4174" s="24"/>
      <c r="G4174" s="24"/>
      <c r="H4174" s="24"/>
      <c r="J4174" s="24"/>
      <c r="K4174" s="24"/>
      <c r="M4174" s="24"/>
      <c r="N4174" s="24"/>
      <c r="P4174" s="24"/>
    </row>
    <row r="4175" spans="2:16" x14ac:dyDescent="0.25">
      <c r="B4175" s="24"/>
      <c r="E4175" s="24"/>
      <c r="G4175" s="24"/>
      <c r="H4175" s="24"/>
      <c r="J4175" s="24"/>
      <c r="K4175" s="24"/>
      <c r="M4175" s="24"/>
      <c r="N4175" s="24"/>
      <c r="P4175" s="24"/>
    </row>
    <row r="4176" spans="2:16" x14ac:dyDescent="0.25">
      <c r="B4176" s="24"/>
      <c r="E4176" s="24"/>
      <c r="G4176" s="24"/>
      <c r="H4176" s="24"/>
      <c r="J4176" s="24"/>
      <c r="K4176" s="24"/>
      <c r="M4176" s="24"/>
      <c r="N4176" s="24"/>
      <c r="P4176" s="24"/>
    </row>
    <row r="4177" spans="2:16" x14ac:dyDescent="0.25">
      <c r="B4177" s="24"/>
      <c r="E4177" s="24"/>
      <c r="G4177" s="24"/>
      <c r="H4177" s="24"/>
      <c r="J4177" s="24"/>
      <c r="K4177" s="24"/>
      <c r="M4177" s="24"/>
      <c r="N4177" s="24"/>
      <c r="P4177" s="24"/>
    </row>
    <row r="4178" spans="2:16" x14ac:dyDescent="0.25">
      <c r="B4178" s="24"/>
      <c r="E4178" s="24"/>
      <c r="G4178" s="24"/>
      <c r="H4178" s="24"/>
      <c r="J4178" s="24"/>
      <c r="K4178" s="24"/>
      <c r="M4178" s="24"/>
      <c r="N4178" s="24"/>
      <c r="P4178" s="24"/>
    </row>
    <row r="4179" spans="2:16" x14ac:dyDescent="0.25">
      <c r="B4179" s="24"/>
      <c r="E4179" s="24"/>
      <c r="G4179" s="24"/>
      <c r="H4179" s="24"/>
      <c r="J4179" s="24"/>
      <c r="K4179" s="24"/>
      <c r="M4179" s="24"/>
      <c r="N4179" s="24"/>
      <c r="P4179" s="24"/>
    </row>
    <row r="4180" spans="2:16" x14ac:dyDescent="0.25">
      <c r="B4180" s="24"/>
      <c r="E4180" s="24"/>
      <c r="G4180" s="24"/>
      <c r="H4180" s="24"/>
      <c r="J4180" s="24"/>
      <c r="K4180" s="24"/>
      <c r="M4180" s="24"/>
      <c r="N4180" s="24"/>
      <c r="P4180" s="24"/>
    </row>
    <row r="4181" spans="2:16" x14ac:dyDescent="0.25">
      <c r="B4181" s="24"/>
      <c r="E4181" s="24"/>
      <c r="G4181" s="24"/>
      <c r="H4181" s="24"/>
      <c r="J4181" s="24"/>
      <c r="K4181" s="24"/>
      <c r="M4181" s="24"/>
      <c r="N4181" s="24"/>
      <c r="P4181" s="24"/>
    </row>
    <row r="4182" spans="2:16" x14ac:dyDescent="0.25">
      <c r="B4182" s="24"/>
      <c r="E4182" s="24"/>
      <c r="G4182" s="24"/>
      <c r="H4182" s="24"/>
      <c r="J4182" s="24"/>
      <c r="K4182" s="24"/>
      <c r="M4182" s="24"/>
      <c r="N4182" s="24"/>
      <c r="P4182" s="24"/>
    </row>
    <row r="4183" spans="2:16" x14ac:dyDescent="0.25">
      <c r="B4183" s="24"/>
      <c r="E4183" s="24"/>
      <c r="G4183" s="24"/>
      <c r="H4183" s="24"/>
      <c r="J4183" s="24"/>
      <c r="K4183" s="24"/>
      <c r="M4183" s="24"/>
      <c r="N4183" s="24"/>
      <c r="P4183" s="24"/>
    </row>
    <row r="4184" spans="2:16" x14ac:dyDescent="0.25">
      <c r="B4184" s="24"/>
      <c r="E4184" s="24"/>
      <c r="G4184" s="24"/>
      <c r="H4184" s="24"/>
      <c r="J4184" s="24"/>
      <c r="K4184" s="24"/>
      <c r="M4184" s="24"/>
      <c r="N4184" s="24"/>
      <c r="P4184" s="24"/>
    </row>
    <row r="4185" spans="2:16" x14ac:dyDescent="0.25">
      <c r="B4185" s="24"/>
      <c r="E4185" s="24"/>
      <c r="G4185" s="24"/>
      <c r="H4185" s="24"/>
      <c r="J4185" s="24"/>
      <c r="K4185" s="24"/>
      <c r="M4185" s="24"/>
      <c r="N4185" s="24"/>
      <c r="P4185" s="24"/>
    </row>
    <row r="4186" spans="2:16" x14ac:dyDescent="0.25">
      <c r="B4186" s="24"/>
      <c r="E4186" s="24"/>
      <c r="G4186" s="24"/>
      <c r="H4186" s="24"/>
      <c r="J4186" s="24"/>
      <c r="K4186" s="24"/>
      <c r="M4186" s="24"/>
      <c r="N4186" s="24"/>
      <c r="P4186" s="24"/>
    </row>
    <row r="4187" spans="2:16" x14ac:dyDescent="0.25">
      <c r="B4187" s="24"/>
      <c r="E4187" s="24"/>
      <c r="G4187" s="24"/>
      <c r="H4187" s="24"/>
      <c r="J4187" s="24"/>
      <c r="K4187" s="24"/>
      <c r="M4187" s="24"/>
      <c r="N4187" s="24"/>
      <c r="P4187" s="24"/>
    </row>
    <row r="4188" spans="2:16" x14ac:dyDescent="0.25">
      <c r="B4188" s="24"/>
      <c r="E4188" s="24"/>
      <c r="G4188" s="24"/>
      <c r="H4188" s="24"/>
      <c r="J4188" s="24"/>
      <c r="K4188" s="24"/>
      <c r="M4188" s="24"/>
      <c r="N4188" s="24"/>
      <c r="P4188" s="24"/>
    </row>
    <row r="4189" spans="2:16" x14ac:dyDescent="0.25">
      <c r="B4189" s="24"/>
      <c r="E4189" s="24"/>
      <c r="G4189" s="24"/>
      <c r="H4189" s="24"/>
      <c r="J4189" s="24"/>
      <c r="K4189" s="24"/>
      <c r="M4189" s="24"/>
      <c r="N4189" s="24"/>
      <c r="P4189" s="24"/>
    </row>
    <row r="4190" spans="2:16" x14ac:dyDescent="0.25">
      <c r="B4190" s="24"/>
      <c r="E4190" s="24"/>
      <c r="G4190" s="24"/>
      <c r="H4190" s="24"/>
      <c r="J4190" s="24"/>
      <c r="K4190" s="24"/>
      <c r="M4190" s="24"/>
      <c r="N4190" s="24"/>
      <c r="P4190" s="24"/>
    </row>
    <row r="4191" spans="2:16" x14ac:dyDescent="0.25">
      <c r="B4191" s="24"/>
      <c r="E4191" s="24"/>
      <c r="G4191" s="24"/>
      <c r="H4191" s="24"/>
      <c r="J4191" s="24"/>
      <c r="K4191" s="24"/>
      <c r="M4191" s="24"/>
      <c r="N4191" s="24"/>
      <c r="P4191" s="24"/>
    </row>
    <row r="4192" spans="2:16" x14ac:dyDescent="0.25">
      <c r="B4192" s="24"/>
      <c r="E4192" s="24"/>
      <c r="G4192" s="24"/>
      <c r="H4192" s="24"/>
      <c r="J4192" s="24"/>
      <c r="K4192" s="24"/>
      <c r="M4192" s="24"/>
      <c r="N4192" s="24"/>
      <c r="P4192" s="24"/>
    </row>
    <row r="4193" spans="2:16" x14ac:dyDescent="0.25">
      <c r="B4193" s="24"/>
      <c r="E4193" s="24"/>
      <c r="G4193" s="24"/>
      <c r="H4193" s="24"/>
      <c r="J4193" s="24"/>
      <c r="K4193" s="24"/>
      <c r="M4193" s="24"/>
      <c r="N4193" s="24"/>
      <c r="P4193" s="24"/>
    </row>
    <row r="4194" spans="2:16" x14ac:dyDescent="0.25">
      <c r="B4194" s="24"/>
      <c r="E4194" s="24"/>
      <c r="G4194" s="24"/>
      <c r="H4194" s="24"/>
      <c r="J4194" s="24"/>
      <c r="K4194" s="24"/>
      <c r="M4194" s="24"/>
      <c r="N4194" s="24"/>
      <c r="P4194" s="24"/>
    </row>
    <row r="4195" spans="2:16" x14ac:dyDescent="0.25">
      <c r="B4195" s="24"/>
      <c r="E4195" s="24"/>
      <c r="G4195" s="24"/>
      <c r="H4195" s="24"/>
      <c r="J4195" s="24"/>
      <c r="K4195" s="24"/>
      <c r="M4195" s="24"/>
      <c r="N4195" s="24"/>
      <c r="P4195" s="24"/>
    </row>
    <row r="4196" spans="2:16" x14ac:dyDescent="0.25">
      <c r="B4196" s="24"/>
      <c r="E4196" s="24"/>
      <c r="G4196" s="24"/>
      <c r="H4196" s="24"/>
      <c r="J4196" s="24"/>
      <c r="K4196" s="24"/>
      <c r="M4196" s="24"/>
      <c r="N4196" s="24"/>
      <c r="P4196" s="24"/>
    </row>
    <row r="4197" spans="2:16" x14ac:dyDescent="0.25">
      <c r="B4197" s="24"/>
      <c r="E4197" s="24"/>
      <c r="G4197" s="24"/>
      <c r="H4197" s="24"/>
      <c r="J4197" s="24"/>
      <c r="K4197" s="24"/>
      <c r="M4197" s="24"/>
      <c r="N4197" s="24"/>
      <c r="P4197" s="24"/>
    </row>
    <row r="4198" spans="2:16" x14ac:dyDescent="0.25">
      <c r="B4198" s="24"/>
      <c r="E4198" s="24"/>
      <c r="G4198" s="24"/>
      <c r="H4198" s="24"/>
      <c r="J4198" s="24"/>
      <c r="K4198" s="24"/>
      <c r="M4198" s="24"/>
      <c r="N4198" s="24"/>
      <c r="P4198" s="24"/>
    </row>
    <row r="4199" spans="2:16" x14ac:dyDescent="0.25">
      <c r="B4199" s="24"/>
      <c r="E4199" s="24"/>
      <c r="G4199" s="24"/>
      <c r="H4199" s="24"/>
      <c r="J4199" s="24"/>
      <c r="K4199" s="24"/>
      <c r="M4199" s="24"/>
      <c r="N4199" s="24"/>
      <c r="P4199" s="24"/>
    </row>
    <row r="4200" spans="2:16" x14ac:dyDescent="0.25">
      <c r="B4200" s="24"/>
      <c r="E4200" s="24"/>
      <c r="G4200" s="24"/>
      <c r="H4200" s="24"/>
      <c r="J4200" s="24"/>
      <c r="K4200" s="24"/>
      <c r="M4200" s="24"/>
      <c r="N4200" s="24"/>
      <c r="P4200" s="24"/>
    </row>
    <row r="4201" spans="2:16" x14ac:dyDescent="0.25">
      <c r="B4201" s="24"/>
      <c r="E4201" s="24"/>
      <c r="G4201" s="24"/>
      <c r="H4201" s="24"/>
      <c r="J4201" s="24"/>
      <c r="K4201" s="24"/>
      <c r="M4201" s="24"/>
      <c r="N4201" s="24"/>
      <c r="P4201" s="24"/>
    </row>
    <row r="4202" spans="2:16" x14ac:dyDescent="0.25">
      <c r="B4202" s="24"/>
      <c r="E4202" s="24"/>
      <c r="G4202" s="24"/>
      <c r="H4202" s="24"/>
      <c r="J4202" s="24"/>
      <c r="K4202" s="24"/>
      <c r="M4202" s="24"/>
      <c r="N4202" s="24"/>
      <c r="P4202" s="24"/>
    </row>
    <row r="4203" spans="2:16" x14ac:dyDescent="0.25">
      <c r="B4203" s="24"/>
      <c r="E4203" s="24"/>
      <c r="G4203" s="24"/>
      <c r="H4203" s="24"/>
      <c r="J4203" s="24"/>
      <c r="K4203" s="24"/>
      <c r="M4203" s="24"/>
      <c r="N4203" s="24"/>
      <c r="P4203" s="24"/>
    </row>
    <row r="4204" spans="2:16" x14ac:dyDescent="0.25">
      <c r="B4204" s="24"/>
      <c r="E4204" s="24"/>
      <c r="G4204" s="24"/>
      <c r="H4204" s="24"/>
      <c r="J4204" s="24"/>
      <c r="K4204" s="24"/>
      <c r="M4204" s="24"/>
      <c r="N4204" s="24"/>
      <c r="P4204" s="24"/>
    </row>
    <row r="4205" spans="2:16" x14ac:dyDescent="0.25">
      <c r="B4205" s="24"/>
      <c r="E4205" s="24"/>
      <c r="G4205" s="24"/>
      <c r="H4205" s="24"/>
      <c r="J4205" s="24"/>
      <c r="K4205" s="24"/>
      <c r="M4205" s="24"/>
      <c r="N4205" s="24"/>
      <c r="P4205" s="24"/>
    </row>
    <row r="4206" spans="2:16" x14ac:dyDescent="0.25">
      <c r="B4206" s="24"/>
      <c r="E4206" s="24"/>
      <c r="G4206" s="24"/>
      <c r="H4206" s="24"/>
      <c r="J4206" s="24"/>
      <c r="K4206" s="24"/>
      <c r="M4206" s="24"/>
      <c r="N4206" s="24"/>
      <c r="P4206" s="24"/>
    </row>
    <row r="4207" spans="2:16" x14ac:dyDescent="0.25">
      <c r="B4207" s="24"/>
      <c r="E4207" s="24"/>
      <c r="G4207" s="24"/>
      <c r="H4207" s="24"/>
      <c r="J4207" s="24"/>
      <c r="K4207" s="24"/>
      <c r="M4207" s="24"/>
      <c r="N4207" s="24"/>
      <c r="P4207" s="24"/>
    </row>
    <row r="4208" spans="2:16" x14ac:dyDescent="0.25">
      <c r="B4208" s="24"/>
      <c r="E4208" s="24"/>
      <c r="G4208" s="24"/>
      <c r="H4208" s="24"/>
      <c r="J4208" s="24"/>
      <c r="K4208" s="24"/>
      <c r="M4208" s="24"/>
      <c r="N4208" s="24"/>
      <c r="P4208" s="24"/>
    </row>
    <row r="4209" spans="2:16" x14ac:dyDescent="0.25">
      <c r="B4209" s="24"/>
      <c r="E4209" s="24"/>
      <c r="G4209" s="24"/>
      <c r="H4209" s="24"/>
      <c r="J4209" s="24"/>
      <c r="K4209" s="24"/>
      <c r="M4209" s="24"/>
      <c r="N4209" s="24"/>
      <c r="P4209" s="24"/>
    </row>
    <row r="4210" spans="2:16" x14ac:dyDescent="0.25">
      <c r="B4210" s="24"/>
      <c r="E4210" s="24"/>
      <c r="G4210" s="24"/>
      <c r="H4210" s="24"/>
      <c r="J4210" s="24"/>
      <c r="K4210" s="24"/>
      <c r="M4210" s="24"/>
      <c r="N4210" s="24"/>
      <c r="P4210" s="24"/>
    </row>
    <row r="4211" spans="2:16" x14ac:dyDescent="0.25">
      <c r="B4211" s="24"/>
      <c r="E4211" s="24"/>
      <c r="G4211" s="24"/>
      <c r="H4211" s="24"/>
      <c r="J4211" s="24"/>
      <c r="K4211" s="24"/>
      <c r="M4211" s="24"/>
      <c r="N4211" s="24"/>
      <c r="P4211" s="24"/>
    </row>
    <row r="4212" spans="2:16" x14ac:dyDescent="0.25">
      <c r="B4212" s="24"/>
      <c r="E4212" s="24"/>
      <c r="G4212" s="24"/>
      <c r="H4212" s="24"/>
      <c r="J4212" s="24"/>
      <c r="K4212" s="24"/>
      <c r="M4212" s="24"/>
      <c r="N4212" s="24"/>
      <c r="P4212" s="24"/>
    </row>
    <row r="4213" spans="2:16" x14ac:dyDescent="0.25">
      <c r="B4213" s="24"/>
      <c r="E4213" s="24"/>
      <c r="G4213" s="24"/>
      <c r="H4213" s="24"/>
      <c r="J4213" s="24"/>
      <c r="K4213" s="24"/>
      <c r="M4213" s="24"/>
      <c r="N4213" s="24"/>
      <c r="P4213" s="24"/>
    </row>
    <row r="4214" spans="2:16" x14ac:dyDescent="0.25">
      <c r="B4214" s="24"/>
      <c r="E4214" s="24"/>
      <c r="G4214" s="24"/>
      <c r="H4214" s="24"/>
      <c r="J4214" s="24"/>
      <c r="K4214" s="24"/>
      <c r="M4214" s="24"/>
      <c r="N4214" s="24"/>
      <c r="P4214" s="24"/>
    </row>
    <row r="4215" spans="2:16" x14ac:dyDescent="0.25">
      <c r="B4215" s="24"/>
      <c r="E4215" s="24"/>
      <c r="G4215" s="24"/>
      <c r="H4215" s="24"/>
      <c r="J4215" s="24"/>
      <c r="K4215" s="24"/>
      <c r="M4215" s="24"/>
      <c r="N4215" s="24"/>
      <c r="P4215" s="24"/>
    </row>
    <row r="4216" spans="2:16" x14ac:dyDescent="0.25">
      <c r="B4216" s="24"/>
      <c r="E4216" s="24"/>
      <c r="G4216" s="24"/>
      <c r="H4216" s="24"/>
      <c r="J4216" s="24"/>
      <c r="K4216" s="24"/>
      <c r="M4216" s="24"/>
      <c r="N4216" s="24"/>
      <c r="P4216" s="24"/>
    </row>
    <row r="4217" spans="2:16" x14ac:dyDescent="0.25">
      <c r="B4217" s="24"/>
      <c r="E4217" s="24"/>
      <c r="G4217" s="24"/>
      <c r="H4217" s="24"/>
      <c r="J4217" s="24"/>
      <c r="K4217" s="24"/>
      <c r="M4217" s="24"/>
      <c r="N4217" s="24"/>
      <c r="P4217" s="24"/>
    </row>
    <row r="4218" spans="2:16" x14ac:dyDescent="0.25">
      <c r="B4218" s="24"/>
      <c r="E4218" s="24"/>
      <c r="G4218" s="24"/>
      <c r="H4218" s="24"/>
      <c r="J4218" s="24"/>
      <c r="K4218" s="24"/>
      <c r="M4218" s="24"/>
      <c r="N4218" s="24"/>
      <c r="P4218" s="24"/>
    </row>
    <row r="4219" spans="2:16" x14ac:dyDescent="0.25">
      <c r="B4219" s="24"/>
      <c r="E4219" s="24"/>
      <c r="G4219" s="24"/>
      <c r="H4219" s="24"/>
      <c r="J4219" s="24"/>
      <c r="K4219" s="24"/>
      <c r="M4219" s="24"/>
      <c r="N4219" s="24"/>
      <c r="P4219" s="24"/>
    </row>
    <row r="4220" spans="2:16" x14ac:dyDescent="0.25">
      <c r="B4220" s="24"/>
      <c r="E4220" s="24"/>
      <c r="G4220" s="24"/>
      <c r="H4220" s="24"/>
      <c r="J4220" s="24"/>
      <c r="K4220" s="24"/>
      <c r="M4220" s="24"/>
      <c r="N4220" s="24"/>
      <c r="P4220" s="24"/>
    </row>
    <row r="4221" spans="2:16" x14ac:dyDescent="0.25">
      <c r="B4221" s="24"/>
      <c r="E4221" s="24"/>
      <c r="G4221" s="24"/>
      <c r="H4221" s="24"/>
      <c r="J4221" s="24"/>
      <c r="K4221" s="24"/>
      <c r="M4221" s="24"/>
      <c r="N4221" s="24"/>
      <c r="P4221" s="24"/>
    </row>
    <row r="4222" spans="2:16" x14ac:dyDescent="0.25">
      <c r="B4222" s="24"/>
      <c r="E4222" s="24"/>
      <c r="G4222" s="24"/>
      <c r="H4222" s="24"/>
      <c r="J4222" s="24"/>
      <c r="K4222" s="24"/>
      <c r="M4222" s="24"/>
      <c r="N4222" s="24"/>
      <c r="P4222" s="24"/>
    </row>
    <row r="4223" spans="2:16" x14ac:dyDescent="0.25">
      <c r="B4223" s="24"/>
      <c r="E4223" s="24"/>
      <c r="G4223" s="24"/>
      <c r="H4223" s="24"/>
      <c r="J4223" s="24"/>
      <c r="K4223" s="24"/>
      <c r="M4223" s="24"/>
      <c r="N4223" s="24"/>
      <c r="P4223" s="24"/>
    </row>
    <row r="4224" spans="2:16" x14ac:dyDescent="0.25">
      <c r="B4224" s="24"/>
      <c r="E4224" s="24"/>
      <c r="G4224" s="24"/>
      <c r="H4224" s="24"/>
      <c r="J4224" s="24"/>
      <c r="K4224" s="24"/>
      <c r="M4224" s="24"/>
      <c r="N4224" s="24"/>
      <c r="P4224" s="24"/>
    </row>
    <row r="4225" spans="2:16" x14ac:dyDescent="0.25">
      <c r="B4225" s="24"/>
      <c r="E4225" s="24"/>
      <c r="G4225" s="24"/>
      <c r="H4225" s="24"/>
      <c r="J4225" s="24"/>
      <c r="K4225" s="24"/>
      <c r="M4225" s="24"/>
      <c r="N4225" s="24"/>
      <c r="P4225" s="24"/>
    </row>
    <row r="4226" spans="2:16" x14ac:dyDescent="0.25">
      <c r="B4226" s="24"/>
      <c r="E4226" s="24"/>
      <c r="G4226" s="24"/>
      <c r="H4226" s="24"/>
      <c r="J4226" s="24"/>
      <c r="K4226" s="24"/>
      <c r="M4226" s="24"/>
      <c r="N4226" s="24"/>
      <c r="P4226" s="24"/>
    </row>
    <row r="4227" spans="2:16" x14ac:dyDescent="0.25">
      <c r="B4227" s="24"/>
      <c r="E4227" s="24"/>
      <c r="G4227" s="24"/>
      <c r="H4227" s="24"/>
      <c r="J4227" s="24"/>
      <c r="K4227" s="24"/>
      <c r="M4227" s="24"/>
      <c r="N4227" s="24"/>
      <c r="P4227" s="24"/>
    </row>
    <row r="4228" spans="2:16" x14ac:dyDescent="0.25">
      <c r="B4228" s="24"/>
      <c r="E4228" s="24"/>
      <c r="G4228" s="24"/>
      <c r="H4228" s="24"/>
      <c r="J4228" s="24"/>
      <c r="K4228" s="24"/>
      <c r="M4228" s="24"/>
      <c r="N4228" s="24"/>
      <c r="P4228" s="24"/>
    </row>
    <row r="4229" spans="2:16" x14ac:dyDescent="0.25">
      <c r="B4229" s="24"/>
      <c r="E4229" s="24"/>
      <c r="G4229" s="24"/>
      <c r="H4229" s="24"/>
      <c r="J4229" s="24"/>
      <c r="K4229" s="24"/>
      <c r="M4229" s="24"/>
      <c r="N4229" s="24"/>
      <c r="P4229" s="24"/>
    </row>
    <row r="4230" spans="2:16" x14ac:dyDescent="0.25">
      <c r="B4230" s="24"/>
      <c r="E4230" s="24"/>
      <c r="G4230" s="24"/>
      <c r="H4230" s="24"/>
      <c r="J4230" s="24"/>
      <c r="K4230" s="24"/>
      <c r="M4230" s="24"/>
      <c r="N4230" s="24"/>
      <c r="P4230" s="24"/>
    </row>
    <row r="4231" spans="2:16" x14ac:dyDescent="0.25">
      <c r="B4231" s="24"/>
      <c r="E4231" s="24"/>
      <c r="G4231" s="24"/>
      <c r="H4231" s="24"/>
      <c r="J4231" s="24"/>
      <c r="K4231" s="24"/>
      <c r="M4231" s="24"/>
      <c r="N4231" s="24"/>
      <c r="P4231" s="24"/>
    </row>
    <row r="4232" spans="2:16" x14ac:dyDescent="0.25">
      <c r="B4232" s="24"/>
      <c r="E4232" s="24"/>
      <c r="G4232" s="24"/>
      <c r="H4232" s="24"/>
      <c r="J4232" s="24"/>
      <c r="K4232" s="24"/>
      <c r="M4232" s="24"/>
      <c r="N4232" s="24"/>
      <c r="P4232" s="24"/>
    </row>
    <row r="4233" spans="2:16" x14ac:dyDescent="0.25">
      <c r="B4233" s="24"/>
      <c r="E4233" s="24"/>
      <c r="G4233" s="24"/>
      <c r="H4233" s="24"/>
      <c r="J4233" s="24"/>
      <c r="K4233" s="24"/>
      <c r="M4233" s="24"/>
      <c r="N4233" s="24"/>
      <c r="P4233" s="24"/>
    </row>
    <row r="4234" spans="2:16" x14ac:dyDescent="0.25">
      <c r="B4234" s="24"/>
      <c r="E4234" s="24"/>
      <c r="G4234" s="24"/>
      <c r="H4234" s="24"/>
      <c r="J4234" s="24"/>
      <c r="K4234" s="24"/>
      <c r="M4234" s="24"/>
      <c r="N4234" s="24"/>
      <c r="P4234" s="24"/>
    </row>
    <row r="4235" spans="2:16" x14ac:dyDescent="0.25">
      <c r="B4235" s="24"/>
      <c r="E4235" s="24"/>
      <c r="G4235" s="24"/>
      <c r="H4235" s="24"/>
      <c r="J4235" s="24"/>
      <c r="K4235" s="24"/>
      <c r="M4235" s="24"/>
      <c r="N4235" s="24"/>
      <c r="P4235" s="24"/>
    </row>
    <row r="4236" spans="2:16" x14ac:dyDescent="0.25">
      <c r="B4236" s="24"/>
      <c r="E4236" s="24"/>
      <c r="G4236" s="24"/>
      <c r="H4236" s="24"/>
      <c r="J4236" s="24"/>
      <c r="K4236" s="24"/>
      <c r="M4236" s="24"/>
      <c r="N4236" s="24"/>
      <c r="P4236" s="24"/>
    </row>
    <row r="4237" spans="2:16" x14ac:dyDescent="0.25">
      <c r="B4237" s="24"/>
      <c r="E4237" s="24"/>
      <c r="G4237" s="24"/>
      <c r="H4237" s="24"/>
      <c r="J4237" s="24"/>
      <c r="K4237" s="24"/>
      <c r="M4237" s="24"/>
      <c r="N4237" s="24"/>
      <c r="P4237" s="24"/>
    </row>
    <row r="4238" spans="2:16" x14ac:dyDescent="0.25">
      <c r="B4238" s="24"/>
      <c r="E4238" s="24"/>
      <c r="G4238" s="24"/>
      <c r="H4238" s="24"/>
      <c r="J4238" s="24"/>
      <c r="K4238" s="24"/>
      <c r="M4238" s="24"/>
      <c r="N4238" s="24"/>
      <c r="P4238" s="24"/>
    </row>
    <row r="4239" spans="2:16" x14ac:dyDescent="0.25">
      <c r="B4239" s="24"/>
      <c r="E4239" s="24"/>
      <c r="G4239" s="24"/>
      <c r="H4239" s="24"/>
      <c r="J4239" s="24"/>
      <c r="K4239" s="24"/>
      <c r="M4239" s="24"/>
      <c r="N4239" s="24"/>
      <c r="P4239" s="24"/>
    </row>
    <row r="4240" spans="2:16" x14ac:dyDescent="0.25">
      <c r="B4240" s="24"/>
      <c r="E4240" s="24"/>
      <c r="G4240" s="24"/>
      <c r="H4240" s="24"/>
      <c r="J4240" s="24"/>
      <c r="K4240" s="24"/>
      <c r="M4240" s="24"/>
      <c r="N4240" s="24"/>
      <c r="P4240" s="24"/>
    </row>
    <row r="4241" spans="2:16" x14ac:dyDescent="0.25">
      <c r="B4241" s="24"/>
      <c r="E4241" s="24"/>
      <c r="G4241" s="24"/>
      <c r="H4241" s="24"/>
      <c r="J4241" s="24"/>
      <c r="K4241" s="24"/>
      <c r="M4241" s="24"/>
      <c r="N4241" s="24"/>
      <c r="P4241" s="24"/>
    </row>
    <row r="4242" spans="2:16" x14ac:dyDescent="0.25">
      <c r="B4242" s="24"/>
      <c r="E4242" s="24"/>
      <c r="G4242" s="24"/>
      <c r="H4242" s="24"/>
      <c r="J4242" s="24"/>
      <c r="K4242" s="24"/>
      <c r="M4242" s="24"/>
      <c r="N4242" s="24"/>
      <c r="P4242" s="24"/>
    </row>
    <row r="4243" spans="2:16" x14ac:dyDescent="0.25">
      <c r="B4243" s="24"/>
      <c r="E4243" s="24"/>
      <c r="G4243" s="24"/>
      <c r="H4243" s="24"/>
      <c r="J4243" s="24"/>
      <c r="K4243" s="24"/>
      <c r="M4243" s="24"/>
      <c r="N4243" s="24"/>
      <c r="P4243" s="24"/>
    </row>
    <row r="4244" spans="2:16" x14ac:dyDescent="0.25">
      <c r="B4244" s="24"/>
      <c r="E4244" s="24"/>
      <c r="G4244" s="24"/>
      <c r="H4244" s="24"/>
      <c r="J4244" s="24"/>
      <c r="K4244" s="24"/>
      <c r="M4244" s="24"/>
      <c r="N4244" s="24"/>
      <c r="P4244" s="24"/>
    </row>
    <row r="4245" spans="2:16" x14ac:dyDescent="0.25">
      <c r="B4245" s="24"/>
      <c r="E4245" s="24"/>
      <c r="G4245" s="24"/>
      <c r="H4245" s="24"/>
      <c r="J4245" s="24"/>
      <c r="K4245" s="24"/>
      <c r="M4245" s="24"/>
      <c r="N4245" s="24"/>
      <c r="P4245" s="24"/>
    </row>
    <row r="4246" spans="2:16" x14ac:dyDescent="0.25">
      <c r="B4246" s="24"/>
      <c r="E4246" s="24"/>
      <c r="G4246" s="24"/>
      <c r="H4246" s="24"/>
      <c r="J4246" s="24"/>
      <c r="K4246" s="24"/>
      <c r="M4246" s="24"/>
      <c r="N4246" s="24"/>
      <c r="P4246" s="24"/>
    </row>
    <row r="4247" spans="2:16" x14ac:dyDescent="0.25">
      <c r="B4247" s="24"/>
      <c r="E4247" s="24"/>
      <c r="G4247" s="24"/>
      <c r="H4247" s="24"/>
      <c r="J4247" s="24"/>
      <c r="K4247" s="24"/>
      <c r="M4247" s="24"/>
      <c r="N4247" s="24"/>
      <c r="P4247" s="24"/>
    </row>
    <row r="4248" spans="2:16" x14ac:dyDescent="0.25">
      <c r="B4248" s="24"/>
      <c r="E4248" s="24"/>
      <c r="G4248" s="24"/>
      <c r="H4248" s="24"/>
      <c r="J4248" s="24"/>
      <c r="K4248" s="24"/>
      <c r="M4248" s="24"/>
      <c r="N4248" s="24"/>
      <c r="P4248" s="24"/>
    </row>
    <row r="4249" spans="2:16" x14ac:dyDescent="0.25">
      <c r="B4249" s="24"/>
      <c r="E4249" s="24"/>
      <c r="G4249" s="24"/>
      <c r="H4249" s="24"/>
      <c r="J4249" s="24"/>
      <c r="K4249" s="24"/>
      <c r="M4249" s="24"/>
      <c r="N4249" s="24"/>
      <c r="P4249" s="24"/>
    </row>
    <row r="4250" spans="2:16" x14ac:dyDescent="0.25">
      <c r="B4250" s="24"/>
      <c r="E4250" s="24"/>
      <c r="G4250" s="24"/>
      <c r="H4250" s="24"/>
      <c r="J4250" s="24"/>
      <c r="K4250" s="24"/>
      <c r="M4250" s="24"/>
      <c r="N4250" s="24"/>
      <c r="P4250" s="24"/>
    </row>
    <row r="4251" spans="2:16" x14ac:dyDescent="0.25">
      <c r="B4251" s="24"/>
      <c r="E4251" s="24"/>
      <c r="G4251" s="24"/>
      <c r="H4251" s="24"/>
      <c r="J4251" s="24"/>
      <c r="K4251" s="24"/>
      <c r="M4251" s="24"/>
      <c r="N4251" s="24"/>
      <c r="P4251" s="24"/>
    </row>
    <row r="4252" spans="2:16" x14ac:dyDescent="0.25">
      <c r="B4252" s="24"/>
      <c r="E4252" s="24"/>
      <c r="G4252" s="24"/>
      <c r="H4252" s="24"/>
      <c r="J4252" s="24"/>
      <c r="K4252" s="24"/>
      <c r="M4252" s="24"/>
      <c r="N4252" s="24"/>
      <c r="P4252" s="24"/>
    </row>
    <row r="4253" spans="2:16" x14ac:dyDescent="0.25">
      <c r="B4253" s="24"/>
      <c r="E4253" s="24"/>
      <c r="G4253" s="24"/>
      <c r="H4253" s="24"/>
      <c r="J4253" s="24"/>
      <c r="K4253" s="24"/>
      <c r="M4253" s="24"/>
      <c r="N4253" s="24"/>
      <c r="P4253" s="24"/>
    </row>
    <row r="4254" spans="2:16" x14ac:dyDescent="0.25">
      <c r="B4254" s="24"/>
      <c r="E4254" s="24"/>
      <c r="G4254" s="24"/>
      <c r="H4254" s="24"/>
      <c r="J4254" s="24"/>
      <c r="K4254" s="24"/>
      <c r="M4254" s="24"/>
      <c r="N4254" s="24"/>
      <c r="P4254" s="24"/>
    </row>
    <row r="4255" spans="2:16" x14ac:dyDescent="0.25">
      <c r="B4255" s="24"/>
      <c r="E4255" s="24"/>
      <c r="G4255" s="24"/>
      <c r="H4255" s="24"/>
      <c r="J4255" s="24"/>
      <c r="K4255" s="24"/>
      <c r="M4255" s="24"/>
      <c r="N4255" s="24"/>
      <c r="P4255" s="24"/>
    </row>
    <row r="4256" spans="2:16" x14ac:dyDescent="0.25">
      <c r="B4256" s="24"/>
      <c r="E4256" s="24"/>
      <c r="G4256" s="24"/>
      <c r="H4256" s="24"/>
      <c r="J4256" s="24"/>
      <c r="K4256" s="24"/>
      <c r="M4256" s="24"/>
      <c r="N4256" s="24"/>
      <c r="P4256" s="24"/>
    </row>
    <row r="4257" spans="2:16" x14ac:dyDescent="0.25">
      <c r="B4257" s="24"/>
      <c r="E4257" s="24"/>
      <c r="G4257" s="24"/>
      <c r="H4257" s="24"/>
      <c r="J4257" s="24"/>
      <c r="K4257" s="24"/>
      <c r="M4257" s="24"/>
      <c r="N4257" s="24"/>
      <c r="P4257" s="24"/>
    </row>
    <row r="4258" spans="2:16" x14ac:dyDescent="0.25">
      <c r="B4258" s="24"/>
      <c r="E4258" s="24"/>
      <c r="G4258" s="24"/>
      <c r="H4258" s="24"/>
      <c r="J4258" s="24"/>
      <c r="K4258" s="24"/>
      <c r="M4258" s="24"/>
      <c r="N4258" s="24"/>
      <c r="P4258" s="24"/>
    </row>
    <row r="4259" spans="2:16" x14ac:dyDescent="0.25">
      <c r="B4259" s="24"/>
      <c r="E4259" s="24"/>
      <c r="G4259" s="24"/>
      <c r="H4259" s="24"/>
      <c r="J4259" s="24"/>
      <c r="K4259" s="24"/>
      <c r="M4259" s="24"/>
      <c r="N4259" s="24"/>
      <c r="P4259" s="24"/>
    </row>
    <row r="4260" spans="2:16" x14ac:dyDescent="0.25">
      <c r="B4260" s="24"/>
      <c r="E4260" s="24"/>
      <c r="G4260" s="24"/>
      <c r="H4260" s="24"/>
      <c r="J4260" s="24"/>
      <c r="K4260" s="24"/>
      <c r="M4260" s="24"/>
      <c r="N4260" s="24"/>
      <c r="P4260" s="24"/>
    </row>
    <row r="4261" spans="2:16" x14ac:dyDescent="0.25">
      <c r="B4261" s="24"/>
      <c r="E4261" s="24"/>
      <c r="G4261" s="24"/>
      <c r="H4261" s="24"/>
      <c r="J4261" s="24"/>
      <c r="K4261" s="24"/>
      <c r="M4261" s="24"/>
      <c r="N4261" s="24"/>
      <c r="P4261" s="24"/>
    </row>
    <row r="4262" spans="2:16" x14ac:dyDescent="0.25">
      <c r="B4262" s="24"/>
      <c r="E4262" s="24"/>
      <c r="G4262" s="24"/>
      <c r="H4262" s="24"/>
      <c r="J4262" s="24"/>
      <c r="K4262" s="24"/>
      <c r="M4262" s="24"/>
      <c r="N4262" s="24"/>
      <c r="P4262" s="24"/>
    </row>
    <row r="4263" spans="2:16" x14ac:dyDescent="0.25">
      <c r="B4263" s="24"/>
      <c r="E4263" s="24"/>
      <c r="G4263" s="24"/>
      <c r="H4263" s="24"/>
      <c r="J4263" s="24"/>
      <c r="K4263" s="24"/>
      <c r="M4263" s="24"/>
      <c r="N4263" s="24"/>
      <c r="P4263" s="24"/>
    </row>
    <row r="4264" spans="2:16" x14ac:dyDescent="0.25">
      <c r="B4264" s="24"/>
      <c r="E4264" s="24"/>
      <c r="G4264" s="24"/>
      <c r="H4264" s="24"/>
      <c r="J4264" s="24"/>
      <c r="K4264" s="24"/>
      <c r="M4264" s="24"/>
      <c r="N4264" s="24"/>
      <c r="P4264" s="24"/>
    </row>
    <row r="4265" spans="2:16" x14ac:dyDescent="0.25">
      <c r="B4265" s="24"/>
      <c r="E4265" s="24"/>
      <c r="G4265" s="24"/>
      <c r="H4265" s="24"/>
      <c r="J4265" s="24"/>
      <c r="K4265" s="24"/>
      <c r="M4265" s="24"/>
      <c r="N4265" s="24"/>
      <c r="P4265" s="24"/>
    </row>
    <row r="4266" spans="2:16" x14ac:dyDescent="0.25">
      <c r="B4266" s="24"/>
      <c r="E4266" s="24"/>
      <c r="G4266" s="24"/>
      <c r="H4266" s="24"/>
      <c r="J4266" s="24"/>
      <c r="K4266" s="24"/>
      <c r="M4266" s="24"/>
      <c r="N4266" s="24"/>
      <c r="P4266" s="24"/>
    </row>
    <row r="4267" spans="2:16" x14ac:dyDescent="0.25">
      <c r="B4267" s="24"/>
      <c r="E4267" s="24"/>
      <c r="G4267" s="24"/>
      <c r="H4267" s="24"/>
      <c r="J4267" s="24"/>
      <c r="K4267" s="24"/>
      <c r="M4267" s="24"/>
      <c r="N4267" s="24"/>
      <c r="P4267" s="24"/>
    </row>
    <row r="4268" spans="2:16" x14ac:dyDescent="0.25">
      <c r="B4268" s="24"/>
      <c r="E4268" s="24"/>
      <c r="G4268" s="24"/>
      <c r="H4268" s="24"/>
      <c r="J4268" s="24"/>
      <c r="K4268" s="24"/>
      <c r="M4268" s="24"/>
      <c r="N4268" s="24"/>
      <c r="P4268" s="24"/>
    </row>
    <row r="4269" spans="2:16" x14ac:dyDescent="0.25">
      <c r="B4269" s="24"/>
      <c r="E4269" s="24"/>
      <c r="G4269" s="24"/>
      <c r="H4269" s="24"/>
      <c r="J4269" s="24"/>
      <c r="K4269" s="24"/>
      <c r="M4269" s="24"/>
      <c r="N4269" s="24"/>
      <c r="P4269" s="24"/>
    </row>
    <row r="4270" spans="2:16" x14ac:dyDescent="0.25">
      <c r="B4270" s="24"/>
      <c r="E4270" s="24"/>
      <c r="G4270" s="24"/>
      <c r="H4270" s="24"/>
      <c r="J4270" s="24"/>
      <c r="K4270" s="24"/>
      <c r="M4270" s="24"/>
      <c r="N4270" s="24"/>
      <c r="P4270" s="24"/>
    </row>
    <row r="4271" spans="2:16" x14ac:dyDescent="0.25">
      <c r="B4271" s="24"/>
      <c r="E4271" s="24"/>
      <c r="G4271" s="24"/>
      <c r="H4271" s="24"/>
      <c r="J4271" s="24"/>
      <c r="K4271" s="24"/>
      <c r="M4271" s="24"/>
      <c r="N4271" s="24"/>
      <c r="P4271" s="24"/>
    </row>
    <row r="4272" spans="2:16" x14ac:dyDescent="0.25">
      <c r="B4272" s="24"/>
      <c r="E4272" s="24"/>
      <c r="G4272" s="24"/>
      <c r="H4272" s="24"/>
      <c r="J4272" s="24"/>
      <c r="K4272" s="24"/>
      <c r="M4272" s="24"/>
      <c r="N4272" s="24"/>
      <c r="P4272" s="24"/>
    </row>
    <row r="4273" spans="2:16" x14ac:dyDescent="0.25">
      <c r="B4273" s="24"/>
      <c r="E4273" s="24"/>
      <c r="G4273" s="24"/>
      <c r="H4273" s="24"/>
      <c r="J4273" s="24"/>
      <c r="K4273" s="24"/>
      <c r="M4273" s="24"/>
      <c r="N4273" s="24"/>
      <c r="P4273" s="24"/>
    </row>
    <row r="4274" spans="2:16" x14ac:dyDescent="0.25">
      <c r="B4274" s="24"/>
      <c r="E4274" s="24"/>
      <c r="G4274" s="24"/>
      <c r="H4274" s="24"/>
      <c r="J4274" s="24"/>
      <c r="K4274" s="24"/>
      <c r="M4274" s="24"/>
      <c r="N4274" s="24"/>
      <c r="P4274" s="24"/>
    </row>
    <row r="4275" spans="2:16" x14ac:dyDescent="0.25">
      <c r="B4275" s="24"/>
      <c r="E4275" s="24"/>
      <c r="G4275" s="24"/>
      <c r="H4275" s="24"/>
      <c r="J4275" s="24"/>
      <c r="K4275" s="24"/>
      <c r="M4275" s="24"/>
      <c r="N4275" s="24"/>
      <c r="P4275" s="24"/>
    </row>
    <row r="4276" spans="2:16" x14ac:dyDescent="0.25">
      <c r="B4276" s="24"/>
      <c r="E4276" s="24"/>
      <c r="G4276" s="24"/>
      <c r="H4276" s="24"/>
      <c r="J4276" s="24"/>
      <c r="K4276" s="24"/>
      <c r="M4276" s="24"/>
      <c r="N4276" s="24"/>
      <c r="P4276" s="24"/>
    </row>
    <row r="4277" spans="2:16" x14ac:dyDescent="0.25">
      <c r="B4277" s="24"/>
      <c r="E4277" s="24"/>
      <c r="G4277" s="24"/>
      <c r="H4277" s="24"/>
      <c r="J4277" s="24"/>
      <c r="K4277" s="24"/>
      <c r="M4277" s="24"/>
      <c r="N4277" s="24"/>
      <c r="P4277" s="24"/>
    </row>
    <row r="4278" spans="2:16" x14ac:dyDescent="0.25">
      <c r="B4278" s="24"/>
      <c r="E4278" s="24"/>
      <c r="G4278" s="24"/>
      <c r="H4278" s="24"/>
      <c r="J4278" s="24"/>
      <c r="K4278" s="24"/>
      <c r="M4278" s="24"/>
      <c r="N4278" s="24"/>
      <c r="P4278" s="24"/>
    </row>
    <row r="4279" spans="2:16" x14ac:dyDescent="0.25">
      <c r="B4279" s="24"/>
      <c r="E4279" s="24"/>
      <c r="G4279" s="24"/>
      <c r="H4279" s="24"/>
      <c r="J4279" s="24"/>
      <c r="K4279" s="24"/>
      <c r="M4279" s="24"/>
      <c r="N4279" s="24"/>
      <c r="P4279" s="24"/>
    </row>
    <row r="4280" spans="2:16" x14ac:dyDescent="0.25">
      <c r="B4280" s="24"/>
      <c r="E4280" s="24"/>
      <c r="G4280" s="24"/>
      <c r="H4280" s="24"/>
      <c r="J4280" s="24"/>
      <c r="K4280" s="24"/>
      <c r="M4280" s="24"/>
      <c r="N4280" s="24"/>
      <c r="P4280" s="24"/>
    </row>
    <row r="4281" spans="2:16" x14ac:dyDescent="0.25">
      <c r="B4281" s="24"/>
      <c r="E4281" s="24"/>
      <c r="G4281" s="24"/>
      <c r="H4281" s="24"/>
      <c r="J4281" s="24"/>
      <c r="K4281" s="24"/>
      <c r="M4281" s="24"/>
      <c r="N4281" s="24"/>
      <c r="P4281" s="24"/>
    </row>
    <row r="4282" spans="2:16" x14ac:dyDescent="0.25">
      <c r="B4282" s="24"/>
      <c r="E4282" s="24"/>
      <c r="G4282" s="24"/>
      <c r="H4282" s="24"/>
      <c r="J4282" s="24"/>
      <c r="K4282" s="24"/>
      <c r="M4282" s="24"/>
      <c r="N4282" s="24"/>
      <c r="P4282" s="24"/>
    </row>
    <row r="4283" spans="2:16" x14ac:dyDescent="0.25">
      <c r="B4283" s="24"/>
      <c r="E4283" s="24"/>
      <c r="G4283" s="24"/>
      <c r="H4283" s="24"/>
      <c r="J4283" s="24"/>
      <c r="K4283" s="24"/>
      <c r="M4283" s="24"/>
      <c r="N4283" s="24"/>
      <c r="P4283" s="24"/>
    </row>
    <row r="4284" spans="2:16" x14ac:dyDescent="0.25">
      <c r="B4284" s="24"/>
      <c r="E4284" s="24"/>
      <c r="G4284" s="24"/>
      <c r="H4284" s="24"/>
      <c r="J4284" s="24"/>
      <c r="K4284" s="24"/>
      <c r="M4284" s="24"/>
      <c r="N4284" s="24"/>
      <c r="P4284" s="24"/>
    </row>
    <row r="4285" spans="2:16" x14ac:dyDescent="0.25">
      <c r="B4285" s="24"/>
      <c r="E4285" s="24"/>
      <c r="G4285" s="24"/>
      <c r="H4285" s="24"/>
      <c r="J4285" s="24"/>
      <c r="K4285" s="24"/>
      <c r="M4285" s="24"/>
      <c r="N4285" s="24"/>
      <c r="P4285" s="24"/>
    </row>
    <row r="4286" spans="2:16" x14ac:dyDescent="0.25">
      <c r="B4286" s="24"/>
      <c r="E4286" s="24"/>
      <c r="G4286" s="24"/>
      <c r="H4286" s="24"/>
      <c r="J4286" s="24"/>
      <c r="K4286" s="24"/>
      <c r="M4286" s="24"/>
      <c r="N4286" s="24"/>
      <c r="P4286" s="24"/>
    </row>
    <row r="4287" spans="2:16" x14ac:dyDescent="0.25">
      <c r="B4287" s="24"/>
      <c r="E4287" s="24"/>
      <c r="G4287" s="24"/>
      <c r="H4287" s="24"/>
      <c r="J4287" s="24"/>
      <c r="K4287" s="24"/>
      <c r="M4287" s="24"/>
      <c r="N4287" s="24"/>
      <c r="P4287" s="24"/>
    </row>
    <row r="4288" spans="2:16" x14ac:dyDescent="0.25">
      <c r="B4288" s="24"/>
      <c r="E4288" s="24"/>
      <c r="G4288" s="24"/>
      <c r="H4288" s="24"/>
      <c r="J4288" s="24"/>
      <c r="K4288" s="24"/>
      <c r="M4288" s="24"/>
      <c r="N4288" s="24"/>
      <c r="P4288" s="24"/>
    </row>
    <row r="4289" spans="2:16" x14ac:dyDescent="0.25">
      <c r="B4289" s="24"/>
      <c r="E4289" s="24"/>
      <c r="G4289" s="24"/>
      <c r="H4289" s="24"/>
      <c r="J4289" s="24"/>
      <c r="K4289" s="24"/>
      <c r="M4289" s="24"/>
      <c r="N4289" s="24"/>
      <c r="P4289" s="24"/>
    </row>
    <row r="4290" spans="2:16" x14ac:dyDescent="0.25">
      <c r="B4290" s="24"/>
      <c r="E4290" s="24"/>
      <c r="G4290" s="24"/>
      <c r="H4290" s="24"/>
      <c r="J4290" s="24"/>
      <c r="K4290" s="24"/>
      <c r="M4290" s="24"/>
      <c r="N4290" s="24"/>
      <c r="P4290" s="24"/>
    </row>
    <row r="4291" spans="2:16" x14ac:dyDescent="0.25">
      <c r="B4291" s="24"/>
      <c r="E4291" s="24"/>
      <c r="G4291" s="24"/>
      <c r="H4291" s="24"/>
      <c r="J4291" s="24"/>
      <c r="K4291" s="24"/>
      <c r="M4291" s="24"/>
      <c r="N4291" s="24"/>
      <c r="P4291" s="24"/>
    </row>
    <row r="4292" spans="2:16" x14ac:dyDescent="0.25">
      <c r="B4292" s="24"/>
      <c r="E4292" s="24"/>
      <c r="G4292" s="24"/>
      <c r="H4292" s="24"/>
      <c r="J4292" s="24"/>
      <c r="K4292" s="24"/>
      <c r="M4292" s="24"/>
      <c r="N4292" s="24"/>
      <c r="P4292" s="24"/>
    </row>
    <row r="4293" spans="2:16" x14ac:dyDescent="0.25">
      <c r="B4293" s="24"/>
      <c r="E4293" s="24"/>
      <c r="G4293" s="24"/>
      <c r="H4293" s="24"/>
      <c r="J4293" s="24"/>
      <c r="K4293" s="24"/>
      <c r="M4293" s="24"/>
      <c r="N4293" s="24"/>
      <c r="P4293" s="24"/>
    </row>
    <row r="4294" spans="2:16" x14ac:dyDescent="0.25">
      <c r="B4294" s="24"/>
      <c r="E4294" s="24"/>
      <c r="G4294" s="24"/>
      <c r="H4294" s="24"/>
      <c r="J4294" s="24"/>
      <c r="K4294" s="24"/>
      <c r="M4294" s="24"/>
      <c r="N4294" s="24"/>
      <c r="P4294" s="24"/>
    </row>
    <row r="4295" spans="2:16" x14ac:dyDescent="0.25">
      <c r="B4295" s="24"/>
      <c r="E4295" s="24"/>
      <c r="G4295" s="24"/>
      <c r="H4295" s="24"/>
      <c r="J4295" s="24"/>
      <c r="K4295" s="24"/>
      <c r="M4295" s="24"/>
      <c r="N4295" s="24"/>
      <c r="P4295" s="24"/>
    </row>
    <row r="4296" spans="2:16" x14ac:dyDescent="0.25">
      <c r="B4296" s="24"/>
      <c r="E4296" s="24"/>
      <c r="G4296" s="24"/>
      <c r="H4296" s="24"/>
      <c r="J4296" s="24"/>
      <c r="K4296" s="24"/>
      <c r="M4296" s="24"/>
      <c r="N4296" s="24"/>
      <c r="P4296" s="24"/>
    </row>
    <row r="4297" spans="2:16" x14ac:dyDescent="0.25">
      <c r="B4297" s="24"/>
      <c r="E4297" s="24"/>
      <c r="G4297" s="24"/>
      <c r="H4297" s="24"/>
      <c r="J4297" s="24"/>
      <c r="K4297" s="24"/>
      <c r="M4297" s="24"/>
      <c r="N4297" s="24"/>
      <c r="P4297" s="24"/>
    </row>
    <row r="4298" spans="2:16" x14ac:dyDescent="0.25">
      <c r="B4298" s="24"/>
      <c r="E4298" s="24"/>
      <c r="G4298" s="24"/>
      <c r="H4298" s="24"/>
      <c r="J4298" s="24"/>
      <c r="K4298" s="24"/>
      <c r="M4298" s="24"/>
      <c r="N4298" s="24"/>
      <c r="P4298" s="24"/>
    </row>
    <row r="4299" spans="2:16" x14ac:dyDescent="0.25">
      <c r="B4299" s="24"/>
      <c r="E4299" s="24"/>
      <c r="G4299" s="24"/>
      <c r="H4299" s="24"/>
      <c r="J4299" s="24"/>
      <c r="K4299" s="24"/>
      <c r="M4299" s="24"/>
      <c r="N4299" s="24"/>
      <c r="P4299" s="24"/>
    </row>
    <row r="4300" spans="2:16" x14ac:dyDescent="0.25">
      <c r="B4300" s="24"/>
      <c r="E4300" s="24"/>
      <c r="G4300" s="24"/>
      <c r="H4300" s="24"/>
      <c r="J4300" s="24"/>
      <c r="K4300" s="24"/>
      <c r="M4300" s="24"/>
      <c r="N4300" s="24"/>
      <c r="P4300" s="24"/>
    </row>
    <row r="4301" spans="2:16" x14ac:dyDescent="0.25">
      <c r="B4301" s="24"/>
      <c r="E4301" s="24"/>
      <c r="G4301" s="24"/>
      <c r="H4301" s="24"/>
      <c r="J4301" s="24"/>
      <c r="K4301" s="24"/>
      <c r="M4301" s="24"/>
      <c r="N4301" s="24"/>
      <c r="P4301" s="24"/>
    </row>
    <row r="4302" spans="2:16" x14ac:dyDescent="0.25">
      <c r="B4302" s="24"/>
      <c r="E4302" s="24"/>
      <c r="G4302" s="24"/>
      <c r="H4302" s="24"/>
      <c r="J4302" s="24"/>
      <c r="K4302" s="24"/>
      <c r="M4302" s="24"/>
      <c r="N4302" s="24"/>
      <c r="P4302" s="24"/>
    </row>
    <row r="4303" spans="2:16" x14ac:dyDescent="0.25">
      <c r="B4303" s="24"/>
      <c r="E4303" s="24"/>
      <c r="G4303" s="24"/>
      <c r="H4303" s="24"/>
      <c r="J4303" s="24"/>
      <c r="K4303" s="24"/>
      <c r="M4303" s="24"/>
      <c r="N4303" s="24"/>
      <c r="P4303" s="24"/>
    </row>
    <row r="4304" spans="2:16" x14ac:dyDescent="0.25">
      <c r="B4304" s="24"/>
      <c r="E4304" s="24"/>
      <c r="G4304" s="24"/>
      <c r="H4304" s="24"/>
      <c r="J4304" s="24"/>
      <c r="K4304" s="24"/>
      <c r="M4304" s="24"/>
      <c r="N4304" s="24"/>
      <c r="P4304" s="24"/>
    </row>
    <row r="4305" spans="2:16" x14ac:dyDescent="0.25">
      <c r="B4305" s="24"/>
      <c r="E4305" s="24"/>
      <c r="G4305" s="24"/>
      <c r="H4305" s="24"/>
      <c r="J4305" s="24"/>
      <c r="K4305" s="24"/>
      <c r="M4305" s="24"/>
      <c r="N4305" s="24"/>
      <c r="P4305" s="24"/>
    </row>
    <row r="4306" spans="2:16" x14ac:dyDescent="0.25">
      <c r="B4306" s="24"/>
      <c r="E4306" s="24"/>
      <c r="G4306" s="24"/>
      <c r="H4306" s="24"/>
      <c r="J4306" s="24"/>
      <c r="K4306" s="24"/>
      <c r="M4306" s="24"/>
      <c r="N4306" s="24"/>
      <c r="P4306" s="24"/>
    </row>
    <row r="4307" spans="2:16" x14ac:dyDescent="0.25">
      <c r="B4307" s="24"/>
      <c r="E4307" s="24"/>
      <c r="G4307" s="24"/>
      <c r="H4307" s="24"/>
      <c r="J4307" s="24"/>
      <c r="K4307" s="24"/>
      <c r="M4307" s="24"/>
      <c r="N4307" s="24"/>
      <c r="P4307" s="24"/>
    </row>
    <row r="4308" spans="2:16" x14ac:dyDescent="0.25">
      <c r="B4308" s="24"/>
      <c r="E4308" s="24"/>
      <c r="G4308" s="24"/>
      <c r="H4308" s="24"/>
      <c r="J4308" s="24"/>
      <c r="K4308" s="24"/>
      <c r="M4308" s="24"/>
      <c r="N4308" s="24"/>
      <c r="P4308" s="24"/>
    </row>
    <row r="4309" spans="2:16" x14ac:dyDescent="0.25">
      <c r="B4309" s="24"/>
      <c r="E4309" s="24"/>
      <c r="G4309" s="24"/>
      <c r="H4309" s="24"/>
      <c r="J4309" s="24"/>
      <c r="K4309" s="24"/>
      <c r="M4309" s="24"/>
      <c r="N4309" s="24"/>
      <c r="P4309" s="24"/>
    </row>
    <row r="4310" spans="2:16" x14ac:dyDescent="0.25">
      <c r="B4310" s="24"/>
      <c r="E4310" s="24"/>
      <c r="G4310" s="24"/>
      <c r="H4310" s="24"/>
      <c r="J4310" s="24"/>
      <c r="K4310" s="24"/>
      <c r="M4310" s="24"/>
      <c r="N4310" s="24"/>
      <c r="P4310" s="24"/>
    </row>
    <row r="4311" spans="2:16" x14ac:dyDescent="0.25">
      <c r="B4311" s="24"/>
      <c r="E4311" s="24"/>
      <c r="G4311" s="24"/>
      <c r="H4311" s="24"/>
      <c r="J4311" s="24"/>
      <c r="K4311" s="24"/>
      <c r="M4311" s="24"/>
      <c r="N4311" s="24"/>
      <c r="P4311" s="24"/>
    </row>
    <row r="4312" spans="2:16" x14ac:dyDescent="0.25">
      <c r="B4312" s="24"/>
      <c r="E4312" s="24"/>
      <c r="G4312" s="24"/>
      <c r="H4312" s="24"/>
      <c r="J4312" s="24"/>
      <c r="K4312" s="24"/>
      <c r="M4312" s="24"/>
      <c r="N4312" s="24"/>
      <c r="P4312" s="24"/>
    </row>
    <row r="4313" spans="2:16" x14ac:dyDescent="0.25">
      <c r="B4313" s="24"/>
      <c r="E4313" s="24"/>
      <c r="G4313" s="24"/>
      <c r="H4313" s="24"/>
      <c r="J4313" s="24"/>
      <c r="K4313" s="24"/>
      <c r="M4313" s="24"/>
      <c r="N4313" s="24"/>
      <c r="P4313" s="24"/>
    </row>
    <row r="4314" spans="2:16" x14ac:dyDescent="0.25">
      <c r="B4314" s="24"/>
      <c r="E4314" s="24"/>
      <c r="G4314" s="24"/>
      <c r="H4314" s="24"/>
      <c r="J4314" s="24"/>
      <c r="K4314" s="24"/>
      <c r="M4314" s="24"/>
      <c r="N4314" s="24"/>
      <c r="P4314" s="24"/>
    </row>
    <row r="4315" spans="2:16" x14ac:dyDescent="0.25">
      <c r="B4315" s="24"/>
      <c r="E4315" s="24"/>
      <c r="G4315" s="24"/>
      <c r="H4315" s="24"/>
      <c r="J4315" s="24"/>
      <c r="K4315" s="24"/>
      <c r="M4315" s="24"/>
      <c r="N4315" s="24"/>
      <c r="P4315" s="24"/>
    </row>
    <row r="4316" spans="2:16" x14ac:dyDescent="0.25">
      <c r="B4316" s="24"/>
      <c r="E4316" s="24"/>
      <c r="G4316" s="24"/>
      <c r="H4316" s="24"/>
      <c r="J4316" s="24"/>
      <c r="K4316" s="24"/>
      <c r="M4316" s="24"/>
      <c r="N4316" s="24"/>
      <c r="P4316" s="24"/>
    </row>
    <row r="4317" spans="2:16" x14ac:dyDescent="0.25">
      <c r="B4317" s="24"/>
      <c r="E4317" s="24"/>
      <c r="G4317" s="24"/>
      <c r="H4317" s="24"/>
      <c r="J4317" s="24"/>
      <c r="K4317" s="24"/>
      <c r="M4317" s="24"/>
      <c r="N4317" s="24"/>
      <c r="P4317" s="24"/>
    </row>
    <row r="4318" spans="2:16" x14ac:dyDescent="0.25">
      <c r="B4318" s="24"/>
      <c r="E4318" s="24"/>
      <c r="G4318" s="24"/>
      <c r="H4318" s="24"/>
      <c r="J4318" s="24"/>
      <c r="K4318" s="24"/>
      <c r="M4318" s="24"/>
      <c r="N4318" s="24"/>
      <c r="P4318" s="24"/>
    </row>
    <row r="4319" spans="2:16" x14ac:dyDescent="0.25">
      <c r="B4319" s="24"/>
      <c r="E4319" s="24"/>
      <c r="G4319" s="24"/>
      <c r="H4319" s="24"/>
      <c r="J4319" s="24"/>
      <c r="K4319" s="24"/>
      <c r="M4319" s="24"/>
      <c r="N4319" s="24"/>
      <c r="P4319" s="24"/>
    </row>
    <row r="4320" spans="2:16" x14ac:dyDescent="0.25">
      <c r="B4320" s="24"/>
      <c r="E4320" s="24"/>
      <c r="G4320" s="24"/>
      <c r="H4320" s="24"/>
      <c r="J4320" s="24"/>
      <c r="K4320" s="24"/>
      <c r="M4320" s="24"/>
      <c r="N4320" s="24"/>
      <c r="P4320" s="24"/>
    </row>
    <row r="4321" spans="2:16" x14ac:dyDescent="0.25">
      <c r="B4321" s="24"/>
      <c r="E4321" s="24"/>
      <c r="G4321" s="24"/>
      <c r="H4321" s="24"/>
      <c r="J4321" s="24"/>
      <c r="K4321" s="24"/>
      <c r="M4321" s="24"/>
      <c r="N4321" s="24"/>
      <c r="P4321" s="24"/>
    </row>
    <row r="4322" spans="2:16" x14ac:dyDescent="0.25">
      <c r="B4322" s="24"/>
      <c r="E4322" s="24"/>
      <c r="G4322" s="24"/>
      <c r="H4322" s="24"/>
      <c r="J4322" s="24"/>
      <c r="K4322" s="24"/>
      <c r="M4322" s="24"/>
      <c r="N4322" s="24"/>
      <c r="P4322" s="24"/>
    </row>
    <row r="4323" spans="2:16" x14ac:dyDescent="0.25">
      <c r="B4323" s="24"/>
      <c r="E4323" s="24"/>
      <c r="G4323" s="24"/>
      <c r="H4323" s="24"/>
      <c r="J4323" s="24"/>
      <c r="K4323" s="24"/>
      <c r="M4323" s="24"/>
      <c r="N4323" s="24"/>
      <c r="P4323" s="24"/>
    </row>
    <row r="4324" spans="2:16" x14ac:dyDescent="0.25">
      <c r="B4324" s="24"/>
      <c r="E4324" s="24"/>
      <c r="G4324" s="24"/>
      <c r="H4324" s="24"/>
      <c r="J4324" s="24"/>
      <c r="K4324" s="24"/>
      <c r="M4324" s="24"/>
      <c r="N4324" s="24"/>
      <c r="P4324" s="24"/>
    </row>
    <row r="4325" spans="2:16" x14ac:dyDescent="0.25">
      <c r="B4325" s="24"/>
      <c r="E4325" s="24"/>
      <c r="G4325" s="24"/>
      <c r="H4325" s="24"/>
      <c r="J4325" s="24"/>
      <c r="K4325" s="24"/>
      <c r="M4325" s="24"/>
      <c r="N4325" s="24"/>
      <c r="P4325" s="24"/>
    </row>
    <row r="4326" spans="2:16" x14ac:dyDescent="0.25">
      <c r="B4326" s="24"/>
      <c r="E4326" s="24"/>
      <c r="G4326" s="24"/>
      <c r="H4326" s="24"/>
      <c r="J4326" s="24"/>
      <c r="K4326" s="24"/>
      <c r="M4326" s="24"/>
      <c r="N4326" s="24"/>
      <c r="P4326" s="24"/>
    </row>
    <row r="4327" spans="2:16" x14ac:dyDescent="0.25">
      <c r="B4327" s="24"/>
      <c r="E4327" s="24"/>
      <c r="G4327" s="24"/>
      <c r="H4327" s="24"/>
      <c r="J4327" s="24"/>
      <c r="K4327" s="24"/>
      <c r="M4327" s="24"/>
      <c r="N4327" s="24"/>
      <c r="P4327" s="24"/>
    </row>
    <row r="4328" spans="2:16" x14ac:dyDescent="0.25">
      <c r="B4328" s="24"/>
      <c r="E4328" s="24"/>
      <c r="G4328" s="24"/>
      <c r="H4328" s="24"/>
      <c r="J4328" s="24"/>
      <c r="K4328" s="24"/>
      <c r="M4328" s="24"/>
      <c r="N4328" s="24"/>
      <c r="P4328" s="24"/>
    </row>
    <row r="4329" spans="2:16" x14ac:dyDescent="0.25">
      <c r="B4329" s="24"/>
      <c r="E4329" s="24"/>
      <c r="G4329" s="24"/>
      <c r="H4329" s="24"/>
      <c r="J4329" s="24"/>
      <c r="K4329" s="24"/>
      <c r="M4329" s="24"/>
      <c r="N4329" s="24"/>
      <c r="P4329" s="24"/>
    </row>
    <row r="4330" spans="2:16" x14ac:dyDescent="0.25">
      <c r="B4330" s="24"/>
      <c r="E4330" s="24"/>
      <c r="G4330" s="24"/>
      <c r="H4330" s="24"/>
      <c r="J4330" s="24"/>
      <c r="K4330" s="24"/>
      <c r="M4330" s="24"/>
      <c r="N4330" s="24"/>
      <c r="P4330" s="24"/>
    </row>
    <row r="4331" spans="2:16" x14ac:dyDescent="0.25">
      <c r="B4331" s="24"/>
      <c r="E4331" s="24"/>
      <c r="G4331" s="24"/>
      <c r="H4331" s="24"/>
      <c r="J4331" s="24"/>
      <c r="K4331" s="24"/>
      <c r="M4331" s="24"/>
      <c r="N4331" s="24"/>
      <c r="P4331" s="24"/>
    </row>
    <row r="4332" spans="2:16" x14ac:dyDescent="0.25">
      <c r="B4332" s="24"/>
      <c r="E4332" s="24"/>
      <c r="G4332" s="24"/>
      <c r="H4332" s="24"/>
      <c r="J4332" s="24"/>
      <c r="K4332" s="24"/>
      <c r="M4332" s="24"/>
      <c r="N4332" s="24"/>
      <c r="P4332" s="24"/>
    </row>
    <row r="4333" spans="2:16" x14ac:dyDescent="0.25">
      <c r="B4333" s="24"/>
      <c r="E4333" s="24"/>
      <c r="G4333" s="24"/>
      <c r="H4333" s="24"/>
      <c r="J4333" s="24"/>
      <c r="K4333" s="24"/>
      <c r="M4333" s="24"/>
      <c r="N4333" s="24"/>
      <c r="P4333" s="24"/>
    </row>
    <row r="4334" spans="2:16" x14ac:dyDescent="0.25">
      <c r="B4334" s="24"/>
      <c r="E4334" s="24"/>
      <c r="G4334" s="24"/>
      <c r="H4334" s="24"/>
      <c r="J4334" s="24"/>
      <c r="K4334" s="24"/>
      <c r="M4334" s="24"/>
      <c r="N4334" s="24"/>
      <c r="P4334" s="24"/>
    </row>
    <row r="4335" spans="2:16" x14ac:dyDescent="0.25">
      <c r="B4335" s="24"/>
      <c r="E4335" s="24"/>
      <c r="G4335" s="24"/>
      <c r="H4335" s="24"/>
      <c r="J4335" s="24"/>
      <c r="K4335" s="24"/>
      <c r="M4335" s="24"/>
      <c r="N4335" s="24"/>
      <c r="P4335" s="24"/>
    </row>
    <row r="4336" spans="2:16" x14ac:dyDescent="0.25">
      <c r="B4336" s="24"/>
      <c r="E4336" s="24"/>
      <c r="G4336" s="24"/>
      <c r="H4336" s="24"/>
      <c r="J4336" s="24"/>
      <c r="K4336" s="24"/>
      <c r="M4336" s="24"/>
      <c r="N4336" s="24"/>
      <c r="P4336" s="24"/>
    </row>
    <row r="4337" spans="2:16" x14ac:dyDescent="0.25">
      <c r="B4337" s="24"/>
      <c r="E4337" s="24"/>
      <c r="G4337" s="24"/>
      <c r="H4337" s="24"/>
      <c r="J4337" s="24"/>
      <c r="K4337" s="24"/>
      <c r="M4337" s="24"/>
      <c r="N4337" s="24"/>
      <c r="P4337" s="24"/>
    </row>
    <row r="4338" spans="2:16" x14ac:dyDescent="0.25">
      <c r="B4338" s="24"/>
      <c r="E4338" s="24"/>
      <c r="G4338" s="24"/>
      <c r="H4338" s="24"/>
      <c r="J4338" s="24"/>
      <c r="K4338" s="24"/>
      <c r="M4338" s="24"/>
      <c r="N4338" s="24"/>
      <c r="P4338" s="24"/>
    </row>
    <row r="4339" spans="2:16" x14ac:dyDescent="0.25">
      <c r="B4339" s="24"/>
      <c r="E4339" s="24"/>
      <c r="G4339" s="24"/>
      <c r="H4339" s="24"/>
      <c r="J4339" s="24"/>
      <c r="K4339" s="24"/>
      <c r="M4339" s="24"/>
      <c r="N4339" s="24"/>
      <c r="P4339" s="24"/>
    </row>
    <row r="4340" spans="2:16" x14ac:dyDescent="0.25">
      <c r="B4340" s="24"/>
      <c r="E4340" s="24"/>
      <c r="G4340" s="24"/>
      <c r="H4340" s="24"/>
      <c r="J4340" s="24"/>
      <c r="K4340" s="24"/>
      <c r="M4340" s="24"/>
      <c r="N4340" s="24"/>
      <c r="P4340" s="24"/>
    </row>
    <row r="4341" spans="2:16" x14ac:dyDescent="0.25">
      <c r="B4341" s="24"/>
      <c r="E4341" s="24"/>
      <c r="G4341" s="24"/>
      <c r="H4341" s="24"/>
      <c r="J4341" s="24"/>
      <c r="K4341" s="24"/>
      <c r="M4341" s="24"/>
      <c r="N4341" s="24"/>
      <c r="P4341" s="24"/>
    </row>
    <row r="4342" spans="2:16" x14ac:dyDescent="0.25">
      <c r="B4342" s="24"/>
      <c r="E4342" s="24"/>
      <c r="G4342" s="24"/>
      <c r="H4342" s="24"/>
      <c r="J4342" s="24"/>
      <c r="K4342" s="24"/>
      <c r="M4342" s="24"/>
      <c r="N4342" s="24"/>
      <c r="P4342" s="24"/>
    </row>
    <row r="4343" spans="2:16" x14ac:dyDescent="0.25">
      <c r="B4343" s="24"/>
      <c r="E4343" s="24"/>
      <c r="G4343" s="24"/>
      <c r="H4343" s="24"/>
      <c r="J4343" s="24"/>
      <c r="K4343" s="24"/>
      <c r="M4343" s="24"/>
      <c r="N4343" s="24"/>
      <c r="P4343" s="24"/>
    </row>
    <row r="4344" spans="2:16" x14ac:dyDescent="0.25">
      <c r="B4344" s="24"/>
      <c r="E4344" s="24"/>
      <c r="G4344" s="24"/>
      <c r="H4344" s="24"/>
      <c r="J4344" s="24"/>
      <c r="K4344" s="24"/>
      <c r="M4344" s="24"/>
      <c r="N4344" s="24"/>
      <c r="P4344" s="24"/>
    </row>
    <row r="4345" spans="2:16" x14ac:dyDescent="0.25">
      <c r="B4345" s="24"/>
      <c r="E4345" s="24"/>
      <c r="G4345" s="24"/>
      <c r="H4345" s="24"/>
      <c r="J4345" s="24"/>
      <c r="K4345" s="24"/>
      <c r="M4345" s="24"/>
      <c r="N4345" s="24"/>
      <c r="P4345" s="24"/>
    </row>
    <row r="4346" spans="2:16" x14ac:dyDescent="0.25">
      <c r="B4346" s="24"/>
      <c r="E4346" s="24"/>
      <c r="G4346" s="24"/>
      <c r="H4346" s="24"/>
      <c r="J4346" s="24"/>
      <c r="K4346" s="24"/>
      <c r="M4346" s="24"/>
      <c r="N4346" s="24"/>
      <c r="P4346" s="24"/>
    </row>
    <row r="4347" spans="2:16" x14ac:dyDescent="0.25">
      <c r="B4347" s="24"/>
      <c r="E4347" s="24"/>
      <c r="G4347" s="24"/>
      <c r="H4347" s="24"/>
      <c r="J4347" s="24"/>
      <c r="K4347" s="24"/>
      <c r="M4347" s="24"/>
      <c r="N4347" s="24"/>
      <c r="P4347" s="24"/>
    </row>
    <row r="4348" spans="2:16" x14ac:dyDescent="0.25">
      <c r="B4348" s="24"/>
      <c r="E4348" s="24"/>
      <c r="G4348" s="24"/>
      <c r="H4348" s="24"/>
      <c r="J4348" s="24"/>
      <c r="K4348" s="24"/>
      <c r="M4348" s="24"/>
      <c r="N4348" s="24"/>
      <c r="P4348" s="24"/>
    </row>
    <row r="4349" spans="2:16" x14ac:dyDescent="0.25">
      <c r="B4349" s="24"/>
      <c r="E4349" s="24"/>
      <c r="G4349" s="24"/>
      <c r="H4349" s="24"/>
      <c r="J4349" s="24"/>
      <c r="K4349" s="24"/>
      <c r="M4349" s="24"/>
      <c r="N4349" s="24"/>
      <c r="P4349" s="24"/>
    </row>
    <row r="4350" spans="2:16" x14ac:dyDescent="0.25">
      <c r="B4350" s="24"/>
      <c r="E4350" s="24"/>
      <c r="G4350" s="24"/>
      <c r="H4350" s="24"/>
      <c r="J4350" s="24"/>
      <c r="K4350" s="24"/>
      <c r="M4350" s="24"/>
      <c r="N4350" s="24"/>
      <c r="P4350" s="24"/>
    </row>
    <row r="4351" spans="2:16" x14ac:dyDescent="0.25">
      <c r="B4351" s="24"/>
      <c r="E4351" s="24"/>
      <c r="G4351" s="24"/>
      <c r="H4351" s="24"/>
      <c r="J4351" s="24"/>
      <c r="K4351" s="24"/>
      <c r="M4351" s="24"/>
      <c r="N4351" s="24"/>
      <c r="P4351" s="24"/>
    </row>
    <row r="4352" spans="2:16" x14ac:dyDescent="0.25">
      <c r="B4352" s="24"/>
      <c r="E4352" s="24"/>
      <c r="G4352" s="24"/>
      <c r="H4352" s="24"/>
      <c r="J4352" s="24"/>
      <c r="K4352" s="24"/>
      <c r="M4352" s="24"/>
      <c r="N4352" s="24"/>
      <c r="P4352" s="24"/>
    </row>
    <row r="4353" spans="2:16" x14ac:dyDescent="0.25">
      <c r="B4353" s="24"/>
      <c r="E4353" s="24"/>
      <c r="G4353" s="24"/>
      <c r="H4353" s="24"/>
      <c r="J4353" s="24"/>
      <c r="K4353" s="24"/>
      <c r="M4353" s="24"/>
      <c r="N4353" s="24"/>
      <c r="P4353" s="24"/>
    </row>
    <row r="4354" spans="2:16" x14ac:dyDescent="0.25">
      <c r="B4354" s="24"/>
      <c r="E4354" s="24"/>
      <c r="G4354" s="24"/>
      <c r="H4354" s="24"/>
      <c r="J4354" s="24"/>
      <c r="K4354" s="24"/>
      <c r="M4354" s="24"/>
      <c r="N4354" s="24"/>
      <c r="P4354" s="24"/>
    </row>
    <row r="4355" spans="2:16" x14ac:dyDescent="0.25">
      <c r="B4355" s="24"/>
      <c r="E4355" s="24"/>
      <c r="G4355" s="24"/>
      <c r="H4355" s="24"/>
      <c r="J4355" s="24"/>
      <c r="K4355" s="24"/>
      <c r="M4355" s="24"/>
      <c r="N4355" s="24"/>
      <c r="P4355" s="24"/>
    </row>
    <row r="4356" spans="2:16" x14ac:dyDescent="0.25">
      <c r="B4356" s="24"/>
      <c r="E4356" s="24"/>
      <c r="G4356" s="24"/>
      <c r="H4356" s="24"/>
      <c r="J4356" s="24"/>
      <c r="K4356" s="24"/>
      <c r="M4356" s="24"/>
      <c r="N4356" s="24"/>
      <c r="P4356" s="24"/>
    </row>
    <row r="4357" spans="2:16" x14ac:dyDescent="0.25">
      <c r="B4357" s="24"/>
      <c r="E4357" s="24"/>
      <c r="G4357" s="24"/>
      <c r="H4357" s="24"/>
      <c r="J4357" s="24"/>
      <c r="K4357" s="24"/>
      <c r="M4357" s="24"/>
      <c r="N4357" s="24"/>
      <c r="P4357" s="24"/>
    </row>
    <row r="4358" spans="2:16" x14ac:dyDescent="0.25">
      <c r="B4358" s="24"/>
      <c r="E4358" s="24"/>
      <c r="G4358" s="24"/>
      <c r="H4358" s="24"/>
      <c r="J4358" s="24"/>
      <c r="K4358" s="24"/>
      <c r="M4358" s="24"/>
      <c r="N4358" s="24"/>
      <c r="P4358" s="24"/>
    </row>
    <row r="4359" spans="2:16" x14ac:dyDescent="0.25">
      <c r="B4359" s="24"/>
      <c r="E4359" s="24"/>
      <c r="G4359" s="24"/>
      <c r="H4359" s="24"/>
      <c r="J4359" s="24"/>
      <c r="K4359" s="24"/>
      <c r="M4359" s="24"/>
      <c r="N4359" s="24"/>
      <c r="P4359" s="24"/>
    </row>
    <row r="4360" spans="2:16" x14ac:dyDescent="0.25">
      <c r="B4360" s="24"/>
      <c r="E4360" s="24"/>
      <c r="G4360" s="24"/>
      <c r="H4360" s="24"/>
      <c r="J4360" s="24"/>
      <c r="K4360" s="24"/>
      <c r="M4360" s="24"/>
      <c r="N4360" s="24"/>
      <c r="P4360" s="24"/>
    </row>
    <row r="4361" spans="2:16" x14ac:dyDescent="0.25">
      <c r="B4361" s="24"/>
      <c r="E4361" s="24"/>
      <c r="G4361" s="24"/>
      <c r="H4361" s="24"/>
      <c r="J4361" s="24"/>
      <c r="K4361" s="24"/>
      <c r="M4361" s="24"/>
      <c r="N4361" s="24"/>
      <c r="P4361" s="24"/>
    </row>
    <row r="4362" spans="2:16" x14ac:dyDescent="0.25">
      <c r="B4362" s="24"/>
      <c r="E4362" s="24"/>
      <c r="G4362" s="24"/>
      <c r="H4362" s="24"/>
      <c r="J4362" s="24"/>
      <c r="K4362" s="24"/>
      <c r="M4362" s="24"/>
      <c r="N4362" s="24"/>
      <c r="P4362" s="24"/>
    </row>
    <row r="4363" spans="2:16" x14ac:dyDescent="0.25">
      <c r="B4363" s="24"/>
      <c r="E4363" s="24"/>
      <c r="G4363" s="24"/>
      <c r="H4363" s="24"/>
      <c r="J4363" s="24"/>
      <c r="K4363" s="24"/>
      <c r="M4363" s="24"/>
      <c r="N4363" s="24"/>
      <c r="P4363" s="24"/>
    </row>
    <row r="4364" spans="2:16" x14ac:dyDescent="0.25">
      <c r="B4364" s="24"/>
      <c r="E4364" s="24"/>
      <c r="G4364" s="24"/>
      <c r="H4364" s="24"/>
      <c r="J4364" s="24"/>
      <c r="K4364" s="24"/>
      <c r="M4364" s="24"/>
      <c r="N4364" s="24"/>
      <c r="P4364" s="24"/>
    </row>
    <row r="4365" spans="2:16" x14ac:dyDescent="0.25">
      <c r="B4365" s="24"/>
      <c r="E4365" s="24"/>
      <c r="G4365" s="24"/>
      <c r="H4365" s="24"/>
      <c r="J4365" s="24"/>
      <c r="K4365" s="24"/>
      <c r="M4365" s="24"/>
      <c r="N4365" s="24"/>
      <c r="P4365" s="24"/>
    </row>
    <row r="4366" spans="2:16" x14ac:dyDescent="0.25">
      <c r="B4366" s="24"/>
      <c r="E4366" s="24"/>
      <c r="G4366" s="24"/>
      <c r="H4366" s="24"/>
      <c r="J4366" s="24"/>
      <c r="K4366" s="24"/>
      <c r="M4366" s="24"/>
      <c r="N4366" s="24"/>
      <c r="P4366" s="24"/>
    </row>
    <row r="4367" spans="2:16" x14ac:dyDescent="0.25">
      <c r="B4367" s="24"/>
      <c r="E4367" s="24"/>
      <c r="G4367" s="24"/>
      <c r="H4367" s="24"/>
      <c r="J4367" s="24"/>
      <c r="K4367" s="24"/>
      <c r="M4367" s="24"/>
      <c r="N4367" s="24"/>
      <c r="P4367" s="24"/>
    </row>
    <row r="4368" spans="2:16" x14ac:dyDescent="0.25">
      <c r="B4368" s="24"/>
      <c r="E4368" s="24"/>
      <c r="G4368" s="24"/>
      <c r="H4368" s="24"/>
      <c r="J4368" s="24"/>
      <c r="K4368" s="24"/>
      <c r="M4368" s="24"/>
      <c r="N4368" s="24"/>
      <c r="P4368" s="24"/>
    </row>
    <row r="4369" spans="2:16" x14ac:dyDescent="0.25">
      <c r="B4369" s="24"/>
      <c r="E4369" s="24"/>
      <c r="G4369" s="24"/>
      <c r="H4369" s="24"/>
      <c r="J4369" s="24"/>
      <c r="K4369" s="24"/>
      <c r="M4369" s="24"/>
      <c r="N4369" s="24"/>
      <c r="P4369" s="24"/>
    </row>
    <row r="4370" spans="2:16" x14ac:dyDescent="0.25">
      <c r="B4370" s="24"/>
      <c r="E4370" s="24"/>
      <c r="G4370" s="24"/>
      <c r="H4370" s="24"/>
      <c r="J4370" s="24"/>
      <c r="K4370" s="24"/>
      <c r="M4370" s="24"/>
      <c r="N4370" s="24"/>
      <c r="P4370" s="24"/>
    </row>
    <row r="4371" spans="2:16" x14ac:dyDescent="0.25">
      <c r="B4371" s="24"/>
      <c r="E4371" s="24"/>
      <c r="G4371" s="24"/>
      <c r="H4371" s="24"/>
      <c r="J4371" s="24"/>
      <c r="K4371" s="24"/>
      <c r="M4371" s="24"/>
      <c r="N4371" s="24"/>
      <c r="P4371" s="24"/>
    </row>
    <row r="4372" spans="2:16" x14ac:dyDescent="0.25">
      <c r="B4372" s="24"/>
      <c r="E4372" s="24"/>
      <c r="G4372" s="24"/>
      <c r="H4372" s="24"/>
      <c r="J4372" s="24"/>
      <c r="K4372" s="24"/>
      <c r="M4372" s="24"/>
      <c r="N4372" s="24"/>
      <c r="P4372" s="24"/>
    </row>
    <row r="4373" spans="2:16" x14ac:dyDescent="0.25">
      <c r="B4373" s="24"/>
      <c r="E4373" s="24"/>
      <c r="G4373" s="24"/>
      <c r="H4373" s="24"/>
      <c r="J4373" s="24"/>
      <c r="K4373" s="24"/>
      <c r="M4373" s="24"/>
      <c r="N4373" s="24"/>
      <c r="P4373" s="24"/>
    </row>
    <row r="4374" spans="2:16" x14ac:dyDescent="0.25">
      <c r="B4374" s="24"/>
      <c r="E4374" s="24"/>
      <c r="G4374" s="24"/>
      <c r="H4374" s="24"/>
      <c r="J4374" s="24"/>
      <c r="K4374" s="24"/>
      <c r="M4374" s="24"/>
      <c r="N4374" s="24"/>
      <c r="P4374" s="24"/>
    </row>
    <row r="4375" spans="2:16" x14ac:dyDescent="0.25">
      <c r="B4375" s="24"/>
      <c r="E4375" s="24"/>
      <c r="G4375" s="24"/>
      <c r="H4375" s="24"/>
      <c r="J4375" s="24"/>
      <c r="K4375" s="24"/>
      <c r="M4375" s="24"/>
      <c r="N4375" s="24"/>
      <c r="P4375" s="24"/>
    </row>
    <row r="4376" spans="2:16" x14ac:dyDescent="0.25">
      <c r="B4376" s="24"/>
      <c r="E4376" s="24"/>
      <c r="G4376" s="24"/>
      <c r="H4376" s="24"/>
      <c r="J4376" s="24"/>
      <c r="K4376" s="24"/>
      <c r="M4376" s="24"/>
      <c r="N4376" s="24"/>
      <c r="P4376" s="24"/>
    </row>
    <row r="4377" spans="2:16" x14ac:dyDescent="0.25">
      <c r="B4377" s="24"/>
      <c r="E4377" s="24"/>
      <c r="G4377" s="24"/>
      <c r="H4377" s="24"/>
      <c r="J4377" s="24"/>
      <c r="K4377" s="24"/>
      <c r="M4377" s="24"/>
      <c r="N4377" s="24"/>
      <c r="P4377" s="24"/>
    </row>
    <row r="4378" spans="2:16" x14ac:dyDescent="0.25">
      <c r="B4378" s="24"/>
      <c r="E4378" s="24"/>
      <c r="G4378" s="24"/>
      <c r="H4378" s="24"/>
      <c r="J4378" s="24"/>
      <c r="K4378" s="24"/>
      <c r="M4378" s="24"/>
      <c r="N4378" s="24"/>
      <c r="P4378" s="24"/>
    </row>
    <row r="4379" spans="2:16" x14ac:dyDescent="0.25">
      <c r="B4379" s="24"/>
      <c r="E4379" s="24"/>
      <c r="G4379" s="24"/>
      <c r="H4379" s="24"/>
      <c r="J4379" s="24"/>
      <c r="K4379" s="24"/>
      <c r="M4379" s="24"/>
      <c r="N4379" s="24"/>
      <c r="P4379" s="24"/>
    </row>
    <row r="4380" spans="2:16" x14ac:dyDescent="0.25">
      <c r="B4380" s="24"/>
      <c r="E4380" s="24"/>
      <c r="G4380" s="24"/>
      <c r="H4380" s="24"/>
      <c r="J4380" s="24"/>
      <c r="K4380" s="24"/>
      <c r="M4380" s="24"/>
      <c r="N4380" s="24"/>
      <c r="P4380" s="24"/>
    </row>
    <row r="4381" spans="2:16" x14ac:dyDescent="0.25">
      <c r="B4381" s="24"/>
      <c r="E4381" s="24"/>
      <c r="G4381" s="24"/>
      <c r="H4381" s="24"/>
      <c r="J4381" s="24"/>
      <c r="K4381" s="24"/>
      <c r="M4381" s="24"/>
      <c r="N4381" s="24"/>
      <c r="P4381" s="24"/>
    </row>
    <row r="4382" spans="2:16" x14ac:dyDescent="0.25">
      <c r="B4382" s="24"/>
      <c r="E4382" s="24"/>
      <c r="G4382" s="24"/>
      <c r="H4382" s="24"/>
      <c r="J4382" s="24"/>
      <c r="K4382" s="24"/>
      <c r="M4382" s="24"/>
      <c r="N4382" s="24"/>
      <c r="P4382" s="24"/>
    </row>
    <row r="4383" spans="2:16" x14ac:dyDescent="0.25">
      <c r="B4383" s="24"/>
      <c r="E4383" s="24"/>
      <c r="G4383" s="24"/>
      <c r="H4383" s="24"/>
      <c r="J4383" s="24"/>
      <c r="K4383" s="24"/>
      <c r="M4383" s="24"/>
      <c r="N4383" s="24"/>
      <c r="P4383" s="24"/>
    </row>
    <row r="4384" spans="2:16" x14ac:dyDescent="0.25">
      <c r="B4384" s="24"/>
      <c r="E4384" s="24"/>
      <c r="G4384" s="24"/>
      <c r="H4384" s="24"/>
      <c r="J4384" s="24"/>
      <c r="K4384" s="24"/>
      <c r="M4384" s="24"/>
      <c r="N4384" s="24"/>
      <c r="P4384" s="24"/>
    </row>
    <row r="4385" spans="2:16" x14ac:dyDescent="0.25">
      <c r="B4385" s="24"/>
      <c r="E4385" s="24"/>
      <c r="G4385" s="24"/>
      <c r="H4385" s="24"/>
      <c r="J4385" s="24"/>
      <c r="K4385" s="24"/>
      <c r="M4385" s="24"/>
      <c r="N4385" s="24"/>
      <c r="P4385" s="24"/>
    </row>
    <row r="4386" spans="2:16" x14ac:dyDescent="0.25">
      <c r="B4386" s="24"/>
      <c r="E4386" s="24"/>
      <c r="G4386" s="24"/>
      <c r="H4386" s="24"/>
      <c r="J4386" s="24"/>
      <c r="K4386" s="24"/>
      <c r="M4386" s="24"/>
      <c r="N4386" s="24"/>
      <c r="P4386" s="24"/>
    </row>
    <row r="4387" spans="2:16" x14ac:dyDescent="0.25">
      <c r="B4387" s="24"/>
      <c r="E4387" s="24"/>
      <c r="G4387" s="24"/>
      <c r="H4387" s="24"/>
      <c r="J4387" s="24"/>
      <c r="K4387" s="24"/>
      <c r="M4387" s="24"/>
      <c r="N4387" s="24"/>
      <c r="P4387" s="24"/>
    </row>
    <row r="4388" spans="2:16" x14ac:dyDescent="0.25">
      <c r="B4388" s="24"/>
      <c r="E4388" s="24"/>
      <c r="G4388" s="24"/>
      <c r="H4388" s="24"/>
      <c r="J4388" s="24"/>
      <c r="K4388" s="24"/>
      <c r="M4388" s="24"/>
      <c r="N4388" s="24"/>
      <c r="P4388" s="24"/>
    </row>
    <row r="4389" spans="2:16" x14ac:dyDescent="0.25">
      <c r="B4389" s="24"/>
      <c r="E4389" s="24"/>
      <c r="G4389" s="24"/>
      <c r="H4389" s="24"/>
      <c r="J4389" s="24"/>
      <c r="K4389" s="24"/>
      <c r="M4389" s="24"/>
      <c r="N4389" s="24"/>
      <c r="P4389" s="24"/>
    </row>
    <row r="4390" spans="2:16" x14ac:dyDescent="0.25">
      <c r="B4390" s="24"/>
      <c r="E4390" s="24"/>
      <c r="G4390" s="24"/>
      <c r="H4390" s="24"/>
      <c r="J4390" s="24"/>
      <c r="K4390" s="24"/>
      <c r="M4390" s="24"/>
      <c r="N4390" s="24"/>
      <c r="P4390" s="24"/>
    </row>
    <row r="4391" spans="2:16" x14ac:dyDescent="0.25">
      <c r="B4391" s="24"/>
      <c r="E4391" s="24"/>
      <c r="G4391" s="24"/>
      <c r="H4391" s="24"/>
      <c r="J4391" s="24"/>
      <c r="K4391" s="24"/>
      <c r="M4391" s="24"/>
      <c r="N4391" s="24"/>
      <c r="P4391" s="24"/>
    </row>
    <row r="4392" spans="2:16" x14ac:dyDescent="0.25">
      <c r="B4392" s="24"/>
      <c r="E4392" s="24"/>
      <c r="G4392" s="24"/>
      <c r="H4392" s="24"/>
      <c r="J4392" s="24"/>
      <c r="K4392" s="24"/>
      <c r="M4392" s="24"/>
      <c r="N4392" s="24"/>
      <c r="P4392" s="24"/>
    </row>
    <row r="4393" spans="2:16" x14ac:dyDescent="0.25">
      <c r="B4393" s="24"/>
      <c r="E4393" s="24"/>
      <c r="G4393" s="24"/>
      <c r="H4393" s="24"/>
      <c r="J4393" s="24"/>
      <c r="K4393" s="24"/>
      <c r="M4393" s="24"/>
      <c r="N4393" s="24"/>
      <c r="P4393" s="24"/>
    </row>
    <row r="4394" spans="2:16" x14ac:dyDescent="0.25">
      <c r="B4394" s="24"/>
      <c r="E4394" s="24"/>
      <c r="G4394" s="24"/>
      <c r="H4394" s="24"/>
      <c r="J4394" s="24"/>
      <c r="K4394" s="24"/>
      <c r="M4394" s="24"/>
      <c r="N4394" s="24"/>
      <c r="P4394" s="24"/>
    </row>
    <row r="4395" spans="2:16" x14ac:dyDescent="0.25">
      <c r="B4395" s="24"/>
      <c r="E4395" s="24"/>
      <c r="G4395" s="24"/>
      <c r="H4395" s="24"/>
      <c r="J4395" s="24"/>
      <c r="K4395" s="24"/>
      <c r="M4395" s="24"/>
      <c r="N4395" s="24"/>
      <c r="P4395" s="24"/>
    </row>
    <row r="4396" spans="2:16" x14ac:dyDescent="0.25">
      <c r="B4396" s="24"/>
      <c r="E4396" s="24"/>
      <c r="G4396" s="24"/>
      <c r="H4396" s="24"/>
      <c r="J4396" s="24"/>
      <c r="K4396" s="24"/>
      <c r="M4396" s="24"/>
      <c r="N4396" s="24"/>
      <c r="P4396" s="24"/>
    </row>
    <row r="4397" spans="2:16" x14ac:dyDescent="0.25">
      <c r="B4397" s="24"/>
      <c r="E4397" s="24"/>
      <c r="G4397" s="24"/>
      <c r="H4397" s="24"/>
      <c r="J4397" s="24"/>
      <c r="K4397" s="24"/>
      <c r="M4397" s="24"/>
      <c r="N4397" s="24"/>
      <c r="P4397" s="24"/>
    </row>
    <row r="4398" spans="2:16" x14ac:dyDescent="0.25">
      <c r="B4398" s="24"/>
      <c r="E4398" s="24"/>
      <c r="G4398" s="24"/>
      <c r="H4398" s="24"/>
      <c r="J4398" s="24"/>
      <c r="K4398" s="24"/>
      <c r="M4398" s="24"/>
      <c r="N4398" s="24"/>
      <c r="P4398" s="24"/>
    </row>
    <row r="4399" spans="2:16" x14ac:dyDescent="0.25">
      <c r="B4399" s="24"/>
      <c r="E4399" s="24"/>
      <c r="G4399" s="24"/>
      <c r="H4399" s="24"/>
      <c r="J4399" s="24"/>
      <c r="K4399" s="24"/>
      <c r="M4399" s="24"/>
      <c r="N4399" s="24"/>
      <c r="P4399" s="24"/>
    </row>
    <row r="4400" spans="2:16" x14ac:dyDescent="0.25">
      <c r="B4400" s="24"/>
      <c r="E4400" s="24"/>
      <c r="G4400" s="24"/>
      <c r="H4400" s="24"/>
      <c r="J4400" s="24"/>
      <c r="K4400" s="24"/>
      <c r="M4400" s="24"/>
      <c r="N4400" s="24"/>
      <c r="P4400" s="24"/>
    </row>
    <row r="4401" spans="2:16" x14ac:dyDescent="0.25">
      <c r="B4401" s="24"/>
      <c r="E4401" s="24"/>
      <c r="G4401" s="24"/>
      <c r="H4401" s="24"/>
      <c r="J4401" s="24"/>
      <c r="K4401" s="24"/>
      <c r="M4401" s="24"/>
      <c r="N4401" s="24"/>
      <c r="P4401" s="24"/>
    </row>
    <row r="4402" spans="2:16" x14ac:dyDescent="0.25">
      <c r="B4402" s="24"/>
      <c r="E4402" s="24"/>
      <c r="G4402" s="24"/>
      <c r="H4402" s="24"/>
      <c r="J4402" s="24"/>
      <c r="K4402" s="24"/>
      <c r="M4402" s="24"/>
      <c r="N4402" s="24"/>
      <c r="P4402" s="24"/>
    </row>
    <row r="4403" spans="2:16" x14ac:dyDescent="0.25">
      <c r="B4403" s="24"/>
      <c r="E4403" s="24"/>
      <c r="G4403" s="24"/>
      <c r="H4403" s="24"/>
      <c r="J4403" s="24"/>
      <c r="K4403" s="24"/>
      <c r="M4403" s="24"/>
      <c r="N4403" s="24"/>
      <c r="P4403" s="24"/>
    </row>
    <row r="4404" spans="2:16" x14ac:dyDescent="0.25">
      <c r="B4404" s="24"/>
      <c r="E4404" s="24"/>
      <c r="G4404" s="24"/>
      <c r="H4404" s="24"/>
      <c r="J4404" s="24"/>
      <c r="K4404" s="24"/>
      <c r="M4404" s="24"/>
      <c r="N4404" s="24"/>
      <c r="P4404" s="24"/>
    </row>
    <row r="4405" spans="2:16" x14ac:dyDescent="0.25">
      <c r="B4405" s="24"/>
      <c r="E4405" s="24"/>
      <c r="G4405" s="24"/>
      <c r="H4405" s="24"/>
      <c r="J4405" s="24"/>
      <c r="K4405" s="24"/>
      <c r="M4405" s="24"/>
      <c r="N4405" s="24"/>
      <c r="P4405" s="24"/>
    </row>
    <row r="4406" spans="2:16" x14ac:dyDescent="0.25">
      <c r="B4406" s="24"/>
      <c r="E4406" s="24"/>
      <c r="G4406" s="24"/>
      <c r="H4406" s="24"/>
      <c r="J4406" s="24"/>
      <c r="K4406" s="24"/>
      <c r="M4406" s="24"/>
      <c r="N4406" s="24"/>
      <c r="P4406" s="24"/>
    </row>
    <row r="4407" spans="2:16" x14ac:dyDescent="0.25">
      <c r="B4407" s="24"/>
      <c r="E4407" s="24"/>
      <c r="G4407" s="24"/>
      <c r="H4407" s="24"/>
      <c r="J4407" s="24"/>
      <c r="K4407" s="24"/>
      <c r="M4407" s="24"/>
      <c r="N4407" s="24"/>
      <c r="P4407" s="24"/>
    </row>
    <row r="4408" spans="2:16" x14ac:dyDescent="0.25">
      <c r="B4408" s="24"/>
      <c r="E4408" s="24"/>
      <c r="G4408" s="24"/>
      <c r="H4408" s="24"/>
      <c r="J4408" s="24"/>
      <c r="K4408" s="24"/>
      <c r="M4408" s="24"/>
      <c r="N4408" s="24"/>
      <c r="P4408" s="24"/>
    </row>
    <row r="4409" spans="2:16" x14ac:dyDescent="0.25">
      <c r="B4409" s="24"/>
      <c r="E4409" s="24"/>
      <c r="G4409" s="24"/>
      <c r="H4409" s="24"/>
      <c r="J4409" s="24"/>
      <c r="K4409" s="24"/>
      <c r="M4409" s="24"/>
      <c r="N4409" s="24"/>
      <c r="P4409" s="24"/>
    </row>
    <row r="4410" spans="2:16" x14ac:dyDescent="0.25">
      <c r="B4410" s="24"/>
      <c r="E4410" s="24"/>
      <c r="G4410" s="24"/>
      <c r="H4410" s="24"/>
      <c r="J4410" s="24"/>
      <c r="K4410" s="24"/>
      <c r="M4410" s="24"/>
      <c r="N4410" s="24"/>
      <c r="P4410" s="24"/>
    </row>
    <row r="4411" spans="2:16" x14ac:dyDescent="0.25">
      <c r="B4411" s="24"/>
      <c r="E4411" s="24"/>
      <c r="G4411" s="24"/>
      <c r="H4411" s="24"/>
      <c r="J4411" s="24"/>
      <c r="K4411" s="24"/>
      <c r="M4411" s="24"/>
      <c r="N4411" s="24"/>
      <c r="P4411" s="24"/>
    </row>
    <row r="4412" spans="2:16" x14ac:dyDescent="0.25">
      <c r="B4412" s="24"/>
      <c r="E4412" s="24"/>
      <c r="G4412" s="24"/>
      <c r="H4412" s="24"/>
      <c r="J4412" s="24"/>
      <c r="K4412" s="24"/>
      <c r="M4412" s="24"/>
      <c r="N4412" s="24"/>
      <c r="P4412" s="24"/>
    </row>
    <row r="4413" spans="2:16" x14ac:dyDescent="0.25">
      <c r="B4413" s="24"/>
      <c r="E4413" s="24"/>
      <c r="G4413" s="24"/>
      <c r="H4413" s="24"/>
      <c r="J4413" s="24"/>
      <c r="K4413" s="24"/>
      <c r="M4413" s="24"/>
      <c r="N4413" s="24"/>
      <c r="P4413" s="24"/>
    </row>
    <row r="4414" spans="2:16" x14ac:dyDescent="0.25">
      <c r="B4414" s="24"/>
      <c r="E4414" s="24"/>
      <c r="G4414" s="24"/>
      <c r="H4414" s="24"/>
      <c r="J4414" s="24"/>
      <c r="K4414" s="24"/>
      <c r="M4414" s="24"/>
      <c r="N4414" s="24"/>
      <c r="P4414" s="24"/>
    </row>
    <row r="4415" spans="2:16" x14ac:dyDescent="0.25">
      <c r="B4415" s="24"/>
      <c r="E4415" s="24"/>
      <c r="G4415" s="24"/>
      <c r="H4415" s="24"/>
      <c r="J4415" s="24"/>
      <c r="K4415" s="24"/>
      <c r="M4415" s="24"/>
      <c r="N4415" s="24"/>
      <c r="P4415" s="24"/>
    </row>
    <row r="4416" spans="2:16" x14ac:dyDescent="0.25">
      <c r="B4416" s="24"/>
      <c r="E4416" s="24"/>
      <c r="G4416" s="24"/>
      <c r="H4416" s="24"/>
      <c r="J4416" s="24"/>
      <c r="K4416" s="24"/>
      <c r="M4416" s="24"/>
      <c r="N4416" s="24"/>
      <c r="P4416" s="24"/>
    </row>
    <row r="4417" spans="2:16" x14ac:dyDescent="0.25">
      <c r="B4417" s="24"/>
      <c r="E4417" s="24"/>
      <c r="G4417" s="24"/>
      <c r="H4417" s="24"/>
      <c r="J4417" s="24"/>
      <c r="K4417" s="24"/>
      <c r="M4417" s="24"/>
      <c r="N4417" s="24"/>
      <c r="P4417" s="24"/>
    </row>
    <row r="4418" spans="2:16" x14ac:dyDescent="0.25">
      <c r="B4418" s="24"/>
      <c r="E4418" s="24"/>
      <c r="G4418" s="24"/>
      <c r="H4418" s="24"/>
      <c r="J4418" s="24"/>
      <c r="K4418" s="24"/>
      <c r="M4418" s="24"/>
      <c r="N4418" s="24"/>
      <c r="P4418" s="24"/>
    </row>
    <row r="4419" spans="2:16" x14ac:dyDescent="0.25">
      <c r="B4419" s="24"/>
      <c r="E4419" s="24"/>
      <c r="G4419" s="24"/>
      <c r="H4419" s="24"/>
      <c r="J4419" s="24"/>
      <c r="K4419" s="24"/>
      <c r="M4419" s="24"/>
      <c r="N4419" s="24"/>
      <c r="P4419" s="24"/>
    </row>
    <row r="4420" spans="2:16" x14ac:dyDescent="0.25">
      <c r="B4420" s="24"/>
      <c r="E4420" s="24"/>
      <c r="G4420" s="24"/>
      <c r="H4420" s="24"/>
      <c r="J4420" s="24"/>
      <c r="K4420" s="24"/>
      <c r="M4420" s="24"/>
      <c r="N4420" s="24"/>
      <c r="P4420" s="24"/>
    </row>
    <row r="4421" spans="2:16" x14ac:dyDescent="0.25">
      <c r="B4421" s="24"/>
      <c r="E4421" s="24"/>
      <c r="G4421" s="24"/>
      <c r="H4421" s="24"/>
      <c r="J4421" s="24"/>
      <c r="K4421" s="24"/>
      <c r="M4421" s="24"/>
      <c r="N4421" s="24"/>
      <c r="P4421" s="24"/>
    </row>
    <row r="4422" spans="2:16" x14ac:dyDescent="0.25">
      <c r="B4422" s="24"/>
      <c r="E4422" s="24"/>
      <c r="G4422" s="24"/>
      <c r="H4422" s="24"/>
      <c r="J4422" s="24"/>
      <c r="K4422" s="24"/>
      <c r="M4422" s="24"/>
      <c r="N4422" s="24"/>
      <c r="P4422" s="24"/>
    </row>
    <row r="4423" spans="2:16" x14ac:dyDescent="0.25">
      <c r="B4423" s="24"/>
      <c r="E4423" s="24"/>
      <c r="G4423" s="24"/>
      <c r="H4423" s="24"/>
      <c r="J4423" s="24"/>
      <c r="K4423" s="24"/>
      <c r="M4423" s="24"/>
      <c r="N4423" s="24"/>
      <c r="P4423" s="24"/>
    </row>
    <row r="4424" spans="2:16" x14ac:dyDescent="0.25">
      <c r="B4424" s="24"/>
      <c r="E4424" s="24"/>
      <c r="G4424" s="24"/>
      <c r="H4424" s="24"/>
      <c r="J4424" s="24"/>
      <c r="K4424" s="24"/>
      <c r="M4424" s="24"/>
      <c r="N4424" s="24"/>
      <c r="P4424" s="24"/>
    </row>
    <row r="4425" spans="2:16" x14ac:dyDescent="0.25">
      <c r="B4425" s="24"/>
      <c r="E4425" s="24"/>
      <c r="G4425" s="24"/>
      <c r="H4425" s="24"/>
      <c r="J4425" s="24"/>
      <c r="K4425" s="24"/>
      <c r="M4425" s="24"/>
      <c r="N4425" s="24"/>
      <c r="P4425" s="24"/>
    </row>
    <row r="4426" spans="2:16" x14ac:dyDescent="0.25">
      <c r="B4426" s="24"/>
      <c r="E4426" s="24"/>
      <c r="G4426" s="24"/>
      <c r="H4426" s="24"/>
      <c r="J4426" s="24"/>
      <c r="K4426" s="24"/>
      <c r="M4426" s="24"/>
      <c r="N4426" s="24"/>
      <c r="P4426" s="24"/>
    </row>
    <row r="4427" spans="2:16" x14ac:dyDescent="0.25">
      <c r="B4427" s="24"/>
      <c r="E4427" s="24"/>
      <c r="G4427" s="24"/>
      <c r="H4427" s="24"/>
      <c r="J4427" s="24"/>
      <c r="K4427" s="24"/>
      <c r="M4427" s="24"/>
      <c r="N4427" s="24"/>
      <c r="P4427" s="24"/>
    </row>
    <row r="4428" spans="2:16" x14ac:dyDescent="0.25">
      <c r="B4428" s="24"/>
      <c r="E4428" s="24"/>
      <c r="G4428" s="24"/>
      <c r="H4428" s="24"/>
      <c r="J4428" s="24"/>
      <c r="K4428" s="24"/>
      <c r="M4428" s="24"/>
      <c r="N4428" s="24"/>
      <c r="P4428" s="24"/>
    </row>
    <row r="4429" spans="2:16" x14ac:dyDescent="0.25">
      <c r="B4429" s="24"/>
      <c r="E4429" s="24"/>
      <c r="G4429" s="24"/>
      <c r="H4429" s="24"/>
      <c r="J4429" s="24"/>
      <c r="K4429" s="24"/>
      <c r="M4429" s="24"/>
      <c r="N4429" s="24"/>
      <c r="P4429" s="24"/>
    </row>
    <row r="4430" spans="2:16" x14ac:dyDescent="0.25">
      <c r="B4430" s="24"/>
      <c r="E4430" s="24"/>
      <c r="G4430" s="24"/>
      <c r="H4430" s="24"/>
      <c r="J4430" s="24"/>
      <c r="K4430" s="24"/>
      <c r="M4430" s="24"/>
      <c r="N4430" s="24"/>
      <c r="P4430" s="24"/>
    </row>
    <row r="4431" spans="2:16" x14ac:dyDescent="0.25">
      <c r="B4431" s="24"/>
      <c r="E4431" s="24"/>
      <c r="G4431" s="24"/>
      <c r="H4431" s="24"/>
      <c r="J4431" s="24"/>
      <c r="K4431" s="24"/>
      <c r="M4431" s="24"/>
      <c r="N4431" s="24"/>
      <c r="P4431" s="24"/>
    </row>
    <row r="4432" spans="2:16" x14ac:dyDescent="0.25">
      <c r="B4432" s="24"/>
      <c r="E4432" s="24"/>
      <c r="G4432" s="24"/>
      <c r="H4432" s="24"/>
      <c r="J4432" s="24"/>
      <c r="K4432" s="24"/>
      <c r="M4432" s="24"/>
      <c r="N4432" s="24"/>
      <c r="P4432" s="24"/>
    </row>
    <row r="4433" spans="2:16" x14ac:dyDescent="0.25">
      <c r="B4433" s="24"/>
      <c r="E4433" s="24"/>
      <c r="G4433" s="24"/>
      <c r="H4433" s="24"/>
      <c r="J4433" s="24"/>
      <c r="K4433" s="24"/>
      <c r="M4433" s="24"/>
      <c r="N4433" s="24"/>
      <c r="P4433" s="24"/>
    </row>
    <row r="4434" spans="2:16" x14ac:dyDescent="0.25">
      <c r="B4434" s="24"/>
      <c r="E4434" s="24"/>
      <c r="G4434" s="24"/>
      <c r="H4434" s="24"/>
      <c r="J4434" s="24"/>
      <c r="K4434" s="24"/>
      <c r="M4434" s="24"/>
      <c r="N4434" s="24"/>
      <c r="P4434" s="24"/>
    </row>
    <row r="4435" spans="2:16" x14ac:dyDescent="0.25">
      <c r="B4435" s="24"/>
      <c r="E4435" s="24"/>
      <c r="G4435" s="24"/>
      <c r="H4435" s="24"/>
      <c r="J4435" s="24"/>
      <c r="K4435" s="24"/>
      <c r="M4435" s="24"/>
      <c r="N4435" s="24"/>
      <c r="P4435" s="24"/>
    </row>
    <row r="4436" spans="2:16" x14ac:dyDescent="0.25">
      <c r="B4436" s="24"/>
      <c r="E4436" s="24"/>
      <c r="G4436" s="24"/>
      <c r="H4436" s="24"/>
      <c r="J4436" s="24"/>
      <c r="K4436" s="24"/>
      <c r="M4436" s="24"/>
      <c r="N4436" s="24"/>
      <c r="P4436" s="24"/>
    </row>
    <row r="4437" spans="2:16" x14ac:dyDescent="0.25">
      <c r="B4437" s="24"/>
      <c r="E4437" s="24"/>
      <c r="G4437" s="24"/>
      <c r="H4437" s="24"/>
      <c r="J4437" s="24"/>
      <c r="K4437" s="24"/>
      <c r="M4437" s="24"/>
      <c r="N4437" s="24"/>
      <c r="P4437" s="24"/>
    </row>
    <row r="4438" spans="2:16" x14ac:dyDescent="0.25">
      <c r="B4438" s="24"/>
      <c r="E4438" s="24"/>
      <c r="G4438" s="24"/>
      <c r="H4438" s="24"/>
      <c r="J4438" s="24"/>
      <c r="K4438" s="24"/>
      <c r="M4438" s="24"/>
      <c r="N4438" s="24"/>
      <c r="P4438" s="24"/>
    </row>
    <row r="4439" spans="2:16" x14ac:dyDescent="0.25">
      <c r="B4439" s="24"/>
      <c r="E4439" s="24"/>
      <c r="G4439" s="24"/>
      <c r="H4439" s="24"/>
      <c r="J4439" s="24"/>
      <c r="K4439" s="24"/>
      <c r="M4439" s="24"/>
      <c r="N4439" s="24"/>
      <c r="P4439" s="24"/>
    </row>
    <row r="4440" spans="2:16" x14ac:dyDescent="0.25">
      <c r="B4440" s="24"/>
      <c r="E4440" s="24"/>
      <c r="G4440" s="24"/>
      <c r="H4440" s="24"/>
      <c r="J4440" s="24"/>
      <c r="K4440" s="24"/>
      <c r="M4440" s="24"/>
      <c r="N4440" s="24"/>
      <c r="P4440" s="24"/>
    </row>
    <row r="4441" spans="2:16" x14ac:dyDescent="0.25">
      <c r="B4441" s="24"/>
      <c r="E4441" s="24"/>
      <c r="G4441" s="24"/>
      <c r="H4441" s="24"/>
      <c r="J4441" s="24"/>
      <c r="K4441" s="24"/>
      <c r="M4441" s="24"/>
      <c r="N4441" s="24"/>
      <c r="P4441" s="24"/>
    </row>
    <row r="4442" spans="2:16" x14ac:dyDescent="0.25">
      <c r="B4442" s="24"/>
      <c r="E4442" s="24"/>
      <c r="G4442" s="24"/>
      <c r="H4442" s="24"/>
      <c r="J4442" s="24"/>
      <c r="K4442" s="24"/>
      <c r="M4442" s="24"/>
      <c r="N4442" s="24"/>
      <c r="P4442" s="24"/>
    </row>
    <row r="4443" spans="2:16" x14ac:dyDescent="0.25">
      <c r="B4443" s="24"/>
      <c r="E4443" s="24"/>
      <c r="G4443" s="24"/>
      <c r="H4443" s="24"/>
      <c r="J4443" s="24"/>
      <c r="K4443" s="24"/>
      <c r="M4443" s="24"/>
      <c r="N4443" s="24"/>
      <c r="P4443" s="24"/>
    </row>
    <row r="4444" spans="2:16" x14ac:dyDescent="0.25">
      <c r="B4444" s="24"/>
      <c r="E4444" s="24"/>
      <c r="G4444" s="24"/>
      <c r="H4444" s="24"/>
      <c r="J4444" s="24"/>
      <c r="K4444" s="24"/>
      <c r="M4444" s="24"/>
      <c r="N4444" s="24"/>
      <c r="P4444" s="24"/>
    </row>
    <row r="4445" spans="2:16" x14ac:dyDescent="0.25">
      <c r="B4445" s="24"/>
      <c r="E4445" s="24"/>
      <c r="G4445" s="24"/>
      <c r="H4445" s="24"/>
      <c r="J4445" s="24"/>
      <c r="K4445" s="24"/>
      <c r="M4445" s="24"/>
      <c r="N4445" s="24"/>
      <c r="P4445" s="24"/>
    </row>
    <row r="4446" spans="2:16" x14ac:dyDescent="0.25">
      <c r="B4446" s="24"/>
      <c r="E4446" s="24"/>
      <c r="G4446" s="24"/>
      <c r="H4446" s="24"/>
      <c r="J4446" s="24"/>
      <c r="K4446" s="24"/>
      <c r="M4446" s="24"/>
      <c r="N4446" s="24"/>
      <c r="P4446" s="24"/>
    </row>
    <row r="4447" spans="2:16" x14ac:dyDescent="0.25">
      <c r="B4447" s="24"/>
      <c r="E4447" s="24"/>
      <c r="G4447" s="24"/>
      <c r="H4447" s="24"/>
      <c r="J4447" s="24"/>
      <c r="K4447" s="24"/>
      <c r="M4447" s="24"/>
      <c r="N4447" s="24"/>
      <c r="P4447" s="24"/>
    </row>
    <row r="4448" spans="2:16" x14ac:dyDescent="0.25">
      <c r="B4448" s="24"/>
      <c r="E4448" s="24"/>
      <c r="G4448" s="24"/>
      <c r="H4448" s="24"/>
      <c r="J4448" s="24"/>
      <c r="K4448" s="24"/>
      <c r="M4448" s="24"/>
      <c r="N4448" s="24"/>
      <c r="P4448" s="24"/>
    </row>
    <row r="4449" spans="2:16" x14ac:dyDescent="0.25">
      <c r="B4449" s="24"/>
      <c r="E4449" s="24"/>
      <c r="G4449" s="24"/>
      <c r="H4449" s="24"/>
      <c r="J4449" s="24"/>
      <c r="K4449" s="24"/>
      <c r="M4449" s="24"/>
      <c r="N4449" s="24"/>
      <c r="P4449" s="24"/>
    </row>
    <row r="4450" spans="2:16" x14ac:dyDescent="0.25">
      <c r="B4450" s="24"/>
      <c r="E4450" s="24"/>
      <c r="G4450" s="24"/>
      <c r="H4450" s="24"/>
      <c r="J4450" s="24"/>
      <c r="K4450" s="24"/>
      <c r="M4450" s="24"/>
      <c r="N4450" s="24"/>
      <c r="P4450" s="24"/>
    </row>
    <row r="4451" spans="2:16" x14ac:dyDescent="0.25">
      <c r="B4451" s="24"/>
      <c r="E4451" s="24"/>
      <c r="G4451" s="24"/>
      <c r="H4451" s="24"/>
      <c r="J4451" s="24"/>
      <c r="K4451" s="24"/>
      <c r="M4451" s="24"/>
      <c r="N4451" s="24"/>
      <c r="P4451" s="24"/>
    </row>
    <row r="4452" spans="2:16" x14ac:dyDescent="0.25">
      <c r="B4452" s="24"/>
      <c r="E4452" s="24"/>
      <c r="G4452" s="24"/>
      <c r="H4452" s="24"/>
      <c r="J4452" s="24"/>
      <c r="K4452" s="24"/>
      <c r="M4452" s="24"/>
      <c r="N4452" s="24"/>
      <c r="P4452" s="24"/>
    </row>
    <row r="4453" spans="2:16" x14ac:dyDescent="0.25">
      <c r="B4453" s="24"/>
      <c r="E4453" s="24"/>
      <c r="G4453" s="24"/>
      <c r="H4453" s="24"/>
      <c r="J4453" s="24"/>
      <c r="K4453" s="24"/>
      <c r="M4453" s="24"/>
      <c r="N4453" s="24"/>
      <c r="P4453" s="24"/>
    </row>
    <row r="4454" spans="2:16" x14ac:dyDescent="0.25">
      <c r="B4454" s="24"/>
      <c r="E4454" s="24"/>
      <c r="G4454" s="24"/>
      <c r="H4454" s="24"/>
      <c r="J4454" s="24"/>
      <c r="K4454" s="24"/>
      <c r="M4454" s="24"/>
      <c r="N4454" s="24"/>
      <c r="P4454" s="24"/>
    </row>
    <row r="4455" spans="2:16" x14ac:dyDescent="0.25">
      <c r="B4455" s="24"/>
      <c r="E4455" s="24"/>
      <c r="G4455" s="24"/>
      <c r="H4455" s="24"/>
      <c r="J4455" s="24"/>
      <c r="K4455" s="24"/>
      <c r="M4455" s="24"/>
      <c r="N4455" s="24"/>
      <c r="P4455" s="24"/>
    </row>
    <row r="4456" spans="2:16" x14ac:dyDescent="0.25">
      <c r="B4456" s="24"/>
      <c r="E4456" s="24"/>
      <c r="G4456" s="24"/>
      <c r="H4456" s="24"/>
      <c r="J4456" s="24"/>
      <c r="K4456" s="24"/>
      <c r="M4456" s="24"/>
      <c r="N4456" s="24"/>
      <c r="P4456" s="24"/>
    </row>
    <row r="4457" spans="2:16" x14ac:dyDescent="0.25">
      <c r="B4457" s="24"/>
      <c r="E4457" s="24"/>
      <c r="G4457" s="24"/>
      <c r="H4457" s="24"/>
      <c r="J4457" s="24"/>
      <c r="K4457" s="24"/>
      <c r="M4457" s="24"/>
      <c r="N4457" s="24"/>
      <c r="P4457" s="24"/>
    </row>
    <row r="4458" spans="2:16" x14ac:dyDescent="0.25">
      <c r="B4458" s="24"/>
      <c r="E4458" s="24"/>
      <c r="G4458" s="24"/>
      <c r="H4458" s="24"/>
      <c r="J4458" s="24"/>
      <c r="K4458" s="24"/>
      <c r="M4458" s="24"/>
      <c r="N4458" s="24"/>
      <c r="P4458" s="24"/>
    </row>
    <row r="4459" spans="2:16" x14ac:dyDescent="0.25">
      <c r="B4459" s="24"/>
      <c r="E4459" s="24"/>
      <c r="G4459" s="24"/>
      <c r="H4459" s="24"/>
      <c r="J4459" s="24"/>
      <c r="K4459" s="24"/>
      <c r="M4459" s="24"/>
      <c r="N4459" s="24"/>
      <c r="P4459" s="24"/>
    </row>
    <row r="4460" spans="2:16" x14ac:dyDescent="0.25">
      <c r="B4460" s="24"/>
      <c r="E4460" s="24"/>
      <c r="G4460" s="24"/>
      <c r="H4460" s="24"/>
      <c r="J4460" s="24"/>
      <c r="K4460" s="24"/>
      <c r="M4460" s="24"/>
      <c r="N4460" s="24"/>
      <c r="P4460" s="24"/>
    </row>
    <row r="4461" spans="2:16" x14ac:dyDescent="0.25">
      <c r="B4461" s="24"/>
      <c r="E4461" s="24"/>
      <c r="G4461" s="24"/>
      <c r="H4461" s="24"/>
      <c r="J4461" s="24"/>
      <c r="K4461" s="24"/>
      <c r="M4461" s="24"/>
      <c r="N4461" s="24"/>
      <c r="P4461" s="24"/>
    </row>
    <row r="4462" spans="2:16" x14ac:dyDescent="0.25">
      <c r="B4462" s="24"/>
      <c r="E4462" s="24"/>
      <c r="G4462" s="24"/>
      <c r="H4462" s="24"/>
      <c r="J4462" s="24"/>
      <c r="K4462" s="24"/>
      <c r="M4462" s="24"/>
      <c r="N4462" s="24"/>
      <c r="P4462" s="24"/>
    </row>
    <row r="4463" spans="2:16" x14ac:dyDescent="0.25">
      <c r="B4463" s="24"/>
      <c r="E4463" s="24"/>
      <c r="G4463" s="24"/>
      <c r="H4463" s="24"/>
      <c r="J4463" s="24"/>
      <c r="K4463" s="24"/>
      <c r="M4463" s="24"/>
      <c r="N4463" s="24"/>
      <c r="P4463" s="24"/>
    </row>
    <row r="4464" spans="2:16" x14ac:dyDescent="0.25">
      <c r="B4464" s="24"/>
      <c r="E4464" s="24"/>
      <c r="G4464" s="24"/>
      <c r="H4464" s="24"/>
      <c r="J4464" s="24"/>
      <c r="K4464" s="24"/>
      <c r="M4464" s="24"/>
      <c r="N4464" s="24"/>
      <c r="P4464" s="24"/>
    </row>
    <row r="4465" spans="2:16" x14ac:dyDescent="0.25">
      <c r="B4465" s="24"/>
      <c r="E4465" s="24"/>
      <c r="G4465" s="24"/>
      <c r="H4465" s="24"/>
      <c r="J4465" s="24"/>
      <c r="K4465" s="24"/>
      <c r="M4465" s="24"/>
      <c r="N4465" s="24"/>
      <c r="P4465" s="24"/>
    </row>
    <row r="4466" spans="2:16" x14ac:dyDescent="0.25">
      <c r="B4466" s="24"/>
      <c r="E4466" s="24"/>
      <c r="G4466" s="24"/>
      <c r="H4466" s="24"/>
      <c r="J4466" s="24"/>
      <c r="K4466" s="24"/>
      <c r="M4466" s="24"/>
      <c r="N4466" s="24"/>
      <c r="P4466" s="24"/>
    </row>
    <row r="4467" spans="2:16" x14ac:dyDescent="0.25">
      <c r="B4467" s="24"/>
      <c r="E4467" s="24"/>
      <c r="G4467" s="24"/>
      <c r="H4467" s="24"/>
      <c r="J4467" s="24"/>
      <c r="K4467" s="24"/>
      <c r="M4467" s="24"/>
      <c r="N4467" s="24"/>
      <c r="P4467" s="24"/>
    </row>
    <row r="4468" spans="2:16" x14ac:dyDescent="0.25">
      <c r="B4468" s="24"/>
      <c r="E4468" s="24"/>
      <c r="G4468" s="24"/>
      <c r="H4468" s="24"/>
      <c r="J4468" s="24"/>
      <c r="K4468" s="24"/>
      <c r="M4468" s="24"/>
      <c r="N4468" s="24"/>
      <c r="P4468" s="24"/>
    </row>
    <row r="4469" spans="2:16" x14ac:dyDescent="0.25">
      <c r="B4469" s="24"/>
      <c r="E4469" s="24"/>
      <c r="G4469" s="24"/>
      <c r="H4469" s="24"/>
      <c r="J4469" s="24"/>
      <c r="K4469" s="24"/>
      <c r="M4469" s="24"/>
      <c r="N4469" s="24"/>
      <c r="P4469" s="24"/>
    </row>
    <row r="4470" spans="2:16" x14ac:dyDescent="0.25">
      <c r="B4470" s="24"/>
      <c r="E4470" s="24"/>
      <c r="G4470" s="24"/>
      <c r="H4470" s="24"/>
      <c r="J4470" s="24"/>
      <c r="K4470" s="24"/>
      <c r="M4470" s="24"/>
      <c r="N4470" s="24"/>
      <c r="P4470" s="24"/>
    </row>
    <row r="4471" spans="2:16" x14ac:dyDescent="0.25">
      <c r="B4471" s="24"/>
      <c r="E4471" s="24"/>
      <c r="G4471" s="24"/>
      <c r="H4471" s="24"/>
      <c r="J4471" s="24"/>
      <c r="K4471" s="24"/>
      <c r="M4471" s="24"/>
      <c r="N4471" s="24"/>
      <c r="P4471" s="24"/>
    </row>
    <row r="4472" spans="2:16" x14ac:dyDescent="0.25">
      <c r="B4472" s="24"/>
      <c r="E4472" s="24"/>
      <c r="G4472" s="24"/>
      <c r="H4472" s="24"/>
      <c r="J4472" s="24"/>
      <c r="K4472" s="24"/>
      <c r="M4472" s="24"/>
      <c r="N4472" s="24"/>
      <c r="P4472" s="24"/>
    </row>
    <row r="4473" spans="2:16" x14ac:dyDescent="0.25">
      <c r="B4473" s="24"/>
      <c r="E4473" s="24"/>
      <c r="G4473" s="24"/>
      <c r="H4473" s="24"/>
      <c r="J4473" s="24"/>
      <c r="K4473" s="24"/>
      <c r="M4473" s="24"/>
      <c r="N4473" s="24"/>
      <c r="P4473" s="24"/>
    </row>
    <row r="4474" spans="2:16" x14ac:dyDescent="0.25">
      <c r="B4474" s="24"/>
      <c r="E4474" s="24"/>
      <c r="G4474" s="24"/>
      <c r="H4474" s="24"/>
      <c r="J4474" s="24"/>
      <c r="K4474" s="24"/>
      <c r="M4474" s="24"/>
      <c r="N4474" s="24"/>
      <c r="P4474" s="24"/>
    </row>
    <row r="4475" spans="2:16" x14ac:dyDescent="0.25">
      <c r="B4475" s="24"/>
      <c r="E4475" s="24"/>
      <c r="G4475" s="24"/>
      <c r="H4475" s="24"/>
      <c r="J4475" s="24"/>
      <c r="K4475" s="24"/>
      <c r="M4475" s="24"/>
      <c r="N4475" s="24"/>
      <c r="P4475" s="24"/>
    </row>
    <row r="4476" spans="2:16" x14ac:dyDescent="0.25">
      <c r="B4476" s="24"/>
      <c r="E4476" s="24"/>
      <c r="G4476" s="24"/>
      <c r="H4476" s="24"/>
      <c r="J4476" s="24"/>
      <c r="K4476" s="24"/>
      <c r="M4476" s="24"/>
      <c r="N4476" s="24"/>
      <c r="P4476" s="24"/>
    </row>
    <row r="4477" spans="2:16" x14ac:dyDescent="0.25">
      <c r="B4477" s="24"/>
      <c r="E4477" s="24"/>
      <c r="G4477" s="24"/>
      <c r="H4477" s="24"/>
      <c r="J4477" s="24"/>
      <c r="K4477" s="24"/>
      <c r="M4477" s="24"/>
      <c r="N4477" s="24"/>
      <c r="P4477" s="24"/>
    </row>
    <row r="4478" spans="2:16" x14ac:dyDescent="0.25">
      <c r="B4478" s="24"/>
      <c r="E4478" s="24"/>
      <c r="G4478" s="24"/>
      <c r="H4478" s="24"/>
      <c r="J4478" s="24"/>
      <c r="K4478" s="24"/>
      <c r="M4478" s="24"/>
      <c r="N4478" s="24"/>
      <c r="P4478" s="24"/>
    </row>
    <row r="4479" spans="2:16" x14ac:dyDescent="0.25">
      <c r="B4479" s="24"/>
      <c r="E4479" s="24"/>
      <c r="G4479" s="24"/>
      <c r="H4479" s="24"/>
      <c r="J4479" s="24"/>
      <c r="K4479" s="24"/>
      <c r="M4479" s="24"/>
      <c r="N4479" s="24"/>
      <c r="P4479" s="24"/>
    </row>
    <row r="4480" spans="2:16" x14ac:dyDescent="0.25">
      <c r="B4480" s="24"/>
      <c r="E4480" s="24"/>
      <c r="G4480" s="24"/>
      <c r="H4480" s="24"/>
      <c r="J4480" s="24"/>
      <c r="K4480" s="24"/>
      <c r="M4480" s="24"/>
      <c r="N4480" s="24"/>
      <c r="P4480" s="24"/>
    </row>
    <row r="4481" spans="2:16" x14ac:dyDescent="0.25">
      <c r="B4481" s="24"/>
      <c r="E4481" s="24"/>
      <c r="G4481" s="24"/>
      <c r="H4481" s="24"/>
      <c r="J4481" s="24"/>
      <c r="K4481" s="24"/>
      <c r="M4481" s="24"/>
      <c r="N4481" s="24"/>
      <c r="P4481" s="24"/>
    </row>
    <row r="4482" spans="2:16" x14ac:dyDescent="0.25">
      <c r="B4482" s="24"/>
      <c r="E4482" s="24"/>
      <c r="G4482" s="24"/>
      <c r="H4482" s="24"/>
      <c r="J4482" s="24"/>
      <c r="K4482" s="24"/>
      <c r="M4482" s="24"/>
      <c r="N4482" s="24"/>
      <c r="P4482" s="24"/>
    </row>
    <row r="4483" spans="2:16" x14ac:dyDescent="0.25">
      <c r="B4483" s="24"/>
      <c r="E4483" s="24"/>
      <c r="G4483" s="24"/>
      <c r="H4483" s="24"/>
      <c r="J4483" s="24"/>
      <c r="K4483" s="24"/>
      <c r="M4483" s="24"/>
      <c r="N4483" s="24"/>
      <c r="P4483" s="24"/>
    </row>
    <row r="4484" spans="2:16" x14ac:dyDescent="0.25">
      <c r="B4484" s="24"/>
      <c r="E4484" s="24"/>
      <c r="G4484" s="24"/>
      <c r="H4484" s="24"/>
      <c r="J4484" s="24"/>
      <c r="K4484" s="24"/>
      <c r="M4484" s="24"/>
      <c r="N4484" s="24"/>
      <c r="P4484" s="24"/>
    </row>
    <row r="4485" spans="2:16" x14ac:dyDescent="0.25">
      <c r="B4485" s="24"/>
      <c r="E4485" s="24"/>
      <c r="G4485" s="24"/>
      <c r="H4485" s="24"/>
      <c r="J4485" s="24"/>
      <c r="K4485" s="24"/>
      <c r="M4485" s="24"/>
      <c r="N4485" s="24"/>
      <c r="P4485" s="24"/>
    </row>
    <row r="4486" spans="2:16" x14ac:dyDescent="0.25">
      <c r="B4486" s="24"/>
      <c r="E4486" s="24"/>
      <c r="G4486" s="24"/>
      <c r="H4486" s="24"/>
      <c r="J4486" s="24"/>
      <c r="K4486" s="24"/>
      <c r="M4486" s="24"/>
      <c r="N4486" s="24"/>
      <c r="P4486" s="24"/>
    </row>
    <row r="4487" spans="2:16" x14ac:dyDescent="0.25">
      <c r="B4487" s="24"/>
      <c r="E4487" s="24"/>
      <c r="G4487" s="24"/>
      <c r="H4487" s="24"/>
      <c r="J4487" s="24"/>
      <c r="K4487" s="24"/>
      <c r="M4487" s="24"/>
      <c r="N4487" s="24"/>
      <c r="P4487" s="24"/>
    </row>
    <row r="4488" spans="2:16" x14ac:dyDescent="0.25">
      <c r="B4488" s="24"/>
      <c r="E4488" s="24"/>
      <c r="G4488" s="24"/>
      <c r="H4488" s="24"/>
      <c r="J4488" s="24"/>
      <c r="K4488" s="24"/>
      <c r="M4488" s="24"/>
      <c r="N4488" s="24"/>
      <c r="P4488" s="24"/>
    </row>
    <row r="4489" spans="2:16" x14ac:dyDescent="0.25">
      <c r="B4489" s="24"/>
      <c r="E4489" s="24"/>
      <c r="G4489" s="24"/>
      <c r="H4489" s="24"/>
      <c r="J4489" s="24"/>
      <c r="K4489" s="24"/>
      <c r="M4489" s="24"/>
      <c r="N4489" s="24"/>
      <c r="P4489" s="24"/>
    </row>
    <row r="4490" spans="2:16" x14ac:dyDescent="0.25">
      <c r="B4490" s="24"/>
      <c r="E4490" s="24"/>
      <c r="G4490" s="24"/>
      <c r="H4490" s="24"/>
      <c r="J4490" s="24"/>
      <c r="K4490" s="24"/>
      <c r="M4490" s="24"/>
      <c r="N4490" s="24"/>
      <c r="P4490" s="24"/>
    </row>
    <row r="4491" spans="2:16" x14ac:dyDescent="0.25">
      <c r="B4491" s="24"/>
      <c r="E4491" s="24"/>
      <c r="G4491" s="24"/>
      <c r="H4491" s="24"/>
      <c r="J4491" s="24"/>
      <c r="K4491" s="24"/>
      <c r="M4491" s="24"/>
      <c r="N4491" s="24"/>
      <c r="P4491" s="24"/>
    </row>
    <row r="4492" spans="2:16" x14ac:dyDescent="0.25">
      <c r="B4492" s="24"/>
      <c r="E4492" s="24"/>
      <c r="G4492" s="24"/>
      <c r="H4492" s="24"/>
      <c r="J4492" s="24"/>
      <c r="K4492" s="24"/>
      <c r="M4492" s="24"/>
      <c r="N4492" s="24"/>
      <c r="P4492" s="24"/>
    </row>
    <row r="4493" spans="2:16" x14ac:dyDescent="0.25">
      <c r="B4493" s="24"/>
      <c r="E4493" s="24"/>
      <c r="G4493" s="24"/>
      <c r="H4493" s="24"/>
      <c r="J4493" s="24"/>
      <c r="K4493" s="24"/>
      <c r="M4493" s="24"/>
      <c r="N4493" s="24"/>
      <c r="P4493" s="24"/>
    </row>
    <row r="4494" spans="2:16" x14ac:dyDescent="0.25">
      <c r="B4494" s="24"/>
      <c r="E4494" s="24"/>
      <c r="G4494" s="24"/>
      <c r="H4494" s="24"/>
      <c r="J4494" s="24"/>
      <c r="K4494" s="24"/>
      <c r="M4494" s="24"/>
      <c r="N4494" s="24"/>
      <c r="P4494" s="24"/>
    </row>
    <row r="4495" spans="2:16" x14ac:dyDescent="0.25">
      <c r="B4495" s="24"/>
      <c r="E4495" s="24"/>
      <c r="G4495" s="24"/>
      <c r="H4495" s="24"/>
      <c r="J4495" s="24"/>
      <c r="K4495" s="24"/>
      <c r="M4495" s="24"/>
      <c r="N4495" s="24"/>
      <c r="P4495" s="24"/>
    </row>
    <row r="4496" spans="2:16" x14ac:dyDescent="0.25">
      <c r="B4496" s="24"/>
      <c r="E4496" s="24"/>
      <c r="G4496" s="24"/>
      <c r="H4496" s="24"/>
      <c r="J4496" s="24"/>
      <c r="K4496" s="24"/>
      <c r="M4496" s="24"/>
      <c r="N4496" s="24"/>
      <c r="P4496" s="24"/>
    </row>
    <row r="4497" spans="2:16" x14ac:dyDescent="0.25">
      <c r="B4497" s="24"/>
      <c r="E4497" s="24"/>
      <c r="G4497" s="24"/>
      <c r="H4497" s="24"/>
      <c r="J4497" s="24"/>
      <c r="K4497" s="24"/>
      <c r="M4497" s="24"/>
      <c r="N4497" s="24"/>
      <c r="P4497" s="24"/>
    </row>
    <row r="4498" spans="2:16" x14ac:dyDescent="0.25">
      <c r="B4498" s="24"/>
      <c r="E4498" s="24"/>
      <c r="G4498" s="24"/>
      <c r="H4498" s="24"/>
      <c r="J4498" s="24"/>
      <c r="K4498" s="24"/>
      <c r="M4498" s="24"/>
      <c r="N4498" s="24"/>
      <c r="P4498" s="24"/>
    </row>
    <row r="4499" spans="2:16" x14ac:dyDescent="0.25">
      <c r="B4499" s="24"/>
      <c r="E4499" s="24"/>
      <c r="G4499" s="24"/>
      <c r="H4499" s="24"/>
      <c r="J4499" s="24"/>
      <c r="K4499" s="24"/>
      <c r="M4499" s="24"/>
      <c r="N4499" s="24"/>
      <c r="P4499" s="24"/>
    </row>
    <row r="4500" spans="2:16" x14ac:dyDescent="0.25">
      <c r="B4500" s="24"/>
      <c r="E4500" s="24"/>
      <c r="G4500" s="24"/>
      <c r="H4500" s="24"/>
      <c r="J4500" s="24"/>
      <c r="K4500" s="24"/>
      <c r="M4500" s="24"/>
      <c r="N4500" s="24"/>
      <c r="P4500" s="24"/>
    </row>
    <row r="4501" spans="2:16" x14ac:dyDescent="0.25">
      <c r="B4501" s="24"/>
      <c r="E4501" s="24"/>
      <c r="G4501" s="24"/>
      <c r="H4501" s="24"/>
      <c r="J4501" s="24"/>
      <c r="K4501" s="24"/>
      <c r="M4501" s="24"/>
      <c r="N4501" s="24"/>
      <c r="P4501" s="24"/>
    </row>
    <row r="4502" spans="2:16" x14ac:dyDescent="0.25">
      <c r="B4502" s="24"/>
      <c r="E4502" s="24"/>
      <c r="G4502" s="24"/>
      <c r="H4502" s="24"/>
      <c r="J4502" s="24"/>
      <c r="K4502" s="24"/>
      <c r="M4502" s="24"/>
      <c r="N4502" s="24"/>
      <c r="P4502" s="24"/>
    </row>
    <row r="4503" spans="2:16" x14ac:dyDescent="0.25">
      <c r="B4503" s="24"/>
      <c r="E4503" s="24"/>
      <c r="G4503" s="24"/>
      <c r="H4503" s="24"/>
      <c r="J4503" s="24"/>
      <c r="K4503" s="24"/>
      <c r="M4503" s="24"/>
      <c r="N4503" s="24"/>
      <c r="P4503" s="24"/>
    </row>
    <row r="4504" spans="2:16" x14ac:dyDescent="0.25">
      <c r="B4504" s="24"/>
      <c r="E4504" s="24"/>
      <c r="G4504" s="24"/>
      <c r="H4504" s="24"/>
      <c r="J4504" s="24"/>
      <c r="K4504" s="24"/>
      <c r="M4504" s="24"/>
      <c r="N4504" s="24"/>
      <c r="P4504" s="24"/>
    </row>
    <row r="4505" spans="2:16" x14ac:dyDescent="0.25">
      <c r="B4505" s="24"/>
      <c r="E4505" s="24"/>
      <c r="G4505" s="24"/>
      <c r="H4505" s="24"/>
      <c r="J4505" s="24"/>
      <c r="K4505" s="24"/>
      <c r="M4505" s="24"/>
      <c r="N4505" s="24"/>
      <c r="P4505" s="24"/>
    </row>
    <row r="4506" spans="2:16" x14ac:dyDescent="0.25">
      <c r="B4506" s="24"/>
      <c r="E4506" s="24"/>
      <c r="G4506" s="24"/>
      <c r="H4506" s="24"/>
      <c r="J4506" s="24"/>
      <c r="K4506" s="24"/>
      <c r="M4506" s="24"/>
      <c r="N4506" s="24"/>
      <c r="P4506" s="24"/>
    </row>
    <row r="4507" spans="2:16" x14ac:dyDescent="0.25">
      <c r="B4507" s="24"/>
      <c r="E4507" s="24"/>
      <c r="G4507" s="24"/>
      <c r="H4507" s="24"/>
      <c r="J4507" s="24"/>
      <c r="K4507" s="24"/>
      <c r="M4507" s="24"/>
      <c r="N4507" s="24"/>
      <c r="P4507" s="24"/>
    </row>
    <row r="4508" spans="2:16" x14ac:dyDescent="0.25">
      <c r="B4508" s="24"/>
      <c r="E4508" s="24"/>
      <c r="G4508" s="24"/>
      <c r="H4508" s="24"/>
      <c r="J4508" s="24"/>
      <c r="K4508" s="24"/>
      <c r="M4508" s="24"/>
      <c r="N4508" s="24"/>
      <c r="P4508" s="24"/>
    </row>
    <row r="4509" spans="2:16" x14ac:dyDescent="0.25">
      <c r="B4509" s="24"/>
      <c r="E4509" s="24"/>
      <c r="G4509" s="24"/>
      <c r="H4509" s="24"/>
      <c r="J4509" s="24"/>
      <c r="K4509" s="24"/>
      <c r="M4509" s="24"/>
      <c r="N4509" s="24"/>
      <c r="P4509" s="24"/>
    </row>
    <row r="4510" spans="2:16" x14ac:dyDescent="0.25">
      <c r="B4510" s="24"/>
      <c r="E4510" s="24"/>
      <c r="G4510" s="24"/>
      <c r="H4510" s="24"/>
      <c r="J4510" s="24"/>
      <c r="K4510" s="24"/>
      <c r="M4510" s="24"/>
      <c r="N4510" s="24"/>
      <c r="P4510" s="24"/>
    </row>
    <row r="4511" spans="2:16" x14ac:dyDescent="0.25">
      <c r="B4511" s="24"/>
      <c r="E4511" s="24"/>
      <c r="G4511" s="24"/>
      <c r="H4511" s="24"/>
      <c r="J4511" s="24"/>
      <c r="K4511" s="24"/>
      <c r="M4511" s="24"/>
      <c r="N4511" s="24"/>
      <c r="P4511" s="24"/>
    </row>
    <row r="4512" spans="2:16" x14ac:dyDescent="0.25">
      <c r="B4512" s="24"/>
      <c r="E4512" s="24"/>
      <c r="G4512" s="24"/>
      <c r="H4512" s="24"/>
      <c r="J4512" s="24"/>
      <c r="K4512" s="24"/>
      <c r="M4512" s="24"/>
      <c r="N4512" s="24"/>
      <c r="P4512" s="24"/>
    </row>
    <row r="4513" spans="2:16" x14ac:dyDescent="0.25">
      <c r="B4513" s="24"/>
      <c r="E4513" s="24"/>
      <c r="G4513" s="24"/>
      <c r="H4513" s="24"/>
      <c r="J4513" s="24"/>
      <c r="K4513" s="24"/>
      <c r="M4513" s="24"/>
      <c r="N4513" s="24"/>
      <c r="P4513" s="24"/>
    </row>
    <row r="4514" spans="2:16" x14ac:dyDescent="0.25">
      <c r="B4514" s="24"/>
      <c r="E4514" s="24"/>
      <c r="G4514" s="24"/>
      <c r="H4514" s="24"/>
      <c r="J4514" s="24"/>
      <c r="K4514" s="24"/>
      <c r="M4514" s="24"/>
      <c r="N4514" s="24"/>
      <c r="P4514" s="24"/>
    </row>
    <row r="4515" spans="2:16" x14ac:dyDescent="0.25">
      <c r="B4515" s="24"/>
      <c r="E4515" s="24"/>
      <c r="G4515" s="24"/>
      <c r="H4515" s="24"/>
      <c r="J4515" s="24"/>
      <c r="K4515" s="24"/>
      <c r="M4515" s="24"/>
      <c r="N4515" s="24"/>
      <c r="P4515" s="24"/>
    </row>
    <row r="4516" spans="2:16" x14ac:dyDescent="0.25">
      <c r="B4516" s="24"/>
      <c r="E4516" s="24"/>
      <c r="G4516" s="24"/>
      <c r="H4516" s="24"/>
      <c r="J4516" s="24"/>
      <c r="K4516" s="24"/>
      <c r="M4516" s="24"/>
      <c r="N4516" s="24"/>
      <c r="P4516" s="24"/>
    </row>
    <row r="4517" spans="2:16" x14ac:dyDescent="0.25">
      <c r="B4517" s="24"/>
      <c r="E4517" s="24"/>
      <c r="G4517" s="24"/>
      <c r="H4517" s="24"/>
      <c r="J4517" s="24"/>
      <c r="K4517" s="24"/>
      <c r="M4517" s="24"/>
      <c r="N4517" s="24"/>
      <c r="P4517" s="24"/>
    </row>
    <row r="4518" spans="2:16" x14ac:dyDescent="0.25">
      <c r="B4518" s="24"/>
      <c r="E4518" s="24"/>
      <c r="G4518" s="24"/>
      <c r="H4518" s="24"/>
      <c r="J4518" s="24"/>
      <c r="K4518" s="24"/>
      <c r="M4518" s="24"/>
      <c r="N4518" s="24"/>
      <c r="P4518" s="24"/>
    </row>
    <row r="4519" spans="2:16" x14ac:dyDescent="0.25">
      <c r="B4519" s="24"/>
      <c r="E4519" s="24"/>
      <c r="G4519" s="24"/>
      <c r="H4519" s="24"/>
      <c r="J4519" s="24"/>
      <c r="K4519" s="24"/>
      <c r="M4519" s="24"/>
      <c r="N4519" s="24"/>
      <c r="P4519" s="24"/>
    </row>
    <row r="4520" spans="2:16" x14ac:dyDescent="0.25">
      <c r="B4520" s="24"/>
      <c r="E4520" s="24"/>
      <c r="G4520" s="24"/>
      <c r="H4520" s="24"/>
      <c r="J4520" s="24"/>
      <c r="K4520" s="24"/>
      <c r="M4520" s="24"/>
      <c r="N4520" s="24"/>
      <c r="P4520" s="24"/>
    </row>
    <row r="4521" spans="2:16" x14ac:dyDescent="0.25">
      <c r="B4521" s="24"/>
      <c r="E4521" s="24"/>
      <c r="G4521" s="24"/>
      <c r="H4521" s="24"/>
      <c r="J4521" s="24"/>
      <c r="K4521" s="24"/>
      <c r="M4521" s="24"/>
      <c r="N4521" s="24"/>
      <c r="P4521" s="24"/>
    </row>
    <row r="4522" spans="2:16" x14ac:dyDescent="0.25">
      <c r="B4522" s="24"/>
      <c r="E4522" s="24"/>
      <c r="G4522" s="24"/>
      <c r="H4522" s="24"/>
      <c r="J4522" s="24"/>
      <c r="K4522" s="24"/>
      <c r="M4522" s="24"/>
      <c r="N4522" s="24"/>
      <c r="P4522" s="24"/>
    </row>
    <row r="4523" spans="2:16" x14ac:dyDescent="0.25">
      <c r="B4523" s="24"/>
      <c r="E4523" s="24"/>
      <c r="G4523" s="24"/>
      <c r="H4523" s="24"/>
      <c r="J4523" s="24"/>
      <c r="K4523" s="24"/>
      <c r="M4523" s="24"/>
      <c r="N4523" s="24"/>
      <c r="P4523" s="24"/>
    </row>
    <row r="4524" spans="2:16" x14ac:dyDescent="0.25">
      <c r="B4524" s="24"/>
      <c r="E4524" s="24"/>
      <c r="G4524" s="24"/>
      <c r="H4524" s="24"/>
      <c r="J4524" s="24"/>
      <c r="K4524" s="24"/>
      <c r="M4524" s="24"/>
      <c r="N4524" s="24"/>
      <c r="P4524" s="24"/>
    </row>
    <row r="4525" spans="2:16" x14ac:dyDescent="0.25">
      <c r="B4525" s="24"/>
      <c r="E4525" s="24"/>
      <c r="G4525" s="24"/>
      <c r="H4525" s="24"/>
      <c r="J4525" s="24"/>
      <c r="K4525" s="24"/>
      <c r="M4525" s="24"/>
      <c r="N4525" s="24"/>
      <c r="P4525" s="24"/>
    </row>
    <row r="4526" spans="2:16" x14ac:dyDescent="0.25">
      <c r="B4526" s="24"/>
      <c r="E4526" s="24"/>
      <c r="G4526" s="24"/>
      <c r="H4526" s="24"/>
      <c r="J4526" s="24"/>
      <c r="K4526" s="24"/>
      <c r="M4526" s="24"/>
      <c r="N4526" s="24"/>
      <c r="P4526" s="24"/>
    </row>
    <row r="4527" spans="2:16" x14ac:dyDescent="0.25">
      <c r="B4527" s="24"/>
      <c r="E4527" s="24"/>
      <c r="G4527" s="24"/>
      <c r="H4527" s="24"/>
      <c r="J4527" s="24"/>
      <c r="K4527" s="24"/>
      <c r="M4527" s="24"/>
      <c r="N4527" s="24"/>
      <c r="P4527" s="24"/>
    </row>
    <row r="4528" spans="2:16" x14ac:dyDescent="0.25">
      <c r="B4528" s="24"/>
      <c r="E4528" s="24"/>
      <c r="G4528" s="24"/>
      <c r="H4528" s="24"/>
      <c r="J4528" s="24"/>
      <c r="K4528" s="24"/>
      <c r="M4528" s="24"/>
      <c r="N4528" s="24"/>
      <c r="P4528" s="24"/>
    </row>
    <row r="4529" spans="2:16" x14ac:dyDescent="0.25">
      <c r="B4529" s="24"/>
      <c r="E4529" s="24"/>
      <c r="G4529" s="24"/>
      <c r="H4529" s="24"/>
      <c r="J4529" s="24"/>
      <c r="K4529" s="24"/>
      <c r="M4529" s="24"/>
      <c r="N4529" s="24"/>
      <c r="P4529" s="24"/>
    </row>
    <row r="4530" spans="2:16" x14ac:dyDescent="0.25">
      <c r="B4530" s="24"/>
      <c r="E4530" s="24"/>
      <c r="G4530" s="24"/>
      <c r="H4530" s="24"/>
      <c r="J4530" s="24"/>
      <c r="K4530" s="24"/>
      <c r="M4530" s="24"/>
      <c r="N4530" s="24"/>
      <c r="P4530" s="24"/>
    </row>
    <row r="4531" spans="2:16" x14ac:dyDescent="0.25">
      <c r="B4531" s="24"/>
      <c r="E4531" s="24"/>
      <c r="G4531" s="24"/>
      <c r="H4531" s="24"/>
      <c r="J4531" s="24"/>
      <c r="K4531" s="24"/>
      <c r="M4531" s="24"/>
      <c r="N4531" s="24"/>
      <c r="P4531" s="24"/>
    </row>
    <row r="4532" spans="2:16" x14ac:dyDescent="0.25">
      <c r="B4532" s="24"/>
      <c r="E4532" s="24"/>
      <c r="G4532" s="24"/>
      <c r="H4532" s="24"/>
      <c r="J4532" s="24"/>
      <c r="K4532" s="24"/>
      <c r="M4532" s="24"/>
      <c r="N4532" s="24"/>
      <c r="P4532" s="24"/>
    </row>
    <row r="4533" spans="2:16" x14ac:dyDescent="0.25">
      <c r="B4533" s="24"/>
      <c r="E4533" s="24"/>
      <c r="G4533" s="24"/>
      <c r="H4533" s="24"/>
      <c r="J4533" s="24"/>
      <c r="K4533" s="24"/>
      <c r="M4533" s="24"/>
      <c r="N4533" s="24"/>
      <c r="P4533" s="24"/>
    </row>
    <row r="4534" spans="2:16" x14ac:dyDescent="0.25">
      <c r="B4534" s="24"/>
      <c r="E4534" s="24"/>
      <c r="G4534" s="24"/>
      <c r="H4534" s="24"/>
      <c r="J4534" s="24"/>
      <c r="K4534" s="24"/>
      <c r="M4534" s="24"/>
      <c r="N4534" s="24"/>
      <c r="P4534" s="24"/>
    </row>
    <row r="4535" spans="2:16" x14ac:dyDescent="0.25">
      <c r="B4535" s="24"/>
      <c r="E4535" s="24"/>
      <c r="G4535" s="24"/>
      <c r="H4535" s="24"/>
      <c r="J4535" s="24"/>
      <c r="K4535" s="24"/>
      <c r="M4535" s="24"/>
      <c r="N4535" s="24"/>
      <c r="P4535" s="24"/>
    </row>
    <row r="4536" spans="2:16" x14ac:dyDescent="0.25">
      <c r="B4536" s="24"/>
      <c r="E4536" s="24"/>
      <c r="G4536" s="24"/>
      <c r="H4536" s="24"/>
      <c r="J4536" s="24"/>
      <c r="K4536" s="24"/>
      <c r="M4536" s="24"/>
      <c r="N4536" s="24"/>
      <c r="P4536" s="24"/>
    </row>
    <row r="4537" spans="2:16" x14ac:dyDescent="0.25">
      <c r="B4537" s="24"/>
      <c r="E4537" s="24"/>
      <c r="G4537" s="24"/>
      <c r="H4537" s="24"/>
      <c r="J4537" s="24"/>
      <c r="K4537" s="24"/>
      <c r="M4537" s="24"/>
      <c r="N4537" s="24"/>
      <c r="P4537" s="24"/>
    </row>
    <row r="4538" spans="2:16" x14ac:dyDescent="0.25">
      <c r="B4538" s="24"/>
      <c r="E4538" s="24"/>
      <c r="G4538" s="24"/>
      <c r="H4538" s="24"/>
      <c r="J4538" s="24"/>
      <c r="K4538" s="24"/>
      <c r="M4538" s="24"/>
      <c r="N4538" s="24"/>
      <c r="P4538" s="24"/>
    </row>
    <row r="4539" spans="2:16" x14ac:dyDescent="0.25">
      <c r="B4539" s="24"/>
      <c r="E4539" s="24"/>
      <c r="G4539" s="24"/>
      <c r="H4539" s="24"/>
      <c r="J4539" s="24"/>
      <c r="K4539" s="24"/>
      <c r="M4539" s="24"/>
      <c r="N4539" s="24"/>
      <c r="P4539" s="24"/>
    </row>
    <row r="4540" spans="2:16" x14ac:dyDescent="0.25">
      <c r="B4540" s="24"/>
      <c r="E4540" s="24"/>
      <c r="G4540" s="24"/>
      <c r="H4540" s="24"/>
      <c r="J4540" s="24"/>
      <c r="K4540" s="24"/>
      <c r="M4540" s="24"/>
      <c r="N4540" s="24"/>
      <c r="P4540" s="24"/>
    </row>
    <row r="4541" spans="2:16" x14ac:dyDescent="0.25">
      <c r="B4541" s="24"/>
      <c r="E4541" s="24"/>
      <c r="G4541" s="24"/>
      <c r="H4541" s="24"/>
      <c r="J4541" s="24"/>
      <c r="K4541" s="24"/>
      <c r="M4541" s="24"/>
      <c r="N4541" s="24"/>
      <c r="P4541" s="24"/>
    </row>
    <row r="4542" spans="2:16" x14ac:dyDescent="0.25">
      <c r="B4542" s="24"/>
      <c r="E4542" s="24"/>
      <c r="G4542" s="24"/>
      <c r="H4542" s="24"/>
      <c r="J4542" s="24"/>
      <c r="K4542" s="24"/>
      <c r="M4542" s="24"/>
      <c r="N4542" s="24"/>
      <c r="P4542" s="24"/>
    </row>
    <row r="4543" spans="2:16" x14ac:dyDescent="0.25">
      <c r="B4543" s="24"/>
      <c r="E4543" s="24"/>
      <c r="G4543" s="24"/>
      <c r="H4543" s="24"/>
      <c r="J4543" s="24"/>
      <c r="K4543" s="24"/>
      <c r="M4543" s="24"/>
      <c r="N4543" s="24"/>
      <c r="P4543" s="24"/>
    </row>
    <row r="4544" spans="2:16" x14ac:dyDescent="0.25">
      <c r="B4544" s="24"/>
      <c r="E4544" s="24"/>
      <c r="G4544" s="24"/>
      <c r="H4544" s="24"/>
      <c r="J4544" s="24"/>
      <c r="K4544" s="24"/>
      <c r="M4544" s="24"/>
      <c r="N4544" s="24"/>
      <c r="P4544" s="24"/>
    </row>
    <row r="4545" spans="2:16" x14ac:dyDescent="0.25">
      <c r="B4545" s="24"/>
      <c r="E4545" s="24"/>
      <c r="G4545" s="24"/>
      <c r="H4545" s="24"/>
      <c r="J4545" s="24"/>
      <c r="K4545" s="24"/>
      <c r="M4545" s="24"/>
      <c r="N4545" s="24"/>
      <c r="P4545" s="24"/>
    </row>
    <row r="4546" spans="2:16" x14ac:dyDescent="0.25">
      <c r="B4546" s="24"/>
      <c r="E4546" s="24"/>
      <c r="G4546" s="24"/>
      <c r="H4546" s="24"/>
      <c r="J4546" s="24"/>
      <c r="K4546" s="24"/>
      <c r="M4546" s="24"/>
      <c r="N4546" s="24"/>
      <c r="P4546" s="24"/>
    </row>
    <row r="4547" spans="2:16" x14ac:dyDescent="0.25">
      <c r="B4547" s="24"/>
      <c r="E4547" s="24"/>
      <c r="G4547" s="24"/>
      <c r="H4547" s="24"/>
      <c r="J4547" s="24"/>
      <c r="K4547" s="24"/>
      <c r="M4547" s="24"/>
      <c r="N4547" s="24"/>
      <c r="P4547" s="24"/>
    </row>
    <row r="4548" spans="2:16" x14ac:dyDescent="0.25">
      <c r="B4548" s="24"/>
      <c r="E4548" s="24"/>
      <c r="G4548" s="24"/>
      <c r="H4548" s="24"/>
      <c r="J4548" s="24"/>
      <c r="K4548" s="24"/>
      <c r="M4548" s="24"/>
      <c r="N4548" s="24"/>
      <c r="P4548" s="24"/>
    </row>
    <row r="4549" spans="2:16" x14ac:dyDescent="0.25">
      <c r="B4549" s="24"/>
      <c r="E4549" s="24"/>
      <c r="G4549" s="24"/>
      <c r="H4549" s="24"/>
      <c r="J4549" s="24"/>
      <c r="K4549" s="24"/>
      <c r="M4549" s="24"/>
      <c r="N4549" s="24"/>
      <c r="P4549" s="24"/>
    </row>
    <row r="4550" spans="2:16" x14ac:dyDescent="0.25">
      <c r="B4550" s="24"/>
      <c r="E4550" s="24"/>
      <c r="G4550" s="24"/>
      <c r="H4550" s="24"/>
      <c r="J4550" s="24"/>
      <c r="K4550" s="24"/>
      <c r="M4550" s="24"/>
      <c r="N4550" s="24"/>
      <c r="P4550" s="24"/>
    </row>
    <row r="4551" spans="2:16" x14ac:dyDescent="0.25">
      <c r="B4551" s="24"/>
      <c r="E4551" s="24"/>
      <c r="G4551" s="24"/>
      <c r="H4551" s="24"/>
      <c r="J4551" s="24"/>
      <c r="K4551" s="24"/>
      <c r="M4551" s="24"/>
      <c r="N4551" s="24"/>
      <c r="P4551" s="24"/>
    </row>
    <row r="4552" spans="2:16" x14ac:dyDescent="0.25">
      <c r="B4552" s="24"/>
      <c r="E4552" s="24"/>
      <c r="G4552" s="24"/>
      <c r="H4552" s="24"/>
      <c r="J4552" s="24"/>
      <c r="K4552" s="24"/>
      <c r="M4552" s="24"/>
      <c r="N4552" s="24"/>
      <c r="P4552" s="24"/>
    </row>
    <row r="4553" spans="2:16" x14ac:dyDescent="0.25">
      <c r="B4553" s="24"/>
      <c r="E4553" s="24"/>
      <c r="G4553" s="24"/>
      <c r="H4553" s="24"/>
      <c r="J4553" s="24"/>
      <c r="K4553" s="24"/>
      <c r="M4553" s="24"/>
      <c r="N4553" s="24"/>
      <c r="P4553" s="24"/>
    </row>
    <row r="4554" spans="2:16" x14ac:dyDescent="0.25">
      <c r="B4554" s="24"/>
      <c r="E4554" s="24"/>
      <c r="G4554" s="24"/>
      <c r="H4554" s="24"/>
      <c r="J4554" s="24"/>
      <c r="K4554" s="24"/>
      <c r="M4554" s="24"/>
      <c r="N4554" s="24"/>
      <c r="P4554" s="24"/>
    </row>
    <row r="4555" spans="2:16" x14ac:dyDescent="0.25">
      <c r="B4555" s="24"/>
      <c r="E4555" s="24"/>
      <c r="G4555" s="24"/>
      <c r="H4555" s="24"/>
      <c r="J4555" s="24"/>
      <c r="K4555" s="24"/>
      <c r="M4555" s="24"/>
      <c r="N4555" s="24"/>
      <c r="P4555" s="24"/>
    </row>
    <row r="4556" spans="2:16" x14ac:dyDescent="0.25">
      <c r="B4556" s="24"/>
      <c r="E4556" s="24"/>
      <c r="G4556" s="24"/>
      <c r="H4556" s="24"/>
      <c r="J4556" s="24"/>
      <c r="K4556" s="24"/>
      <c r="M4556" s="24"/>
      <c r="N4556" s="24"/>
      <c r="P4556" s="24"/>
    </row>
    <row r="4557" spans="2:16" x14ac:dyDescent="0.25">
      <c r="B4557" s="24"/>
      <c r="E4557" s="24"/>
      <c r="G4557" s="24"/>
      <c r="H4557" s="24"/>
      <c r="J4557" s="24"/>
      <c r="K4557" s="24"/>
      <c r="M4557" s="24"/>
      <c r="N4557" s="24"/>
      <c r="P4557" s="24"/>
    </row>
    <row r="4558" spans="2:16" x14ac:dyDescent="0.25">
      <c r="B4558" s="24"/>
      <c r="E4558" s="24"/>
      <c r="G4558" s="24"/>
      <c r="H4558" s="24"/>
      <c r="J4558" s="24"/>
      <c r="K4558" s="24"/>
      <c r="M4558" s="24"/>
      <c r="N4558" s="24"/>
      <c r="P4558" s="24"/>
    </row>
    <row r="4559" spans="2:16" x14ac:dyDescent="0.25">
      <c r="B4559" s="24"/>
      <c r="E4559" s="24"/>
      <c r="G4559" s="24"/>
      <c r="H4559" s="24"/>
      <c r="J4559" s="24"/>
      <c r="K4559" s="24"/>
      <c r="M4559" s="24"/>
      <c r="N4559" s="24"/>
      <c r="P4559" s="24"/>
    </row>
    <row r="4560" spans="2:16" x14ac:dyDescent="0.25">
      <c r="B4560" s="24"/>
      <c r="E4560" s="24"/>
      <c r="G4560" s="24"/>
      <c r="H4560" s="24"/>
      <c r="J4560" s="24"/>
      <c r="K4560" s="24"/>
      <c r="M4560" s="24"/>
      <c r="N4560" s="24"/>
      <c r="P4560" s="24"/>
    </row>
    <row r="4561" spans="2:16" x14ac:dyDescent="0.25">
      <c r="B4561" s="24"/>
      <c r="E4561" s="24"/>
      <c r="G4561" s="24"/>
      <c r="H4561" s="24"/>
      <c r="J4561" s="24"/>
      <c r="K4561" s="24"/>
      <c r="M4561" s="24"/>
      <c r="N4561" s="24"/>
      <c r="P4561" s="24"/>
    </row>
    <row r="4562" spans="2:16" x14ac:dyDescent="0.25">
      <c r="B4562" s="24"/>
      <c r="E4562" s="24"/>
      <c r="G4562" s="24"/>
      <c r="H4562" s="24"/>
      <c r="J4562" s="24"/>
      <c r="K4562" s="24"/>
      <c r="M4562" s="24"/>
      <c r="N4562" s="24"/>
      <c r="P4562" s="24"/>
    </row>
    <row r="4563" spans="2:16" x14ac:dyDescent="0.25">
      <c r="B4563" s="24"/>
      <c r="E4563" s="24"/>
      <c r="G4563" s="24"/>
      <c r="H4563" s="24"/>
      <c r="J4563" s="24"/>
      <c r="K4563" s="24"/>
      <c r="M4563" s="24"/>
      <c r="N4563" s="24"/>
      <c r="P4563" s="24"/>
    </row>
    <row r="4564" spans="2:16" x14ac:dyDescent="0.25">
      <c r="B4564" s="24"/>
      <c r="E4564" s="24"/>
      <c r="G4564" s="24"/>
      <c r="H4564" s="24"/>
      <c r="J4564" s="24"/>
      <c r="K4564" s="24"/>
      <c r="M4564" s="24"/>
      <c r="N4564" s="24"/>
      <c r="P4564" s="24"/>
    </row>
    <row r="4565" spans="2:16" x14ac:dyDescent="0.25">
      <c r="B4565" s="24"/>
      <c r="E4565" s="24"/>
      <c r="G4565" s="24"/>
      <c r="H4565" s="24"/>
      <c r="J4565" s="24"/>
      <c r="K4565" s="24"/>
      <c r="M4565" s="24"/>
      <c r="N4565" s="24"/>
      <c r="P4565" s="24"/>
    </row>
    <row r="4566" spans="2:16" x14ac:dyDescent="0.25">
      <c r="B4566" s="24"/>
      <c r="E4566" s="24"/>
      <c r="G4566" s="24"/>
      <c r="H4566" s="24"/>
      <c r="J4566" s="24"/>
      <c r="K4566" s="24"/>
      <c r="M4566" s="24"/>
      <c r="N4566" s="24"/>
      <c r="P4566" s="24"/>
    </row>
    <row r="4567" spans="2:16" x14ac:dyDescent="0.25">
      <c r="B4567" s="24"/>
      <c r="E4567" s="24"/>
      <c r="G4567" s="24"/>
      <c r="H4567" s="24"/>
      <c r="J4567" s="24"/>
      <c r="K4567" s="24"/>
      <c r="M4567" s="24"/>
      <c r="N4567" s="24"/>
      <c r="P4567" s="24"/>
    </row>
    <row r="4568" spans="2:16" x14ac:dyDescent="0.25">
      <c r="B4568" s="24"/>
      <c r="E4568" s="24"/>
      <c r="G4568" s="24"/>
      <c r="H4568" s="24"/>
      <c r="J4568" s="24"/>
      <c r="K4568" s="24"/>
      <c r="M4568" s="24"/>
      <c r="N4568" s="24"/>
      <c r="P4568" s="24"/>
    </row>
    <row r="4569" spans="2:16" x14ac:dyDescent="0.25">
      <c r="B4569" s="24"/>
      <c r="E4569" s="24"/>
      <c r="G4569" s="24"/>
      <c r="H4569" s="24"/>
      <c r="J4569" s="24"/>
      <c r="K4569" s="24"/>
      <c r="M4569" s="24"/>
      <c r="N4569" s="24"/>
      <c r="P4569" s="24"/>
    </row>
    <row r="4570" spans="2:16" x14ac:dyDescent="0.25">
      <c r="B4570" s="24"/>
      <c r="E4570" s="24"/>
      <c r="G4570" s="24"/>
      <c r="H4570" s="24"/>
      <c r="J4570" s="24"/>
      <c r="K4570" s="24"/>
      <c r="M4570" s="24"/>
      <c r="N4570" s="24"/>
      <c r="P4570" s="24"/>
    </row>
    <row r="4571" spans="2:16" x14ac:dyDescent="0.25">
      <c r="B4571" s="24"/>
      <c r="E4571" s="24"/>
      <c r="G4571" s="24"/>
      <c r="H4571" s="24"/>
      <c r="J4571" s="24"/>
      <c r="K4571" s="24"/>
      <c r="M4571" s="24"/>
      <c r="N4571" s="24"/>
      <c r="P4571" s="24"/>
    </row>
    <row r="4572" spans="2:16" x14ac:dyDescent="0.25">
      <c r="B4572" s="24"/>
      <c r="E4572" s="24"/>
      <c r="G4572" s="24"/>
      <c r="H4572" s="24"/>
      <c r="J4572" s="24"/>
      <c r="K4572" s="24"/>
      <c r="M4572" s="24"/>
      <c r="N4572" s="24"/>
      <c r="P4572" s="24"/>
    </row>
    <row r="4573" spans="2:16" x14ac:dyDescent="0.25">
      <c r="B4573" s="24"/>
      <c r="E4573" s="24"/>
      <c r="G4573" s="24"/>
      <c r="H4573" s="24"/>
      <c r="J4573" s="24"/>
      <c r="K4573" s="24"/>
      <c r="M4573" s="24"/>
      <c r="N4573" s="24"/>
      <c r="P4573" s="24"/>
    </row>
    <row r="4574" spans="2:16" x14ac:dyDescent="0.25">
      <c r="B4574" s="24"/>
      <c r="E4574" s="24"/>
      <c r="G4574" s="24"/>
      <c r="H4574" s="24"/>
      <c r="J4574" s="24"/>
      <c r="K4574" s="24"/>
      <c r="M4574" s="24"/>
      <c r="N4574" s="24"/>
      <c r="P4574" s="24"/>
    </row>
    <row r="4575" spans="2:16" x14ac:dyDescent="0.25">
      <c r="B4575" s="24"/>
      <c r="E4575" s="24"/>
      <c r="G4575" s="24"/>
      <c r="H4575" s="24"/>
      <c r="J4575" s="24"/>
      <c r="K4575" s="24"/>
      <c r="M4575" s="24"/>
      <c r="N4575" s="24"/>
      <c r="P4575" s="24"/>
    </row>
    <row r="4576" spans="2:16" x14ac:dyDescent="0.25">
      <c r="B4576" s="24"/>
      <c r="E4576" s="24"/>
      <c r="G4576" s="24"/>
      <c r="H4576" s="24"/>
      <c r="J4576" s="24"/>
      <c r="K4576" s="24"/>
      <c r="M4576" s="24"/>
      <c r="N4576" s="24"/>
      <c r="P4576" s="24"/>
    </row>
    <row r="4577" spans="2:16" x14ac:dyDescent="0.25">
      <c r="B4577" s="24"/>
      <c r="E4577" s="24"/>
      <c r="G4577" s="24"/>
      <c r="H4577" s="24"/>
      <c r="J4577" s="24"/>
      <c r="K4577" s="24"/>
      <c r="M4577" s="24"/>
      <c r="N4577" s="24"/>
      <c r="P4577" s="24"/>
    </row>
    <row r="4578" spans="2:16" x14ac:dyDescent="0.25">
      <c r="B4578" s="24"/>
      <c r="E4578" s="24"/>
      <c r="G4578" s="24"/>
      <c r="H4578" s="24"/>
      <c r="J4578" s="24"/>
      <c r="K4578" s="24"/>
      <c r="M4578" s="24"/>
      <c r="N4578" s="24"/>
      <c r="P4578" s="24"/>
    </row>
    <row r="4579" spans="2:16" x14ac:dyDescent="0.25">
      <c r="B4579" s="24"/>
      <c r="E4579" s="24"/>
      <c r="G4579" s="24"/>
      <c r="H4579" s="24"/>
      <c r="J4579" s="24"/>
      <c r="K4579" s="24"/>
      <c r="M4579" s="24"/>
      <c r="N4579" s="24"/>
      <c r="P4579" s="24"/>
    </row>
    <row r="4580" spans="2:16" x14ac:dyDescent="0.25">
      <c r="B4580" s="24"/>
      <c r="E4580" s="24"/>
      <c r="G4580" s="24"/>
      <c r="H4580" s="24"/>
      <c r="J4580" s="24"/>
      <c r="K4580" s="24"/>
      <c r="M4580" s="24"/>
      <c r="N4580" s="24"/>
      <c r="P4580" s="24"/>
    </row>
    <row r="4581" spans="2:16" x14ac:dyDescent="0.25">
      <c r="B4581" s="24"/>
      <c r="E4581" s="24"/>
      <c r="G4581" s="24"/>
      <c r="H4581" s="24"/>
      <c r="J4581" s="24"/>
      <c r="K4581" s="24"/>
      <c r="M4581" s="24"/>
      <c r="N4581" s="24"/>
      <c r="P4581" s="24"/>
    </row>
    <row r="4582" spans="2:16" x14ac:dyDescent="0.25">
      <c r="B4582" s="24"/>
      <c r="E4582" s="24"/>
      <c r="G4582" s="24"/>
      <c r="H4582" s="24"/>
      <c r="J4582" s="24"/>
      <c r="K4582" s="24"/>
      <c r="M4582" s="24"/>
      <c r="N4582" s="24"/>
      <c r="P4582" s="24"/>
    </row>
    <row r="4583" spans="2:16" x14ac:dyDescent="0.25">
      <c r="B4583" s="24"/>
      <c r="E4583" s="24"/>
      <c r="G4583" s="24"/>
      <c r="H4583" s="24"/>
      <c r="J4583" s="24"/>
      <c r="K4583" s="24"/>
      <c r="M4583" s="24"/>
      <c r="N4583" s="24"/>
      <c r="P4583" s="24"/>
    </row>
    <row r="4584" spans="2:16" x14ac:dyDescent="0.25">
      <c r="B4584" s="24"/>
      <c r="E4584" s="24"/>
      <c r="G4584" s="24"/>
      <c r="H4584" s="24"/>
      <c r="J4584" s="24"/>
      <c r="K4584" s="24"/>
      <c r="M4584" s="24"/>
      <c r="N4584" s="24"/>
      <c r="P4584" s="24"/>
    </row>
    <row r="4585" spans="2:16" x14ac:dyDescent="0.25">
      <c r="B4585" s="24"/>
      <c r="E4585" s="24"/>
      <c r="G4585" s="24"/>
      <c r="H4585" s="24"/>
      <c r="J4585" s="24"/>
      <c r="K4585" s="24"/>
      <c r="M4585" s="24"/>
      <c r="N4585" s="24"/>
      <c r="P4585" s="24"/>
    </row>
    <row r="4586" spans="2:16" x14ac:dyDescent="0.25">
      <c r="B4586" s="24"/>
      <c r="E4586" s="24"/>
      <c r="G4586" s="24"/>
      <c r="H4586" s="24"/>
      <c r="J4586" s="24"/>
      <c r="K4586" s="24"/>
      <c r="M4586" s="24"/>
      <c r="N4586" s="24"/>
      <c r="P4586" s="24"/>
    </row>
    <row r="4587" spans="2:16" x14ac:dyDescent="0.25">
      <c r="B4587" s="24"/>
      <c r="E4587" s="24"/>
      <c r="G4587" s="24"/>
      <c r="H4587" s="24"/>
      <c r="J4587" s="24"/>
      <c r="K4587" s="24"/>
      <c r="M4587" s="24"/>
      <c r="N4587" s="24"/>
      <c r="P4587" s="24"/>
    </row>
    <row r="4588" spans="2:16" x14ac:dyDescent="0.25">
      <c r="B4588" s="24"/>
      <c r="E4588" s="24"/>
      <c r="G4588" s="24"/>
      <c r="H4588" s="24"/>
      <c r="J4588" s="24"/>
      <c r="K4588" s="24"/>
      <c r="M4588" s="24"/>
      <c r="N4588" s="24"/>
      <c r="P4588" s="24"/>
    </row>
    <row r="4589" spans="2:16" x14ac:dyDescent="0.25">
      <c r="B4589" s="24"/>
      <c r="E4589" s="24"/>
      <c r="G4589" s="24"/>
      <c r="H4589" s="24"/>
      <c r="J4589" s="24"/>
      <c r="K4589" s="24"/>
      <c r="M4589" s="24"/>
      <c r="N4589" s="24"/>
      <c r="P4589" s="24"/>
    </row>
    <row r="4590" spans="2:16" x14ac:dyDescent="0.25">
      <c r="B4590" s="24"/>
      <c r="E4590" s="24"/>
      <c r="G4590" s="24"/>
      <c r="H4590" s="24"/>
      <c r="J4590" s="24"/>
      <c r="K4590" s="24"/>
      <c r="M4590" s="24"/>
      <c r="N4590" s="24"/>
      <c r="P4590" s="24"/>
    </row>
    <row r="4591" spans="2:16" x14ac:dyDescent="0.25">
      <c r="B4591" s="24"/>
      <c r="E4591" s="24"/>
      <c r="G4591" s="24"/>
      <c r="H4591" s="24"/>
      <c r="J4591" s="24"/>
      <c r="K4591" s="24"/>
      <c r="M4591" s="24"/>
      <c r="N4591" s="24"/>
      <c r="P4591" s="24"/>
    </row>
    <row r="4592" spans="2:16" x14ac:dyDescent="0.25">
      <c r="B4592" s="24"/>
      <c r="E4592" s="24"/>
      <c r="G4592" s="24"/>
      <c r="H4592" s="24"/>
      <c r="J4592" s="24"/>
      <c r="K4592" s="24"/>
      <c r="M4592" s="24"/>
      <c r="N4592" s="24"/>
      <c r="P4592" s="24"/>
    </row>
    <row r="4593" spans="2:16" x14ac:dyDescent="0.25">
      <c r="B4593" s="24"/>
      <c r="E4593" s="24"/>
      <c r="G4593" s="24"/>
      <c r="H4593" s="24"/>
      <c r="J4593" s="24"/>
      <c r="K4593" s="24"/>
      <c r="M4593" s="24"/>
      <c r="N4593" s="24"/>
      <c r="P4593" s="24"/>
    </row>
    <row r="4594" spans="2:16" x14ac:dyDescent="0.25">
      <c r="B4594" s="24"/>
      <c r="E4594" s="24"/>
      <c r="G4594" s="24"/>
      <c r="H4594" s="24"/>
      <c r="J4594" s="24"/>
      <c r="K4594" s="24"/>
      <c r="M4594" s="24"/>
      <c r="N4594" s="24"/>
      <c r="P4594" s="24"/>
    </row>
    <row r="4595" spans="2:16" x14ac:dyDescent="0.25">
      <c r="B4595" s="24"/>
      <c r="E4595" s="24"/>
      <c r="G4595" s="24"/>
      <c r="H4595" s="24"/>
      <c r="J4595" s="24"/>
      <c r="K4595" s="24"/>
      <c r="M4595" s="24"/>
      <c r="N4595" s="24"/>
      <c r="P4595" s="24"/>
    </row>
    <row r="4596" spans="2:16" x14ac:dyDescent="0.25">
      <c r="B4596" s="24"/>
      <c r="E4596" s="24"/>
      <c r="G4596" s="24"/>
      <c r="H4596" s="24"/>
      <c r="J4596" s="24"/>
      <c r="K4596" s="24"/>
      <c r="M4596" s="24"/>
      <c r="N4596" s="24"/>
      <c r="P4596" s="24"/>
    </row>
    <row r="4597" spans="2:16" x14ac:dyDescent="0.25">
      <c r="B4597" s="24"/>
      <c r="E4597" s="24"/>
      <c r="G4597" s="24"/>
      <c r="H4597" s="24"/>
      <c r="J4597" s="24"/>
      <c r="K4597" s="24"/>
      <c r="M4597" s="24"/>
      <c r="N4597" s="24"/>
      <c r="P4597" s="24"/>
    </row>
    <row r="4598" spans="2:16" x14ac:dyDescent="0.25">
      <c r="B4598" s="24"/>
      <c r="E4598" s="24"/>
      <c r="G4598" s="24"/>
      <c r="H4598" s="24"/>
      <c r="J4598" s="24"/>
      <c r="K4598" s="24"/>
      <c r="M4598" s="24"/>
      <c r="N4598" s="24"/>
      <c r="P4598" s="24"/>
    </row>
    <row r="4599" spans="2:16" x14ac:dyDescent="0.25">
      <c r="B4599" s="24"/>
      <c r="E4599" s="24"/>
      <c r="G4599" s="24"/>
      <c r="H4599" s="24"/>
      <c r="J4599" s="24"/>
      <c r="K4599" s="24"/>
      <c r="M4599" s="24"/>
      <c r="N4599" s="24"/>
      <c r="P4599" s="24"/>
    </row>
    <row r="4600" spans="2:16" x14ac:dyDescent="0.25">
      <c r="B4600" s="24"/>
      <c r="E4600" s="24"/>
      <c r="G4600" s="24"/>
      <c r="H4600" s="24"/>
      <c r="J4600" s="24"/>
      <c r="K4600" s="24"/>
      <c r="M4600" s="24"/>
      <c r="N4600" s="24"/>
      <c r="P4600" s="24"/>
    </row>
    <row r="4601" spans="2:16" x14ac:dyDescent="0.25">
      <c r="B4601" s="24"/>
      <c r="E4601" s="24"/>
      <c r="G4601" s="24"/>
      <c r="H4601" s="24"/>
      <c r="J4601" s="24"/>
      <c r="K4601" s="24"/>
      <c r="M4601" s="24"/>
      <c r="N4601" s="24"/>
      <c r="P4601" s="24"/>
    </row>
    <row r="4602" spans="2:16" x14ac:dyDescent="0.25">
      <c r="B4602" s="24"/>
      <c r="E4602" s="24"/>
      <c r="G4602" s="24"/>
      <c r="H4602" s="24"/>
      <c r="J4602" s="24"/>
      <c r="K4602" s="24"/>
      <c r="M4602" s="24"/>
      <c r="N4602" s="24"/>
      <c r="P4602" s="24"/>
    </row>
    <row r="4603" spans="2:16" x14ac:dyDescent="0.25">
      <c r="B4603" s="24"/>
      <c r="E4603" s="24"/>
      <c r="G4603" s="24"/>
      <c r="H4603" s="24"/>
      <c r="J4603" s="24"/>
      <c r="K4603" s="24"/>
      <c r="M4603" s="24"/>
      <c r="N4603" s="24"/>
      <c r="P4603" s="24"/>
    </row>
    <row r="4604" spans="2:16" x14ac:dyDescent="0.25">
      <c r="B4604" s="24"/>
      <c r="E4604" s="24"/>
      <c r="G4604" s="24"/>
      <c r="H4604" s="24"/>
      <c r="J4604" s="24"/>
      <c r="K4604" s="24"/>
      <c r="M4604" s="24"/>
      <c r="N4604" s="24"/>
      <c r="P4604" s="24"/>
    </row>
    <row r="4605" spans="2:16" x14ac:dyDescent="0.25">
      <c r="B4605" s="24"/>
      <c r="E4605" s="24"/>
      <c r="G4605" s="24"/>
      <c r="H4605" s="24"/>
      <c r="J4605" s="24"/>
      <c r="K4605" s="24"/>
      <c r="M4605" s="24"/>
      <c r="N4605" s="24"/>
      <c r="P4605" s="24"/>
    </row>
    <row r="4606" spans="2:16" x14ac:dyDescent="0.25">
      <c r="B4606" s="24"/>
      <c r="E4606" s="24"/>
      <c r="G4606" s="24"/>
      <c r="H4606" s="24"/>
      <c r="J4606" s="24"/>
      <c r="K4606" s="24"/>
      <c r="M4606" s="24"/>
      <c r="N4606" s="24"/>
      <c r="P4606" s="24"/>
    </row>
    <row r="4607" spans="2:16" x14ac:dyDescent="0.25">
      <c r="B4607" s="24"/>
      <c r="E4607" s="24"/>
      <c r="G4607" s="24"/>
      <c r="H4607" s="24"/>
      <c r="J4607" s="24"/>
      <c r="K4607" s="24"/>
      <c r="M4607" s="24"/>
      <c r="N4607" s="24"/>
      <c r="P4607" s="24"/>
    </row>
    <row r="4608" spans="2:16" x14ac:dyDescent="0.25">
      <c r="B4608" s="24"/>
      <c r="E4608" s="24"/>
      <c r="G4608" s="24"/>
      <c r="H4608" s="24"/>
      <c r="J4608" s="24"/>
      <c r="K4608" s="24"/>
      <c r="M4608" s="24"/>
      <c r="N4608" s="24"/>
      <c r="P4608" s="24"/>
    </row>
    <row r="4609" spans="2:16" x14ac:dyDescent="0.25">
      <c r="B4609" s="24"/>
      <c r="E4609" s="24"/>
      <c r="G4609" s="24"/>
      <c r="H4609" s="24"/>
      <c r="J4609" s="24"/>
      <c r="K4609" s="24"/>
      <c r="M4609" s="24"/>
      <c r="N4609" s="24"/>
      <c r="P4609" s="24"/>
    </row>
    <row r="4610" spans="2:16" x14ac:dyDescent="0.25">
      <c r="B4610" s="24"/>
      <c r="E4610" s="24"/>
      <c r="G4610" s="24"/>
      <c r="H4610" s="24"/>
      <c r="J4610" s="24"/>
      <c r="K4610" s="24"/>
      <c r="M4610" s="24"/>
      <c r="N4610" s="24"/>
      <c r="P4610" s="24"/>
    </row>
    <row r="4611" spans="2:16" x14ac:dyDescent="0.25">
      <c r="B4611" s="24"/>
      <c r="E4611" s="24"/>
      <c r="G4611" s="24"/>
      <c r="H4611" s="24"/>
      <c r="J4611" s="24"/>
      <c r="K4611" s="24"/>
      <c r="M4611" s="24"/>
      <c r="N4611" s="24"/>
      <c r="P4611" s="24"/>
    </row>
    <row r="4612" spans="2:16" x14ac:dyDescent="0.25">
      <c r="B4612" s="24"/>
      <c r="E4612" s="24"/>
      <c r="G4612" s="24"/>
      <c r="H4612" s="24"/>
      <c r="J4612" s="24"/>
      <c r="K4612" s="24"/>
      <c r="M4612" s="24"/>
      <c r="N4612" s="24"/>
      <c r="P4612" s="24"/>
    </row>
    <row r="4613" spans="2:16" x14ac:dyDescent="0.25">
      <c r="B4613" s="24"/>
      <c r="E4613" s="24"/>
      <c r="G4613" s="24"/>
      <c r="H4613" s="24"/>
      <c r="J4613" s="24"/>
      <c r="K4613" s="24"/>
      <c r="M4613" s="24"/>
      <c r="N4613" s="24"/>
      <c r="P4613" s="24"/>
    </row>
    <row r="4614" spans="2:16" x14ac:dyDescent="0.25">
      <c r="B4614" s="24"/>
      <c r="E4614" s="24"/>
      <c r="G4614" s="24"/>
      <c r="H4614" s="24"/>
      <c r="J4614" s="24"/>
      <c r="K4614" s="24"/>
      <c r="M4614" s="24"/>
      <c r="N4614" s="24"/>
      <c r="P4614" s="24"/>
    </row>
    <row r="4615" spans="2:16" x14ac:dyDescent="0.25">
      <c r="B4615" s="24"/>
      <c r="E4615" s="24"/>
      <c r="G4615" s="24"/>
      <c r="H4615" s="24"/>
      <c r="J4615" s="24"/>
      <c r="K4615" s="24"/>
      <c r="M4615" s="24"/>
      <c r="N4615" s="24"/>
      <c r="P4615" s="24"/>
    </row>
    <row r="4616" spans="2:16" x14ac:dyDescent="0.25">
      <c r="B4616" s="24"/>
      <c r="E4616" s="24"/>
      <c r="G4616" s="24"/>
      <c r="H4616" s="24"/>
      <c r="J4616" s="24"/>
      <c r="K4616" s="24"/>
      <c r="M4616" s="24"/>
      <c r="N4616" s="24"/>
      <c r="P4616" s="24"/>
    </row>
    <row r="4617" spans="2:16" x14ac:dyDescent="0.25">
      <c r="B4617" s="24"/>
      <c r="E4617" s="24"/>
      <c r="G4617" s="24"/>
      <c r="H4617" s="24"/>
      <c r="J4617" s="24"/>
      <c r="K4617" s="24"/>
      <c r="M4617" s="24"/>
      <c r="N4617" s="24"/>
      <c r="P4617" s="24"/>
    </row>
    <row r="4618" spans="2:16" x14ac:dyDescent="0.25">
      <c r="B4618" s="24"/>
      <c r="E4618" s="24"/>
      <c r="G4618" s="24"/>
      <c r="H4618" s="24"/>
      <c r="J4618" s="24"/>
      <c r="K4618" s="24"/>
      <c r="M4618" s="24"/>
      <c r="N4618" s="24"/>
      <c r="P4618" s="24"/>
    </row>
    <row r="4619" spans="2:16" x14ac:dyDescent="0.25">
      <c r="B4619" s="24"/>
      <c r="E4619" s="24"/>
      <c r="G4619" s="24"/>
      <c r="H4619" s="24"/>
      <c r="J4619" s="24"/>
      <c r="K4619" s="24"/>
      <c r="M4619" s="24"/>
      <c r="N4619" s="24"/>
      <c r="P4619" s="24"/>
    </row>
    <row r="4620" spans="2:16" x14ac:dyDescent="0.25">
      <c r="B4620" s="24"/>
      <c r="E4620" s="24"/>
      <c r="G4620" s="24"/>
      <c r="H4620" s="24"/>
      <c r="J4620" s="24"/>
      <c r="K4620" s="24"/>
      <c r="M4620" s="24"/>
      <c r="N4620" s="24"/>
      <c r="P4620" s="24"/>
    </row>
    <row r="4621" spans="2:16" x14ac:dyDescent="0.25">
      <c r="B4621" s="24"/>
      <c r="E4621" s="24"/>
      <c r="G4621" s="24"/>
      <c r="H4621" s="24"/>
      <c r="J4621" s="24"/>
      <c r="K4621" s="24"/>
      <c r="M4621" s="24"/>
      <c r="N4621" s="24"/>
      <c r="P4621" s="24"/>
    </row>
    <row r="4622" spans="2:16" x14ac:dyDescent="0.25">
      <c r="B4622" s="24"/>
      <c r="E4622" s="24"/>
      <c r="G4622" s="24"/>
      <c r="H4622" s="24"/>
      <c r="J4622" s="24"/>
      <c r="K4622" s="24"/>
      <c r="M4622" s="24"/>
      <c r="N4622" s="24"/>
      <c r="P4622" s="24"/>
    </row>
    <row r="4623" spans="2:16" x14ac:dyDescent="0.25">
      <c r="B4623" s="24"/>
      <c r="E4623" s="24"/>
      <c r="G4623" s="24"/>
      <c r="H4623" s="24"/>
      <c r="J4623" s="24"/>
      <c r="K4623" s="24"/>
      <c r="M4623" s="24"/>
      <c r="N4623" s="24"/>
      <c r="P4623" s="24"/>
    </row>
    <row r="4624" spans="2:16" x14ac:dyDescent="0.25">
      <c r="B4624" s="24"/>
      <c r="E4624" s="24"/>
      <c r="G4624" s="24"/>
      <c r="H4624" s="24"/>
      <c r="J4624" s="24"/>
      <c r="K4624" s="24"/>
      <c r="M4624" s="24"/>
      <c r="N4624" s="24"/>
      <c r="P4624" s="24"/>
    </row>
    <row r="4625" spans="2:16" x14ac:dyDescent="0.25">
      <c r="B4625" s="24"/>
      <c r="E4625" s="24"/>
      <c r="G4625" s="24"/>
      <c r="H4625" s="24"/>
      <c r="J4625" s="24"/>
      <c r="K4625" s="24"/>
      <c r="M4625" s="24"/>
      <c r="N4625" s="24"/>
      <c r="P4625" s="24"/>
    </row>
    <row r="4626" spans="2:16" x14ac:dyDescent="0.25">
      <c r="B4626" s="24"/>
      <c r="E4626" s="24"/>
      <c r="G4626" s="24"/>
      <c r="H4626" s="24"/>
      <c r="J4626" s="24"/>
      <c r="K4626" s="24"/>
      <c r="M4626" s="24"/>
      <c r="N4626" s="24"/>
      <c r="P4626" s="24"/>
    </row>
    <row r="4627" spans="2:16" x14ac:dyDescent="0.25">
      <c r="B4627" s="24"/>
      <c r="E4627" s="24"/>
      <c r="G4627" s="24"/>
      <c r="H4627" s="24"/>
      <c r="J4627" s="24"/>
      <c r="K4627" s="24"/>
      <c r="M4627" s="24"/>
      <c r="N4627" s="24"/>
      <c r="P4627" s="24"/>
    </row>
    <row r="4628" spans="2:16" x14ac:dyDescent="0.25">
      <c r="B4628" s="24"/>
      <c r="E4628" s="24"/>
      <c r="G4628" s="24"/>
      <c r="H4628" s="24"/>
      <c r="J4628" s="24"/>
      <c r="K4628" s="24"/>
      <c r="M4628" s="24"/>
      <c r="N4628" s="24"/>
      <c r="P4628" s="24"/>
    </row>
    <row r="4629" spans="2:16" x14ac:dyDescent="0.25">
      <c r="B4629" s="24"/>
      <c r="E4629" s="24"/>
      <c r="G4629" s="24"/>
      <c r="H4629" s="24"/>
      <c r="J4629" s="24"/>
      <c r="K4629" s="24"/>
      <c r="M4629" s="24"/>
      <c r="N4629" s="24"/>
      <c r="P4629" s="24"/>
    </row>
    <row r="4630" spans="2:16" x14ac:dyDescent="0.25">
      <c r="B4630" s="24"/>
      <c r="E4630" s="24"/>
      <c r="G4630" s="24"/>
      <c r="H4630" s="24"/>
      <c r="J4630" s="24"/>
      <c r="K4630" s="24"/>
      <c r="M4630" s="24"/>
      <c r="N4630" s="24"/>
      <c r="P4630" s="24"/>
    </row>
    <row r="4631" spans="2:16" x14ac:dyDescent="0.25">
      <c r="B4631" s="24"/>
      <c r="E4631" s="24"/>
      <c r="G4631" s="24"/>
      <c r="H4631" s="24"/>
      <c r="J4631" s="24"/>
      <c r="K4631" s="24"/>
      <c r="M4631" s="24"/>
      <c r="N4631" s="24"/>
      <c r="P4631" s="24"/>
    </row>
    <row r="4632" spans="2:16" x14ac:dyDescent="0.25">
      <c r="B4632" s="24"/>
      <c r="E4632" s="24"/>
      <c r="G4632" s="24"/>
      <c r="H4632" s="24"/>
      <c r="J4632" s="24"/>
      <c r="K4632" s="24"/>
      <c r="M4632" s="24"/>
      <c r="N4632" s="24"/>
      <c r="P4632" s="24"/>
    </row>
    <row r="4633" spans="2:16" x14ac:dyDescent="0.25">
      <c r="B4633" s="24"/>
      <c r="E4633" s="24"/>
      <c r="G4633" s="24"/>
      <c r="H4633" s="24"/>
      <c r="J4633" s="24"/>
      <c r="K4633" s="24"/>
      <c r="M4633" s="24"/>
      <c r="N4633" s="24"/>
      <c r="P4633" s="24"/>
    </row>
    <row r="4634" spans="2:16" x14ac:dyDescent="0.25">
      <c r="B4634" s="24"/>
      <c r="E4634" s="24"/>
      <c r="G4634" s="24"/>
      <c r="H4634" s="24"/>
      <c r="J4634" s="24"/>
      <c r="K4634" s="24"/>
      <c r="M4634" s="24"/>
      <c r="N4634" s="24"/>
      <c r="P4634" s="24"/>
    </row>
    <row r="4635" spans="2:16" x14ac:dyDescent="0.25">
      <c r="B4635" s="24"/>
      <c r="E4635" s="24"/>
      <c r="G4635" s="24"/>
      <c r="H4635" s="24"/>
      <c r="J4635" s="24"/>
      <c r="K4635" s="24"/>
      <c r="M4635" s="24"/>
      <c r="N4635" s="24"/>
      <c r="P4635" s="24"/>
    </row>
    <row r="4636" spans="2:16" x14ac:dyDescent="0.25">
      <c r="B4636" s="24"/>
      <c r="E4636" s="24"/>
      <c r="G4636" s="24"/>
      <c r="H4636" s="24"/>
      <c r="J4636" s="24"/>
      <c r="K4636" s="24"/>
      <c r="M4636" s="24"/>
      <c r="N4636" s="24"/>
      <c r="P4636" s="24"/>
    </row>
    <row r="4637" spans="2:16" x14ac:dyDescent="0.25">
      <c r="B4637" s="24"/>
      <c r="E4637" s="24"/>
      <c r="G4637" s="24"/>
      <c r="H4637" s="24"/>
      <c r="J4637" s="24"/>
      <c r="K4637" s="24"/>
      <c r="M4637" s="24"/>
      <c r="N4637" s="24"/>
      <c r="P4637" s="24"/>
    </row>
    <row r="4638" spans="2:16" x14ac:dyDescent="0.25">
      <c r="B4638" s="24"/>
      <c r="E4638" s="24"/>
      <c r="G4638" s="24"/>
      <c r="H4638" s="24"/>
      <c r="J4638" s="24"/>
      <c r="K4638" s="24"/>
      <c r="M4638" s="24"/>
      <c r="N4638" s="24"/>
      <c r="P4638" s="24"/>
    </row>
    <row r="4639" spans="2:16" x14ac:dyDescent="0.25">
      <c r="B4639" s="24"/>
      <c r="E4639" s="24"/>
      <c r="G4639" s="24"/>
      <c r="H4639" s="24"/>
      <c r="J4639" s="24"/>
      <c r="K4639" s="24"/>
      <c r="M4639" s="24"/>
      <c r="N4639" s="24"/>
      <c r="P4639" s="24"/>
    </row>
    <row r="4640" spans="2:16" x14ac:dyDescent="0.25">
      <c r="B4640" s="24"/>
      <c r="E4640" s="24"/>
      <c r="G4640" s="24"/>
      <c r="H4640" s="24"/>
      <c r="J4640" s="24"/>
      <c r="K4640" s="24"/>
      <c r="M4640" s="24"/>
      <c r="N4640" s="24"/>
      <c r="P4640" s="24"/>
    </row>
    <row r="4641" spans="2:16" x14ac:dyDescent="0.25">
      <c r="B4641" s="24"/>
      <c r="E4641" s="24"/>
      <c r="G4641" s="24"/>
      <c r="H4641" s="24"/>
      <c r="J4641" s="24"/>
      <c r="K4641" s="24"/>
      <c r="M4641" s="24"/>
      <c r="N4641" s="24"/>
      <c r="P4641" s="24"/>
    </row>
    <row r="4642" spans="2:16" x14ac:dyDescent="0.25">
      <c r="B4642" s="24"/>
      <c r="E4642" s="24"/>
      <c r="G4642" s="24"/>
      <c r="H4642" s="24"/>
      <c r="J4642" s="24"/>
      <c r="K4642" s="24"/>
      <c r="M4642" s="24"/>
      <c r="N4642" s="24"/>
      <c r="P4642" s="24"/>
    </row>
    <row r="4643" spans="2:16" x14ac:dyDescent="0.25">
      <c r="B4643" s="24"/>
      <c r="E4643" s="24"/>
      <c r="G4643" s="24"/>
      <c r="H4643" s="24"/>
      <c r="J4643" s="24"/>
      <c r="K4643" s="24"/>
      <c r="M4643" s="24"/>
      <c r="N4643" s="24"/>
      <c r="P4643" s="24"/>
    </row>
    <row r="4644" spans="2:16" x14ac:dyDescent="0.25">
      <c r="B4644" s="24"/>
      <c r="E4644" s="24"/>
      <c r="G4644" s="24"/>
      <c r="H4644" s="24"/>
      <c r="J4644" s="24"/>
      <c r="K4644" s="24"/>
      <c r="M4644" s="24"/>
      <c r="N4644" s="24"/>
      <c r="P4644" s="24"/>
    </row>
    <row r="4645" spans="2:16" x14ac:dyDescent="0.25">
      <c r="B4645" s="24"/>
      <c r="E4645" s="24"/>
      <c r="G4645" s="24"/>
      <c r="H4645" s="24"/>
      <c r="J4645" s="24"/>
      <c r="K4645" s="24"/>
      <c r="M4645" s="24"/>
      <c r="N4645" s="24"/>
      <c r="P4645" s="24"/>
    </row>
    <row r="4646" spans="2:16" x14ac:dyDescent="0.25">
      <c r="B4646" s="24"/>
      <c r="E4646" s="24"/>
      <c r="G4646" s="24"/>
      <c r="H4646" s="24"/>
      <c r="J4646" s="24"/>
      <c r="K4646" s="24"/>
      <c r="M4646" s="24"/>
      <c r="N4646" s="24"/>
      <c r="P4646" s="24"/>
    </row>
    <row r="4647" spans="2:16" x14ac:dyDescent="0.25">
      <c r="B4647" s="24"/>
      <c r="E4647" s="24"/>
      <c r="G4647" s="24"/>
      <c r="H4647" s="24"/>
      <c r="J4647" s="24"/>
      <c r="K4647" s="24"/>
      <c r="M4647" s="24"/>
      <c r="N4647" s="24"/>
      <c r="P4647" s="24"/>
    </row>
    <row r="4648" spans="2:16" x14ac:dyDescent="0.25">
      <c r="B4648" s="24"/>
      <c r="E4648" s="24"/>
      <c r="G4648" s="24"/>
      <c r="H4648" s="24"/>
      <c r="J4648" s="24"/>
      <c r="K4648" s="24"/>
      <c r="M4648" s="24"/>
      <c r="N4648" s="24"/>
      <c r="P4648" s="24"/>
    </row>
    <row r="4649" spans="2:16" x14ac:dyDescent="0.25">
      <c r="B4649" s="24"/>
      <c r="E4649" s="24"/>
      <c r="G4649" s="24"/>
      <c r="H4649" s="24"/>
      <c r="J4649" s="24"/>
      <c r="K4649" s="24"/>
      <c r="M4649" s="24"/>
      <c r="N4649" s="24"/>
      <c r="P4649" s="24"/>
    </row>
    <row r="4650" spans="2:16" x14ac:dyDescent="0.25">
      <c r="B4650" s="24"/>
      <c r="E4650" s="24"/>
      <c r="G4650" s="24"/>
      <c r="H4650" s="24"/>
      <c r="J4650" s="24"/>
      <c r="K4650" s="24"/>
      <c r="M4650" s="24"/>
      <c r="N4650" s="24"/>
      <c r="P4650" s="24"/>
    </row>
    <row r="4651" spans="2:16" x14ac:dyDescent="0.25">
      <c r="B4651" s="24"/>
      <c r="E4651" s="24"/>
      <c r="G4651" s="24"/>
      <c r="H4651" s="24"/>
      <c r="J4651" s="24"/>
      <c r="K4651" s="24"/>
      <c r="M4651" s="24"/>
      <c r="N4651" s="24"/>
      <c r="P4651" s="24"/>
    </row>
    <row r="4652" spans="2:16" x14ac:dyDescent="0.25">
      <c r="B4652" s="24"/>
      <c r="E4652" s="24"/>
      <c r="G4652" s="24"/>
      <c r="H4652" s="24"/>
      <c r="J4652" s="24"/>
      <c r="K4652" s="24"/>
      <c r="M4652" s="24"/>
      <c r="N4652" s="24"/>
      <c r="P4652" s="24"/>
    </row>
    <row r="4653" spans="2:16" x14ac:dyDescent="0.25">
      <c r="B4653" s="24"/>
      <c r="E4653" s="24"/>
      <c r="G4653" s="24"/>
      <c r="H4653" s="24"/>
      <c r="J4653" s="24"/>
      <c r="K4653" s="24"/>
      <c r="M4653" s="24"/>
      <c r="N4653" s="24"/>
      <c r="P4653" s="24"/>
    </row>
    <row r="4654" spans="2:16" x14ac:dyDescent="0.25">
      <c r="B4654" s="24"/>
      <c r="E4654" s="24"/>
      <c r="G4654" s="24"/>
      <c r="H4654" s="24"/>
      <c r="J4654" s="24"/>
      <c r="K4654" s="24"/>
      <c r="M4654" s="24"/>
      <c r="N4654" s="24"/>
      <c r="P4654" s="24"/>
    </row>
    <row r="4655" spans="2:16" x14ac:dyDescent="0.25">
      <c r="B4655" s="24"/>
      <c r="E4655" s="24"/>
      <c r="G4655" s="24"/>
      <c r="H4655" s="24"/>
      <c r="J4655" s="24"/>
      <c r="K4655" s="24"/>
      <c r="M4655" s="24"/>
      <c r="N4655" s="24"/>
      <c r="P4655" s="24"/>
    </row>
    <row r="4656" spans="2:16" x14ac:dyDescent="0.25">
      <c r="B4656" s="24"/>
      <c r="E4656" s="24"/>
      <c r="G4656" s="24"/>
      <c r="H4656" s="24"/>
      <c r="J4656" s="24"/>
      <c r="K4656" s="24"/>
      <c r="M4656" s="24"/>
      <c r="N4656" s="24"/>
      <c r="P4656" s="24"/>
    </row>
    <row r="4657" spans="2:16" x14ac:dyDescent="0.25">
      <c r="B4657" s="24"/>
      <c r="E4657" s="24"/>
      <c r="G4657" s="24"/>
      <c r="H4657" s="24"/>
      <c r="J4657" s="24"/>
      <c r="K4657" s="24"/>
      <c r="M4657" s="24"/>
      <c r="N4657" s="24"/>
      <c r="P4657" s="24"/>
    </row>
    <row r="4658" spans="2:16" x14ac:dyDescent="0.25">
      <c r="B4658" s="24"/>
      <c r="E4658" s="24"/>
      <c r="G4658" s="24"/>
      <c r="H4658" s="24"/>
      <c r="J4658" s="24"/>
      <c r="K4658" s="24"/>
      <c r="M4658" s="24"/>
      <c r="N4658" s="24"/>
      <c r="P4658" s="24"/>
    </row>
    <row r="4659" spans="2:16" x14ac:dyDescent="0.25">
      <c r="B4659" s="24"/>
      <c r="E4659" s="24"/>
      <c r="G4659" s="24"/>
      <c r="H4659" s="24"/>
      <c r="J4659" s="24"/>
      <c r="K4659" s="24"/>
      <c r="M4659" s="24"/>
      <c r="N4659" s="24"/>
      <c r="P4659" s="24"/>
    </row>
    <row r="4660" spans="2:16" x14ac:dyDescent="0.25">
      <c r="B4660" s="24"/>
      <c r="E4660" s="24"/>
      <c r="G4660" s="24"/>
      <c r="H4660" s="24"/>
      <c r="J4660" s="24"/>
      <c r="K4660" s="24"/>
      <c r="M4660" s="24"/>
      <c r="N4660" s="24"/>
      <c r="P4660" s="24"/>
    </row>
    <row r="4661" spans="2:16" x14ac:dyDescent="0.25">
      <c r="B4661" s="24"/>
      <c r="E4661" s="24"/>
      <c r="G4661" s="24"/>
      <c r="H4661" s="24"/>
      <c r="J4661" s="24"/>
      <c r="K4661" s="24"/>
      <c r="M4661" s="24"/>
      <c r="N4661" s="24"/>
      <c r="P4661" s="24"/>
    </row>
    <row r="4662" spans="2:16" x14ac:dyDescent="0.25">
      <c r="B4662" s="24"/>
      <c r="E4662" s="24"/>
      <c r="G4662" s="24"/>
      <c r="H4662" s="24"/>
      <c r="J4662" s="24"/>
      <c r="K4662" s="24"/>
      <c r="M4662" s="24"/>
      <c r="N4662" s="24"/>
      <c r="P4662" s="24"/>
    </row>
    <row r="4663" spans="2:16" x14ac:dyDescent="0.25">
      <c r="B4663" s="24"/>
      <c r="E4663" s="24"/>
      <c r="G4663" s="24"/>
      <c r="H4663" s="24"/>
      <c r="J4663" s="24"/>
      <c r="K4663" s="24"/>
      <c r="M4663" s="24"/>
      <c r="N4663" s="24"/>
      <c r="P4663" s="24"/>
    </row>
    <row r="4664" spans="2:16" x14ac:dyDescent="0.25">
      <c r="B4664" s="24"/>
      <c r="E4664" s="24"/>
      <c r="G4664" s="24"/>
      <c r="H4664" s="24"/>
      <c r="J4664" s="24"/>
      <c r="K4664" s="24"/>
      <c r="M4664" s="24"/>
      <c r="N4664" s="24"/>
      <c r="P4664" s="24"/>
    </row>
    <row r="4665" spans="2:16" x14ac:dyDescent="0.25">
      <c r="B4665" s="24"/>
      <c r="E4665" s="24"/>
      <c r="G4665" s="24"/>
      <c r="H4665" s="24"/>
      <c r="J4665" s="24"/>
      <c r="K4665" s="24"/>
      <c r="M4665" s="24"/>
      <c r="N4665" s="24"/>
      <c r="P4665" s="24"/>
    </row>
    <row r="4666" spans="2:16" x14ac:dyDescent="0.25">
      <c r="B4666" s="24"/>
      <c r="E4666" s="24"/>
      <c r="G4666" s="24"/>
      <c r="H4666" s="24"/>
      <c r="J4666" s="24"/>
      <c r="K4666" s="24"/>
      <c r="M4666" s="24"/>
      <c r="N4666" s="24"/>
      <c r="P4666" s="24"/>
    </row>
    <row r="4667" spans="2:16" x14ac:dyDescent="0.25">
      <c r="B4667" s="24"/>
      <c r="E4667" s="24"/>
      <c r="G4667" s="24"/>
      <c r="H4667" s="24"/>
      <c r="J4667" s="24"/>
      <c r="K4667" s="24"/>
      <c r="M4667" s="24"/>
      <c r="N4667" s="24"/>
      <c r="P4667" s="24"/>
    </row>
    <row r="4668" spans="2:16" x14ac:dyDescent="0.25">
      <c r="B4668" s="24"/>
      <c r="E4668" s="24"/>
      <c r="G4668" s="24"/>
      <c r="H4668" s="24"/>
      <c r="J4668" s="24"/>
      <c r="K4668" s="24"/>
      <c r="M4668" s="24"/>
      <c r="N4668" s="24"/>
      <c r="P4668" s="24"/>
    </row>
    <row r="4669" spans="2:16" x14ac:dyDescent="0.25">
      <c r="B4669" s="24"/>
      <c r="E4669" s="24"/>
      <c r="G4669" s="24"/>
      <c r="H4669" s="24"/>
      <c r="J4669" s="24"/>
      <c r="K4669" s="24"/>
      <c r="M4669" s="24"/>
      <c r="N4669" s="24"/>
      <c r="P4669" s="24"/>
    </row>
    <row r="4670" spans="2:16" x14ac:dyDescent="0.25">
      <c r="B4670" s="24"/>
      <c r="E4670" s="24"/>
      <c r="G4670" s="24"/>
      <c r="H4670" s="24"/>
      <c r="J4670" s="24"/>
      <c r="K4670" s="24"/>
      <c r="M4670" s="24"/>
      <c r="N4670" s="24"/>
      <c r="P4670" s="24"/>
    </row>
    <row r="4671" spans="2:16" x14ac:dyDescent="0.25">
      <c r="B4671" s="24"/>
      <c r="E4671" s="24"/>
      <c r="G4671" s="24"/>
      <c r="H4671" s="24"/>
      <c r="J4671" s="24"/>
      <c r="K4671" s="24"/>
      <c r="M4671" s="24"/>
      <c r="N4671" s="24"/>
      <c r="P4671" s="24"/>
    </row>
    <row r="4672" spans="2:16" x14ac:dyDescent="0.25">
      <c r="B4672" s="24"/>
      <c r="E4672" s="24"/>
      <c r="G4672" s="24"/>
      <c r="H4672" s="24"/>
      <c r="J4672" s="24"/>
      <c r="K4672" s="24"/>
      <c r="M4672" s="24"/>
      <c r="N4672" s="24"/>
      <c r="P4672" s="24"/>
    </row>
    <row r="4673" spans="2:16" x14ac:dyDescent="0.25">
      <c r="B4673" s="24"/>
      <c r="E4673" s="24"/>
      <c r="G4673" s="24"/>
      <c r="H4673" s="24"/>
      <c r="J4673" s="24"/>
      <c r="K4673" s="24"/>
      <c r="M4673" s="24"/>
      <c r="N4673" s="24"/>
      <c r="P4673" s="24"/>
    </row>
    <row r="4674" spans="2:16" x14ac:dyDescent="0.25">
      <c r="B4674" s="24"/>
      <c r="E4674" s="24"/>
      <c r="G4674" s="24"/>
      <c r="H4674" s="24"/>
      <c r="J4674" s="24"/>
      <c r="K4674" s="24"/>
      <c r="M4674" s="24"/>
      <c r="N4674" s="24"/>
      <c r="P4674" s="24"/>
    </row>
    <row r="4675" spans="2:16" x14ac:dyDescent="0.25">
      <c r="B4675" s="24"/>
      <c r="E4675" s="24"/>
      <c r="G4675" s="24"/>
      <c r="H4675" s="24"/>
      <c r="J4675" s="24"/>
      <c r="K4675" s="24"/>
      <c r="M4675" s="24"/>
      <c r="N4675" s="24"/>
      <c r="P4675" s="24"/>
    </row>
    <row r="4676" spans="2:16" x14ac:dyDescent="0.25">
      <c r="B4676" s="24"/>
      <c r="E4676" s="24"/>
      <c r="G4676" s="24"/>
      <c r="H4676" s="24"/>
      <c r="J4676" s="24"/>
      <c r="K4676" s="24"/>
      <c r="M4676" s="24"/>
      <c r="N4676" s="24"/>
      <c r="P4676" s="24"/>
    </row>
    <row r="4677" spans="2:16" x14ac:dyDescent="0.25">
      <c r="B4677" s="24"/>
      <c r="E4677" s="24"/>
      <c r="G4677" s="24"/>
      <c r="H4677" s="24"/>
      <c r="J4677" s="24"/>
      <c r="K4677" s="24"/>
      <c r="M4677" s="24"/>
      <c r="N4677" s="24"/>
      <c r="P4677" s="24"/>
    </row>
    <row r="4678" spans="2:16" x14ac:dyDescent="0.25">
      <c r="B4678" s="24"/>
      <c r="E4678" s="24"/>
      <c r="G4678" s="24"/>
      <c r="H4678" s="24"/>
      <c r="J4678" s="24"/>
      <c r="K4678" s="24"/>
      <c r="M4678" s="24"/>
      <c r="N4678" s="24"/>
      <c r="P4678" s="24"/>
    </row>
    <row r="4679" spans="2:16" x14ac:dyDescent="0.25">
      <c r="B4679" s="24"/>
      <c r="E4679" s="24"/>
      <c r="G4679" s="24"/>
      <c r="H4679" s="24"/>
      <c r="J4679" s="24"/>
      <c r="K4679" s="24"/>
      <c r="M4679" s="24"/>
      <c r="N4679" s="24"/>
      <c r="P4679" s="24"/>
    </row>
    <row r="4680" spans="2:16" x14ac:dyDescent="0.25">
      <c r="B4680" s="24"/>
      <c r="E4680" s="24"/>
      <c r="G4680" s="24"/>
      <c r="H4680" s="24"/>
      <c r="J4680" s="24"/>
      <c r="K4680" s="24"/>
      <c r="M4680" s="24"/>
      <c r="N4680" s="24"/>
      <c r="P4680" s="24"/>
    </row>
    <row r="4681" spans="2:16" x14ac:dyDescent="0.25">
      <c r="B4681" s="24"/>
      <c r="E4681" s="24"/>
      <c r="G4681" s="24"/>
      <c r="H4681" s="24"/>
      <c r="J4681" s="24"/>
      <c r="K4681" s="24"/>
      <c r="M4681" s="24"/>
      <c r="N4681" s="24"/>
      <c r="P4681" s="24"/>
    </row>
    <row r="4682" spans="2:16" x14ac:dyDescent="0.25">
      <c r="B4682" s="24"/>
      <c r="E4682" s="24"/>
      <c r="G4682" s="24"/>
      <c r="H4682" s="24"/>
      <c r="J4682" s="24"/>
      <c r="K4682" s="24"/>
      <c r="M4682" s="24"/>
      <c r="N4682" s="24"/>
      <c r="P4682" s="24"/>
    </row>
    <row r="4683" spans="2:16" x14ac:dyDescent="0.25">
      <c r="B4683" s="24"/>
      <c r="E4683" s="24"/>
      <c r="G4683" s="24"/>
      <c r="H4683" s="24"/>
      <c r="J4683" s="24"/>
      <c r="K4683" s="24"/>
      <c r="M4683" s="24"/>
      <c r="N4683" s="24"/>
      <c r="P4683" s="24"/>
    </row>
    <row r="4684" spans="2:16" x14ac:dyDescent="0.25">
      <c r="B4684" s="24"/>
      <c r="E4684" s="24"/>
      <c r="G4684" s="24"/>
      <c r="H4684" s="24"/>
      <c r="J4684" s="24"/>
      <c r="K4684" s="24"/>
      <c r="M4684" s="24"/>
      <c r="N4684" s="24"/>
      <c r="P4684" s="24"/>
    </row>
    <row r="4685" spans="2:16" x14ac:dyDescent="0.25">
      <c r="B4685" s="24"/>
      <c r="E4685" s="24"/>
      <c r="G4685" s="24"/>
      <c r="H4685" s="24"/>
      <c r="J4685" s="24"/>
      <c r="K4685" s="24"/>
      <c r="M4685" s="24"/>
      <c r="N4685" s="24"/>
      <c r="P4685" s="24"/>
    </row>
    <row r="4686" spans="2:16" x14ac:dyDescent="0.25">
      <c r="B4686" s="24"/>
      <c r="E4686" s="24"/>
      <c r="G4686" s="24"/>
      <c r="H4686" s="24"/>
      <c r="J4686" s="24"/>
      <c r="K4686" s="24"/>
      <c r="M4686" s="24"/>
      <c r="N4686" s="24"/>
      <c r="P4686" s="24"/>
    </row>
    <row r="4687" spans="2:16" x14ac:dyDescent="0.25">
      <c r="B4687" s="24"/>
      <c r="E4687" s="24"/>
      <c r="G4687" s="24"/>
      <c r="H4687" s="24"/>
      <c r="J4687" s="24"/>
      <c r="K4687" s="24"/>
      <c r="M4687" s="24"/>
      <c r="N4687" s="24"/>
      <c r="P4687" s="24"/>
    </row>
    <row r="4688" spans="2:16" x14ac:dyDescent="0.25">
      <c r="B4688" s="24"/>
      <c r="E4688" s="24"/>
      <c r="G4688" s="24"/>
      <c r="H4688" s="24"/>
      <c r="J4688" s="24"/>
      <c r="K4688" s="24"/>
      <c r="M4688" s="24"/>
      <c r="N4688" s="24"/>
      <c r="P4688" s="24"/>
    </row>
    <row r="4689" spans="2:16" x14ac:dyDescent="0.25">
      <c r="B4689" s="24"/>
      <c r="E4689" s="24"/>
      <c r="G4689" s="24"/>
      <c r="H4689" s="24"/>
      <c r="J4689" s="24"/>
      <c r="K4689" s="24"/>
      <c r="M4689" s="24"/>
      <c r="N4689" s="24"/>
      <c r="P4689" s="24"/>
    </row>
    <row r="4690" spans="2:16" x14ac:dyDescent="0.25">
      <c r="B4690" s="24"/>
      <c r="E4690" s="24"/>
      <c r="G4690" s="24"/>
      <c r="H4690" s="24"/>
      <c r="J4690" s="24"/>
      <c r="K4690" s="24"/>
      <c r="M4690" s="24"/>
      <c r="N4690" s="24"/>
      <c r="P4690" s="24"/>
    </row>
    <row r="4691" spans="2:16" x14ac:dyDescent="0.25">
      <c r="B4691" s="24"/>
      <c r="E4691" s="24"/>
      <c r="G4691" s="24"/>
      <c r="H4691" s="24"/>
      <c r="J4691" s="24"/>
      <c r="K4691" s="24"/>
      <c r="M4691" s="24"/>
      <c r="N4691" s="24"/>
      <c r="P4691" s="24"/>
    </row>
    <row r="4692" spans="2:16" x14ac:dyDescent="0.25">
      <c r="B4692" s="24"/>
      <c r="E4692" s="24"/>
      <c r="G4692" s="24"/>
      <c r="H4692" s="24"/>
      <c r="J4692" s="24"/>
      <c r="K4692" s="24"/>
      <c r="M4692" s="24"/>
      <c r="N4692" s="24"/>
      <c r="P4692" s="24"/>
    </row>
    <row r="4693" spans="2:16" x14ac:dyDescent="0.25">
      <c r="B4693" s="24"/>
      <c r="E4693" s="24"/>
      <c r="G4693" s="24"/>
      <c r="H4693" s="24"/>
      <c r="J4693" s="24"/>
      <c r="K4693" s="24"/>
      <c r="M4693" s="24"/>
      <c r="N4693" s="24"/>
      <c r="P4693" s="24"/>
    </row>
    <row r="4694" spans="2:16" x14ac:dyDescent="0.25">
      <c r="B4694" s="24"/>
      <c r="E4694" s="24"/>
      <c r="G4694" s="24"/>
      <c r="H4694" s="24"/>
      <c r="J4694" s="24"/>
      <c r="K4694" s="24"/>
      <c r="M4694" s="24"/>
      <c r="N4694" s="24"/>
      <c r="P4694" s="24"/>
    </row>
    <row r="4695" spans="2:16" x14ac:dyDescent="0.25">
      <c r="B4695" s="24"/>
      <c r="E4695" s="24"/>
      <c r="G4695" s="24"/>
      <c r="H4695" s="24"/>
      <c r="J4695" s="24"/>
      <c r="K4695" s="24"/>
      <c r="M4695" s="24"/>
      <c r="N4695" s="24"/>
      <c r="P4695" s="24"/>
    </row>
    <row r="4696" spans="2:16" x14ac:dyDescent="0.25">
      <c r="B4696" s="24"/>
      <c r="E4696" s="24"/>
      <c r="G4696" s="24"/>
      <c r="H4696" s="24"/>
      <c r="J4696" s="24"/>
      <c r="K4696" s="24"/>
      <c r="M4696" s="24"/>
      <c r="N4696" s="24"/>
      <c r="P4696" s="24"/>
    </row>
    <row r="4697" spans="2:16" x14ac:dyDescent="0.25">
      <c r="B4697" s="24"/>
      <c r="E4697" s="24"/>
      <c r="G4697" s="24"/>
      <c r="H4697" s="24"/>
      <c r="J4697" s="24"/>
      <c r="K4697" s="24"/>
      <c r="M4697" s="24"/>
      <c r="N4697" s="24"/>
      <c r="P4697" s="24"/>
    </row>
    <row r="4698" spans="2:16" x14ac:dyDescent="0.25">
      <c r="B4698" s="24"/>
      <c r="E4698" s="24"/>
      <c r="G4698" s="24"/>
      <c r="H4698" s="24"/>
      <c r="J4698" s="24"/>
      <c r="K4698" s="24"/>
      <c r="M4698" s="24"/>
      <c r="N4698" s="24"/>
      <c r="P4698" s="24"/>
    </row>
    <row r="4699" spans="2:16" x14ac:dyDescent="0.25">
      <c r="B4699" s="24"/>
      <c r="E4699" s="24"/>
      <c r="G4699" s="24"/>
      <c r="H4699" s="24"/>
      <c r="J4699" s="24"/>
      <c r="K4699" s="24"/>
      <c r="M4699" s="24"/>
      <c r="N4699" s="24"/>
      <c r="P4699" s="24"/>
    </row>
    <row r="4700" spans="2:16" x14ac:dyDescent="0.25">
      <c r="B4700" s="24"/>
      <c r="E4700" s="24"/>
      <c r="G4700" s="24"/>
      <c r="H4700" s="24"/>
      <c r="J4700" s="24"/>
      <c r="K4700" s="24"/>
      <c r="M4700" s="24"/>
      <c r="N4700" s="24"/>
      <c r="P4700" s="24"/>
    </row>
    <row r="4701" spans="2:16" x14ac:dyDescent="0.25">
      <c r="B4701" s="24"/>
      <c r="E4701" s="24"/>
      <c r="G4701" s="24"/>
      <c r="H4701" s="24"/>
      <c r="J4701" s="24"/>
      <c r="K4701" s="24"/>
      <c r="M4701" s="24"/>
      <c r="N4701" s="24"/>
      <c r="P4701" s="24"/>
    </row>
    <row r="4702" spans="2:16" x14ac:dyDescent="0.25">
      <c r="B4702" s="24"/>
      <c r="E4702" s="24"/>
      <c r="G4702" s="24"/>
      <c r="H4702" s="24"/>
      <c r="J4702" s="24"/>
      <c r="K4702" s="24"/>
      <c r="M4702" s="24"/>
      <c r="N4702" s="24"/>
      <c r="P4702" s="24"/>
    </row>
    <row r="4703" spans="2:16" x14ac:dyDescent="0.25">
      <c r="B4703" s="24"/>
      <c r="E4703" s="24"/>
      <c r="G4703" s="24"/>
      <c r="H4703" s="24"/>
      <c r="J4703" s="24"/>
      <c r="K4703" s="24"/>
      <c r="M4703" s="24"/>
      <c r="N4703" s="24"/>
      <c r="P4703" s="24"/>
    </row>
    <row r="4704" spans="2:16" x14ac:dyDescent="0.25">
      <c r="B4704" s="24"/>
      <c r="E4704" s="24"/>
      <c r="G4704" s="24"/>
      <c r="H4704" s="24"/>
      <c r="J4704" s="24"/>
      <c r="K4704" s="24"/>
      <c r="M4704" s="24"/>
      <c r="N4704" s="24"/>
      <c r="P4704" s="24"/>
    </row>
    <row r="4705" spans="2:16" x14ac:dyDescent="0.25">
      <c r="B4705" s="24"/>
      <c r="E4705" s="24"/>
      <c r="G4705" s="24"/>
      <c r="H4705" s="24"/>
      <c r="J4705" s="24"/>
      <c r="K4705" s="24"/>
      <c r="M4705" s="24"/>
      <c r="N4705" s="24"/>
      <c r="P4705" s="24"/>
    </row>
    <row r="4706" spans="2:16" x14ac:dyDescent="0.25">
      <c r="B4706" s="24"/>
      <c r="E4706" s="24"/>
      <c r="G4706" s="24"/>
      <c r="H4706" s="24"/>
      <c r="J4706" s="24"/>
      <c r="K4706" s="24"/>
      <c r="M4706" s="24"/>
      <c r="N4706" s="24"/>
      <c r="P4706" s="24"/>
    </row>
    <row r="4707" spans="2:16" x14ac:dyDescent="0.25">
      <c r="B4707" s="24"/>
      <c r="E4707" s="24"/>
      <c r="G4707" s="24"/>
      <c r="H4707" s="24"/>
      <c r="J4707" s="24"/>
      <c r="K4707" s="24"/>
      <c r="M4707" s="24"/>
      <c r="N4707" s="24"/>
      <c r="P4707" s="24"/>
    </row>
    <row r="4708" spans="2:16" x14ac:dyDescent="0.25">
      <c r="B4708" s="24"/>
      <c r="E4708" s="24"/>
      <c r="G4708" s="24"/>
      <c r="H4708" s="24"/>
      <c r="J4708" s="24"/>
      <c r="K4708" s="24"/>
      <c r="M4708" s="24"/>
      <c r="N4708" s="24"/>
      <c r="P4708" s="24"/>
    </row>
    <row r="4709" spans="2:16" x14ac:dyDescent="0.25">
      <c r="B4709" s="24"/>
      <c r="E4709" s="24"/>
      <c r="G4709" s="24"/>
      <c r="H4709" s="24"/>
      <c r="J4709" s="24"/>
      <c r="K4709" s="24"/>
      <c r="M4709" s="24"/>
      <c r="N4709" s="24"/>
      <c r="P4709" s="24"/>
    </row>
    <row r="4710" spans="2:16" x14ac:dyDescent="0.25">
      <c r="B4710" s="24"/>
      <c r="E4710" s="24"/>
      <c r="G4710" s="24"/>
      <c r="H4710" s="24"/>
      <c r="J4710" s="24"/>
      <c r="K4710" s="24"/>
      <c r="M4710" s="24"/>
      <c r="N4710" s="24"/>
      <c r="P4710" s="24"/>
    </row>
    <row r="4711" spans="2:16" x14ac:dyDescent="0.25">
      <c r="B4711" s="24"/>
      <c r="E4711" s="24"/>
      <c r="G4711" s="24"/>
      <c r="H4711" s="24"/>
      <c r="J4711" s="24"/>
      <c r="K4711" s="24"/>
      <c r="M4711" s="24"/>
      <c r="N4711" s="24"/>
      <c r="P4711" s="24"/>
    </row>
    <row r="4712" spans="2:16" x14ac:dyDescent="0.25">
      <c r="B4712" s="24"/>
      <c r="E4712" s="24"/>
      <c r="G4712" s="24"/>
      <c r="H4712" s="24"/>
      <c r="J4712" s="24"/>
      <c r="K4712" s="24"/>
      <c r="M4712" s="24"/>
      <c r="N4712" s="24"/>
      <c r="P4712" s="24"/>
    </row>
    <row r="4713" spans="2:16" x14ac:dyDescent="0.25">
      <c r="B4713" s="24"/>
      <c r="E4713" s="24"/>
      <c r="G4713" s="24"/>
      <c r="H4713" s="24"/>
      <c r="J4713" s="24"/>
      <c r="K4713" s="24"/>
      <c r="M4713" s="24"/>
      <c r="N4713" s="24"/>
      <c r="P4713" s="24"/>
    </row>
    <row r="4714" spans="2:16" x14ac:dyDescent="0.25">
      <c r="B4714" s="24"/>
      <c r="E4714" s="24"/>
      <c r="G4714" s="24"/>
      <c r="H4714" s="24"/>
      <c r="J4714" s="24"/>
      <c r="K4714" s="24"/>
      <c r="M4714" s="24"/>
      <c r="N4714" s="24"/>
      <c r="P4714" s="24"/>
    </row>
    <row r="4715" spans="2:16" x14ac:dyDescent="0.25">
      <c r="B4715" s="24"/>
      <c r="E4715" s="24"/>
      <c r="G4715" s="24"/>
      <c r="H4715" s="24"/>
      <c r="J4715" s="24"/>
      <c r="K4715" s="24"/>
      <c r="M4715" s="24"/>
      <c r="N4715" s="24"/>
      <c r="P4715" s="24"/>
    </row>
    <row r="4716" spans="2:16" x14ac:dyDescent="0.25">
      <c r="B4716" s="24"/>
      <c r="E4716" s="24"/>
      <c r="G4716" s="24"/>
      <c r="H4716" s="24"/>
      <c r="J4716" s="24"/>
      <c r="K4716" s="24"/>
      <c r="M4716" s="24"/>
      <c r="N4716" s="24"/>
      <c r="P4716" s="24"/>
    </row>
    <row r="4717" spans="2:16" x14ac:dyDescent="0.25">
      <c r="B4717" s="24"/>
      <c r="E4717" s="24"/>
      <c r="G4717" s="24"/>
      <c r="H4717" s="24"/>
      <c r="J4717" s="24"/>
      <c r="K4717" s="24"/>
      <c r="M4717" s="24"/>
      <c r="N4717" s="24"/>
      <c r="P4717" s="24"/>
    </row>
    <row r="4718" spans="2:16" x14ac:dyDescent="0.25">
      <c r="B4718" s="24"/>
      <c r="E4718" s="24"/>
      <c r="G4718" s="24"/>
      <c r="H4718" s="24"/>
      <c r="J4718" s="24"/>
      <c r="K4718" s="24"/>
      <c r="M4718" s="24"/>
      <c r="N4718" s="24"/>
      <c r="P4718" s="24"/>
    </row>
    <row r="4719" spans="2:16" x14ac:dyDescent="0.25">
      <c r="B4719" s="24"/>
      <c r="E4719" s="24"/>
      <c r="G4719" s="24"/>
      <c r="H4719" s="24"/>
      <c r="J4719" s="24"/>
      <c r="K4719" s="24"/>
      <c r="M4719" s="24"/>
      <c r="N4719" s="24"/>
      <c r="P4719" s="24"/>
    </row>
    <row r="4720" spans="2:16" x14ac:dyDescent="0.25">
      <c r="B4720" s="24"/>
      <c r="E4720" s="24"/>
      <c r="G4720" s="24"/>
      <c r="H4720" s="24"/>
      <c r="J4720" s="24"/>
      <c r="K4720" s="24"/>
      <c r="M4720" s="24"/>
      <c r="N4720" s="24"/>
      <c r="P4720" s="24"/>
    </row>
    <row r="4721" spans="2:16" x14ac:dyDescent="0.25">
      <c r="B4721" s="24"/>
      <c r="E4721" s="24"/>
      <c r="G4721" s="24"/>
      <c r="H4721" s="24"/>
      <c r="J4721" s="24"/>
      <c r="K4721" s="24"/>
      <c r="M4721" s="24"/>
      <c r="N4721" s="24"/>
      <c r="P4721" s="24"/>
    </row>
    <row r="4722" spans="2:16" x14ac:dyDescent="0.25">
      <c r="B4722" s="24"/>
      <c r="E4722" s="24"/>
      <c r="G4722" s="24"/>
      <c r="H4722" s="24"/>
      <c r="J4722" s="24"/>
      <c r="K4722" s="24"/>
      <c r="M4722" s="24"/>
      <c r="N4722" s="24"/>
      <c r="P4722" s="24"/>
    </row>
    <row r="4723" spans="2:16" x14ac:dyDescent="0.25">
      <c r="B4723" s="24"/>
      <c r="E4723" s="24"/>
      <c r="G4723" s="24"/>
      <c r="H4723" s="24"/>
      <c r="J4723" s="24"/>
      <c r="K4723" s="24"/>
      <c r="M4723" s="24"/>
      <c r="N4723" s="24"/>
      <c r="P4723" s="24"/>
    </row>
    <row r="4724" spans="2:16" x14ac:dyDescent="0.25">
      <c r="B4724" s="24"/>
      <c r="E4724" s="24"/>
      <c r="G4724" s="24"/>
      <c r="H4724" s="24"/>
      <c r="J4724" s="24"/>
      <c r="K4724" s="24"/>
      <c r="M4724" s="24"/>
      <c r="N4724" s="24"/>
      <c r="P4724" s="24"/>
    </row>
    <row r="4725" spans="2:16" x14ac:dyDescent="0.25">
      <c r="B4725" s="24"/>
      <c r="E4725" s="24"/>
      <c r="G4725" s="24"/>
      <c r="H4725" s="24"/>
      <c r="J4725" s="24"/>
      <c r="K4725" s="24"/>
      <c r="M4725" s="24"/>
      <c r="N4725" s="24"/>
      <c r="P4725" s="24"/>
    </row>
    <row r="4726" spans="2:16" x14ac:dyDescent="0.25">
      <c r="B4726" s="24"/>
      <c r="E4726" s="24"/>
      <c r="G4726" s="24"/>
      <c r="H4726" s="24"/>
      <c r="J4726" s="24"/>
      <c r="K4726" s="24"/>
      <c r="M4726" s="24"/>
      <c r="N4726" s="24"/>
      <c r="P4726" s="24"/>
    </row>
    <row r="4727" spans="2:16" x14ac:dyDescent="0.25">
      <c r="B4727" s="24"/>
      <c r="E4727" s="24"/>
      <c r="G4727" s="24"/>
      <c r="H4727" s="24"/>
      <c r="J4727" s="24"/>
      <c r="K4727" s="24"/>
      <c r="M4727" s="24"/>
      <c r="N4727" s="24"/>
      <c r="P4727" s="24"/>
    </row>
    <row r="4728" spans="2:16" x14ac:dyDescent="0.25">
      <c r="B4728" s="24"/>
      <c r="E4728" s="24"/>
      <c r="G4728" s="24"/>
      <c r="H4728" s="24"/>
      <c r="J4728" s="24"/>
      <c r="K4728" s="24"/>
      <c r="M4728" s="24"/>
      <c r="N4728" s="24"/>
      <c r="P4728" s="24"/>
    </row>
    <row r="4729" spans="2:16" x14ac:dyDescent="0.25">
      <c r="B4729" s="24"/>
      <c r="E4729" s="24"/>
      <c r="G4729" s="24"/>
      <c r="H4729" s="24"/>
      <c r="J4729" s="24"/>
      <c r="K4729" s="24"/>
      <c r="M4729" s="24"/>
      <c r="N4729" s="24"/>
      <c r="P4729" s="24"/>
    </row>
    <row r="4730" spans="2:16" x14ac:dyDescent="0.25">
      <c r="B4730" s="24"/>
      <c r="E4730" s="24"/>
      <c r="G4730" s="24"/>
      <c r="H4730" s="24"/>
      <c r="J4730" s="24"/>
      <c r="K4730" s="24"/>
      <c r="M4730" s="24"/>
      <c r="N4730" s="24"/>
      <c r="P4730" s="24"/>
    </row>
    <row r="4731" spans="2:16" x14ac:dyDescent="0.25">
      <c r="B4731" s="24"/>
      <c r="E4731" s="24"/>
      <c r="G4731" s="24"/>
      <c r="H4731" s="24"/>
      <c r="J4731" s="24"/>
      <c r="K4731" s="24"/>
      <c r="M4731" s="24"/>
      <c r="N4731" s="24"/>
      <c r="P4731" s="24"/>
    </row>
    <row r="4732" spans="2:16" x14ac:dyDescent="0.25">
      <c r="B4732" s="24"/>
      <c r="E4732" s="24"/>
      <c r="G4732" s="24"/>
      <c r="H4732" s="24"/>
      <c r="J4732" s="24"/>
      <c r="K4732" s="24"/>
      <c r="M4732" s="24"/>
      <c r="N4732" s="24"/>
      <c r="P4732" s="24"/>
    </row>
    <row r="4733" spans="2:16" x14ac:dyDescent="0.25">
      <c r="B4733" s="24"/>
      <c r="E4733" s="24"/>
      <c r="G4733" s="24"/>
      <c r="H4733" s="24"/>
      <c r="J4733" s="24"/>
      <c r="K4733" s="24"/>
      <c r="M4733" s="24"/>
      <c r="N4733" s="24"/>
      <c r="P4733" s="24"/>
    </row>
    <row r="4734" spans="2:16" x14ac:dyDescent="0.25">
      <c r="B4734" s="24"/>
      <c r="E4734" s="24"/>
      <c r="G4734" s="24"/>
      <c r="H4734" s="24"/>
      <c r="J4734" s="24"/>
      <c r="K4734" s="24"/>
      <c r="M4734" s="24"/>
      <c r="N4734" s="24"/>
      <c r="P4734" s="24"/>
    </row>
    <row r="4735" spans="2:16" x14ac:dyDescent="0.25">
      <c r="B4735" s="24"/>
      <c r="E4735" s="24"/>
      <c r="G4735" s="24"/>
      <c r="H4735" s="24"/>
      <c r="J4735" s="24"/>
      <c r="K4735" s="24"/>
      <c r="M4735" s="24"/>
      <c r="N4735" s="24"/>
      <c r="P4735" s="24"/>
    </row>
    <row r="4736" spans="2:16" x14ac:dyDescent="0.25">
      <c r="B4736" s="24"/>
      <c r="E4736" s="24"/>
      <c r="G4736" s="24"/>
      <c r="H4736" s="24"/>
      <c r="J4736" s="24"/>
      <c r="K4736" s="24"/>
      <c r="M4736" s="24"/>
      <c r="N4736" s="24"/>
      <c r="P4736" s="24"/>
    </row>
    <row r="4737" spans="2:16" x14ac:dyDescent="0.25">
      <c r="B4737" s="24"/>
      <c r="E4737" s="24"/>
      <c r="G4737" s="24"/>
      <c r="H4737" s="24"/>
      <c r="J4737" s="24"/>
      <c r="K4737" s="24"/>
      <c r="M4737" s="24"/>
      <c r="N4737" s="24"/>
      <c r="P4737" s="24"/>
    </row>
    <row r="4738" spans="2:16" x14ac:dyDescent="0.25">
      <c r="B4738" s="24"/>
      <c r="E4738" s="24"/>
      <c r="G4738" s="24"/>
      <c r="H4738" s="24"/>
      <c r="J4738" s="24"/>
      <c r="K4738" s="24"/>
      <c r="M4738" s="24"/>
      <c r="N4738" s="24"/>
      <c r="P4738" s="24"/>
    </row>
    <row r="4739" spans="2:16" x14ac:dyDescent="0.25">
      <c r="B4739" s="24"/>
      <c r="E4739" s="24"/>
      <c r="G4739" s="24"/>
      <c r="H4739" s="24"/>
      <c r="J4739" s="24"/>
      <c r="K4739" s="24"/>
      <c r="M4739" s="24"/>
      <c r="N4739" s="24"/>
      <c r="P4739" s="24"/>
    </row>
    <row r="4740" spans="2:16" x14ac:dyDescent="0.25">
      <c r="B4740" s="24"/>
      <c r="E4740" s="24"/>
      <c r="G4740" s="24"/>
      <c r="H4740" s="24"/>
      <c r="J4740" s="24"/>
      <c r="K4740" s="24"/>
      <c r="M4740" s="24"/>
      <c r="N4740" s="24"/>
      <c r="P4740" s="24"/>
    </row>
    <row r="4741" spans="2:16" x14ac:dyDescent="0.25">
      <c r="B4741" s="24"/>
      <c r="E4741" s="24"/>
      <c r="G4741" s="24"/>
      <c r="H4741" s="24"/>
      <c r="J4741" s="24"/>
      <c r="K4741" s="24"/>
      <c r="M4741" s="24"/>
      <c r="N4741" s="24"/>
      <c r="P4741" s="24"/>
    </row>
    <row r="4742" spans="2:16" x14ac:dyDescent="0.25">
      <c r="B4742" s="24"/>
      <c r="E4742" s="24"/>
      <c r="G4742" s="24"/>
      <c r="H4742" s="24"/>
      <c r="J4742" s="24"/>
      <c r="K4742" s="24"/>
      <c r="M4742" s="24"/>
      <c r="N4742" s="24"/>
      <c r="P4742" s="24"/>
    </row>
    <row r="4743" spans="2:16" x14ac:dyDescent="0.25">
      <c r="B4743" s="24"/>
      <c r="E4743" s="24"/>
      <c r="G4743" s="24"/>
      <c r="H4743" s="24"/>
      <c r="J4743" s="24"/>
      <c r="K4743" s="24"/>
      <c r="M4743" s="24"/>
      <c r="N4743" s="24"/>
      <c r="P4743" s="24"/>
    </row>
    <row r="4744" spans="2:16" x14ac:dyDescent="0.25">
      <c r="B4744" s="24"/>
      <c r="E4744" s="24"/>
      <c r="G4744" s="24"/>
      <c r="H4744" s="24"/>
      <c r="J4744" s="24"/>
      <c r="K4744" s="24"/>
      <c r="M4744" s="24"/>
      <c r="N4744" s="24"/>
      <c r="P4744" s="24"/>
    </row>
    <row r="4745" spans="2:16" x14ac:dyDescent="0.25">
      <c r="B4745" s="24"/>
      <c r="E4745" s="24"/>
      <c r="G4745" s="24"/>
      <c r="H4745" s="24"/>
      <c r="J4745" s="24"/>
      <c r="K4745" s="24"/>
      <c r="M4745" s="24"/>
      <c r="N4745" s="24"/>
      <c r="P4745" s="24"/>
    </row>
    <row r="4746" spans="2:16" x14ac:dyDescent="0.25">
      <c r="B4746" s="24"/>
      <c r="E4746" s="24"/>
      <c r="G4746" s="24"/>
      <c r="H4746" s="24"/>
      <c r="J4746" s="24"/>
      <c r="K4746" s="24"/>
      <c r="M4746" s="24"/>
      <c r="N4746" s="24"/>
      <c r="P4746" s="24"/>
    </row>
    <row r="4747" spans="2:16" x14ac:dyDescent="0.25">
      <c r="B4747" s="24"/>
      <c r="E4747" s="24"/>
      <c r="G4747" s="24"/>
      <c r="H4747" s="24"/>
      <c r="J4747" s="24"/>
      <c r="K4747" s="24"/>
      <c r="M4747" s="24"/>
      <c r="N4747" s="24"/>
      <c r="P4747" s="24"/>
    </row>
    <row r="4748" spans="2:16" x14ac:dyDescent="0.25">
      <c r="B4748" s="24"/>
      <c r="E4748" s="24"/>
      <c r="G4748" s="24"/>
      <c r="H4748" s="24"/>
      <c r="J4748" s="24"/>
      <c r="K4748" s="24"/>
      <c r="M4748" s="24"/>
      <c r="N4748" s="24"/>
      <c r="P4748" s="24"/>
    </row>
    <row r="4749" spans="2:16" x14ac:dyDescent="0.25">
      <c r="B4749" s="24"/>
      <c r="E4749" s="24"/>
      <c r="G4749" s="24"/>
      <c r="H4749" s="24"/>
      <c r="J4749" s="24"/>
      <c r="K4749" s="24"/>
      <c r="M4749" s="24"/>
      <c r="N4749" s="24"/>
      <c r="P4749" s="24"/>
    </row>
    <row r="4750" spans="2:16" x14ac:dyDescent="0.25">
      <c r="B4750" s="24"/>
      <c r="E4750" s="24"/>
      <c r="G4750" s="24"/>
      <c r="H4750" s="24"/>
      <c r="J4750" s="24"/>
      <c r="K4750" s="24"/>
      <c r="M4750" s="24"/>
      <c r="N4750" s="24"/>
      <c r="P4750" s="24"/>
    </row>
    <row r="4751" spans="2:16" x14ac:dyDescent="0.25">
      <c r="B4751" s="24"/>
      <c r="E4751" s="24"/>
      <c r="G4751" s="24"/>
      <c r="H4751" s="24"/>
      <c r="J4751" s="24"/>
      <c r="K4751" s="24"/>
      <c r="M4751" s="24"/>
      <c r="N4751" s="24"/>
      <c r="P4751" s="24"/>
    </row>
    <row r="4752" spans="2:16" x14ac:dyDescent="0.25">
      <c r="B4752" s="24"/>
      <c r="E4752" s="24"/>
      <c r="G4752" s="24"/>
      <c r="H4752" s="24"/>
      <c r="J4752" s="24"/>
      <c r="K4752" s="24"/>
      <c r="M4752" s="24"/>
      <c r="N4752" s="24"/>
      <c r="P4752" s="24"/>
    </row>
    <row r="4753" spans="2:16" x14ac:dyDescent="0.25">
      <c r="B4753" s="24"/>
      <c r="E4753" s="24"/>
      <c r="G4753" s="24"/>
      <c r="H4753" s="24"/>
      <c r="J4753" s="24"/>
      <c r="K4753" s="24"/>
      <c r="M4753" s="24"/>
      <c r="N4753" s="24"/>
      <c r="P4753" s="24"/>
    </row>
    <row r="4754" spans="2:16" x14ac:dyDescent="0.25">
      <c r="B4754" s="24"/>
      <c r="E4754" s="24"/>
      <c r="G4754" s="24"/>
      <c r="H4754" s="24"/>
      <c r="J4754" s="24"/>
      <c r="K4754" s="24"/>
      <c r="M4754" s="24"/>
      <c r="N4754" s="24"/>
      <c r="P4754" s="24"/>
    </row>
    <row r="4755" spans="2:16" x14ac:dyDescent="0.25">
      <c r="B4755" s="24"/>
      <c r="E4755" s="24"/>
      <c r="G4755" s="24"/>
      <c r="H4755" s="24"/>
      <c r="J4755" s="24"/>
      <c r="K4755" s="24"/>
      <c r="M4755" s="24"/>
      <c r="N4755" s="24"/>
      <c r="P4755" s="24"/>
    </row>
    <row r="4756" spans="2:16" x14ac:dyDescent="0.25">
      <c r="B4756" s="24"/>
      <c r="E4756" s="24"/>
      <c r="G4756" s="24"/>
      <c r="H4756" s="24"/>
      <c r="J4756" s="24"/>
      <c r="K4756" s="24"/>
      <c r="M4756" s="24"/>
      <c r="N4756" s="24"/>
      <c r="P4756" s="24"/>
    </row>
    <row r="4757" spans="2:16" x14ac:dyDescent="0.25">
      <c r="B4757" s="24"/>
      <c r="E4757" s="24"/>
      <c r="G4757" s="24"/>
      <c r="H4757" s="24"/>
      <c r="J4757" s="24"/>
      <c r="K4757" s="24"/>
      <c r="M4757" s="24"/>
      <c r="N4757" s="24"/>
      <c r="P4757" s="24"/>
    </row>
    <row r="4758" spans="2:16" x14ac:dyDescent="0.25">
      <c r="B4758" s="24"/>
      <c r="E4758" s="24"/>
      <c r="G4758" s="24"/>
      <c r="H4758" s="24"/>
      <c r="J4758" s="24"/>
      <c r="K4758" s="24"/>
      <c r="M4758" s="24"/>
      <c r="N4758" s="24"/>
      <c r="P4758" s="24"/>
    </row>
    <row r="4759" spans="2:16" x14ac:dyDescent="0.25">
      <c r="B4759" s="24"/>
      <c r="E4759" s="24"/>
      <c r="G4759" s="24"/>
      <c r="H4759" s="24"/>
      <c r="J4759" s="24"/>
      <c r="K4759" s="24"/>
      <c r="M4759" s="24"/>
      <c r="N4759" s="24"/>
      <c r="P4759" s="24"/>
    </row>
    <row r="4760" spans="2:16" x14ac:dyDescent="0.25">
      <c r="B4760" s="24"/>
      <c r="E4760" s="24"/>
      <c r="G4760" s="24"/>
      <c r="H4760" s="24"/>
      <c r="J4760" s="24"/>
      <c r="K4760" s="24"/>
      <c r="M4760" s="24"/>
      <c r="N4760" s="24"/>
      <c r="P4760" s="24"/>
    </row>
    <row r="4761" spans="2:16" x14ac:dyDescent="0.25">
      <c r="B4761" s="24"/>
      <c r="E4761" s="24"/>
      <c r="G4761" s="24"/>
      <c r="H4761" s="24"/>
      <c r="J4761" s="24"/>
      <c r="K4761" s="24"/>
      <c r="M4761" s="24"/>
      <c r="N4761" s="24"/>
      <c r="P4761" s="24"/>
    </row>
    <row r="4762" spans="2:16" x14ac:dyDescent="0.25">
      <c r="B4762" s="24"/>
      <c r="E4762" s="24"/>
      <c r="G4762" s="24"/>
      <c r="H4762" s="24"/>
      <c r="J4762" s="24"/>
      <c r="K4762" s="24"/>
      <c r="M4762" s="24"/>
      <c r="N4762" s="24"/>
      <c r="P4762" s="24"/>
    </row>
    <row r="4763" spans="2:16" x14ac:dyDescent="0.25">
      <c r="B4763" s="24"/>
      <c r="E4763" s="24"/>
      <c r="G4763" s="24"/>
      <c r="H4763" s="24"/>
      <c r="J4763" s="24"/>
      <c r="K4763" s="24"/>
      <c r="M4763" s="24"/>
      <c r="N4763" s="24"/>
      <c r="P4763" s="24"/>
    </row>
    <row r="4764" spans="2:16" x14ac:dyDescent="0.25">
      <c r="B4764" s="24"/>
      <c r="E4764" s="24"/>
      <c r="G4764" s="24"/>
      <c r="H4764" s="24"/>
      <c r="J4764" s="24"/>
      <c r="K4764" s="24"/>
      <c r="M4764" s="24"/>
      <c r="N4764" s="24"/>
      <c r="P4764" s="24"/>
    </row>
    <row r="4765" spans="2:16" x14ac:dyDescent="0.25">
      <c r="B4765" s="24"/>
      <c r="E4765" s="24"/>
      <c r="G4765" s="24"/>
      <c r="H4765" s="24"/>
      <c r="J4765" s="24"/>
      <c r="K4765" s="24"/>
      <c r="M4765" s="24"/>
      <c r="N4765" s="24"/>
      <c r="P4765" s="24"/>
    </row>
    <row r="4766" spans="2:16" x14ac:dyDescent="0.25">
      <c r="B4766" s="24"/>
      <c r="E4766" s="24"/>
      <c r="G4766" s="24"/>
      <c r="H4766" s="24"/>
      <c r="J4766" s="24"/>
      <c r="K4766" s="24"/>
      <c r="M4766" s="24"/>
      <c r="N4766" s="24"/>
      <c r="P4766" s="24"/>
    </row>
    <row r="4767" spans="2:16" x14ac:dyDescent="0.25">
      <c r="B4767" s="24"/>
      <c r="E4767" s="24"/>
      <c r="G4767" s="24"/>
      <c r="H4767" s="24"/>
      <c r="J4767" s="24"/>
      <c r="K4767" s="24"/>
      <c r="M4767" s="24"/>
      <c r="N4767" s="24"/>
      <c r="P4767" s="24"/>
    </row>
    <row r="4768" spans="2:16" x14ac:dyDescent="0.25">
      <c r="B4768" s="24"/>
      <c r="E4768" s="24"/>
      <c r="G4768" s="24"/>
      <c r="H4768" s="24"/>
      <c r="J4768" s="24"/>
      <c r="K4768" s="24"/>
      <c r="M4768" s="24"/>
      <c r="N4768" s="24"/>
      <c r="P4768" s="24"/>
    </row>
    <row r="4769" spans="2:16" x14ac:dyDescent="0.25">
      <c r="B4769" s="24"/>
      <c r="E4769" s="24"/>
      <c r="G4769" s="24"/>
      <c r="H4769" s="24"/>
      <c r="J4769" s="24"/>
      <c r="K4769" s="24"/>
      <c r="M4769" s="24"/>
      <c r="N4769" s="24"/>
      <c r="P4769" s="24"/>
    </row>
    <row r="4770" spans="2:16" x14ac:dyDescent="0.25">
      <c r="B4770" s="24"/>
      <c r="E4770" s="24"/>
      <c r="G4770" s="24"/>
      <c r="H4770" s="24"/>
      <c r="J4770" s="24"/>
      <c r="K4770" s="24"/>
      <c r="M4770" s="24"/>
      <c r="N4770" s="24"/>
      <c r="P4770" s="24"/>
    </row>
    <row r="4771" spans="2:16" x14ac:dyDescent="0.25">
      <c r="B4771" s="24"/>
      <c r="E4771" s="24"/>
      <c r="G4771" s="24"/>
      <c r="H4771" s="24"/>
      <c r="J4771" s="24"/>
      <c r="K4771" s="24"/>
      <c r="M4771" s="24"/>
      <c r="N4771" s="24"/>
      <c r="P4771" s="24"/>
    </row>
    <row r="4772" spans="2:16" x14ac:dyDescent="0.25">
      <c r="B4772" s="24"/>
      <c r="E4772" s="24"/>
      <c r="G4772" s="24"/>
      <c r="H4772" s="24"/>
      <c r="J4772" s="24"/>
      <c r="K4772" s="24"/>
      <c r="M4772" s="24"/>
      <c r="N4772" s="24"/>
      <c r="P4772" s="24"/>
    </row>
    <row r="4773" spans="2:16" x14ac:dyDescent="0.25">
      <c r="B4773" s="24"/>
      <c r="E4773" s="24"/>
      <c r="G4773" s="24"/>
      <c r="H4773" s="24"/>
      <c r="J4773" s="24"/>
      <c r="K4773" s="24"/>
      <c r="M4773" s="24"/>
      <c r="N4773" s="24"/>
      <c r="P4773" s="24"/>
    </row>
    <row r="4774" spans="2:16" x14ac:dyDescent="0.25">
      <c r="B4774" s="24"/>
      <c r="E4774" s="24"/>
      <c r="G4774" s="24"/>
      <c r="H4774" s="24"/>
      <c r="J4774" s="24"/>
      <c r="K4774" s="24"/>
      <c r="M4774" s="24"/>
      <c r="N4774" s="24"/>
      <c r="P4774" s="24"/>
    </row>
    <row r="4775" spans="2:16" x14ac:dyDescent="0.25">
      <c r="B4775" s="24"/>
      <c r="E4775" s="24"/>
      <c r="G4775" s="24"/>
      <c r="H4775" s="24"/>
      <c r="J4775" s="24"/>
      <c r="K4775" s="24"/>
      <c r="M4775" s="24"/>
      <c r="N4775" s="24"/>
      <c r="P4775" s="24"/>
    </row>
    <row r="4776" spans="2:16" x14ac:dyDescent="0.25">
      <c r="B4776" s="24"/>
      <c r="E4776" s="24"/>
      <c r="G4776" s="24"/>
      <c r="H4776" s="24"/>
      <c r="J4776" s="24"/>
      <c r="K4776" s="24"/>
      <c r="M4776" s="24"/>
      <c r="N4776" s="24"/>
      <c r="P4776" s="24"/>
    </row>
    <row r="4777" spans="2:16" x14ac:dyDescent="0.25">
      <c r="B4777" s="24"/>
      <c r="E4777" s="24"/>
      <c r="G4777" s="24"/>
      <c r="H4777" s="24"/>
      <c r="J4777" s="24"/>
      <c r="K4777" s="24"/>
      <c r="M4777" s="24"/>
      <c r="N4777" s="24"/>
      <c r="P4777" s="24"/>
    </row>
    <row r="4778" spans="2:16" x14ac:dyDescent="0.25">
      <c r="B4778" s="24"/>
      <c r="E4778" s="24"/>
      <c r="G4778" s="24"/>
      <c r="H4778" s="24"/>
      <c r="J4778" s="24"/>
      <c r="K4778" s="24"/>
      <c r="M4778" s="24"/>
      <c r="N4778" s="24"/>
      <c r="P4778" s="24"/>
    </row>
    <row r="4779" spans="2:16" x14ac:dyDescent="0.25">
      <c r="B4779" s="24"/>
      <c r="E4779" s="24"/>
      <c r="G4779" s="24"/>
      <c r="H4779" s="24"/>
      <c r="J4779" s="24"/>
      <c r="K4779" s="24"/>
      <c r="M4779" s="24"/>
      <c r="N4779" s="24"/>
      <c r="P4779" s="24"/>
    </row>
    <row r="4780" spans="2:16" x14ac:dyDescent="0.25">
      <c r="B4780" s="24"/>
      <c r="E4780" s="24"/>
      <c r="G4780" s="24"/>
      <c r="H4780" s="24"/>
      <c r="J4780" s="24"/>
      <c r="K4780" s="24"/>
      <c r="M4780" s="24"/>
      <c r="N4780" s="24"/>
      <c r="P4780" s="24"/>
    </row>
    <row r="4781" spans="2:16" x14ac:dyDescent="0.25">
      <c r="B4781" s="24"/>
      <c r="E4781" s="24"/>
      <c r="G4781" s="24"/>
      <c r="H4781" s="24"/>
      <c r="J4781" s="24"/>
      <c r="K4781" s="24"/>
      <c r="M4781" s="24"/>
      <c r="N4781" s="24"/>
      <c r="P4781" s="24"/>
    </row>
    <row r="4782" spans="2:16" x14ac:dyDescent="0.25">
      <c r="B4782" s="24"/>
      <c r="E4782" s="24"/>
      <c r="G4782" s="24"/>
      <c r="H4782" s="24"/>
      <c r="J4782" s="24"/>
      <c r="K4782" s="24"/>
      <c r="M4782" s="24"/>
      <c r="N4782" s="24"/>
      <c r="P4782" s="24"/>
    </row>
    <row r="4783" spans="2:16" x14ac:dyDescent="0.25">
      <c r="B4783" s="24"/>
      <c r="E4783" s="24"/>
      <c r="G4783" s="24"/>
      <c r="H4783" s="24"/>
      <c r="J4783" s="24"/>
      <c r="K4783" s="24"/>
      <c r="M4783" s="24"/>
      <c r="N4783" s="24"/>
      <c r="P4783" s="24"/>
    </row>
    <row r="4784" spans="2:16" x14ac:dyDescent="0.25">
      <c r="B4784" s="24"/>
      <c r="E4784" s="24"/>
      <c r="G4784" s="24"/>
      <c r="H4784" s="24"/>
      <c r="J4784" s="24"/>
      <c r="K4784" s="24"/>
      <c r="M4784" s="24"/>
      <c r="N4784" s="24"/>
      <c r="P4784" s="24"/>
    </row>
    <row r="4785" spans="2:16" x14ac:dyDescent="0.25">
      <c r="B4785" s="24"/>
      <c r="E4785" s="24"/>
      <c r="G4785" s="24"/>
      <c r="H4785" s="24"/>
      <c r="J4785" s="24"/>
      <c r="K4785" s="24"/>
      <c r="M4785" s="24"/>
      <c r="N4785" s="24"/>
      <c r="P4785" s="24"/>
    </row>
    <row r="4786" spans="2:16" x14ac:dyDescent="0.25">
      <c r="B4786" s="24"/>
      <c r="E4786" s="24"/>
      <c r="G4786" s="24"/>
      <c r="H4786" s="24"/>
      <c r="J4786" s="24"/>
      <c r="K4786" s="24"/>
      <c r="M4786" s="24"/>
      <c r="N4786" s="24"/>
      <c r="P4786" s="24"/>
    </row>
    <row r="4787" spans="2:16" x14ac:dyDescent="0.25">
      <c r="B4787" s="24"/>
      <c r="E4787" s="24"/>
      <c r="G4787" s="24"/>
      <c r="H4787" s="24"/>
      <c r="J4787" s="24"/>
      <c r="K4787" s="24"/>
      <c r="M4787" s="24"/>
      <c r="N4787" s="24"/>
      <c r="P4787" s="24"/>
    </row>
    <row r="4788" spans="2:16" x14ac:dyDescent="0.25">
      <c r="B4788" s="24"/>
      <c r="E4788" s="24"/>
      <c r="G4788" s="24"/>
      <c r="H4788" s="24"/>
      <c r="J4788" s="24"/>
      <c r="K4788" s="24"/>
      <c r="M4788" s="24"/>
      <c r="N4788" s="24"/>
      <c r="P4788" s="24"/>
    </row>
    <row r="4789" spans="2:16" x14ac:dyDescent="0.25">
      <c r="B4789" s="24"/>
      <c r="E4789" s="24"/>
      <c r="G4789" s="24"/>
      <c r="H4789" s="24"/>
      <c r="J4789" s="24"/>
      <c r="K4789" s="24"/>
      <c r="M4789" s="24"/>
      <c r="N4789" s="24"/>
      <c r="P4789" s="24"/>
    </row>
    <row r="4790" spans="2:16" x14ac:dyDescent="0.25">
      <c r="B4790" s="24"/>
      <c r="E4790" s="24"/>
      <c r="G4790" s="24"/>
      <c r="H4790" s="24"/>
      <c r="J4790" s="24"/>
      <c r="K4790" s="24"/>
      <c r="M4790" s="24"/>
      <c r="N4790" s="24"/>
      <c r="P4790" s="24"/>
    </row>
    <row r="4791" spans="2:16" x14ac:dyDescent="0.25">
      <c r="B4791" s="24"/>
      <c r="E4791" s="24"/>
      <c r="G4791" s="24"/>
      <c r="H4791" s="24"/>
      <c r="J4791" s="24"/>
      <c r="K4791" s="24"/>
      <c r="M4791" s="24"/>
      <c r="N4791" s="24"/>
      <c r="P4791" s="24"/>
    </row>
    <row r="4792" spans="2:16" x14ac:dyDescent="0.25">
      <c r="B4792" s="24"/>
      <c r="E4792" s="24"/>
      <c r="G4792" s="24"/>
      <c r="H4792" s="24"/>
      <c r="J4792" s="24"/>
      <c r="K4792" s="24"/>
      <c r="M4792" s="24"/>
      <c r="N4792" s="24"/>
      <c r="P4792" s="24"/>
    </row>
    <row r="4793" spans="2:16" x14ac:dyDescent="0.25">
      <c r="B4793" s="24"/>
      <c r="E4793" s="24"/>
      <c r="G4793" s="24"/>
      <c r="H4793" s="24"/>
      <c r="J4793" s="24"/>
      <c r="K4793" s="24"/>
      <c r="M4793" s="24"/>
      <c r="N4793" s="24"/>
      <c r="P4793" s="24"/>
    </row>
    <row r="4794" spans="2:16" x14ac:dyDescent="0.25">
      <c r="B4794" s="24"/>
      <c r="E4794" s="24"/>
      <c r="G4794" s="24"/>
      <c r="H4794" s="24"/>
      <c r="J4794" s="24"/>
      <c r="K4794" s="24"/>
      <c r="M4794" s="24"/>
      <c r="N4794" s="24"/>
      <c r="P4794" s="24"/>
    </row>
    <row r="4795" spans="2:16" x14ac:dyDescent="0.25">
      <c r="B4795" s="24"/>
      <c r="E4795" s="24"/>
      <c r="G4795" s="24"/>
      <c r="H4795" s="24"/>
      <c r="J4795" s="24"/>
      <c r="K4795" s="24"/>
      <c r="M4795" s="24"/>
      <c r="N4795" s="24"/>
      <c r="P4795" s="24"/>
    </row>
    <row r="4796" spans="2:16" x14ac:dyDescent="0.25">
      <c r="B4796" s="24"/>
      <c r="E4796" s="24"/>
      <c r="G4796" s="24"/>
      <c r="H4796" s="24"/>
      <c r="J4796" s="24"/>
      <c r="K4796" s="24"/>
      <c r="M4796" s="24"/>
      <c r="N4796" s="24"/>
      <c r="P4796" s="24"/>
    </row>
    <row r="4797" spans="2:16" x14ac:dyDescent="0.25">
      <c r="B4797" s="24"/>
      <c r="E4797" s="24"/>
      <c r="G4797" s="24"/>
      <c r="H4797" s="24"/>
      <c r="J4797" s="24"/>
      <c r="K4797" s="24"/>
      <c r="M4797" s="24"/>
      <c r="N4797" s="24"/>
      <c r="P4797" s="24"/>
    </row>
    <row r="4798" spans="2:16" x14ac:dyDescent="0.25">
      <c r="B4798" s="24"/>
      <c r="E4798" s="24"/>
      <c r="G4798" s="24"/>
      <c r="H4798" s="24"/>
      <c r="J4798" s="24"/>
      <c r="K4798" s="24"/>
      <c r="M4798" s="24"/>
      <c r="N4798" s="24"/>
      <c r="P4798" s="24"/>
    </row>
    <row r="4799" spans="2:16" x14ac:dyDescent="0.25">
      <c r="B4799" s="24"/>
      <c r="E4799" s="24"/>
      <c r="G4799" s="24"/>
      <c r="H4799" s="24"/>
      <c r="J4799" s="24"/>
      <c r="K4799" s="24"/>
      <c r="M4799" s="24"/>
      <c r="N4799" s="24"/>
      <c r="P4799" s="24"/>
    </row>
    <row r="4800" spans="2:16" x14ac:dyDescent="0.25">
      <c r="B4800" s="24"/>
      <c r="E4800" s="24"/>
      <c r="G4800" s="24"/>
      <c r="H4800" s="24"/>
      <c r="J4800" s="24"/>
      <c r="K4800" s="24"/>
      <c r="M4800" s="24"/>
      <c r="N4800" s="24"/>
      <c r="P4800" s="24"/>
    </row>
    <row r="4801" spans="2:16" x14ac:dyDescent="0.25">
      <c r="B4801" s="24"/>
      <c r="E4801" s="24"/>
      <c r="G4801" s="24"/>
      <c r="H4801" s="24"/>
      <c r="J4801" s="24"/>
      <c r="K4801" s="24"/>
      <c r="M4801" s="24"/>
      <c r="N4801" s="24"/>
      <c r="P4801" s="24"/>
    </row>
    <row r="4802" spans="2:16" x14ac:dyDescent="0.25">
      <c r="B4802" s="24"/>
      <c r="E4802" s="24"/>
      <c r="G4802" s="24"/>
      <c r="H4802" s="24"/>
      <c r="J4802" s="24"/>
      <c r="K4802" s="24"/>
      <c r="M4802" s="24"/>
      <c r="N4802" s="24"/>
      <c r="P4802" s="24"/>
    </row>
    <row r="4803" spans="2:16" x14ac:dyDescent="0.25">
      <c r="B4803" s="24"/>
      <c r="E4803" s="24"/>
      <c r="G4803" s="24"/>
      <c r="H4803" s="24"/>
      <c r="J4803" s="24"/>
      <c r="K4803" s="24"/>
      <c r="M4803" s="24"/>
      <c r="N4803" s="24"/>
      <c r="P4803" s="24"/>
    </row>
    <row r="4804" spans="2:16" x14ac:dyDescent="0.25">
      <c r="B4804" s="24"/>
      <c r="E4804" s="24"/>
      <c r="G4804" s="24"/>
      <c r="H4804" s="24"/>
      <c r="J4804" s="24"/>
      <c r="K4804" s="24"/>
      <c r="M4804" s="24"/>
      <c r="N4804" s="24"/>
      <c r="P4804" s="24"/>
    </row>
    <row r="4805" spans="2:16" x14ac:dyDescent="0.25">
      <c r="B4805" s="24"/>
      <c r="E4805" s="24"/>
      <c r="G4805" s="24"/>
      <c r="H4805" s="24"/>
      <c r="J4805" s="24"/>
      <c r="K4805" s="24"/>
      <c r="M4805" s="24"/>
      <c r="N4805" s="24"/>
      <c r="P4805" s="24"/>
    </row>
    <row r="4806" spans="2:16" x14ac:dyDescent="0.25">
      <c r="B4806" s="24"/>
      <c r="E4806" s="24"/>
      <c r="G4806" s="24"/>
      <c r="H4806" s="24"/>
      <c r="J4806" s="24"/>
      <c r="K4806" s="24"/>
      <c r="M4806" s="24"/>
      <c r="N4806" s="24"/>
      <c r="P4806" s="24"/>
    </row>
    <row r="4807" spans="2:16" x14ac:dyDescent="0.25">
      <c r="B4807" s="24"/>
      <c r="E4807" s="24"/>
      <c r="G4807" s="24"/>
      <c r="H4807" s="24"/>
      <c r="J4807" s="24"/>
      <c r="K4807" s="24"/>
      <c r="M4807" s="24"/>
      <c r="N4807" s="24"/>
      <c r="P4807" s="24"/>
    </row>
    <row r="4808" spans="2:16" x14ac:dyDescent="0.25">
      <c r="B4808" s="24"/>
      <c r="E4808" s="24"/>
      <c r="G4808" s="24"/>
      <c r="H4808" s="24"/>
      <c r="J4808" s="24"/>
      <c r="K4808" s="24"/>
      <c r="M4808" s="24"/>
      <c r="N4808" s="24"/>
      <c r="P4808" s="24"/>
    </row>
    <row r="4809" spans="2:16" x14ac:dyDescent="0.25">
      <c r="B4809" s="24"/>
      <c r="E4809" s="24"/>
      <c r="G4809" s="24"/>
      <c r="H4809" s="24"/>
      <c r="J4809" s="24"/>
      <c r="K4809" s="24"/>
      <c r="M4809" s="24"/>
      <c r="N4809" s="24"/>
      <c r="P4809" s="24"/>
    </row>
    <row r="4810" spans="2:16" x14ac:dyDescent="0.25">
      <c r="B4810" s="24"/>
      <c r="E4810" s="24"/>
      <c r="G4810" s="24"/>
      <c r="H4810" s="24"/>
      <c r="J4810" s="24"/>
      <c r="K4810" s="24"/>
      <c r="M4810" s="24"/>
      <c r="N4810" s="24"/>
      <c r="P4810" s="24"/>
    </row>
    <row r="4811" spans="2:16" x14ac:dyDescent="0.25">
      <c r="B4811" s="24"/>
      <c r="E4811" s="24"/>
      <c r="G4811" s="24"/>
      <c r="H4811" s="24"/>
      <c r="J4811" s="24"/>
      <c r="K4811" s="24"/>
      <c r="M4811" s="24"/>
      <c r="N4811" s="24"/>
      <c r="P4811" s="24"/>
    </row>
    <row r="4812" spans="2:16" x14ac:dyDescent="0.25">
      <c r="B4812" s="24"/>
      <c r="E4812" s="24"/>
      <c r="G4812" s="24"/>
      <c r="H4812" s="24"/>
      <c r="J4812" s="24"/>
      <c r="K4812" s="24"/>
      <c r="M4812" s="24"/>
      <c r="N4812" s="24"/>
      <c r="P4812" s="24"/>
    </row>
    <row r="4813" spans="2:16" x14ac:dyDescent="0.25">
      <c r="B4813" s="24"/>
      <c r="E4813" s="24"/>
      <c r="G4813" s="24"/>
      <c r="H4813" s="24"/>
      <c r="J4813" s="24"/>
      <c r="K4813" s="24"/>
      <c r="M4813" s="24"/>
      <c r="N4813" s="24"/>
      <c r="P4813" s="24"/>
    </row>
    <row r="4814" spans="2:16" x14ac:dyDescent="0.25">
      <c r="B4814" s="24"/>
      <c r="E4814" s="24"/>
      <c r="G4814" s="24"/>
      <c r="H4814" s="24"/>
      <c r="J4814" s="24"/>
      <c r="K4814" s="24"/>
      <c r="M4814" s="24"/>
      <c r="N4814" s="24"/>
      <c r="P4814" s="24"/>
    </row>
    <row r="4815" spans="2:16" x14ac:dyDescent="0.25">
      <c r="B4815" s="24"/>
      <c r="E4815" s="24"/>
      <c r="G4815" s="24"/>
      <c r="H4815" s="24"/>
      <c r="J4815" s="24"/>
      <c r="K4815" s="24"/>
      <c r="M4815" s="24"/>
      <c r="N4815" s="24"/>
      <c r="P4815" s="24"/>
    </row>
    <row r="4816" spans="2:16" x14ac:dyDescent="0.25">
      <c r="B4816" s="24"/>
      <c r="E4816" s="24"/>
      <c r="G4816" s="24"/>
      <c r="H4816" s="24"/>
      <c r="J4816" s="24"/>
      <c r="K4816" s="24"/>
      <c r="M4816" s="24"/>
      <c r="N4816" s="24"/>
      <c r="P4816" s="24"/>
    </row>
    <row r="4817" spans="2:16" x14ac:dyDescent="0.25">
      <c r="B4817" s="24"/>
      <c r="E4817" s="24"/>
      <c r="G4817" s="24"/>
      <c r="H4817" s="24"/>
      <c r="J4817" s="24"/>
      <c r="K4817" s="24"/>
      <c r="M4817" s="24"/>
      <c r="N4817" s="24"/>
      <c r="P4817" s="24"/>
    </row>
    <row r="4818" spans="2:16" x14ac:dyDescent="0.25">
      <c r="B4818" s="24"/>
      <c r="E4818" s="24"/>
      <c r="G4818" s="24"/>
      <c r="H4818" s="24"/>
      <c r="J4818" s="24"/>
      <c r="K4818" s="24"/>
      <c r="M4818" s="24"/>
      <c r="N4818" s="24"/>
      <c r="P4818" s="24"/>
    </row>
    <row r="4819" spans="2:16" x14ac:dyDescent="0.25">
      <c r="B4819" s="24"/>
      <c r="E4819" s="24"/>
      <c r="G4819" s="24"/>
      <c r="H4819" s="24"/>
      <c r="J4819" s="24"/>
      <c r="K4819" s="24"/>
      <c r="M4819" s="24"/>
      <c r="N4819" s="24"/>
      <c r="P4819" s="24"/>
    </row>
    <row r="4820" spans="2:16" x14ac:dyDescent="0.25">
      <c r="B4820" s="24"/>
      <c r="E4820" s="24"/>
      <c r="G4820" s="24"/>
      <c r="H4820" s="24"/>
      <c r="J4820" s="24"/>
      <c r="K4820" s="24"/>
      <c r="M4820" s="24"/>
      <c r="N4820" s="24"/>
      <c r="P4820" s="24"/>
    </row>
    <row r="4821" spans="2:16" x14ac:dyDescent="0.25">
      <c r="B4821" s="24"/>
      <c r="E4821" s="24"/>
      <c r="G4821" s="24"/>
      <c r="H4821" s="24"/>
      <c r="J4821" s="24"/>
      <c r="K4821" s="24"/>
      <c r="M4821" s="24"/>
      <c r="N4821" s="24"/>
      <c r="P4821" s="24"/>
    </row>
    <row r="4822" spans="2:16" x14ac:dyDescent="0.25">
      <c r="B4822" s="24"/>
      <c r="E4822" s="24"/>
      <c r="G4822" s="24"/>
      <c r="H4822" s="24"/>
      <c r="J4822" s="24"/>
      <c r="K4822" s="24"/>
      <c r="M4822" s="24"/>
      <c r="N4822" s="24"/>
      <c r="P4822" s="24"/>
    </row>
    <row r="4823" spans="2:16" x14ac:dyDescent="0.25">
      <c r="B4823" s="24"/>
      <c r="E4823" s="24"/>
      <c r="G4823" s="24"/>
      <c r="H4823" s="24"/>
      <c r="J4823" s="24"/>
      <c r="K4823" s="24"/>
      <c r="M4823" s="24"/>
      <c r="N4823" s="24"/>
      <c r="P4823" s="24"/>
    </row>
    <row r="4824" spans="2:16" x14ac:dyDescent="0.25">
      <c r="B4824" s="24"/>
      <c r="E4824" s="24"/>
      <c r="G4824" s="24"/>
      <c r="H4824" s="24"/>
      <c r="J4824" s="24"/>
      <c r="K4824" s="24"/>
      <c r="M4824" s="24"/>
      <c r="N4824" s="24"/>
      <c r="P4824" s="24"/>
    </row>
    <row r="4825" spans="2:16" x14ac:dyDescent="0.25">
      <c r="B4825" s="24"/>
      <c r="E4825" s="24"/>
      <c r="G4825" s="24"/>
      <c r="H4825" s="24"/>
      <c r="J4825" s="24"/>
      <c r="K4825" s="24"/>
      <c r="M4825" s="24"/>
      <c r="N4825" s="24"/>
      <c r="P4825" s="24"/>
    </row>
    <row r="4826" spans="2:16" x14ac:dyDescent="0.25">
      <c r="B4826" s="24"/>
      <c r="E4826" s="24"/>
      <c r="G4826" s="24"/>
      <c r="H4826" s="24"/>
      <c r="J4826" s="24"/>
      <c r="K4826" s="24"/>
      <c r="M4826" s="24"/>
      <c r="N4826" s="24"/>
      <c r="P4826" s="24"/>
    </row>
    <row r="4827" spans="2:16" x14ac:dyDescent="0.25">
      <c r="B4827" s="24"/>
      <c r="E4827" s="24"/>
      <c r="G4827" s="24"/>
      <c r="H4827" s="24"/>
      <c r="J4827" s="24"/>
      <c r="K4827" s="24"/>
      <c r="M4827" s="24"/>
      <c r="N4827" s="24"/>
      <c r="P4827" s="24"/>
    </row>
    <row r="4828" spans="2:16" x14ac:dyDescent="0.25">
      <c r="B4828" s="24"/>
      <c r="E4828" s="24"/>
      <c r="G4828" s="24"/>
      <c r="H4828" s="24"/>
      <c r="J4828" s="24"/>
      <c r="K4828" s="24"/>
      <c r="M4828" s="24"/>
      <c r="N4828" s="24"/>
      <c r="P4828" s="24"/>
    </row>
    <row r="4829" spans="2:16" x14ac:dyDescent="0.25">
      <c r="B4829" s="24"/>
      <c r="E4829" s="24"/>
      <c r="G4829" s="24"/>
      <c r="H4829" s="24"/>
      <c r="J4829" s="24"/>
      <c r="K4829" s="24"/>
      <c r="M4829" s="24"/>
      <c r="N4829" s="24"/>
      <c r="P4829" s="24"/>
    </row>
    <row r="4830" spans="2:16" x14ac:dyDescent="0.25">
      <c r="B4830" s="24"/>
      <c r="E4830" s="24"/>
      <c r="G4830" s="24"/>
      <c r="H4830" s="24"/>
      <c r="J4830" s="24"/>
      <c r="K4830" s="24"/>
      <c r="M4830" s="24"/>
      <c r="N4830" s="24"/>
      <c r="P4830" s="24"/>
    </row>
    <row r="4831" spans="2:16" x14ac:dyDescent="0.25">
      <c r="B4831" s="24"/>
      <c r="E4831" s="24"/>
      <c r="G4831" s="24"/>
      <c r="H4831" s="24"/>
      <c r="J4831" s="24"/>
      <c r="K4831" s="24"/>
      <c r="M4831" s="24"/>
      <c r="N4831" s="24"/>
      <c r="P4831" s="24"/>
    </row>
    <row r="4832" spans="2:16" x14ac:dyDescent="0.25">
      <c r="B4832" s="24"/>
      <c r="E4832" s="24"/>
      <c r="G4832" s="24"/>
      <c r="H4832" s="24"/>
      <c r="J4832" s="24"/>
      <c r="K4832" s="24"/>
      <c r="M4832" s="24"/>
      <c r="N4832" s="24"/>
      <c r="P4832" s="24"/>
    </row>
    <row r="4833" spans="2:16" x14ac:dyDescent="0.25">
      <c r="B4833" s="24"/>
      <c r="E4833" s="24"/>
      <c r="G4833" s="24"/>
      <c r="H4833" s="24"/>
      <c r="J4833" s="24"/>
      <c r="K4833" s="24"/>
      <c r="M4833" s="24"/>
      <c r="N4833" s="24"/>
      <c r="P4833" s="24"/>
    </row>
    <row r="4834" spans="2:16" x14ac:dyDescent="0.25">
      <c r="B4834" s="24"/>
      <c r="E4834" s="24"/>
      <c r="G4834" s="24"/>
      <c r="H4834" s="24"/>
      <c r="J4834" s="24"/>
      <c r="K4834" s="24"/>
      <c r="M4834" s="24"/>
      <c r="N4834" s="24"/>
      <c r="P4834" s="24"/>
    </row>
    <row r="4835" spans="2:16" x14ac:dyDescent="0.25">
      <c r="B4835" s="24"/>
      <c r="E4835" s="24"/>
      <c r="G4835" s="24"/>
      <c r="H4835" s="24"/>
      <c r="J4835" s="24"/>
      <c r="K4835" s="24"/>
      <c r="M4835" s="24"/>
      <c r="N4835" s="24"/>
      <c r="P4835" s="24"/>
    </row>
    <row r="4836" spans="2:16" x14ac:dyDescent="0.25">
      <c r="B4836" s="24"/>
      <c r="E4836" s="24"/>
      <c r="G4836" s="24"/>
      <c r="H4836" s="24"/>
      <c r="J4836" s="24"/>
      <c r="K4836" s="24"/>
      <c r="M4836" s="24"/>
      <c r="N4836" s="24"/>
      <c r="P4836" s="24"/>
    </row>
    <row r="4837" spans="2:16" x14ac:dyDescent="0.25">
      <c r="B4837" s="24"/>
      <c r="E4837" s="24"/>
      <c r="G4837" s="24"/>
      <c r="H4837" s="24"/>
      <c r="J4837" s="24"/>
      <c r="K4837" s="24"/>
      <c r="M4837" s="24"/>
      <c r="N4837" s="24"/>
      <c r="P4837" s="24"/>
    </row>
    <row r="4838" spans="2:16" x14ac:dyDescent="0.25">
      <c r="B4838" s="24"/>
      <c r="E4838" s="24"/>
      <c r="G4838" s="24"/>
      <c r="H4838" s="24"/>
      <c r="J4838" s="24"/>
      <c r="K4838" s="24"/>
      <c r="M4838" s="24"/>
      <c r="N4838" s="24"/>
      <c r="P4838" s="24"/>
    </row>
    <row r="4839" spans="2:16" x14ac:dyDescent="0.25">
      <c r="B4839" s="24"/>
      <c r="E4839" s="24"/>
      <c r="G4839" s="24"/>
      <c r="H4839" s="24"/>
      <c r="J4839" s="24"/>
      <c r="K4839" s="24"/>
      <c r="M4839" s="24"/>
      <c r="N4839" s="24"/>
      <c r="P4839" s="24"/>
    </row>
    <row r="4840" spans="2:16" x14ac:dyDescent="0.25">
      <c r="B4840" s="24"/>
      <c r="E4840" s="24"/>
      <c r="G4840" s="24"/>
      <c r="H4840" s="24"/>
      <c r="J4840" s="24"/>
      <c r="K4840" s="24"/>
      <c r="M4840" s="24"/>
      <c r="N4840" s="24"/>
      <c r="P4840" s="24"/>
    </row>
    <row r="4841" spans="2:16" x14ac:dyDescent="0.25">
      <c r="B4841" s="24"/>
      <c r="E4841" s="24"/>
      <c r="G4841" s="24"/>
      <c r="H4841" s="24"/>
      <c r="J4841" s="24"/>
      <c r="K4841" s="24"/>
      <c r="M4841" s="24"/>
      <c r="N4841" s="24"/>
      <c r="P4841" s="24"/>
    </row>
    <row r="4842" spans="2:16" x14ac:dyDescent="0.25">
      <c r="B4842" s="24"/>
      <c r="E4842" s="24"/>
      <c r="G4842" s="24"/>
      <c r="H4842" s="24"/>
      <c r="J4842" s="24"/>
      <c r="K4842" s="24"/>
      <c r="M4842" s="24"/>
      <c r="N4842" s="24"/>
      <c r="P4842" s="24"/>
    </row>
    <row r="4843" spans="2:16" x14ac:dyDescent="0.25">
      <c r="B4843" s="24"/>
      <c r="E4843" s="24"/>
      <c r="G4843" s="24"/>
      <c r="H4843" s="24"/>
      <c r="J4843" s="24"/>
      <c r="K4843" s="24"/>
      <c r="M4843" s="24"/>
      <c r="N4843" s="24"/>
      <c r="P4843" s="24"/>
    </row>
    <row r="4844" spans="2:16" x14ac:dyDescent="0.25">
      <c r="B4844" s="24"/>
      <c r="E4844" s="24"/>
      <c r="G4844" s="24"/>
      <c r="H4844" s="24"/>
      <c r="J4844" s="24"/>
      <c r="K4844" s="24"/>
      <c r="M4844" s="24"/>
      <c r="N4844" s="24"/>
      <c r="P4844" s="24"/>
    </row>
    <row r="4845" spans="2:16" x14ac:dyDescent="0.25">
      <c r="B4845" s="24"/>
      <c r="E4845" s="24"/>
      <c r="G4845" s="24"/>
      <c r="H4845" s="24"/>
      <c r="J4845" s="24"/>
      <c r="K4845" s="24"/>
      <c r="M4845" s="24"/>
      <c r="N4845" s="24"/>
      <c r="P4845" s="24"/>
    </row>
    <row r="4846" spans="2:16" x14ac:dyDescent="0.25">
      <c r="B4846" s="24"/>
      <c r="E4846" s="24"/>
      <c r="G4846" s="24"/>
      <c r="H4846" s="24"/>
      <c r="J4846" s="24"/>
      <c r="K4846" s="24"/>
      <c r="M4846" s="24"/>
      <c r="N4846" s="24"/>
      <c r="P4846" s="24"/>
    </row>
    <row r="4847" spans="2:16" x14ac:dyDescent="0.25">
      <c r="B4847" s="24"/>
      <c r="E4847" s="24"/>
      <c r="G4847" s="24"/>
      <c r="H4847" s="24"/>
      <c r="J4847" s="24"/>
      <c r="K4847" s="24"/>
      <c r="M4847" s="24"/>
      <c r="N4847" s="24"/>
      <c r="P4847" s="24"/>
    </row>
    <row r="4848" spans="2:16" x14ac:dyDescent="0.25">
      <c r="B4848" s="24"/>
      <c r="E4848" s="24"/>
      <c r="G4848" s="24"/>
      <c r="H4848" s="24"/>
      <c r="J4848" s="24"/>
      <c r="K4848" s="24"/>
      <c r="M4848" s="24"/>
      <c r="N4848" s="24"/>
      <c r="P4848" s="24"/>
    </row>
    <row r="4849" spans="2:16" x14ac:dyDescent="0.25">
      <c r="B4849" s="24"/>
      <c r="E4849" s="24"/>
      <c r="G4849" s="24"/>
      <c r="H4849" s="24"/>
      <c r="J4849" s="24"/>
      <c r="K4849" s="24"/>
      <c r="M4849" s="24"/>
      <c r="N4849" s="24"/>
      <c r="P4849" s="24"/>
    </row>
    <row r="4850" spans="2:16" x14ac:dyDescent="0.25">
      <c r="B4850" s="24"/>
      <c r="E4850" s="24"/>
      <c r="G4850" s="24"/>
      <c r="H4850" s="24"/>
      <c r="J4850" s="24"/>
      <c r="K4850" s="24"/>
      <c r="M4850" s="24"/>
      <c r="N4850" s="24"/>
      <c r="P4850" s="24"/>
    </row>
    <row r="4851" spans="2:16" x14ac:dyDescent="0.25">
      <c r="B4851" s="24"/>
      <c r="E4851" s="24"/>
      <c r="G4851" s="24"/>
      <c r="H4851" s="24"/>
      <c r="J4851" s="24"/>
      <c r="K4851" s="24"/>
      <c r="M4851" s="24"/>
      <c r="N4851" s="24"/>
      <c r="P4851" s="24"/>
    </row>
    <row r="4852" spans="2:16" x14ac:dyDescent="0.25">
      <c r="B4852" s="24"/>
      <c r="E4852" s="24"/>
      <c r="G4852" s="24"/>
      <c r="H4852" s="24"/>
      <c r="J4852" s="24"/>
      <c r="K4852" s="24"/>
      <c r="M4852" s="24"/>
      <c r="N4852" s="24"/>
      <c r="P4852" s="24"/>
    </row>
    <row r="4853" spans="2:16" x14ac:dyDescent="0.25">
      <c r="B4853" s="24"/>
      <c r="E4853" s="24"/>
      <c r="G4853" s="24"/>
      <c r="H4853" s="24"/>
      <c r="J4853" s="24"/>
      <c r="K4853" s="24"/>
      <c r="M4853" s="24"/>
      <c r="N4853" s="24"/>
      <c r="P4853" s="24"/>
    </row>
    <row r="4854" spans="2:16" x14ac:dyDescent="0.25">
      <c r="B4854" s="24"/>
      <c r="E4854" s="24"/>
      <c r="G4854" s="24"/>
      <c r="H4854" s="24"/>
      <c r="J4854" s="24"/>
      <c r="K4854" s="24"/>
      <c r="M4854" s="24"/>
      <c r="N4854" s="24"/>
      <c r="P4854" s="24"/>
    </row>
    <row r="4855" spans="2:16" x14ac:dyDescent="0.25">
      <c r="B4855" s="24"/>
      <c r="E4855" s="24"/>
      <c r="G4855" s="24"/>
      <c r="H4855" s="24"/>
      <c r="J4855" s="24"/>
      <c r="K4855" s="24"/>
      <c r="M4855" s="24"/>
      <c r="N4855" s="24"/>
      <c r="P4855" s="24"/>
    </row>
    <row r="4856" spans="2:16" x14ac:dyDescent="0.25">
      <c r="B4856" s="24"/>
      <c r="E4856" s="24"/>
      <c r="G4856" s="24"/>
      <c r="H4856" s="24"/>
      <c r="J4856" s="24"/>
      <c r="K4856" s="24"/>
      <c r="M4856" s="24"/>
      <c r="N4856" s="24"/>
      <c r="P4856" s="24"/>
    </row>
    <row r="4857" spans="2:16" x14ac:dyDescent="0.25">
      <c r="B4857" s="24"/>
      <c r="E4857" s="24"/>
      <c r="G4857" s="24"/>
      <c r="H4857" s="24"/>
      <c r="J4857" s="24"/>
      <c r="K4857" s="24"/>
      <c r="M4857" s="24"/>
      <c r="N4857" s="24"/>
      <c r="P4857" s="24"/>
    </row>
    <row r="4858" spans="2:16" x14ac:dyDescent="0.25">
      <c r="B4858" s="24"/>
      <c r="E4858" s="24"/>
      <c r="G4858" s="24"/>
      <c r="H4858" s="24"/>
      <c r="J4858" s="24"/>
      <c r="K4858" s="24"/>
      <c r="M4858" s="24"/>
      <c r="N4858" s="24"/>
      <c r="P4858" s="24"/>
    </row>
    <row r="4859" spans="2:16" x14ac:dyDescent="0.25">
      <c r="B4859" s="24"/>
      <c r="E4859" s="24"/>
      <c r="G4859" s="24"/>
      <c r="H4859" s="24"/>
      <c r="J4859" s="24"/>
      <c r="K4859" s="24"/>
      <c r="M4859" s="24"/>
      <c r="N4859" s="24"/>
      <c r="P4859" s="24"/>
    </row>
    <row r="4860" spans="2:16" x14ac:dyDescent="0.25">
      <c r="B4860" s="24"/>
      <c r="E4860" s="24"/>
      <c r="G4860" s="24"/>
      <c r="H4860" s="24"/>
      <c r="J4860" s="24"/>
      <c r="K4860" s="24"/>
      <c r="M4860" s="24"/>
      <c r="N4860" s="24"/>
      <c r="P4860" s="24"/>
    </row>
    <row r="4861" spans="2:16" x14ac:dyDescent="0.25">
      <c r="B4861" s="24"/>
      <c r="E4861" s="24"/>
      <c r="G4861" s="24"/>
      <c r="H4861" s="24"/>
      <c r="J4861" s="24"/>
      <c r="K4861" s="24"/>
      <c r="M4861" s="24"/>
      <c r="N4861" s="24"/>
      <c r="P4861" s="24"/>
    </row>
    <row r="4862" spans="2:16" x14ac:dyDescent="0.25">
      <c r="B4862" s="24"/>
      <c r="E4862" s="24"/>
      <c r="G4862" s="24"/>
      <c r="H4862" s="24"/>
      <c r="J4862" s="24"/>
      <c r="K4862" s="24"/>
      <c r="M4862" s="24"/>
      <c r="N4862" s="24"/>
      <c r="P4862" s="24"/>
    </row>
    <row r="4863" spans="2:16" x14ac:dyDescent="0.25">
      <c r="B4863" s="24"/>
      <c r="E4863" s="24"/>
      <c r="G4863" s="24"/>
      <c r="H4863" s="24"/>
      <c r="J4863" s="24"/>
      <c r="K4863" s="24"/>
      <c r="M4863" s="24"/>
      <c r="N4863" s="24"/>
      <c r="P4863" s="24"/>
    </row>
    <row r="4864" spans="2:16" x14ac:dyDescent="0.25">
      <c r="B4864" s="24"/>
      <c r="E4864" s="24"/>
      <c r="G4864" s="24"/>
      <c r="H4864" s="24"/>
      <c r="J4864" s="24"/>
      <c r="K4864" s="24"/>
      <c r="M4864" s="24"/>
      <c r="N4864" s="24"/>
      <c r="P4864" s="24"/>
    </row>
    <row r="4865" spans="2:16" x14ac:dyDescent="0.25">
      <c r="B4865" s="24"/>
      <c r="E4865" s="24"/>
      <c r="G4865" s="24"/>
      <c r="H4865" s="24"/>
      <c r="J4865" s="24"/>
      <c r="K4865" s="24"/>
      <c r="M4865" s="24"/>
      <c r="N4865" s="24"/>
      <c r="P4865" s="24"/>
    </row>
    <row r="4866" spans="2:16" x14ac:dyDescent="0.25">
      <c r="B4866" s="24"/>
      <c r="E4866" s="24"/>
      <c r="G4866" s="24"/>
      <c r="H4866" s="24"/>
      <c r="J4866" s="24"/>
      <c r="K4866" s="24"/>
      <c r="M4866" s="24"/>
      <c r="N4866" s="24"/>
      <c r="P4866" s="24"/>
    </row>
    <row r="4867" spans="2:16" x14ac:dyDescent="0.25">
      <c r="B4867" s="24"/>
      <c r="E4867" s="24"/>
      <c r="G4867" s="24"/>
      <c r="H4867" s="24"/>
      <c r="J4867" s="24"/>
      <c r="K4867" s="24"/>
      <c r="M4867" s="24"/>
      <c r="N4867" s="24"/>
      <c r="P4867" s="24"/>
    </row>
    <row r="4868" spans="2:16" x14ac:dyDescent="0.25">
      <c r="B4868" s="24"/>
      <c r="E4868" s="24"/>
      <c r="G4868" s="24"/>
      <c r="H4868" s="24"/>
      <c r="J4868" s="24"/>
      <c r="K4868" s="24"/>
      <c r="M4868" s="24"/>
      <c r="N4868" s="24"/>
      <c r="P4868" s="24"/>
    </row>
    <row r="4869" spans="2:16" x14ac:dyDescent="0.25">
      <c r="B4869" s="24"/>
      <c r="E4869" s="24"/>
      <c r="G4869" s="24"/>
      <c r="H4869" s="24"/>
      <c r="J4869" s="24"/>
      <c r="K4869" s="24"/>
      <c r="M4869" s="24"/>
      <c r="N4869" s="24"/>
      <c r="P4869" s="24"/>
    </row>
    <row r="4870" spans="2:16" x14ac:dyDescent="0.25">
      <c r="B4870" s="24"/>
      <c r="E4870" s="24"/>
      <c r="G4870" s="24"/>
      <c r="H4870" s="24"/>
      <c r="J4870" s="24"/>
      <c r="K4870" s="24"/>
      <c r="M4870" s="24"/>
      <c r="N4870" s="24"/>
      <c r="P4870" s="24"/>
    </row>
    <row r="4871" spans="2:16" x14ac:dyDescent="0.25">
      <c r="B4871" s="24"/>
      <c r="E4871" s="24"/>
      <c r="G4871" s="24"/>
      <c r="H4871" s="24"/>
      <c r="J4871" s="24"/>
      <c r="K4871" s="24"/>
      <c r="M4871" s="24"/>
      <c r="N4871" s="24"/>
      <c r="P4871" s="24"/>
    </row>
    <row r="4872" spans="2:16" x14ac:dyDescent="0.25">
      <c r="B4872" s="24"/>
      <c r="E4872" s="24"/>
      <c r="G4872" s="24"/>
      <c r="H4872" s="24"/>
      <c r="J4872" s="24"/>
      <c r="K4872" s="24"/>
      <c r="M4872" s="24"/>
      <c r="N4872" s="24"/>
      <c r="P4872" s="24"/>
    </row>
    <row r="4873" spans="2:16" x14ac:dyDescent="0.25">
      <c r="B4873" s="24"/>
      <c r="E4873" s="24"/>
      <c r="G4873" s="24"/>
      <c r="H4873" s="24"/>
      <c r="J4873" s="24"/>
      <c r="K4873" s="24"/>
      <c r="M4873" s="24"/>
      <c r="N4873" s="24"/>
      <c r="P4873" s="24"/>
    </row>
    <row r="4874" spans="2:16" x14ac:dyDescent="0.25">
      <c r="B4874" s="24"/>
      <c r="E4874" s="24"/>
      <c r="G4874" s="24"/>
      <c r="H4874" s="24"/>
      <c r="J4874" s="24"/>
      <c r="K4874" s="24"/>
      <c r="M4874" s="24"/>
      <c r="N4874" s="24"/>
      <c r="P4874" s="24"/>
    </row>
    <row r="4875" spans="2:16" x14ac:dyDescent="0.25">
      <c r="B4875" s="24"/>
      <c r="E4875" s="24"/>
      <c r="G4875" s="24"/>
      <c r="H4875" s="24"/>
      <c r="J4875" s="24"/>
      <c r="K4875" s="24"/>
      <c r="M4875" s="24"/>
      <c r="N4875" s="24"/>
      <c r="P4875" s="24"/>
    </row>
    <row r="4876" spans="2:16" x14ac:dyDescent="0.25">
      <c r="B4876" s="24"/>
      <c r="E4876" s="24"/>
      <c r="G4876" s="24"/>
      <c r="H4876" s="24"/>
      <c r="J4876" s="24"/>
      <c r="K4876" s="24"/>
      <c r="M4876" s="24"/>
      <c r="N4876" s="24"/>
      <c r="P4876" s="24"/>
    </row>
    <row r="4877" spans="2:16" x14ac:dyDescent="0.25">
      <c r="B4877" s="24"/>
      <c r="E4877" s="24"/>
      <c r="G4877" s="24"/>
      <c r="H4877" s="24"/>
      <c r="J4877" s="24"/>
      <c r="K4877" s="24"/>
      <c r="M4877" s="24"/>
      <c r="N4877" s="24"/>
      <c r="P4877" s="24"/>
    </row>
    <row r="4878" spans="2:16" x14ac:dyDescent="0.25">
      <c r="B4878" s="24"/>
      <c r="E4878" s="24"/>
      <c r="G4878" s="24"/>
      <c r="H4878" s="24"/>
      <c r="J4878" s="24"/>
      <c r="K4878" s="24"/>
      <c r="M4878" s="24"/>
      <c r="N4878" s="24"/>
      <c r="P4878" s="24"/>
    </row>
    <row r="4879" spans="2:16" x14ac:dyDescent="0.25">
      <c r="B4879" s="24"/>
      <c r="E4879" s="24"/>
      <c r="G4879" s="24"/>
      <c r="H4879" s="24"/>
      <c r="J4879" s="24"/>
      <c r="K4879" s="24"/>
      <c r="M4879" s="24"/>
      <c r="N4879" s="24"/>
      <c r="P4879" s="24"/>
    </row>
    <row r="4880" spans="2:16" x14ac:dyDescent="0.25">
      <c r="B4880" s="24"/>
      <c r="E4880" s="24"/>
      <c r="G4880" s="24"/>
      <c r="H4880" s="24"/>
      <c r="J4880" s="24"/>
      <c r="K4880" s="24"/>
      <c r="M4880" s="24"/>
      <c r="N4880" s="24"/>
      <c r="P4880" s="24"/>
    </row>
    <row r="4881" spans="2:16" x14ac:dyDescent="0.25">
      <c r="B4881" s="24"/>
      <c r="E4881" s="24"/>
      <c r="G4881" s="24"/>
      <c r="H4881" s="24"/>
      <c r="J4881" s="24"/>
      <c r="K4881" s="24"/>
      <c r="M4881" s="24"/>
      <c r="N4881" s="24"/>
      <c r="P4881" s="24"/>
    </row>
    <row r="4882" spans="2:16" x14ac:dyDescent="0.25">
      <c r="B4882" s="24"/>
      <c r="E4882" s="24"/>
      <c r="G4882" s="24"/>
      <c r="H4882" s="24"/>
      <c r="J4882" s="24"/>
      <c r="K4882" s="24"/>
      <c r="M4882" s="24"/>
      <c r="N4882" s="24"/>
      <c r="P4882" s="24"/>
    </row>
    <row r="4883" spans="2:16" x14ac:dyDescent="0.25">
      <c r="B4883" s="24"/>
      <c r="E4883" s="24"/>
      <c r="G4883" s="24"/>
      <c r="H4883" s="24"/>
      <c r="J4883" s="24"/>
      <c r="K4883" s="24"/>
      <c r="M4883" s="24"/>
      <c r="N4883" s="24"/>
      <c r="P4883" s="24"/>
    </row>
    <row r="4884" spans="2:16" x14ac:dyDescent="0.25">
      <c r="B4884" s="24"/>
      <c r="E4884" s="24"/>
      <c r="G4884" s="24"/>
      <c r="H4884" s="24"/>
      <c r="J4884" s="24"/>
      <c r="K4884" s="24"/>
      <c r="M4884" s="24"/>
      <c r="N4884" s="24"/>
      <c r="P4884" s="24"/>
    </row>
    <row r="4885" spans="2:16" x14ac:dyDescent="0.25">
      <c r="B4885" s="24"/>
      <c r="E4885" s="24"/>
      <c r="G4885" s="24"/>
      <c r="H4885" s="24"/>
      <c r="J4885" s="24"/>
      <c r="K4885" s="24"/>
      <c r="M4885" s="24"/>
      <c r="N4885" s="24"/>
      <c r="P4885" s="24"/>
    </row>
    <row r="4886" spans="2:16" x14ac:dyDescent="0.25">
      <c r="B4886" s="24"/>
      <c r="E4886" s="24"/>
      <c r="G4886" s="24"/>
      <c r="H4886" s="24"/>
      <c r="J4886" s="24"/>
      <c r="K4886" s="24"/>
      <c r="M4886" s="24"/>
      <c r="N4886" s="24"/>
      <c r="P4886" s="24"/>
    </row>
    <row r="4887" spans="2:16" x14ac:dyDescent="0.25">
      <c r="B4887" s="24"/>
      <c r="E4887" s="24"/>
      <c r="G4887" s="24"/>
      <c r="H4887" s="24"/>
      <c r="J4887" s="24"/>
      <c r="K4887" s="24"/>
      <c r="M4887" s="24"/>
      <c r="N4887" s="24"/>
      <c r="P4887" s="24"/>
    </row>
    <row r="4888" spans="2:16" x14ac:dyDescent="0.25">
      <c r="B4888" s="24"/>
      <c r="E4888" s="24"/>
      <c r="G4888" s="24"/>
      <c r="H4888" s="24"/>
      <c r="J4888" s="24"/>
      <c r="K4888" s="24"/>
      <c r="M4888" s="24"/>
      <c r="N4888" s="24"/>
      <c r="P4888" s="24"/>
    </row>
    <row r="4889" spans="2:16" x14ac:dyDescent="0.25">
      <c r="B4889" s="24"/>
      <c r="E4889" s="24"/>
      <c r="G4889" s="24"/>
      <c r="H4889" s="24"/>
      <c r="J4889" s="24"/>
      <c r="K4889" s="24"/>
      <c r="M4889" s="24"/>
      <c r="N4889" s="24"/>
      <c r="P4889" s="24"/>
    </row>
    <row r="4890" spans="2:16" x14ac:dyDescent="0.25">
      <c r="B4890" s="24"/>
      <c r="E4890" s="24"/>
      <c r="G4890" s="24"/>
      <c r="H4890" s="24"/>
      <c r="J4890" s="24"/>
      <c r="K4890" s="24"/>
      <c r="M4890" s="24"/>
      <c r="N4890" s="24"/>
      <c r="P4890" s="24"/>
    </row>
    <row r="4891" spans="2:16" x14ac:dyDescent="0.25">
      <c r="B4891" s="24"/>
      <c r="E4891" s="24"/>
      <c r="G4891" s="24"/>
      <c r="H4891" s="24"/>
      <c r="J4891" s="24"/>
      <c r="K4891" s="24"/>
      <c r="M4891" s="24"/>
      <c r="N4891" s="24"/>
      <c r="P4891" s="24"/>
    </row>
    <row r="4892" spans="2:16" x14ac:dyDescent="0.25">
      <c r="B4892" s="24"/>
      <c r="E4892" s="24"/>
      <c r="G4892" s="24"/>
      <c r="H4892" s="24"/>
      <c r="J4892" s="24"/>
      <c r="K4892" s="24"/>
      <c r="M4892" s="24"/>
      <c r="N4892" s="24"/>
      <c r="P4892" s="24"/>
    </row>
    <row r="4893" spans="2:16" x14ac:dyDescent="0.25">
      <c r="B4893" s="24"/>
      <c r="E4893" s="24"/>
      <c r="G4893" s="24"/>
      <c r="H4893" s="24"/>
      <c r="J4893" s="24"/>
      <c r="K4893" s="24"/>
      <c r="M4893" s="24"/>
      <c r="N4893" s="24"/>
      <c r="P4893" s="24"/>
    </row>
    <row r="4894" spans="2:16" x14ac:dyDescent="0.25">
      <c r="B4894" s="24"/>
      <c r="E4894" s="24"/>
      <c r="G4894" s="24"/>
      <c r="H4894" s="24"/>
      <c r="J4894" s="24"/>
      <c r="K4894" s="24"/>
      <c r="M4894" s="24"/>
      <c r="N4894" s="24"/>
      <c r="P4894" s="24"/>
    </row>
    <row r="4895" spans="2:16" x14ac:dyDescent="0.25">
      <c r="B4895" s="24"/>
      <c r="E4895" s="24"/>
      <c r="G4895" s="24"/>
      <c r="H4895" s="24"/>
      <c r="J4895" s="24"/>
      <c r="K4895" s="24"/>
      <c r="M4895" s="24"/>
      <c r="N4895" s="24"/>
      <c r="P4895" s="24"/>
    </row>
    <row r="4896" spans="2:16" x14ac:dyDescent="0.25">
      <c r="B4896" s="24"/>
      <c r="E4896" s="24"/>
      <c r="G4896" s="24"/>
      <c r="H4896" s="24"/>
      <c r="J4896" s="24"/>
      <c r="K4896" s="24"/>
      <c r="M4896" s="24"/>
      <c r="N4896" s="24"/>
      <c r="P4896" s="24"/>
    </row>
    <row r="4897" spans="2:16" x14ac:dyDescent="0.25">
      <c r="B4897" s="24"/>
      <c r="E4897" s="24"/>
      <c r="G4897" s="24"/>
      <c r="H4897" s="24"/>
      <c r="J4897" s="24"/>
      <c r="K4897" s="24"/>
      <c r="M4897" s="24"/>
      <c r="N4897" s="24"/>
      <c r="P4897" s="24"/>
    </row>
    <row r="4898" spans="2:16" x14ac:dyDescent="0.25">
      <c r="B4898" s="24"/>
      <c r="E4898" s="24"/>
      <c r="G4898" s="24"/>
      <c r="H4898" s="24"/>
      <c r="J4898" s="24"/>
      <c r="K4898" s="24"/>
      <c r="M4898" s="24"/>
      <c r="N4898" s="24"/>
      <c r="P4898" s="24"/>
    </row>
    <row r="4899" spans="2:16" x14ac:dyDescent="0.25">
      <c r="B4899" s="24"/>
      <c r="E4899" s="24"/>
      <c r="G4899" s="24"/>
      <c r="H4899" s="24"/>
      <c r="J4899" s="24"/>
      <c r="K4899" s="24"/>
      <c r="M4899" s="24"/>
      <c r="N4899" s="24"/>
      <c r="P4899" s="24"/>
    </row>
    <row r="4900" spans="2:16" x14ac:dyDescent="0.25">
      <c r="B4900" s="24"/>
      <c r="E4900" s="24"/>
      <c r="G4900" s="24"/>
      <c r="H4900" s="24"/>
      <c r="J4900" s="24"/>
      <c r="K4900" s="24"/>
      <c r="M4900" s="24"/>
      <c r="N4900" s="24"/>
      <c r="P4900" s="24"/>
    </row>
    <row r="4901" spans="2:16" x14ac:dyDescent="0.25">
      <c r="B4901" s="24"/>
      <c r="E4901" s="24"/>
      <c r="G4901" s="24"/>
      <c r="H4901" s="24"/>
      <c r="J4901" s="24"/>
      <c r="K4901" s="24"/>
      <c r="M4901" s="24"/>
      <c r="N4901" s="24"/>
      <c r="P4901" s="24"/>
    </row>
    <row r="4902" spans="2:16" x14ac:dyDescent="0.25">
      <c r="B4902" s="24"/>
      <c r="E4902" s="24"/>
      <c r="G4902" s="24"/>
      <c r="H4902" s="24"/>
      <c r="J4902" s="24"/>
      <c r="K4902" s="24"/>
      <c r="M4902" s="24"/>
      <c r="N4902" s="24"/>
      <c r="P4902" s="24"/>
    </row>
    <row r="4903" spans="2:16" x14ac:dyDescent="0.25">
      <c r="B4903" s="24"/>
      <c r="E4903" s="24"/>
      <c r="G4903" s="24"/>
      <c r="H4903" s="24"/>
      <c r="J4903" s="24"/>
      <c r="K4903" s="24"/>
      <c r="M4903" s="24"/>
      <c r="N4903" s="24"/>
      <c r="P4903" s="24"/>
    </row>
    <row r="4904" spans="2:16" x14ac:dyDescent="0.25">
      <c r="B4904" s="24"/>
      <c r="E4904" s="24"/>
      <c r="G4904" s="24"/>
      <c r="H4904" s="24"/>
      <c r="J4904" s="24"/>
      <c r="K4904" s="24"/>
      <c r="M4904" s="24"/>
      <c r="N4904" s="24"/>
      <c r="P4904" s="24"/>
    </row>
    <row r="4905" spans="2:16" x14ac:dyDescent="0.25">
      <c r="B4905" s="24"/>
      <c r="E4905" s="24"/>
      <c r="G4905" s="24"/>
      <c r="H4905" s="24"/>
      <c r="J4905" s="24"/>
      <c r="K4905" s="24"/>
      <c r="M4905" s="24"/>
      <c r="N4905" s="24"/>
      <c r="P4905" s="24"/>
    </row>
    <row r="4906" spans="2:16" x14ac:dyDescent="0.25">
      <c r="B4906" s="24"/>
      <c r="E4906" s="24"/>
      <c r="G4906" s="24"/>
      <c r="H4906" s="24"/>
      <c r="J4906" s="24"/>
      <c r="K4906" s="24"/>
      <c r="M4906" s="24"/>
      <c r="N4906" s="24"/>
      <c r="P4906" s="24"/>
    </row>
    <row r="4907" spans="2:16" x14ac:dyDescent="0.25">
      <c r="B4907" s="24"/>
      <c r="E4907" s="24"/>
      <c r="G4907" s="24"/>
      <c r="H4907" s="24"/>
      <c r="J4907" s="24"/>
      <c r="K4907" s="24"/>
      <c r="M4907" s="24"/>
      <c r="N4907" s="24"/>
      <c r="P4907" s="24"/>
    </row>
    <row r="4908" spans="2:16" x14ac:dyDescent="0.25">
      <c r="B4908" s="24"/>
      <c r="E4908" s="24"/>
      <c r="G4908" s="24"/>
      <c r="H4908" s="24"/>
      <c r="J4908" s="24"/>
      <c r="K4908" s="24"/>
      <c r="M4908" s="24"/>
      <c r="N4908" s="24"/>
      <c r="P4908" s="24"/>
    </row>
    <row r="4909" spans="2:16" x14ac:dyDescent="0.25">
      <c r="B4909" s="24"/>
      <c r="E4909" s="24"/>
      <c r="G4909" s="24"/>
      <c r="H4909" s="24"/>
      <c r="J4909" s="24"/>
      <c r="K4909" s="24"/>
      <c r="M4909" s="24"/>
      <c r="N4909" s="24"/>
      <c r="P4909" s="24"/>
    </row>
    <row r="4910" spans="2:16" x14ac:dyDescent="0.25">
      <c r="B4910" s="24"/>
      <c r="E4910" s="24"/>
      <c r="G4910" s="24"/>
      <c r="H4910" s="24"/>
      <c r="J4910" s="24"/>
      <c r="K4910" s="24"/>
      <c r="M4910" s="24"/>
      <c r="N4910" s="24"/>
      <c r="P4910" s="24"/>
    </row>
    <row r="4911" spans="2:16" x14ac:dyDescent="0.25">
      <c r="B4911" s="24"/>
      <c r="E4911" s="24"/>
      <c r="G4911" s="24"/>
      <c r="H4911" s="24"/>
      <c r="J4911" s="24"/>
      <c r="K4911" s="24"/>
      <c r="M4911" s="24"/>
      <c r="N4911" s="24"/>
      <c r="P4911" s="24"/>
    </row>
    <row r="4912" spans="2:16" x14ac:dyDescent="0.25">
      <c r="B4912" s="24"/>
      <c r="E4912" s="24"/>
      <c r="G4912" s="24"/>
      <c r="H4912" s="24"/>
      <c r="J4912" s="24"/>
      <c r="K4912" s="24"/>
      <c r="M4912" s="24"/>
      <c r="N4912" s="24"/>
      <c r="P4912" s="24"/>
    </row>
    <row r="4913" spans="2:16" x14ac:dyDescent="0.25">
      <c r="B4913" s="24"/>
      <c r="E4913" s="24"/>
      <c r="G4913" s="24"/>
      <c r="H4913" s="24"/>
      <c r="J4913" s="24"/>
      <c r="K4913" s="24"/>
      <c r="M4913" s="24"/>
      <c r="N4913" s="24"/>
      <c r="P4913" s="24"/>
    </row>
    <row r="4914" spans="2:16" x14ac:dyDescent="0.25">
      <c r="B4914" s="24"/>
      <c r="E4914" s="24"/>
      <c r="G4914" s="24"/>
      <c r="H4914" s="24"/>
      <c r="J4914" s="24"/>
      <c r="K4914" s="24"/>
      <c r="M4914" s="24"/>
      <c r="N4914" s="24"/>
      <c r="P4914" s="24"/>
    </row>
    <row r="4915" spans="2:16" x14ac:dyDescent="0.25">
      <c r="B4915" s="24"/>
      <c r="E4915" s="24"/>
      <c r="G4915" s="24"/>
      <c r="H4915" s="24"/>
      <c r="J4915" s="24"/>
      <c r="K4915" s="24"/>
      <c r="M4915" s="24"/>
      <c r="N4915" s="24"/>
      <c r="P4915" s="24"/>
    </row>
    <row r="4916" spans="2:16" x14ac:dyDescent="0.25">
      <c r="B4916" s="24"/>
      <c r="E4916" s="24"/>
      <c r="G4916" s="24"/>
      <c r="H4916" s="24"/>
      <c r="J4916" s="24"/>
      <c r="K4916" s="24"/>
      <c r="M4916" s="24"/>
      <c r="N4916" s="24"/>
      <c r="P4916" s="24"/>
    </row>
    <row r="4917" spans="2:16" x14ac:dyDescent="0.25">
      <c r="B4917" s="24"/>
      <c r="E4917" s="24"/>
      <c r="G4917" s="24"/>
      <c r="H4917" s="24"/>
      <c r="J4917" s="24"/>
      <c r="K4917" s="24"/>
      <c r="M4917" s="24"/>
      <c r="N4917" s="24"/>
      <c r="P4917" s="24"/>
    </row>
    <row r="4918" spans="2:16" x14ac:dyDescent="0.25">
      <c r="B4918" s="24"/>
      <c r="E4918" s="24"/>
      <c r="G4918" s="24"/>
      <c r="H4918" s="24"/>
      <c r="J4918" s="24"/>
      <c r="K4918" s="24"/>
      <c r="M4918" s="24"/>
      <c r="N4918" s="24"/>
      <c r="P4918" s="24"/>
    </row>
    <row r="4919" spans="2:16" x14ac:dyDescent="0.25">
      <c r="B4919" s="24"/>
      <c r="E4919" s="24"/>
      <c r="G4919" s="24"/>
      <c r="H4919" s="24"/>
      <c r="J4919" s="24"/>
      <c r="K4919" s="24"/>
      <c r="M4919" s="24"/>
      <c r="N4919" s="24"/>
      <c r="P4919" s="24"/>
    </row>
    <row r="4920" spans="2:16" x14ac:dyDescent="0.25">
      <c r="B4920" s="24"/>
      <c r="E4920" s="24"/>
      <c r="G4920" s="24"/>
      <c r="H4920" s="24"/>
      <c r="J4920" s="24"/>
      <c r="K4920" s="24"/>
      <c r="M4920" s="24"/>
      <c r="N4920" s="24"/>
      <c r="P4920" s="24"/>
    </row>
    <row r="4921" spans="2:16" x14ac:dyDescent="0.25">
      <c r="B4921" s="24"/>
      <c r="E4921" s="24"/>
      <c r="G4921" s="24"/>
      <c r="H4921" s="24"/>
      <c r="J4921" s="24"/>
      <c r="K4921" s="24"/>
      <c r="M4921" s="24"/>
      <c r="N4921" s="24"/>
      <c r="P4921" s="24"/>
    </row>
    <row r="4922" spans="2:16" x14ac:dyDescent="0.25">
      <c r="B4922" s="24"/>
      <c r="E4922" s="24"/>
      <c r="G4922" s="24"/>
      <c r="H4922" s="24"/>
      <c r="J4922" s="24"/>
      <c r="K4922" s="24"/>
      <c r="M4922" s="24"/>
      <c r="N4922" s="24"/>
      <c r="P4922" s="24"/>
    </row>
    <row r="4923" spans="2:16" x14ac:dyDescent="0.25">
      <c r="B4923" s="24"/>
      <c r="E4923" s="24"/>
      <c r="G4923" s="24"/>
      <c r="H4923" s="24"/>
      <c r="J4923" s="24"/>
      <c r="K4923" s="24"/>
      <c r="M4923" s="24"/>
      <c r="N4923" s="24"/>
      <c r="P4923" s="24"/>
    </row>
    <row r="4924" spans="2:16" x14ac:dyDescent="0.25">
      <c r="B4924" s="24"/>
      <c r="E4924" s="24"/>
      <c r="G4924" s="24"/>
      <c r="H4924" s="24"/>
      <c r="J4924" s="24"/>
      <c r="K4924" s="24"/>
      <c r="M4924" s="24"/>
      <c r="N4924" s="24"/>
      <c r="P4924" s="24"/>
    </row>
    <row r="4925" spans="2:16" x14ac:dyDescent="0.25">
      <c r="B4925" s="24"/>
      <c r="E4925" s="24"/>
      <c r="G4925" s="24"/>
      <c r="H4925" s="24"/>
      <c r="J4925" s="24"/>
      <c r="K4925" s="24"/>
      <c r="M4925" s="24"/>
      <c r="N4925" s="24"/>
      <c r="P4925" s="24"/>
    </row>
    <row r="4926" spans="2:16" x14ac:dyDescent="0.25">
      <c r="B4926" s="24"/>
      <c r="E4926" s="24"/>
      <c r="G4926" s="24"/>
      <c r="H4926" s="24"/>
      <c r="J4926" s="24"/>
      <c r="K4926" s="24"/>
      <c r="M4926" s="24"/>
      <c r="N4926" s="24"/>
      <c r="P4926" s="24"/>
    </row>
    <row r="4927" spans="2:16" x14ac:dyDescent="0.25">
      <c r="B4927" s="24"/>
      <c r="E4927" s="24"/>
      <c r="G4927" s="24"/>
      <c r="H4927" s="24"/>
      <c r="J4927" s="24"/>
      <c r="K4927" s="24"/>
      <c r="M4927" s="24"/>
      <c r="N4927" s="24"/>
      <c r="P4927" s="24"/>
    </row>
    <row r="4928" spans="2:16" x14ac:dyDescent="0.25">
      <c r="B4928" s="24"/>
      <c r="E4928" s="24"/>
      <c r="G4928" s="24"/>
      <c r="H4928" s="24"/>
      <c r="J4928" s="24"/>
      <c r="K4928" s="24"/>
      <c r="M4928" s="24"/>
      <c r="N4928" s="24"/>
      <c r="P4928" s="24"/>
    </row>
    <row r="4929" spans="2:16" x14ac:dyDescent="0.25">
      <c r="B4929" s="24"/>
      <c r="E4929" s="24"/>
      <c r="G4929" s="24"/>
      <c r="H4929" s="24"/>
      <c r="J4929" s="24"/>
      <c r="K4929" s="24"/>
      <c r="M4929" s="24"/>
      <c r="N4929" s="24"/>
      <c r="P4929" s="24"/>
    </row>
    <row r="4930" spans="2:16" x14ac:dyDescent="0.25">
      <c r="B4930" s="24"/>
      <c r="E4930" s="24"/>
      <c r="G4930" s="24"/>
      <c r="H4930" s="24"/>
      <c r="J4930" s="24"/>
      <c r="K4930" s="24"/>
      <c r="M4930" s="24"/>
      <c r="N4930" s="24"/>
      <c r="P4930" s="24"/>
    </row>
    <row r="4931" spans="2:16" x14ac:dyDescent="0.25">
      <c r="B4931" s="24"/>
      <c r="E4931" s="24"/>
      <c r="G4931" s="24"/>
      <c r="H4931" s="24"/>
      <c r="J4931" s="24"/>
      <c r="K4931" s="24"/>
      <c r="M4931" s="24"/>
      <c r="N4931" s="24"/>
      <c r="P4931" s="24"/>
    </row>
    <row r="4932" spans="2:16" x14ac:dyDescent="0.25">
      <c r="B4932" s="24"/>
      <c r="E4932" s="24"/>
      <c r="G4932" s="24"/>
      <c r="H4932" s="24"/>
      <c r="J4932" s="24"/>
      <c r="K4932" s="24"/>
      <c r="M4932" s="24"/>
      <c r="N4932" s="24"/>
      <c r="P4932" s="24"/>
    </row>
    <row r="4933" spans="2:16" x14ac:dyDescent="0.25">
      <c r="B4933" s="24"/>
      <c r="E4933" s="24"/>
      <c r="G4933" s="24"/>
      <c r="H4933" s="24"/>
      <c r="J4933" s="24"/>
      <c r="K4933" s="24"/>
      <c r="M4933" s="24"/>
      <c r="N4933" s="24"/>
      <c r="P4933" s="24"/>
    </row>
    <row r="4934" spans="2:16" x14ac:dyDescent="0.25">
      <c r="B4934" s="24"/>
      <c r="E4934" s="24"/>
      <c r="G4934" s="24"/>
      <c r="H4934" s="24"/>
      <c r="J4934" s="24"/>
      <c r="K4934" s="24"/>
      <c r="M4934" s="24"/>
      <c r="N4934" s="24"/>
      <c r="P4934" s="24"/>
    </row>
    <row r="4935" spans="2:16" x14ac:dyDescent="0.25">
      <c r="B4935" s="24"/>
      <c r="E4935" s="24"/>
      <c r="G4935" s="24"/>
      <c r="H4935" s="24"/>
      <c r="J4935" s="24"/>
      <c r="K4935" s="24"/>
      <c r="M4935" s="24"/>
      <c r="N4935" s="24"/>
      <c r="P4935" s="24"/>
    </row>
    <row r="4936" spans="2:16" x14ac:dyDescent="0.25">
      <c r="B4936" s="24"/>
      <c r="E4936" s="24"/>
      <c r="G4936" s="24"/>
      <c r="H4936" s="24"/>
      <c r="J4936" s="24"/>
      <c r="K4936" s="24"/>
      <c r="M4936" s="24"/>
      <c r="N4936" s="24"/>
      <c r="P4936" s="24"/>
    </row>
    <row r="4937" spans="2:16" x14ac:dyDescent="0.25">
      <c r="B4937" s="24"/>
      <c r="E4937" s="24"/>
      <c r="G4937" s="24"/>
      <c r="H4937" s="24"/>
      <c r="J4937" s="24"/>
      <c r="K4937" s="24"/>
      <c r="M4937" s="24"/>
      <c r="N4937" s="24"/>
      <c r="P4937" s="24"/>
    </row>
    <row r="4938" spans="2:16" x14ac:dyDescent="0.25">
      <c r="B4938" s="24"/>
      <c r="E4938" s="24"/>
      <c r="G4938" s="24"/>
      <c r="H4938" s="24"/>
      <c r="J4938" s="24"/>
      <c r="K4938" s="24"/>
      <c r="M4938" s="24"/>
      <c r="N4938" s="24"/>
      <c r="P4938" s="24"/>
    </row>
    <row r="4939" spans="2:16" x14ac:dyDescent="0.25">
      <c r="B4939" s="24"/>
      <c r="E4939" s="24"/>
      <c r="G4939" s="24"/>
      <c r="H4939" s="24"/>
      <c r="J4939" s="24"/>
      <c r="K4939" s="24"/>
      <c r="M4939" s="24"/>
      <c r="N4939" s="24"/>
      <c r="P4939" s="24"/>
    </row>
    <row r="4940" spans="2:16" x14ac:dyDescent="0.25">
      <c r="B4940" s="24"/>
      <c r="E4940" s="24"/>
      <c r="G4940" s="24"/>
      <c r="H4940" s="24"/>
      <c r="J4940" s="24"/>
      <c r="K4940" s="24"/>
      <c r="M4940" s="24"/>
      <c r="N4940" s="24"/>
      <c r="P4940" s="24"/>
    </row>
    <row r="4941" spans="2:16" x14ac:dyDescent="0.25">
      <c r="B4941" s="24"/>
      <c r="E4941" s="24"/>
      <c r="G4941" s="24"/>
      <c r="H4941" s="24"/>
      <c r="J4941" s="24"/>
      <c r="K4941" s="24"/>
      <c r="M4941" s="24"/>
      <c r="N4941" s="24"/>
      <c r="P4941" s="24"/>
    </row>
    <row r="4942" spans="2:16" x14ac:dyDescent="0.25">
      <c r="B4942" s="24"/>
      <c r="E4942" s="24"/>
      <c r="G4942" s="24"/>
      <c r="H4942" s="24"/>
      <c r="J4942" s="24"/>
      <c r="K4942" s="24"/>
      <c r="M4942" s="24"/>
      <c r="N4942" s="24"/>
      <c r="P4942" s="24"/>
    </row>
    <row r="4943" spans="2:16" x14ac:dyDescent="0.25">
      <c r="B4943" s="24"/>
      <c r="E4943" s="24"/>
      <c r="G4943" s="24"/>
      <c r="H4943" s="24"/>
      <c r="J4943" s="24"/>
      <c r="K4943" s="24"/>
      <c r="M4943" s="24"/>
      <c r="N4943" s="24"/>
      <c r="P4943" s="24"/>
    </row>
    <row r="4944" spans="2:16" x14ac:dyDescent="0.25">
      <c r="B4944" s="24"/>
      <c r="E4944" s="24"/>
      <c r="G4944" s="24"/>
      <c r="H4944" s="24"/>
      <c r="J4944" s="24"/>
      <c r="K4944" s="24"/>
      <c r="M4944" s="24"/>
      <c r="N4944" s="24"/>
      <c r="P4944" s="24"/>
    </row>
    <row r="4945" spans="2:16" x14ac:dyDescent="0.25">
      <c r="B4945" s="24"/>
      <c r="E4945" s="24"/>
      <c r="G4945" s="24"/>
      <c r="H4945" s="24"/>
      <c r="J4945" s="24"/>
      <c r="K4945" s="24"/>
      <c r="M4945" s="24"/>
      <c r="N4945" s="24"/>
      <c r="P4945" s="24"/>
    </row>
    <row r="4946" spans="2:16" x14ac:dyDescent="0.25">
      <c r="B4946" s="24"/>
      <c r="E4946" s="24"/>
      <c r="G4946" s="24"/>
      <c r="H4946" s="24"/>
      <c r="J4946" s="24"/>
      <c r="K4946" s="24"/>
      <c r="M4946" s="24"/>
      <c r="N4946" s="24"/>
      <c r="P4946" s="24"/>
    </row>
    <row r="4947" spans="2:16" x14ac:dyDescent="0.25">
      <c r="B4947" s="24"/>
      <c r="E4947" s="24"/>
      <c r="G4947" s="24"/>
      <c r="H4947" s="24"/>
      <c r="J4947" s="24"/>
      <c r="K4947" s="24"/>
      <c r="M4947" s="24"/>
      <c r="N4947" s="24"/>
      <c r="P4947" s="24"/>
    </row>
    <row r="4948" spans="2:16" x14ac:dyDescent="0.25">
      <c r="B4948" s="24"/>
      <c r="E4948" s="24"/>
      <c r="G4948" s="24"/>
      <c r="H4948" s="24"/>
      <c r="J4948" s="24"/>
      <c r="K4948" s="24"/>
      <c r="M4948" s="24"/>
      <c r="N4948" s="24"/>
      <c r="P4948" s="24"/>
    </row>
    <row r="4949" spans="2:16" x14ac:dyDescent="0.25">
      <c r="B4949" s="24"/>
      <c r="E4949" s="24"/>
      <c r="G4949" s="24"/>
      <c r="H4949" s="24"/>
      <c r="J4949" s="24"/>
      <c r="K4949" s="24"/>
      <c r="M4949" s="24"/>
      <c r="N4949" s="24"/>
      <c r="P4949" s="24"/>
    </row>
    <row r="4950" spans="2:16" x14ac:dyDescent="0.25">
      <c r="B4950" s="24"/>
      <c r="E4950" s="24"/>
      <c r="G4950" s="24"/>
      <c r="H4950" s="24"/>
      <c r="J4950" s="24"/>
      <c r="K4950" s="24"/>
      <c r="M4950" s="24"/>
      <c r="N4950" s="24"/>
      <c r="P4950" s="24"/>
    </row>
    <row r="4951" spans="2:16" x14ac:dyDescent="0.25">
      <c r="B4951" s="24"/>
      <c r="E4951" s="24"/>
      <c r="G4951" s="24"/>
      <c r="H4951" s="24"/>
      <c r="J4951" s="24"/>
      <c r="K4951" s="24"/>
      <c r="M4951" s="24"/>
      <c r="N4951" s="24"/>
      <c r="P4951" s="24"/>
    </row>
    <row r="4952" spans="2:16" x14ac:dyDescent="0.25">
      <c r="B4952" s="24"/>
      <c r="E4952" s="24"/>
      <c r="G4952" s="24"/>
      <c r="H4952" s="24"/>
      <c r="J4952" s="24"/>
      <c r="K4952" s="24"/>
      <c r="M4952" s="24"/>
      <c r="N4952" s="24"/>
      <c r="P4952" s="24"/>
    </row>
    <row r="4953" spans="2:16" x14ac:dyDescent="0.25">
      <c r="B4953" s="24"/>
      <c r="E4953" s="24"/>
      <c r="G4953" s="24"/>
      <c r="H4953" s="24"/>
      <c r="J4953" s="24"/>
      <c r="K4953" s="24"/>
      <c r="M4953" s="24"/>
      <c r="N4953" s="24"/>
      <c r="P4953" s="24"/>
    </row>
    <row r="4954" spans="2:16" x14ac:dyDescent="0.25">
      <c r="B4954" s="24"/>
      <c r="E4954" s="24"/>
      <c r="G4954" s="24"/>
      <c r="H4954" s="24"/>
      <c r="J4954" s="24"/>
      <c r="K4954" s="24"/>
      <c r="M4954" s="24"/>
      <c r="N4954" s="24"/>
      <c r="P4954" s="24"/>
    </row>
    <row r="4955" spans="2:16" x14ac:dyDescent="0.25">
      <c r="B4955" s="24"/>
      <c r="E4955" s="24"/>
      <c r="G4955" s="24"/>
      <c r="H4955" s="24"/>
      <c r="J4955" s="24"/>
      <c r="K4955" s="24"/>
      <c r="M4955" s="24"/>
      <c r="N4955" s="24"/>
      <c r="P4955" s="24"/>
    </row>
    <row r="4956" spans="2:16" x14ac:dyDescent="0.25">
      <c r="B4956" s="24"/>
      <c r="E4956" s="24"/>
      <c r="G4956" s="24"/>
      <c r="H4956" s="24"/>
      <c r="J4956" s="24"/>
      <c r="K4956" s="24"/>
      <c r="M4956" s="24"/>
      <c r="N4956" s="24"/>
      <c r="P4956" s="24"/>
    </row>
    <row r="4957" spans="2:16" x14ac:dyDescent="0.25">
      <c r="B4957" s="24"/>
      <c r="E4957" s="24"/>
      <c r="G4957" s="24"/>
      <c r="H4957" s="24"/>
      <c r="J4957" s="24"/>
      <c r="K4957" s="24"/>
      <c r="M4957" s="24"/>
      <c r="N4957" s="24"/>
      <c r="P4957" s="24"/>
    </row>
    <row r="4958" spans="2:16" x14ac:dyDescent="0.25">
      <c r="B4958" s="24"/>
      <c r="E4958" s="24"/>
      <c r="G4958" s="24"/>
      <c r="H4958" s="24"/>
      <c r="J4958" s="24"/>
      <c r="K4958" s="24"/>
      <c r="M4958" s="24"/>
      <c r="N4958" s="24"/>
      <c r="P4958" s="24"/>
    </row>
    <row r="4959" spans="2:16" x14ac:dyDescent="0.25">
      <c r="B4959" s="24"/>
      <c r="E4959" s="24"/>
      <c r="G4959" s="24"/>
      <c r="H4959" s="24"/>
      <c r="J4959" s="24"/>
      <c r="K4959" s="24"/>
      <c r="M4959" s="24"/>
      <c r="N4959" s="24"/>
      <c r="P4959" s="24"/>
    </row>
    <row r="4960" spans="2:16" x14ac:dyDescent="0.25">
      <c r="B4960" s="24"/>
      <c r="E4960" s="24"/>
      <c r="G4960" s="24"/>
      <c r="H4960" s="24"/>
      <c r="J4960" s="24"/>
      <c r="K4960" s="24"/>
      <c r="M4960" s="24"/>
      <c r="N4960" s="24"/>
      <c r="P4960" s="24"/>
    </row>
    <row r="4961" spans="2:16" x14ac:dyDescent="0.25">
      <c r="B4961" s="24"/>
      <c r="E4961" s="24"/>
      <c r="G4961" s="24"/>
      <c r="H4961" s="24"/>
      <c r="J4961" s="24"/>
      <c r="K4961" s="24"/>
      <c r="M4961" s="24"/>
      <c r="N4961" s="24"/>
      <c r="P4961" s="24"/>
    </row>
    <row r="4962" spans="2:16" x14ac:dyDescent="0.25">
      <c r="B4962" s="24"/>
      <c r="E4962" s="24"/>
      <c r="G4962" s="24"/>
      <c r="H4962" s="24"/>
      <c r="J4962" s="24"/>
      <c r="K4962" s="24"/>
      <c r="M4962" s="24"/>
      <c r="N4962" s="24"/>
      <c r="P4962" s="24"/>
    </row>
    <row r="4963" spans="2:16" x14ac:dyDescent="0.25">
      <c r="B4963" s="24"/>
      <c r="E4963" s="24"/>
      <c r="G4963" s="24"/>
      <c r="H4963" s="24"/>
      <c r="J4963" s="24"/>
      <c r="K4963" s="24"/>
      <c r="M4963" s="24"/>
      <c r="N4963" s="24"/>
      <c r="P4963" s="24"/>
    </row>
    <row r="4964" spans="2:16" x14ac:dyDescent="0.25">
      <c r="B4964" s="24"/>
      <c r="E4964" s="24"/>
      <c r="G4964" s="24"/>
      <c r="H4964" s="24"/>
      <c r="J4964" s="24"/>
      <c r="K4964" s="24"/>
      <c r="M4964" s="24"/>
      <c r="N4964" s="24"/>
      <c r="P4964" s="24"/>
    </row>
    <row r="4965" spans="2:16" x14ac:dyDescent="0.25">
      <c r="B4965" s="24"/>
      <c r="E4965" s="24"/>
      <c r="G4965" s="24"/>
      <c r="H4965" s="24"/>
      <c r="J4965" s="24"/>
      <c r="K4965" s="24"/>
      <c r="M4965" s="24"/>
      <c r="N4965" s="24"/>
      <c r="P4965" s="24"/>
    </row>
    <row r="4966" spans="2:16" x14ac:dyDescent="0.25">
      <c r="B4966" s="24"/>
      <c r="E4966" s="24"/>
      <c r="G4966" s="24"/>
      <c r="H4966" s="24"/>
      <c r="J4966" s="24"/>
      <c r="K4966" s="24"/>
      <c r="M4966" s="24"/>
      <c r="N4966" s="24"/>
      <c r="P4966" s="24"/>
    </row>
    <row r="4967" spans="2:16" x14ac:dyDescent="0.25">
      <c r="B4967" s="24"/>
      <c r="E4967" s="24"/>
      <c r="G4967" s="24"/>
      <c r="H4967" s="24"/>
      <c r="J4967" s="24"/>
      <c r="K4967" s="24"/>
      <c r="M4967" s="24"/>
      <c r="N4967" s="24"/>
      <c r="P4967" s="24"/>
    </row>
    <row r="4968" spans="2:16" x14ac:dyDescent="0.25">
      <c r="B4968" s="24"/>
      <c r="E4968" s="24"/>
      <c r="G4968" s="24"/>
      <c r="H4968" s="24"/>
      <c r="J4968" s="24"/>
      <c r="K4968" s="24"/>
      <c r="M4968" s="24"/>
      <c r="N4968" s="24"/>
      <c r="P4968" s="24"/>
    </row>
    <row r="4969" spans="2:16" x14ac:dyDescent="0.25">
      <c r="B4969" s="24"/>
      <c r="E4969" s="24"/>
      <c r="G4969" s="24"/>
      <c r="H4969" s="24"/>
      <c r="J4969" s="24"/>
      <c r="K4969" s="24"/>
      <c r="M4969" s="24"/>
      <c r="N4969" s="24"/>
      <c r="P4969" s="24"/>
    </row>
    <row r="4970" spans="2:16" x14ac:dyDescent="0.25">
      <c r="B4970" s="24"/>
      <c r="E4970" s="24"/>
      <c r="G4970" s="24"/>
      <c r="H4970" s="24"/>
      <c r="J4970" s="24"/>
      <c r="K4970" s="24"/>
      <c r="M4970" s="24"/>
      <c r="N4970" s="24"/>
      <c r="P4970" s="24"/>
    </row>
    <row r="4971" spans="2:16" x14ac:dyDescent="0.25">
      <c r="B4971" s="24"/>
      <c r="E4971" s="24"/>
      <c r="G4971" s="24"/>
      <c r="H4971" s="24"/>
      <c r="J4971" s="24"/>
      <c r="K4971" s="24"/>
      <c r="M4971" s="24"/>
      <c r="N4971" s="24"/>
      <c r="P4971" s="24"/>
    </row>
    <row r="4972" spans="2:16" x14ac:dyDescent="0.25">
      <c r="B4972" s="24"/>
      <c r="E4972" s="24"/>
      <c r="G4972" s="24"/>
      <c r="H4972" s="24"/>
      <c r="J4972" s="24"/>
      <c r="K4972" s="24"/>
      <c r="M4972" s="24"/>
      <c r="N4972" s="24"/>
      <c r="P4972" s="24"/>
    </row>
    <row r="4973" spans="2:16" x14ac:dyDescent="0.25">
      <c r="B4973" s="24"/>
      <c r="E4973" s="24"/>
      <c r="G4973" s="24"/>
      <c r="H4973" s="24"/>
      <c r="J4973" s="24"/>
      <c r="K4973" s="24"/>
      <c r="M4973" s="24"/>
      <c r="N4973" s="24"/>
      <c r="P4973" s="24"/>
    </row>
    <row r="4974" spans="2:16" x14ac:dyDescent="0.25">
      <c r="B4974" s="24"/>
      <c r="E4974" s="24"/>
      <c r="G4974" s="24"/>
      <c r="H4974" s="24"/>
      <c r="J4974" s="24"/>
      <c r="K4974" s="24"/>
      <c r="M4974" s="24"/>
      <c r="N4974" s="24"/>
      <c r="P4974" s="24"/>
    </row>
    <row r="4975" spans="2:16" x14ac:dyDescent="0.25">
      <c r="B4975" s="24"/>
      <c r="E4975" s="24"/>
      <c r="G4975" s="24"/>
      <c r="H4975" s="24"/>
      <c r="J4975" s="24"/>
      <c r="K4975" s="24"/>
      <c r="M4975" s="24"/>
      <c r="N4975" s="24"/>
      <c r="P4975" s="24"/>
    </row>
    <row r="4976" spans="2:16" x14ac:dyDescent="0.25">
      <c r="B4976" s="24"/>
      <c r="E4976" s="24"/>
      <c r="G4976" s="24"/>
      <c r="H4976" s="24"/>
      <c r="J4976" s="24"/>
      <c r="K4976" s="24"/>
      <c r="M4976" s="24"/>
      <c r="N4976" s="24"/>
      <c r="P4976" s="24"/>
    </row>
    <row r="4977" spans="2:16" x14ac:dyDescent="0.25">
      <c r="B4977" s="24"/>
      <c r="E4977" s="24"/>
      <c r="G4977" s="24"/>
      <c r="H4977" s="24"/>
      <c r="J4977" s="24"/>
      <c r="K4977" s="24"/>
      <c r="M4977" s="24"/>
      <c r="N4977" s="24"/>
      <c r="P4977" s="24"/>
    </row>
    <row r="4978" spans="2:16" x14ac:dyDescent="0.25">
      <c r="B4978" s="24"/>
      <c r="E4978" s="24"/>
      <c r="G4978" s="24"/>
      <c r="H4978" s="24"/>
      <c r="J4978" s="24"/>
      <c r="K4978" s="24"/>
      <c r="M4978" s="24"/>
      <c r="N4978" s="24"/>
      <c r="P4978" s="24"/>
    </row>
    <row r="4979" spans="2:16" x14ac:dyDescent="0.25">
      <c r="B4979" s="24"/>
      <c r="E4979" s="24"/>
      <c r="G4979" s="24"/>
      <c r="H4979" s="24"/>
      <c r="J4979" s="24"/>
      <c r="K4979" s="24"/>
      <c r="M4979" s="24"/>
      <c r="N4979" s="24"/>
      <c r="P4979" s="24"/>
    </row>
    <row r="4980" spans="2:16" x14ac:dyDescent="0.25">
      <c r="B4980" s="24"/>
      <c r="E4980" s="24"/>
      <c r="G4980" s="24"/>
      <c r="H4980" s="24"/>
      <c r="J4980" s="24"/>
      <c r="K4980" s="24"/>
      <c r="M4980" s="24"/>
      <c r="N4980" s="24"/>
      <c r="P4980" s="24"/>
    </row>
    <row r="4981" spans="2:16" x14ac:dyDescent="0.25">
      <c r="B4981" s="24"/>
      <c r="E4981" s="24"/>
      <c r="G4981" s="24"/>
      <c r="H4981" s="24"/>
      <c r="J4981" s="24"/>
      <c r="K4981" s="24"/>
      <c r="M4981" s="24"/>
      <c r="N4981" s="24"/>
      <c r="P4981" s="24"/>
    </row>
    <row r="4982" spans="2:16" x14ac:dyDescent="0.25">
      <c r="B4982" s="24"/>
      <c r="E4982" s="24"/>
      <c r="G4982" s="24"/>
      <c r="H4982" s="24"/>
      <c r="J4982" s="24"/>
      <c r="K4982" s="24"/>
      <c r="M4982" s="24"/>
      <c r="N4982" s="24"/>
      <c r="P4982" s="24"/>
    </row>
    <row r="4983" spans="2:16" x14ac:dyDescent="0.25">
      <c r="B4983" s="24"/>
      <c r="E4983" s="24"/>
      <c r="G4983" s="24"/>
      <c r="H4983" s="24"/>
      <c r="J4983" s="24"/>
      <c r="K4983" s="24"/>
      <c r="M4983" s="24"/>
      <c r="N4983" s="24"/>
      <c r="P4983" s="24"/>
    </row>
    <row r="4984" spans="2:16" x14ac:dyDescent="0.25">
      <c r="B4984" s="24"/>
      <c r="E4984" s="24"/>
      <c r="G4984" s="24"/>
      <c r="H4984" s="24"/>
      <c r="J4984" s="24"/>
      <c r="K4984" s="24"/>
      <c r="M4984" s="24"/>
      <c r="N4984" s="24"/>
      <c r="P4984" s="24"/>
    </row>
    <row r="4985" spans="2:16" x14ac:dyDescent="0.25">
      <c r="B4985" s="24"/>
      <c r="E4985" s="24"/>
      <c r="G4985" s="24"/>
      <c r="H4985" s="24"/>
      <c r="J4985" s="24"/>
      <c r="K4985" s="24"/>
      <c r="M4985" s="24"/>
      <c r="N4985" s="24"/>
      <c r="P4985" s="24"/>
    </row>
    <row r="4986" spans="2:16" x14ac:dyDescent="0.25">
      <c r="B4986" s="24"/>
      <c r="E4986" s="24"/>
      <c r="G4986" s="24"/>
      <c r="H4986" s="24"/>
      <c r="J4986" s="24"/>
      <c r="K4986" s="24"/>
      <c r="M4986" s="24"/>
      <c r="N4986" s="24"/>
      <c r="P4986" s="24"/>
    </row>
    <row r="4987" spans="2:16" x14ac:dyDescent="0.25">
      <c r="B4987" s="24"/>
      <c r="E4987" s="24"/>
      <c r="G4987" s="24"/>
      <c r="H4987" s="24"/>
      <c r="J4987" s="24"/>
      <c r="K4987" s="24"/>
      <c r="M4987" s="24"/>
      <c r="N4987" s="24"/>
      <c r="P4987" s="24"/>
    </row>
    <row r="4988" spans="2:16" x14ac:dyDescent="0.25">
      <c r="B4988" s="24"/>
      <c r="E4988" s="24"/>
      <c r="G4988" s="24"/>
      <c r="H4988" s="24"/>
      <c r="J4988" s="24"/>
      <c r="K4988" s="24"/>
      <c r="M4988" s="24"/>
      <c r="N4988" s="24"/>
      <c r="P4988" s="24"/>
    </row>
    <row r="4989" spans="2:16" x14ac:dyDescent="0.25">
      <c r="B4989" s="24"/>
      <c r="E4989" s="24"/>
      <c r="G4989" s="24"/>
      <c r="H4989" s="24"/>
      <c r="J4989" s="24"/>
      <c r="K4989" s="24"/>
      <c r="M4989" s="24"/>
      <c r="N4989" s="24"/>
      <c r="P4989" s="24"/>
    </row>
    <row r="4990" spans="2:16" x14ac:dyDescent="0.25">
      <c r="B4990" s="24"/>
      <c r="E4990" s="24"/>
      <c r="G4990" s="24"/>
      <c r="H4990" s="24"/>
      <c r="J4990" s="24"/>
      <c r="K4990" s="24"/>
      <c r="M4990" s="24"/>
      <c r="N4990" s="24"/>
      <c r="P4990" s="24"/>
    </row>
    <row r="4991" spans="2:16" x14ac:dyDescent="0.25">
      <c r="B4991" s="24"/>
      <c r="E4991" s="24"/>
      <c r="G4991" s="24"/>
      <c r="H4991" s="24"/>
      <c r="J4991" s="24"/>
      <c r="K4991" s="24"/>
      <c r="M4991" s="24"/>
      <c r="N4991" s="24"/>
      <c r="P4991" s="24"/>
    </row>
    <row r="4992" spans="2:16" x14ac:dyDescent="0.25">
      <c r="B4992" s="24"/>
      <c r="E4992" s="24"/>
      <c r="G4992" s="24"/>
      <c r="H4992" s="24"/>
      <c r="J4992" s="24"/>
      <c r="K4992" s="24"/>
      <c r="M4992" s="24"/>
      <c r="N4992" s="24"/>
      <c r="P4992" s="24"/>
    </row>
    <row r="4993" spans="2:16" x14ac:dyDescent="0.25">
      <c r="B4993" s="24"/>
      <c r="E4993" s="24"/>
      <c r="G4993" s="24"/>
      <c r="H4993" s="24"/>
      <c r="J4993" s="24"/>
      <c r="K4993" s="24"/>
      <c r="M4993" s="24"/>
      <c r="N4993" s="24"/>
      <c r="P4993" s="24"/>
    </row>
    <row r="4994" spans="2:16" x14ac:dyDescent="0.25">
      <c r="B4994" s="24"/>
      <c r="E4994" s="24"/>
      <c r="G4994" s="24"/>
      <c r="H4994" s="24"/>
      <c r="J4994" s="24"/>
      <c r="K4994" s="24"/>
      <c r="M4994" s="24"/>
      <c r="N4994" s="24"/>
      <c r="P4994" s="24"/>
    </row>
    <row r="4995" spans="2:16" x14ac:dyDescent="0.25">
      <c r="B4995" s="24"/>
      <c r="E4995" s="24"/>
      <c r="G4995" s="24"/>
      <c r="H4995" s="24"/>
      <c r="J4995" s="24"/>
      <c r="K4995" s="24"/>
      <c r="M4995" s="24"/>
      <c r="N4995" s="24"/>
      <c r="P4995" s="24"/>
    </row>
    <row r="4996" spans="2:16" x14ac:dyDescent="0.25">
      <c r="B4996" s="24"/>
      <c r="E4996" s="24"/>
      <c r="G4996" s="24"/>
      <c r="H4996" s="24"/>
      <c r="J4996" s="24"/>
      <c r="K4996" s="24"/>
      <c r="M4996" s="24"/>
      <c r="N4996" s="24"/>
      <c r="P4996" s="24"/>
    </row>
    <row r="4997" spans="2:16" x14ac:dyDescent="0.25">
      <c r="B4997" s="24"/>
      <c r="E4997" s="24"/>
      <c r="G4997" s="24"/>
      <c r="H4997" s="24"/>
      <c r="J4997" s="24"/>
      <c r="K4997" s="24"/>
      <c r="M4997" s="24"/>
      <c r="N4997" s="24"/>
      <c r="P4997" s="24"/>
    </row>
    <row r="4998" spans="2:16" x14ac:dyDescent="0.25">
      <c r="B4998" s="24"/>
      <c r="E4998" s="24"/>
      <c r="G4998" s="24"/>
      <c r="H4998" s="24"/>
      <c r="J4998" s="24"/>
      <c r="K4998" s="24"/>
      <c r="M4998" s="24"/>
      <c r="N4998" s="24"/>
      <c r="P4998" s="24"/>
    </row>
    <row r="4999" spans="2:16" x14ac:dyDescent="0.25">
      <c r="B4999" s="24"/>
      <c r="E4999" s="24"/>
      <c r="G4999" s="24"/>
      <c r="H4999" s="24"/>
      <c r="J4999" s="24"/>
      <c r="K4999" s="24"/>
      <c r="M4999" s="24"/>
      <c r="N4999" s="24"/>
      <c r="P4999" s="24"/>
    </row>
    <row r="5000" spans="2:16" x14ac:dyDescent="0.25">
      <c r="B5000" s="24"/>
      <c r="E5000" s="24"/>
      <c r="G5000" s="24"/>
      <c r="H5000" s="24"/>
      <c r="J5000" s="24"/>
      <c r="K5000" s="24"/>
      <c r="M5000" s="24"/>
      <c r="N5000" s="24"/>
      <c r="P5000" s="24"/>
    </row>
    <row r="5001" spans="2:16" x14ac:dyDescent="0.25">
      <c r="B5001" s="24"/>
      <c r="E5001" s="24"/>
      <c r="G5001" s="24"/>
      <c r="H5001" s="24"/>
      <c r="J5001" s="24"/>
      <c r="K5001" s="24"/>
      <c r="M5001" s="24"/>
      <c r="N5001" s="24"/>
      <c r="P5001" s="24"/>
    </row>
    <row r="5002" spans="2:16" x14ac:dyDescent="0.25">
      <c r="B5002" s="24"/>
      <c r="E5002" s="24"/>
      <c r="G5002" s="24"/>
      <c r="H5002" s="24"/>
      <c r="J5002" s="24"/>
      <c r="K5002" s="24"/>
      <c r="M5002" s="24"/>
      <c r="N5002" s="24"/>
      <c r="P5002" s="24"/>
    </row>
    <row r="5003" spans="2:16" x14ac:dyDescent="0.25">
      <c r="B5003" s="24"/>
      <c r="E5003" s="24"/>
      <c r="G5003" s="24"/>
      <c r="H5003" s="24"/>
      <c r="J5003" s="24"/>
      <c r="K5003" s="24"/>
      <c r="M5003" s="24"/>
      <c r="N5003" s="24"/>
      <c r="P5003" s="24"/>
    </row>
    <row r="5004" spans="2:16" x14ac:dyDescent="0.25">
      <c r="B5004" s="24"/>
      <c r="E5004" s="24"/>
      <c r="G5004" s="24"/>
      <c r="H5004" s="24"/>
      <c r="J5004" s="24"/>
      <c r="K5004" s="24"/>
      <c r="M5004" s="24"/>
      <c r="N5004" s="24"/>
      <c r="P5004" s="24"/>
    </row>
    <row r="5005" spans="2:16" x14ac:dyDescent="0.25">
      <c r="B5005" s="24"/>
      <c r="E5005" s="24"/>
      <c r="G5005" s="24"/>
      <c r="H5005" s="24"/>
      <c r="J5005" s="24"/>
      <c r="K5005" s="24"/>
      <c r="M5005" s="24"/>
      <c r="N5005" s="24"/>
      <c r="P5005" s="24"/>
    </row>
    <row r="5006" spans="2:16" x14ac:dyDescent="0.25">
      <c r="B5006" s="24"/>
      <c r="E5006" s="24"/>
      <c r="G5006" s="24"/>
      <c r="H5006" s="24"/>
      <c r="J5006" s="24"/>
      <c r="K5006" s="24"/>
      <c r="M5006" s="24"/>
      <c r="N5006" s="24"/>
      <c r="P5006" s="24"/>
    </row>
    <row r="5007" spans="2:16" x14ac:dyDescent="0.25">
      <c r="B5007" s="24"/>
      <c r="E5007" s="24"/>
      <c r="G5007" s="24"/>
      <c r="H5007" s="24"/>
      <c r="J5007" s="24"/>
      <c r="K5007" s="24"/>
      <c r="M5007" s="24"/>
      <c r="N5007" s="24"/>
      <c r="P5007" s="24"/>
    </row>
    <row r="5008" spans="2:16" x14ac:dyDescent="0.25">
      <c r="B5008" s="24"/>
      <c r="E5008" s="24"/>
      <c r="G5008" s="24"/>
      <c r="H5008" s="24"/>
      <c r="J5008" s="24"/>
      <c r="K5008" s="24"/>
      <c r="M5008" s="24"/>
      <c r="N5008" s="24"/>
      <c r="P5008" s="24"/>
    </row>
    <row r="5009" spans="2:16" x14ac:dyDescent="0.25">
      <c r="B5009" s="24"/>
      <c r="E5009" s="24"/>
      <c r="G5009" s="24"/>
      <c r="H5009" s="24"/>
      <c r="J5009" s="24"/>
      <c r="K5009" s="24"/>
      <c r="M5009" s="24"/>
      <c r="N5009" s="24"/>
      <c r="P5009" s="24"/>
    </row>
    <row r="5010" spans="2:16" x14ac:dyDescent="0.25">
      <c r="B5010" s="24"/>
      <c r="E5010" s="24"/>
      <c r="G5010" s="24"/>
      <c r="H5010" s="24"/>
      <c r="J5010" s="24"/>
      <c r="K5010" s="24"/>
      <c r="M5010" s="24"/>
      <c r="N5010" s="24"/>
      <c r="P5010" s="24"/>
    </row>
    <row r="5011" spans="2:16" x14ac:dyDescent="0.25">
      <c r="B5011" s="24"/>
      <c r="E5011" s="24"/>
      <c r="G5011" s="24"/>
      <c r="H5011" s="24"/>
      <c r="J5011" s="24"/>
      <c r="K5011" s="24"/>
      <c r="M5011" s="24"/>
      <c r="N5011" s="24"/>
      <c r="P5011" s="24"/>
    </row>
    <row r="5012" spans="2:16" x14ac:dyDescent="0.25">
      <c r="B5012" s="24"/>
      <c r="E5012" s="24"/>
      <c r="G5012" s="24"/>
      <c r="H5012" s="24"/>
      <c r="J5012" s="24"/>
      <c r="K5012" s="24"/>
      <c r="M5012" s="24"/>
      <c r="N5012" s="24"/>
      <c r="P5012" s="24"/>
    </row>
    <row r="5013" spans="2:16" x14ac:dyDescent="0.25">
      <c r="B5013" s="24"/>
      <c r="E5013" s="24"/>
      <c r="G5013" s="24"/>
      <c r="H5013" s="24"/>
      <c r="J5013" s="24"/>
      <c r="K5013" s="24"/>
      <c r="M5013" s="24"/>
      <c r="N5013" s="24"/>
      <c r="P5013" s="24"/>
    </row>
    <row r="5014" spans="2:16" x14ac:dyDescent="0.25">
      <c r="B5014" s="24"/>
      <c r="E5014" s="24"/>
      <c r="G5014" s="24"/>
      <c r="H5014" s="24"/>
      <c r="J5014" s="24"/>
      <c r="K5014" s="24"/>
      <c r="M5014" s="24"/>
      <c r="N5014" s="24"/>
      <c r="P5014" s="24"/>
    </row>
    <row r="5015" spans="2:16" x14ac:dyDescent="0.25">
      <c r="B5015" s="24"/>
      <c r="E5015" s="24"/>
      <c r="G5015" s="24"/>
      <c r="H5015" s="24"/>
      <c r="J5015" s="24"/>
      <c r="K5015" s="24"/>
      <c r="M5015" s="24"/>
      <c r="N5015" s="24"/>
      <c r="P5015" s="24"/>
    </row>
    <row r="5016" spans="2:16" x14ac:dyDescent="0.25">
      <c r="B5016" s="24"/>
      <c r="E5016" s="24"/>
      <c r="G5016" s="24"/>
      <c r="H5016" s="24"/>
      <c r="J5016" s="24"/>
      <c r="K5016" s="24"/>
      <c r="M5016" s="24"/>
      <c r="N5016" s="24"/>
      <c r="P5016" s="24"/>
    </row>
    <row r="5017" spans="2:16" x14ac:dyDescent="0.25">
      <c r="B5017" s="24"/>
      <c r="E5017" s="24"/>
      <c r="G5017" s="24"/>
      <c r="H5017" s="24"/>
      <c r="J5017" s="24"/>
      <c r="K5017" s="24"/>
      <c r="M5017" s="24"/>
      <c r="N5017" s="24"/>
      <c r="P5017" s="24"/>
    </row>
    <row r="5018" spans="2:16" x14ac:dyDescent="0.25">
      <c r="B5018" s="24"/>
      <c r="E5018" s="24"/>
      <c r="G5018" s="24"/>
      <c r="H5018" s="24"/>
      <c r="J5018" s="24"/>
      <c r="K5018" s="24"/>
      <c r="M5018" s="24"/>
      <c r="N5018" s="24"/>
      <c r="P5018" s="24"/>
    </row>
    <row r="5019" spans="2:16" x14ac:dyDescent="0.25">
      <c r="B5019" s="24"/>
      <c r="E5019" s="24"/>
      <c r="G5019" s="24"/>
      <c r="H5019" s="24"/>
      <c r="J5019" s="24"/>
      <c r="K5019" s="24"/>
      <c r="M5019" s="24"/>
      <c r="N5019" s="24"/>
      <c r="P5019" s="24"/>
    </row>
    <row r="5020" spans="2:16" x14ac:dyDescent="0.25">
      <c r="B5020" s="24"/>
      <c r="E5020" s="24"/>
      <c r="G5020" s="24"/>
      <c r="H5020" s="24"/>
      <c r="J5020" s="24"/>
      <c r="K5020" s="24"/>
      <c r="M5020" s="24"/>
      <c r="N5020" s="24"/>
      <c r="P5020" s="24"/>
    </row>
    <row r="5021" spans="2:16" x14ac:dyDescent="0.25">
      <c r="B5021" s="24"/>
      <c r="E5021" s="24"/>
      <c r="G5021" s="24"/>
      <c r="H5021" s="24"/>
      <c r="J5021" s="24"/>
      <c r="K5021" s="24"/>
      <c r="M5021" s="24"/>
      <c r="N5021" s="24"/>
      <c r="P5021" s="24"/>
    </row>
    <row r="5022" spans="2:16" x14ac:dyDescent="0.25">
      <c r="B5022" s="24"/>
      <c r="E5022" s="24"/>
      <c r="G5022" s="24"/>
      <c r="H5022" s="24"/>
      <c r="J5022" s="24"/>
      <c r="K5022" s="24"/>
      <c r="M5022" s="24"/>
      <c r="N5022" s="24"/>
      <c r="P5022" s="24"/>
    </row>
    <row r="5023" spans="2:16" x14ac:dyDescent="0.25">
      <c r="B5023" s="24"/>
      <c r="E5023" s="24"/>
      <c r="G5023" s="24"/>
      <c r="H5023" s="24"/>
      <c r="J5023" s="24"/>
      <c r="K5023" s="24"/>
      <c r="M5023" s="24"/>
      <c r="N5023" s="24"/>
      <c r="P5023" s="24"/>
    </row>
    <row r="5024" spans="2:16" x14ac:dyDescent="0.25">
      <c r="B5024" s="24"/>
      <c r="E5024" s="24"/>
      <c r="G5024" s="24"/>
      <c r="H5024" s="24"/>
      <c r="J5024" s="24"/>
      <c r="K5024" s="24"/>
      <c r="M5024" s="24"/>
      <c r="N5024" s="24"/>
      <c r="P5024" s="24"/>
    </row>
    <row r="5025" spans="2:16" x14ac:dyDescent="0.25">
      <c r="B5025" s="24"/>
      <c r="E5025" s="24"/>
      <c r="G5025" s="24"/>
      <c r="H5025" s="24"/>
      <c r="J5025" s="24"/>
      <c r="K5025" s="24"/>
      <c r="M5025" s="24"/>
      <c r="N5025" s="24"/>
      <c r="P5025" s="24"/>
    </row>
    <row r="5026" spans="2:16" x14ac:dyDescent="0.25">
      <c r="B5026" s="24"/>
      <c r="E5026" s="24"/>
      <c r="G5026" s="24"/>
      <c r="H5026" s="24"/>
      <c r="J5026" s="24"/>
      <c r="K5026" s="24"/>
      <c r="M5026" s="24"/>
      <c r="N5026" s="24"/>
      <c r="P5026" s="24"/>
    </row>
    <row r="5027" spans="2:16" x14ac:dyDescent="0.25">
      <c r="B5027" s="24"/>
      <c r="E5027" s="24"/>
      <c r="G5027" s="24"/>
      <c r="H5027" s="24"/>
      <c r="J5027" s="24"/>
      <c r="K5027" s="24"/>
      <c r="M5027" s="24"/>
      <c r="N5027" s="24"/>
      <c r="P5027" s="24"/>
    </row>
    <row r="5028" spans="2:16" x14ac:dyDescent="0.25">
      <c r="B5028" s="24"/>
      <c r="E5028" s="24"/>
      <c r="G5028" s="24"/>
      <c r="H5028" s="24"/>
      <c r="J5028" s="24"/>
      <c r="K5028" s="24"/>
      <c r="M5028" s="24"/>
      <c r="N5028" s="24"/>
      <c r="P5028" s="24"/>
    </row>
    <row r="5029" spans="2:16" x14ac:dyDescent="0.25">
      <c r="B5029" s="24"/>
      <c r="E5029" s="24"/>
      <c r="G5029" s="24"/>
      <c r="H5029" s="24"/>
      <c r="J5029" s="24"/>
      <c r="K5029" s="24"/>
      <c r="M5029" s="24"/>
      <c r="N5029" s="24"/>
      <c r="P5029" s="24"/>
    </row>
    <row r="5030" spans="2:16" x14ac:dyDescent="0.25">
      <c r="B5030" s="24"/>
      <c r="E5030" s="24"/>
      <c r="G5030" s="24"/>
      <c r="H5030" s="24"/>
      <c r="J5030" s="24"/>
      <c r="K5030" s="24"/>
      <c r="M5030" s="24"/>
      <c r="N5030" s="24"/>
      <c r="P5030" s="24"/>
    </row>
    <row r="5031" spans="2:16" x14ac:dyDescent="0.25">
      <c r="B5031" s="24"/>
      <c r="E5031" s="24"/>
      <c r="G5031" s="24"/>
      <c r="H5031" s="24"/>
      <c r="J5031" s="24"/>
      <c r="K5031" s="24"/>
      <c r="M5031" s="24"/>
      <c r="N5031" s="24"/>
      <c r="P5031" s="24"/>
    </row>
    <row r="5032" spans="2:16" x14ac:dyDescent="0.25">
      <c r="B5032" s="24"/>
      <c r="E5032" s="24"/>
      <c r="G5032" s="24"/>
      <c r="H5032" s="24"/>
      <c r="J5032" s="24"/>
      <c r="K5032" s="24"/>
      <c r="M5032" s="24"/>
      <c r="N5032" s="24"/>
      <c r="P5032" s="24"/>
    </row>
    <row r="5033" spans="2:16" x14ac:dyDescent="0.25">
      <c r="B5033" s="24"/>
      <c r="E5033" s="24"/>
      <c r="G5033" s="24"/>
      <c r="H5033" s="24"/>
      <c r="J5033" s="24"/>
      <c r="K5033" s="24"/>
      <c r="M5033" s="24"/>
      <c r="N5033" s="24"/>
      <c r="P5033" s="24"/>
    </row>
    <row r="5034" spans="2:16" x14ac:dyDescent="0.25">
      <c r="B5034" s="24"/>
      <c r="E5034" s="24"/>
      <c r="G5034" s="24"/>
      <c r="H5034" s="24"/>
      <c r="J5034" s="24"/>
      <c r="K5034" s="24"/>
      <c r="M5034" s="24"/>
      <c r="N5034" s="24"/>
      <c r="P5034" s="24"/>
    </row>
    <row r="5035" spans="2:16" x14ac:dyDescent="0.25">
      <c r="B5035" s="24"/>
      <c r="E5035" s="24"/>
      <c r="G5035" s="24"/>
      <c r="H5035" s="24"/>
      <c r="J5035" s="24"/>
      <c r="K5035" s="24"/>
      <c r="M5035" s="24"/>
      <c r="N5035" s="24"/>
      <c r="P5035" s="24"/>
    </row>
    <row r="5036" spans="2:16" x14ac:dyDescent="0.25">
      <c r="B5036" s="24"/>
      <c r="E5036" s="24"/>
      <c r="G5036" s="24"/>
      <c r="H5036" s="24"/>
      <c r="J5036" s="24"/>
      <c r="K5036" s="24"/>
      <c r="M5036" s="24"/>
      <c r="N5036" s="24"/>
      <c r="P5036" s="24"/>
    </row>
    <row r="5037" spans="2:16" x14ac:dyDescent="0.25">
      <c r="B5037" s="24"/>
      <c r="E5037" s="24"/>
      <c r="G5037" s="24"/>
      <c r="H5037" s="24"/>
      <c r="J5037" s="24"/>
      <c r="K5037" s="24"/>
      <c r="M5037" s="24"/>
      <c r="N5037" s="24"/>
      <c r="P5037" s="24"/>
    </row>
    <row r="5038" spans="2:16" x14ac:dyDescent="0.25">
      <c r="B5038" s="24"/>
      <c r="E5038" s="24"/>
      <c r="G5038" s="24"/>
      <c r="H5038" s="24"/>
      <c r="J5038" s="24"/>
      <c r="K5038" s="24"/>
      <c r="M5038" s="24"/>
      <c r="N5038" s="24"/>
      <c r="P5038" s="24"/>
    </row>
    <row r="5039" spans="2:16" x14ac:dyDescent="0.25">
      <c r="B5039" s="24"/>
      <c r="E5039" s="24"/>
      <c r="G5039" s="24"/>
      <c r="H5039" s="24"/>
      <c r="J5039" s="24"/>
      <c r="K5039" s="24"/>
      <c r="M5039" s="24"/>
      <c r="N5039" s="24"/>
      <c r="P5039" s="24"/>
    </row>
    <row r="5040" spans="2:16" x14ac:dyDescent="0.25">
      <c r="B5040" s="24"/>
      <c r="E5040" s="24"/>
      <c r="G5040" s="24"/>
      <c r="H5040" s="24"/>
      <c r="J5040" s="24"/>
      <c r="K5040" s="24"/>
      <c r="M5040" s="24"/>
      <c r="N5040" s="24"/>
      <c r="P5040" s="24"/>
    </row>
    <row r="5041" spans="2:16" x14ac:dyDescent="0.25">
      <c r="B5041" s="24"/>
      <c r="E5041" s="24"/>
      <c r="G5041" s="24"/>
      <c r="H5041" s="24"/>
      <c r="J5041" s="24"/>
      <c r="K5041" s="24"/>
      <c r="M5041" s="24"/>
      <c r="N5041" s="24"/>
      <c r="P5041" s="24"/>
    </row>
    <row r="5042" spans="2:16" x14ac:dyDescent="0.25">
      <c r="B5042" s="24"/>
      <c r="E5042" s="24"/>
      <c r="G5042" s="24"/>
      <c r="H5042" s="24"/>
      <c r="J5042" s="24"/>
      <c r="K5042" s="24"/>
      <c r="M5042" s="24"/>
      <c r="N5042" s="24"/>
      <c r="P5042" s="24"/>
    </row>
    <row r="5043" spans="2:16" x14ac:dyDescent="0.25">
      <c r="B5043" s="24"/>
      <c r="E5043" s="24"/>
      <c r="G5043" s="24"/>
      <c r="H5043" s="24"/>
      <c r="J5043" s="24"/>
      <c r="K5043" s="24"/>
      <c r="M5043" s="24"/>
      <c r="N5043" s="24"/>
      <c r="P5043" s="24"/>
    </row>
    <row r="5044" spans="2:16" x14ac:dyDescent="0.25">
      <c r="B5044" s="24"/>
      <c r="E5044" s="24"/>
      <c r="G5044" s="24"/>
      <c r="H5044" s="24"/>
      <c r="J5044" s="24"/>
      <c r="K5044" s="24"/>
      <c r="M5044" s="24"/>
      <c r="N5044" s="24"/>
      <c r="P5044" s="24"/>
    </row>
    <row r="5045" spans="2:16" x14ac:dyDescent="0.25">
      <c r="B5045" s="24"/>
      <c r="E5045" s="24"/>
      <c r="G5045" s="24"/>
      <c r="H5045" s="24"/>
      <c r="J5045" s="24"/>
      <c r="K5045" s="24"/>
      <c r="M5045" s="24"/>
      <c r="N5045" s="24"/>
      <c r="P5045" s="24"/>
    </row>
    <row r="5046" spans="2:16" x14ac:dyDescent="0.25">
      <c r="B5046" s="24"/>
      <c r="E5046" s="24"/>
      <c r="G5046" s="24"/>
      <c r="H5046" s="24"/>
      <c r="J5046" s="24"/>
      <c r="K5046" s="24"/>
      <c r="M5046" s="24"/>
      <c r="N5046" s="24"/>
      <c r="P5046" s="24"/>
    </row>
    <row r="5047" spans="2:16" x14ac:dyDescent="0.25">
      <c r="B5047" s="24"/>
      <c r="E5047" s="24"/>
      <c r="G5047" s="24"/>
      <c r="H5047" s="24"/>
      <c r="J5047" s="24"/>
      <c r="K5047" s="24"/>
      <c r="M5047" s="24"/>
      <c r="N5047" s="24"/>
      <c r="P5047" s="24"/>
    </row>
    <row r="5048" spans="2:16" x14ac:dyDescent="0.25">
      <c r="B5048" s="24"/>
      <c r="E5048" s="24"/>
      <c r="G5048" s="24"/>
      <c r="H5048" s="24"/>
      <c r="J5048" s="24"/>
      <c r="K5048" s="24"/>
      <c r="M5048" s="24"/>
      <c r="N5048" s="24"/>
      <c r="P5048" s="24"/>
    </row>
    <row r="5049" spans="2:16" x14ac:dyDescent="0.25">
      <c r="B5049" s="24"/>
      <c r="E5049" s="24"/>
      <c r="G5049" s="24"/>
      <c r="H5049" s="24"/>
      <c r="J5049" s="24"/>
      <c r="K5049" s="24"/>
      <c r="M5049" s="24"/>
      <c r="N5049" s="24"/>
      <c r="P5049" s="24"/>
    </row>
    <row r="5050" spans="2:16" x14ac:dyDescent="0.25">
      <c r="B5050" s="24"/>
      <c r="E5050" s="24"/>
      <c r="G5050" s="24"/>
      <c r="H5050" s="24"/>
      <c r="J5050" s="24"/>
      <c r="K5050" s="24"/>
      <c r="M5050" s="24"/>
      <c r="N5050" s="24"/>
      <c r="P5050" s="24"/>
    </row>
    <row r="5051" spans="2:16" x14ac:dyDescent="0.25">
      <c r="B5051" s="24"/>
      <c r="E5051" s="24"/>
      <c r="G5051" s="24"/>
      <c r="H5051" s="24"/>
      <c r="J5051" s="24"/>
      <c r="K5051" s="24"/>
      <c r="M5051" s="24"/>
      <c r="N5051" s="24"/>
      <c r="P5051" s="24"/>
    </row>
    <row r="5052" spans="2:16" x14ac:dyDescent="0.25">
      <c r="B5052" s="24"/>
      <c r="E5052" s="24"/>
      <c r="G5052" s="24"/>
      <c r="H5052" s="24"/>
      <c r="J5052" s="24"/>
      <c r="K5052" s="24"/>
      <c r="M5052" s="24"/>
      <c r="N5052" s="24"/>
      <c r="P5052" s="24"/>
    </row>
    <row r="5053" spans="2:16" x14ac:dyDescent="0.25">
      <c r="B5053" s="24"/>
      <c r="E5053" s="24"/>
      <c r="G5053" s="24"/>
      <c r="H5053" s="24"/>
      <c r="J5053" s="24"/>
      <c r="K5053" s="24"/>
      <c r="M5053" s="24"/>
      <c r="N5053" s="24"/>
      <c r="P5053" s="24"/>
    </row>
    <row r="5054" spans="2:16" x14ac:dyDescent="0.25">
      <c r="B5054" s="24"/>
      <c r="E5054" s="24"/>
      <c r="G5054" s="24"/>
      <c r="H5054" s="24"/>
      <c r="J5054" s="24"/>
      <c r="K5054" s="24"/>
      <c r="M5054" s="24"/>
      <c r="N5054" s="24"/>
      <c r="P5054" s="24"/>
    </row>
    <row r="5055" spans="2:16" x14ac:dyDescent="0.25">
      <c r="B5055" s="24"/>
      <c r="E5055" s="24"/>
      <c r="G5055" s="24"/>
      <c r="H5055" s="24"/>
      <c r="J5055" s="24"/>
      <c r="K5055" s="24"/>
      <c r="M5055" s="24"/>
      <c r="N5055" s="24"/>
      <c r="P5055" s="24"/>
    </row>
    <row r="5056" spans="2:16" x14ac:dyDescent="0.25">
      <c r="B5056" s="24"/>
      <c r="E5056" s="24"/>
      <c r="G5056" s="24"/>
      <c r="H5056" s="24"/>
      <c r="J5056" s="24"/>
      <c r="K5056" s="24"/>
      <c r="M5056" s="24"/>
      <c r="N5056" s="24"/>
      <c r="P5056" s="24"/>
    </row>
    <row r="5057" spans="2:16" x14ac:dyDescent="0.25">
      <c r="B5057" s="24"/>
      <c r="E5057" s="24"/>
      <c r="G5057" s="24"/>
      <c r="H5057" s="24"/>
      <c r="J5057" s="24"/>
      <c r="K5057" s="24"/>
      <c r="M5057" s="24"/>
      <c r="N5057" s="24"/>
      <c r="P5057" s="24"/>
    </row>
    <row r="5058" spans="2:16" x14ac:dyDescent="0.25">
      <c r="B5058" s="24"/>
      <c r="E5058" s="24"/>
      <c r="G5058" s="24"/>
      <c r="H5058" s="24"/>
      <c r="J5058" s="24"/>
      <c r="K5058" s="24"/>
      <c r="M5058" s="24"/>
      <c r="N5058" s="24"/>
      <c r="P5058" s="24"/>
    </row>
    <row r="5059" spans="2:16" x14ac:dyDescent="0.25">
      <c r="B5059" s="24"/>
      <c r="E5059" s="24"/>
      <c r="G5059" s="24"/>
      <c r="H5059" s="24"/>
      <c r="J5059" s="24"/>
      <c r="K5059" s="24"/>
      <c r="M5059" s="24"/>
      <c r="N5059" s="24"/>
      <c r="P5059" s="24"/>
    </row>
    <row r="5060" spans="2:16" x14ac:dyDescent="0.25">
      <c r="B5060" s="24"/>
      <c r="E5060" s="24"/>
      <c r="G5060" s="24"/>
      <c r="H5060" s="24"/>
      <c r="J5060" s="24"/>
      <c r="K5060" s="24"/>
      <c r="M5060" s="24"/>
      <c r="N5060" s="24"/>
      <c r="P5060" s="24"/>
    </row>
    <row r="5061" spans="2:16" x14ac:dyDescent="0.25">
      <c r="B5061" s="24"/>
      <c r="E5061" s="24"/>
      <c r="G5061" s="24"/>
      <c r="H5061" s="24"/>
      <c r="J5061" s="24"/>
      <c r="K5061" s="24"/>
      <c r="M5061" s="24"/>
      <c r="N5061" s="24"/>
      <c r="P5061" s="24"/>
    </row>
    <row r="5062" spans="2:16" x14ac:dyDescent="0.25">
      <c r="B5062" s="24"/>
      <c r="E5062" s="24"/>
      <c r="G5062" s="24"/>
      <c r="H5062" s="24"/>
      <c r="J5062" s="24"/>
      <c r="K5062" s="24"/>
      <c r="M5062" s="24"/>
      <c r="N5062" s="24"/>
      <c r="P5062" s="24"/>
    </row>
    <row r="5063" spans="2:16" x14ac:dyDescent="0.25">
      <c r="B5063" s="24"/>
      <c r="E5063" s="24"/>
      <c r="G5063" s="24"/>
      <c r="H5063" s="24"/>
      <c r="J5063" s="24"/>
      <c r="K5063" s="24"/>
      <c r="M5063" s="24"/>
      <c r="N5063" s="24"/>
      <c r="P5063" s="24"/>
    </row>
    <row r="5064" spans="2:16" x14ac:dyDescent="0.25">
      <c r="B5064" s="24"/>
      <c r="E5064" s="24"/>
      <c r="G5064" s="24"/>
      <c r="H5064" s="24"/>
      <c r="J5064" s="24"/>
      <c r="K5064" s="24"/>
      <c r="M5064" s="24"/>
      <c r="N5064" s="24"/>
      <c r="P5064" s="24"/>
    </row>
    <row r="5065" spans="2:16" x14ac:dyDescent="0.25">
      <c r="B5065" s="24"/>
      <c r="E5065" s="24"/>
      <c r="G5065" s="24"/>
      <c r="H5065" s="24"/>
      <c r="J5065" s="24"/>
      <c r="K5065" s="24"/>
      <c r="M5065" s="24"/>
      <c r="N5065" s="24"/>
      <c r="P5065" s="24"/>
    </row>
    <row r="5066" spans="2:16" x14ac:dyDescent="0.25">
      <c r="B5066" s="24"/>
      <c r="E5066" s="24"/>
      <c r="G5066" s="24"/>
      <c r="H5066" s="24"/>
      <c r="J5066" s="24"/>
      <c r="K5066" s="24"/>
      <c r="M5066" s="24"/>
      <c r="N5066" s="24"/>
      <c r="P5066" s="24"/>
    </row>
    <row r="5067" spans="2:16" x14ac:dyDescent="0.25">
      <c r="B5067" s="24"/>
      <c r="E5067" s="24"/>
      <c r="G5067" s="24"/>
      <c r="H5067" s="24"/>
      <c r="J5067" s="24"/>
      <c r="K5067" s="24"/>
      <c r="M5067" s="24"/>
      <c r="N5067" s="24"/>
      <c r="P5067" s="24"/>
    </row>
    <row r="5068" spans="2:16" x14ac:dyDescent="0.25">
      <c r="B5068" s="24"/>
      <c r="E5068" s="24"/>
      <c r="G5068" s="24"/>
      <c r="H5068" s="24"/>
      <c r="J5068" s="24"/>
      <c r="K5068" s="24"/>
      <c r="M5068" s="24"/>
      <c r="N5068" s="24"/>
      <c r="P5068" s="24"/>
    </row>
    <row r="5069" spans="2:16" x14ac:dyDescent="0.25">
      <c r="B5069" s="24"/>
      <c r="E5069" s="24"/>
      <c r="G5069" s="24"/>
      <c r="H5069" s="24"/>
      <c r="J5069" s="24"/>
      <c r="K5069" s="24"/>
      <c r="M5069" s="24"/>
      <c r="N5069" s="24"/>
      <c r="P5069" s="24"/>
    </row>
    <row r="5070" spans="2:16" x14ac:dyDescent="0.25">
      <c r="B5070" s="24"/>
      <c r="E5070" s="24"/>
      <c r="G5070" s="24"/>
      <c r="H5070" s="24"/>
      <c r="J5070" s="24"/>
      <c r="K5070" s="24"/>
      <c r="M5070" s="24"/>
      <c r="N5070" s="24"/>
      <c r="P5070" s="24"/>
    </row>
    <row r="5071" spans="2:16" x14ac:dyDescent="0.25">
      <c r="B5071" s="24"/>
      <c r="E5071" s="24"/>
      <c r="G5071" s="24"/>
      <c r="H5071" s="24"/>
      <c r="J5071" s="24"/>
      <c r="K5071" s="24"/>
      <c r="M5071" s="24"/>
      <c r="N5071" s="24"/>
      <c r="P5071" s="24"/>
    </row>
    <row r="5072" spans="2:16" x14ac:dyDescent="0.25">
      <c r="B5072" s="24"/>
      <c r="E5072" s="24"/>
      <c r="G5072" s="24"/>
      <c r="H5072" s="24"/>
      <c r="J5072" s="24"/>
      <c r="K5072" s="24"/>
      <c r="M5072" s="24"/>
      <c r="N5072" s="24"/>
      <c r="P5072" s="24"/>
    </row>
    <row r="5073" spans="2:16" x14ac:dyDescent="0.25">
      <c r="B5073" s="24"/>
      <c r="E5073" s="24"/>
      <c r="G5073" s="24"/>
      <c r="H5073" s="24"/>
      <c r="J5073" s="24"/>
      <c r="K5073" s="24"/>
      <c r="M5073" s="24"/>
      <c r="N5073" s="24"/>
      <c r="P5073" s="24"/>
    </row>
    <row r="5074" spans="2:16" x14ac:dyDescent="0.25">
      <c r="B5074" s="24"/>
      <c r="E5074" s="24"/>
      <c r="G5074" s="24"/>
      <c r="H5074" s="24"/>
      <c r="J5074" s="24"/>
      <c r="K5074" s="24"/>
      <c r="M5074" s="24"/>
      <c r="N5074" s="24"/>
      <c r="P5074" s="24"/>
    </row>
    <row r="5075" spans="2:16" x14ac:dyDescent="0.25">
      <c r="B5075" s="24"/>
      <c r="E5075" s="24"/>
      <c r="G5075" s="24"/>
      <c r="H5075" s="24"/>
      <c r="J5075" s="24"/>
      <c r="K5075" s="24"/>
      <c r="M5075" s="24"/>
      <c r="N5075" s="24"/>
      <c r="P5075" s="24"/>
    </row>
    <row r="5076" spans="2:16" x14ac:dyDescent="0.25">
      <c r="B5076" s="24"/>
      <c r="E5076" s="24"/>
      <c r="G5076" s="24"/>
      <c r="H5076" s="24"/>
      <c r="J5076" s="24"/>
      <c r="K5076" s="24"/>
      <c r="M5076" s="24"/>
      <c r="N5076" s="24"/>
      <c r="P5076" s="24"/>
    </row>
    <row r="5077" spans="2:16" x14ac:dyDescent="0.25">
      <c r="B5077" s="24"/>
      <c r="E5077" s="24"/>
      <c r="G5077" s="24"/>
      <c r="H5077" s="24"/>
      <c r="J5077" s="24"/>
      <c r="K5077" s="24"/>
      <c r="M5077" s="24"/>
      <c r="N5077" s="24"/>
      <c r="P5077" s="24"/>
    </row>
    <row r="5078" spans="2:16" x14ac:dyDescent="0.25">
      <c r="B5078" s="24"/>
      <c r="E5078" s="24"/>
      <c r="G5078" s="24"/>
      <c r="H5078" s="24"/>
      <c r="J5078" s="24"/>
      <c r="K5078" s="24"/>
      <c r="M5078" s="24"/>
      <c r="N5078" s="24"/>
      <c r="P5078" s="24"/>
    </row>
    <row r="5079" spans="2:16" x14ac:dyDescent="0.25">
      <c r="B5079" s="24"/>
      <c r="E5079" s="24"/>
      <c r="G5079" s="24"/>
      <c r="H5079" s="24"/>
      <c r="J5079" s="24"/>
      <c r="K5079" s="24"/>
      <c r="M5079" s="24"/>
      <c r="N5079" s="24"/>
      <c r="P5079" s="24"/>
    </row>
    <row r="5080" spans="2:16" x14ac:dyDescent="0.25">
      <c r="B5080" s="24"/>
      <c r="E5080" s="24"/>
      <c r="G5080" s="24"/>
      <c r="H5080" s="24"/>
      <c r="J5080" s="24"/>
      <c r="K5080" s="24"/>
      <c r="M5080" s="24"/>
      <c r="N5080" s="24"/>
      <c r="P5080" s="24"/>
    </row>
    <row r="5081" spans="2:16" x14ac:dyDescent="0.25">
      <c r="B5081" s="24"/>
      <c r="E5081" s="24"/>
      <c r="G5081" s="24"/>
      <c r="H5081" s="24"/>
      <c r="J5081" s="24"/>
      <c r="K5081" s="24"/>
      <c r="M5081" s="24"/>
      <c r="N5081" s="24"/>
      <c r="P5081" s="24"/>
    </row>
    <row r="5082" spans="2:16" x14ac:dyDescent="0.25">
      <c r="B5082" s="24"/>
      <c r="E5082" s="24"/>
      <c r="G5082" s="24"/>
      <c r="H5082" s="24"/>
      <c r="J5082" s="24"/>
      <c r="K5082" s="24"/>
      <c r="M5082" s="24"/>
      <c r="N5082" s="24"/>
      <c r="P5082" s="24"/>
    </row>
    <row r="5083" spans="2:16" x14ac:dyDescent="0.25">
      <c r="B5083" s="24"/>
      <c r="E5083" s="24"/>
      <c r="G5083" s="24"/>
      <c r="H5083" s="24"/>
      <c r="J5083" s="24"/>
      <c r="K5083" s="24"/>
      <c r="M5083" s="24"/>
      <c r="N5083" s="24"/>
      <c r="P5083" s="24"/>
    </row>
    <row r="5084" spans="2:16" x14ac:dyDescent="0.25">
      <c r="B5084" s="24"/>
      <c r="E5084" s="24"/>
      <c r="G5084" s="24"/>
      <c r="H5084" s="24"/>
      <c r="J5084" s="24"/>
      <c r="K5084" s="24"/>
      <c r="M5084" s="24"/>
      <c r="N5084" s="24"/>
      <c r="P5084" s="24"/>
    </row>
    <row r="5085" spans="2:16" x14ac:dyDescent="0.25">
      <c r="B5085" s="24"/>
      <c r="E5085" s="24"/>
      <c r="G5085" s="24"/>
      <c r="H5085" s="24"/>
      <c r="J5085" s="24"/>
      <c r="K5085" s="24"/>
      <c r="M5085" s="24"/>
      <c r="N5085" s="24"/>
      <c r="P5085" s="24"/>
    </row>
    <row r="5086" spans="2:16" x14ac:dyDescent="0.25">
      <c r="B5086" s="24"/>
      <c r="E5086" s="24"/>
      <c r="G5086" s="24"/>
      <c r="H5086" s="24"/>
      <c r="J5086" s="24"/>
      <c r="K5086" s="24"/>
      <c r="M5086" s="24"/>
      <c r="N5086" s="24"/>
      <c r="P5086" s="24"/>
    </row>
    <row r="5087" spans="2:16" x14ac:dyDescent="0.25">
      <c r="B5087" s="24"/>
      <c r="E5087" s="24"/>
      <c r="G5087" s="24"/>
      <c r="H5087" s="24"/>
      <c r="J5087" s="24"/>
      <c r="K5087" s="24"/>
      <c r="M5087" s="24"/>
      <c r="N5087" s="24"/>
      <c r="P5087" s="24"/>
    </row>
    <row r="5088" spans="2:16" x14ac:dyDescent="0.25">
      <c r="B5088" s="24"/>
      <c r="E5088" s="24"/>
      <c r="G5088" s="24"/>
      <c r="H5088" s="24"/>
      <c r="J5088" s="24"/>
      <c r="K5088" s="24"/>
      <c r="M5088" s="24"/>
      <c r="N5088" s="24"/>
      <c r="P5088" s="24"/>
    </row>
    <row r="5089" spans="2:16" x14ac:dyDescent="0.25">
      <c r="B5089" s="24"/>
      <c r="E5089" s="24"/>
      <c r="G5089" s="24"/>
      <c r="H5089" s="24"/>
      <c r="J5089" s="24"/>
      <c r="K5089" s="24"/>
      <c r="M5089" s="24"/>
      <c r="N5089" s="24"/>
      <c r="P5089" s="24"/>
    </row>
    <row r="5090" spans="2:16" x14ac:dyDescent="0.25">
      <c r="B5090" s="24"/>
      <c r="E5090" s="24"/>
      <c r="G5090" s="24"/>
      <c r="H5090" s="24"/>
      <c r="J5090" s="24"/>
      <c r="K5090" s="24"/>
      <c r="M5090" s="24"/>
      <c r="N5090" s="24"/>
      <c r="P5090" s="24"/>
    </row>
    <row r="5091" spans="2:16" x14ac:dyDescent="0.25">
      <c r="B5091" s="24"/>
      <c r="E5091" s="24"/>
      <c r="G5091" s="24"/>
      <c r="H5091" s="24"/>
      <c r="J5091" s="24"/>
      <c r="K5091" s="24"/>
      <c r="M5091" s="24"/>
      <c r="N5091" s="24"/>
      <c r="P5091" s="24"/>
    </row>
    <row r="5092" spans="2:16" x14ac:dyDescent="0.25">
      <c r="B5092" s="24"/>
      <c r="E5092" s="24"/>
      <c r="G5092" s="24"/>
      <c r="H5092" s="24"/>
      <c r="J5092" s="24"/>
      <c r="K5092" s="24"/>
      <c r="M5092" s="24"/>
      <c r="N5092" s="24"/>
      <c r="P5092" s="24"/>
    </row>
    <row r="5093" spans="2:16" x14ac:dyDescent="0.25">
      <c r="B5093" s="24"/>
      <c r="E5093" s="24"/>
      <c r="G5093" s="24"/>
      <c r="H5093" s="24"/>
      <c r="J5093" s="24"/>
      <c r="K5093" s="24"/>
      <c r="M5093" s="24"/>
      <c r="N5093" s="24"/>
      <c r="P5093" s="24"/>
    </row>
    <row r="5094" spans="2:16" x14ac:dyDescent="0.25">
      <c r="B5094" s="24"/>
      <c r="E5094" s="24"/>
      <c r="G5094" s="24"/>
      <c r="H5094" s="24"/>
      <c r="J5094" s="24"/>
      <c r="K5094" s="24"/>
      <c r="M5094" s="24"/>
      <c r="N5094" s="24"/>
      <c r="P5094" s="24"/>
    </row>
    <row r="5095" spans="2:16" x14ac:dyDescent="0.25">
      <c r="B5095" s="24"/>
      <c r="E5095" s="24"/>
      <c r="G5095" s="24"/>
      <c r="H5095" s="24"/>
      <c r="J5095" s="24"/>
      <c r="K5095" s="24"/>
      <c r="M5095" s="24"/>
      <c r="N5095" s="24"/>
      <c r="P5095" s="24"/>
    </row>
    <row r="5096" spans="2:16" x14ac:dyDescent="0.25">
      <c r="B5096" s="24"/>
      <c r="E5096" s="24"/>
      <c r="G5096" s="24"/>
      <c r="H5096" s="24"/>
      <c r="J5096" s="24"/>
      <c r="K5096" s="24"/>
      <c r="M5096" s="24"/>
      <c r="N5096" s="24"/>
      <c r="P5096" s="24"/>
    </row>
    <row r="5097" spans="2:16" x14ac:dyDescent="0.25">
      <c r="B5097" s="24"/>
      <c r="E5097" s="24"/>
      <c r="G5097" s="24"/>
      <c r="H5097" s="24"/>
      <c r="J5097" s="24"/>
      <c r="K5097" s="24"/>
      <c r="M5097" s="24"/>
      <c r="N5097" s="24"/>
      <c r="P5097" s="24"/>
    </row>
    <row r="5098" spans="2:16" x14ac:dyDescent="0.25">
      <c r="B5098" s="24"/>
      <c r="E5098" s="24"/>
      <c r="G5098" s="24"/>
      <c r="H5098" s="24"/>
      <c r="J5098" s="24"/>
      <c r="K5098" s="24"/>
      <c r="M5098" s="24"/>
      <c r="N5098" s="24"/>
      <c r="P5098" s="24"/>
    </row>
    <row r="5099" spans="2:16" x14ac:dyDescent="0.25">
      <c r="B5099" s="24"/>
      <c r="E5099" s="24"/>
      <c r="G5099" s="24"/>
      <c r="H5099" s="24"/>
      <c r="J5099" s="24"/>
      <c r="K5099" s="24"/>
      <c r="M5099" s="24"/>
      <c r="N5099" s="24"/>
      <c r="P5099" s="24"/>
    </row>
    <row r="5100" spans="2:16" x14ac:dyDescent="0.25">
      <c r="B5100" s="24"/>
      <c r="E5100" s="24"/>
      <c r="G5100" s="24"/>
      <c r="H5100" s="24"/>
      <c r="J5100" s="24"/>
      <c r="K5100" s="24"/>
      <c r="M5100" s="24"/>
      <c r="N5100" s="24"/>
      <c r="P5100" s="24"/>
    </row>
    <row r="5101" spans="2:16" x14ac:dyDescent="0.25">
      <c r="B5101" s="24"/>
      <c r="E5101" s="24"/>
      <c r="G5101" s="24"/>
      <c r="H5101" s="24"/>
      <c r="J5101" s="24"/>
      <c r="K5101" s="24"/>
      <c r="M5101" s="24"/>
      <c r="N5101" s="24"/>
      <c r="P5101" s="24"/>
    </row>
    <row r="5102" spans="2:16" x14ac:dyDescent="0.25">
      <c r="B5102" s="24"/>
      <c r="E5102" s="24"/>
      <c r="G5102" s="24"/>
      <c r="H5102" s="24"/>
      <c r="J5102" s="24"/>
      <c r="K5102" s="24"/>
      <c r="M5102" s="24"/>
      <c r="N5102" s="24"/>
      <c r="P5102" s="24"/>
    </row>
    <row r="5103" spans="2:16" x14ac:dyDescent="0.25">
      <c r="B5103" s="24"/>
      <c r="E5103" s="24"/>
      <c r="G5103" s="24"/>
      <c r="H5103" s="24"/>
      <c r="J5103" s="24"/>
      <c r="K5103" s="24"/>
      <c r="M5103" s="24"/>
      <c r="N5103" s="24"/>
      <c r="P5103" s="24"/>
    </row>
    <row r="5104" spans="2:16" x14ac:dyDescent="0.25">
      <c r="B5104" s="24"/>
      <c r="E5104" s="24"/>
      <c r="G5104" s="24"/>
      <c r="H5104" s="24"/>
      <c r="J5104" s="24"/>
      <c r="K5104" s="24"/>
      <c r="M5104" s="24"/>
      <c r="N5104" s="24"/>
      <c r="P5104" s="24"/>
    </row>
    <row r="5105" spans="2:16" x14ac:dyDescent="0.25">
      <c r="B5105" s="24"/>
      <c r="E5105" s="24"/>
      <c r="G5105" s="24"/>
      <c r="H5105" s="24"/>
      <c r="J5105" s="24"/>
      <c r="K5105" s="24"/>
      <c r="M5105" s="24"/>
      <c r="N5105" s="24"/>
      <c r="P5105" s="24"/>
    </row>
    <row r="5106" spans="2:16" x14ac:dyDescent="0.25">
      <c r="B5106" s="24"/>
      <c r="E5106" s="24"/>
      <c r="G5106" s="24"/>
      <c r="H5106" s="24"/>
      <c r="J5106" s="24"/>
      <c r="K5106" s="24"/>
      <c r="M5106" s="24"/>
      <c r="N5106" s="24"/>
      <c r="P5106" s="24"/>
    </row>
    <row r="5107" spans="2:16" x14ac:dyDescent="0.25">
      <c r="B5107" s="24"/>
      <c r="E5107" s="24"/>
      <c r="G5107" s="24"/>
      <c r="H5107" s="24"/>
      <c r="J5107" s="24"/>
      <c r="K5107" s="24"/>
      <c r="M5107" s="24"/>
      <c r="N5107" s="24"/>
      <c r="P5107" s="24"/>
    </row>
    <row r="5108" spans="2:16" x14ac:dyDescent="0.25">
      <c r="B5108" s="24"/>
      <c r="E5108" s="24"/>
      <c r="G5108" s="24"/>
      <c r="H5108" s="24"/>
      <c r="J5108" s="24"/>
      <c r="K5108" s="24"/>
      <c r="M5108" s="24"/>
      <c r="N5108" s="24"/>
      <c r="P5108" s="24"/>
    </row>
    <row r="5109" spans="2:16" x14ac:dyDescent="0.25">
      <c r="B5109" s="24"/>
      <c r="E5109" s="24"/>
      <c r="G5109" s="24"/>
      <c r="H5109" s="24"/>
      <c r="J5109" s="24"/>
      <c r="K5109" s="24"/>
      <c r="M5109" s="24"/>
      <c r="N5109" s="24"/>
      <c r="P5109" s="24"/>
    </row>
    <row r="5110" spans="2:16" x14ac:dyDescent="0.25">
      <c r="B5110" s="24"/>
      <c r="E5110" s="24"/>
      <c r="G5110" s="24"/>
      <c r="H5110" s="24"/>
      <c r="J5110" s="24"/>
      <c r="K5110" s="24"/>
      <c r="M5110" s="24"/>
      <c r="N5110" s="24"/>
      <c r="P5110" s="24"/>
    </row>
    <row r="5111" spans="2:16" x14ac:dyDescent="0.25">
      <c r="B5111" s="24"/>
      <c r="E5111" s="24"/>
      <c r="G5111" s="24"/>
      <c r="H5111" s="24"/>
      <c r="J5111" s="24"/>
      <c r="K5111" s="24"/>
      <c r="M5111" s="24"/>
      <c r="N5111" s="24"/>
      <c r="P5111" s="24"/>
    </row>
    <row r="5112" spans="2:16" x14ac:dyDescent="0.25">
      <c r="B5112" s="24"/>
      <c r="E5112" s="24"/>
      <c r="G5112" s="24"/>
      <c r="H5112" s="24"/>
      <c r="J5112" s="24"/>
      <c r="K5112" s="24"/>
      <c r="M5112" s="24"/>
      <c r="N5112" s="24"/>
      <c r="P5112" s="24"/>
    </row>
    <row r="5113" spans="2:16" x14ac:dyDescent="0.25">
      <c r="B5113" s="24"/>
      <c r="E5113" s="24"/>
      <c r="G5113" s="24"/>
      <c r="H5113" s="24"/>
      <c r="J5113" s="24"/>
      <c r="K5113" s="24"/>
      <c r="M5113" s="24"/>
      <c r="N5113" s="24"/>
      <c r="P5113" s="24"/>
    </row>
    <row r="5114" spans="2:16" x14ac:dyDescent="0.25">
      <c r="B5114" s="24"/>
      <c r="E5114" s="24"/>
      <c r="G5114" s="24"/>
      <c r="H5114" s="24"/>
      <c r="J5114" s="24"/>
      <c r="K5114" s="24"/>
      <c r="M5114" s="24"/>
      <c r="N5114" s="24"/>
      <c r="P5114" s="24"/>
    </row>
    <row r="5115" spans="2:16" x14ac:dyDescent="0.25">
      <c r="B5115" s="24"/>
      <c r="E5115" s="24"/>
      <c r="G5115" s="24"/>
      <c r="H5115" s="24"/>
      <c r="J5115" s="24"/>
      <c r="K5115" s="24"/>
      <c r="M5115" s="24"/>
      <c r="N5115" s="24"/>
      <c r="P5115" s="24"/>
    </row>
    <row r="5116" spans="2:16" x14ac:dyDescent="0.25">
      <c r="B5116" s="24"/>
      <c r="E5116" s="24"/>
      <c r="G5116" s="24"/>
      <c r="H5116" s="24"/>
      <c r="J5116" s="24"/>
      <c r="K5116" s="24"/>
      <c r="M5116" s="24"/>
      <c r="N5116" s="24"/>
      <c r="P5116" s="24"/>
    </row>
    <row r="5117" spans="2:16" x14ac:dyDescent="0.25">
      <c r="B5117" s="24"/>
      <c r="E5117" s="24"/>
      <c r="G5117" s="24"/>
      <c r="H5117" s="24"/>
      <c r="J5117" s="24"/>
      <c r="K5117" s="24"/>
      <c r="M5117" s="24"/>
      <c r="N5117" s="24"/>
      <c r="P5117" s="24"/>
    </row>
    <row r="5118" spans="2:16" x14ac:dyDescent="0.25">
      <c r="B5118" s="24"/>
      <c r="E5118" s="24"/>
      <c r="G5118" s="24"/>
      <c r="H5118" s="24"/>
      <c r="J5118" s="24"/>
      <c r="K5118" s="24"/>
      <c r="M5118" s="24"/>
      <c r="N5118" s="24"/>
      <c r="P5118" s="24"/>
    </row>
    <row r="5119" spans="2:16" x14ac:dyDescent="0.25">
      <c r="B5119" s="24"/>
      <c r="E5119" s="24"/>
      <c r="G5119" s="24"/>
      <c r="H5119" s="24"/>
      <c r="J5119" s="24"/>
      <c r="K5119" s="24"/>
      <c r="M5119" s="24"/>
      <c r="N5119" s="24"/>
      <c r="P5119" s="24"/>
    </row>
    <row r="5120" spans="2:16" x14ac:dyDescent="0.25">
      <c r="B5120" s="24"/>
      <c r="E5120" s="24"/>
      <c r="G5120" s="24"/>
      <c r="H5120" s="24"/>
      <c r="J5120" s="24"/>
      <c r="K5120" s="24"/>
      <c r="M5120" s="24"/>
      <c r="N5120" s="24"/>
      <c r="P5120" s="24"/>
    </row>
    <row r="5121" spans="2:16" x14ac:dyDescent="0.25">
      <c r="B5121" s="24"/>
      <c r="E5121" s="24"/>
      <c r="G5121" s="24"/>
      <c r="H5121" s="24"/>
      <c r="J5121" s="24"/>
      <c r="K5121" s="24"/>
      <c r="M5121" s="24"/>
      <c r="N5121" s="24"/>
      <c r="P5121" s="24"/>
    </row>
    <row r="5122" spans="2:16" x14ac:dyDescent="0.25">
      <c r="B5122" s="24"/>
      <c r="E5122" s="24"/>
      <c r="G5122" s="24"/>
      <c r="H5122" s="24"/>
      <c r="J5122" s="24"/>
      <c r="K5122" s="24"/>
      <c r="M5122" s="24"/>
      <c r="N5122" s="24"/>
      <c r="P5122" s="24"/>
    </row>
    <row r="5123" spans="2:16" x14ac:dyDescent="0.25">
      <c r="B5123" s="24"/>
      <c r="E5123" s="24"/>
      <c r="G5123" s="24"/>
      <c r="H5123" s="24"/>
      <c r="J5123" s="24"/>
      <c r="K5123" s="24"/>
      <c r="M5123" s="24"/>
      <c r="N5123" s="24"/>
      <c r="P5123" s="24"/>
    </row>
    <row r="5124" spans="2:16" x14ac:dyDescent="0.25">
      <c r="B5124" s="24"/>
      <c r="E5124" s="24"/>
      <c r="G5124" s="24"/>
      <c r="H5124" s="24"/>
      <c r="J5124" s="24"/>
      <c r="K5124" s="24"/>
      <c r="M5124" s="24"/>
      <c r="N5124" s="24"/>
      <c r="P5124" s="24"/>
    </row>
    <row r="5125" spans="2:16" x14ac:dyDescent="0.25">
      <c r="B5125" s="24"/>
      <c r="E5125" s="24"/>
      <c r="G5125" s="24"/>
      <c r="H5125" s="24"/>
      <c r="J5125" s="24"/>
      <c r="K5125" s="24"/>
      <c r="M5125" s="24"/>
      <c r="N5125" s="24"/>
      <c r="P5125" s="24"/>
    </row>
    <row r="5126" spans="2:16" x14ac:dyDescent="0.25">
      <c r="B5126" s="24"/>
      <c r="E5126" s="24"/>
      <c r="G5126" s="24"/>
      <c r="H5126" s="24"/>
      <c r="J5126" s="24"/>
      <c r="K5126" s="24"/>
      <c r="M5126" s="24"/>
      <c r="N5126" s="24"/>
      <c r="P5126" s="24"/>
    </row>
    <row r="5127" spans="2:16" x14ac:dyDescent="0.25">
      <c r="B5127" s="24"/>
      <c r="E5127" s="24"/>
      <c r="G5127" s="24"/>
      <c r="H5127" s="24"/>
      <c r="J5127" s="24"/>
      <c r="K5127" s="24"/>
      <c r="M5127" s="24"/>
      <c r="N5127" s="24"/>
      <c r="P5127" s="24"/>
    </row>
    <row r="5128" spans="2:16" x14ac:dyDescent="0.25">
      <c r="B5128" s="24"/>
      <c r="E5128" s="24"/>
      <c r="G5128" s="24"/>
      <c r="H5128" s="24"/>
      <c r="J5128" s="24"/>
      <c r="K5128" s="24"/>
      <c r="M5128" s="24"/>
      <c r="N5128" s="24"/>
      <c r="P5128" s="24"/>
    </row>
    <row r="5129" spans="2:16" x14ac:dyDescent="0.25">
      <c r="B5129" s="24"/>
      <c r="E5129" s="24"/>
      <c r="G5129" s="24"/>
      <c r="H5129" s="24"/>
      <c r="J5129" s="24"/>
      <c r="K5129" s="24"/>
      <c r="M5129" s="24"/>
      <c r="N5129" s="24"/>
      <c r="P5129" s="24"/>
    </row>
    <row r="5130" spans="2:16" x14ac:dyDescent="0.25">
      <c r="B5130" s="24"/>
      <c r="E5130" s="24"/>
      <c r="G5130" s="24"/>
      <c r="H5130" s="24"/>
      <c r="J5130" s="24"/>
      <c r="K5130" s="24"/>
      <c r="M5130" s="24"/>
      <c r="N5130" s="24"/>
      <c r="P5130" s="24"/>
    </row>
    <row r="5131" spans="2:16" x14ac:dyDescent="0.25">
      <c r="B5131" s="24"/>
      <c r="E5131" s="24"/>
      <c r="G5131" s="24"/>
      <c r="H5131" s="24"/>
      <c r="J5131" s="24"/>
      <c r="K5131" s="24"/>
      <c r="M5131" s="24"/>
      <c r="N5131" s="24"/>
      <c r="P5131" s="24"/>
    </row>
    <row r="5132" spans="2:16" x14ac:dyDescent="0.25">
      <c r="B5132" s="24"/>
      <c r="E5132" s="24"/>
      <c r="G5132" s="24"/>
      <c r="H5132" s="24"/>
      <c r="J5132" s="24"/>
      <c r="K5132" s="24"/>
      <c r="M5132" s="24"/>
      <c r="N5132" s="24"/>
      <c r="P5132" s="24"/>
    </row>
    <row r="5133" spans="2:16" x14ac:dyDescent="0.25">
      <c r="B5133" s="24"/>
      <c r="E5133" s="24"/>
      <c r="G5133" s="24"/>
      <c r="H5133" s="24"/>
      <c r="J5133" s="24"/>
      <c r="K5133" s="24"/>
      <c r="M5133" s="24"/>
      <c r="N5133" s="24"/>
      <c r="P5133" s="24"/>
    </row>
    <row r="5134" spans="2:16" x14ac:dyDescent="0.25">
      <c r="B5134" s="24"/>
      <c r="E5134" s="24"/>
      <c r="G5134" s="24"/>
      <c r="H5134" s="24"/>
      <c r="J5134" s="24"/>
      <c r="K5134" s="24"/>
      <c r="M5134" s="24"/>
      <c r="N5134" s="24"/>
      <c r="P5134" s="24"/>
    </row>
    <row r="5135" spans="2:16" x14ac:dyDescent="0.25">
      <c r="B5135" s="24"/>
      <c r="E5135" s="24"/>
      <c r="G5135" s="24"/>
      <c r="H5135" s="24"/>
      <c r="J5135" s="24"/>
      <c r="K5135" s="24"/>
      <c r="M5135" s="24"/>
      <c r="N5135" s="24"/>
      <c r="P5135" s="24"/>
    </row>
    <row r="5136" spans="2:16" x14ac:dyDescent="0.25">
      <c r="B5136" s="24"/>
      <c r="E5136" s="24"/>
      <c r="G5136" s="24"/>
      <c r="H5136" s="24"/>
      <c r="J5136" s="24"/>
      <c r="K5136" s="24"/>
      <c r="M5136" s="24"/>
      <c r="N5136" s="24"/>
      <c r="P5136" s="24"/>
    </row>
    <row r="5137" spans="2:16" x14ac:dyDescent="0.25">
      <c r="B5137" s="24"/>
      <c r="E5137" s="24"/>
      <c r="G5137" s="24"/>
      <c r="H5137" s="24"/>
      <c r="J5137" s="24"/>
      <c r="K5137" s="24"/>
      <c r="M5137" s="24"/>
      <c r="N5137" s="24"/>
      <c r="P5137" s="24"/>
    </row>
    <row r="5138" spans="2:16" x14ac:dyDescent="0.25">
      <c r="B5138" s="24"/>
      <c r="E5138" s="24"/>
      <c r="G5138" s="24"/>
      <c r="H5138" s="24"/>
      <c r="J5138" s="24"/>
      <c r="K5138" s="24"/>
      <c r="M5138" s="24"/>
      <c r="N5138" s="24"/>
      <c r="P5138" s="24"/>
    </row>
    <row r="5139" spans="2:16" x14ac:dyDescent="0.25">
      <c r="B5139" s="24"/>
      <c r="E5139" s="24"/>
      <c r="G5139" s="24"/>
      <c r="H5139" s="24"/>
      <c r="J5139" s="24"/>
      <c r="K5139" s="24"/>
      <c r="M5139" s="24"/>
      <c r="N5139" s="24"/>
      <c r="P5139" s="24"/>
    </row>
    <row r="5140" spans="2:16" x14ac:dyDescent="0.25">
      <c r="B5140" s="24"/>
      <c r="E5140" s="24"/>
      <c r="G5140" s="24"/>
      <c r="H5140" s="24"/>
      <c r="J5140" s="24"/>
      <c r="K5140" s="24"/>
      <c r="M5140" s="24"/>
      <c r="N5140" s="24"/>
      <c r="P5140" s="24"/>
    </row>
    <row r="5141" spans="2:16" x14ac:dyDescent="0.25">
      <c r="B5141" s="24"/>
      <c r="E5141" s="24"/>
      <c r="G5141" s="24"/>
      <c r="H5141" s="24"/>
      <c r="J5141" s="24"/>
      <c r="K5141" s="24"/>
      <c r="M5141" s="24"/>
      <c r="N5141" s="24"/>
      <c r="P5141" s="24"/>
    </row>
    <row r="5142" spans="2:16" x14ac:dyDescent="0.25">
      <c r="B5142" s="24"/>
      <c r="E5142" s="24"/>
      <c r="G5142" s="24"/>
      <c r="H5142" s="24"/>
      <c r="J5142" s="24"/>
      <c r="K5142" s="24"/>
      <c r="M5142" s="24"/>
      <c r="N5142" s="24"/>
      <c r="P5142" s="24"/>
    </row>
    <row r="5143" spans="2:16" x14ac:dyDescent="0.25">
      <c r="B5143" s="24"/>
      <c r="E5143" s="24"/>
      <c r="G5143" s="24"/>
      <c r="H5143" s="24"/>
      <c r="J5143" s="24"/>
      <c r="K5143" s="24"/>
      <c r="M5143" s="24"/>
      <c r="N5143" s="24"/>
      <c r="P5143" s="24"/>
    </row>
    <row r="5144" spans="2:16" x14ac:dyDescent="0.25">
      <c r="B5144" s="24"/>
      <c r="E5144" s="24"/>
      <c r="G5144" s="24"/>
      <c r="H5144" s="24"/>
      <c r="J5144" s="24"/>
      <c r="K5144" s="24"/>
      <c r="M5144" s="24"/>
      <c r="N5144" s="24"/>
      <c r="P5144" s="24"/>
    </row>
    <row r="5145" spans="2:16" x14ac:dyDescent="0.25">
      <c r="B5145" s="24"/>
      <c r="E5145" s="24"/>
      <c r="G5145" s="24"/>
      <c r="H5145" s="24"/>
      <c r="J5145" s="24"/>
      <c r="K5145" s="24"/>
      <c r="M5145" s="24"/>
      <c r="N5145" s="24"/>
      <c r="P5145" s="24"/>
    </row>
    <row r="5146" spans="2:16" x14ac:dyDescent="0.25">
      <c r="B5146" s="24"/>
      <c r="E5146" s="24"/>
      <c r="G5146" s="24"/>
      <c r="H5146" s="24"/>
      <c r="J5146" s="24"/>
      <c r="K5146" s="24"/>
      <c r="M5146" s="24"/>
      <c r="N5146" s="24"/>
      <c r="P5146" s="24"/>
    </row>
    <row r="5147" spans="2:16" x14ac:dyDescent="0.25">
      <c r="B5147" s="24"/>
      <c r="E5147" s="24"/>
      <c r="G5147" s="24"/>
      <c r="H5147" s="24"/>
      <c r="J5147" s="24"/>
      <c r="K5147" s="24"/>
      <c r="M5147" s="24"/>
      <c r="N5147" s="24"/>
      <c r="P5147" s="24"/>
    </row>
    <row r="5148" spans="2:16" x14ac:dyDescent="0.25">
      <c r="B5148" s="24"/>
      <c r="E5148" s="24"/>
      <c r="G5148" s="24"/>
      <c r="H5148" s="24"/>
      <c r="J5148" s="24"/>
      <c r="K5148" s="24"/>
      <c r="M5148" s="24"/>
      <c r="N5148" s="24"/>
      <c r="P5148" s="24"/>
    </row>
    <row r="5149" spans="2:16" x14ac:dyDescent="0.25">
      <c r="B5149" s="24"/>
      <c r="E5149" s="24"/>
      <c r="G5149" s="24"/>
      <c r="H5149" s="24"/>
      <c r="J5149" s="24"/>
      <c r="K5149" s="24"/>
      <c r="M5149" s="24"/>
      <c r="N5149" s="24"/>
      <c r="P5149" s="24"/>
    </row>
    <row r="5150" spans="2:16" x14ac:dyDescent="0.25">
      <c r="B5150" s="24"/>
      <c r="E5150" s="24"/>
      <c r="G5150" s="24"/>
      <c r="H5150" s="24"/>
      <c r="J5150" s="24"/>
      <c r="K5150" s="24"/>
      <c r="M5150" s="24"/>
      <c r="N5150" s="24"/>
      <c r="P5150" s="24"/>
    </row>
    <row r="5151" spans="2:16" x14ac:dyDescent="0.25">
      <c r="B5151" s="24"/>
      <c r="E5151" s="24"/>
      <c r="G5151" s="24"/>
      <c r="H5151" s="24"/>
      <c r="J5151" s="24"/>
      <c r="K5151" s="24"/>
      <c r="M5151" s="24"/>
      <c r="N5151" s="24"/>
      <c r="P5151" s="24"/>
    </row>
    <row r="5152" spans="2:16" x14ac:dyDescent="0.25">
      <c r="B5152" s="24"/>
      <c r="E5152" s="24"/>
      <c r="G5152" s="24"/>
      <c r="H5152" s="24"/>
      <c r="J5152" s="24"/>
      <c r="K5152" s="24"/>
      <c r="M5152" s="24"/>
      <c r="N5152" s="24"/>
      <c r="P5152" s="24"/>
    </row>
    <row r="5153" spans="2:16" x14ac:dyDescent="0.25">
      <c r="B5153" s="24"/>
      <c r="E5153" s="24"/>
      <c r="G5153" s="24"/>
      <c r="H5153" s="24"/>
      <c r="J5153" s="24"/>
      <c r="K5153" s="24"/>
      <c r="M5153" s="24"/>
      <c r="N5153" s="24"/>
      <c r="P5153" s="24"/>
    </row>
    <row r="5154" spans="2:16" x14ac:dyDescent="0.25">
      <c r="B5154" s="24"/>
      <c r="E5154" s="24"/>
      <c r="G5154" s="24"/>
      <c r="H5154" s="24"/>
      <c r="J5154" s="24"/>
      <c r="K5154" s="24"/>
      <c r="M5154" s="24"/>
      <c r="N5154" s="24"/>
      <c r="P5154" s="24"/>
    </row>
    <row r="5155" spans="2:16" x14ac:dyDescent="0.25">
      <c r="B5155" s="24"/>
      <c r="E5155" s="24"/>
      <c r="G5155" s="24"/>
      <c r="H5155" s="24"/>
      <c r="J5155" s="24"/>
      <c r="K5155" s="24"/>
      <c r="M5155" s="24"/>
      <c r="N5155" s="24"/>
      <c r="P5155" s="24"/>
    </row>
    <row r="5156" spans="2:16" x14ac:dyDescent="0.25">
      <c r="B5156" s="24"/>
      <c r="E5156" s="24"/>
      <c r="G5156" s="24"/>
      <c r="H5156" s="24"/>
      <c r="J5156" s="24"/>
      <c r="K5156" s="24"/>
      <c r="M5156" s="24"/>
      <c r="N5156" s="24"/>
      <c r="P5156" s="24"/>
    </row>
    <row r="5157" spans="2:16" x14ac:dyDescent="0.25">
      <c r="B5157" s="24"/>
      <c r="E5157" s="24"/>
      <c r="G5157" s="24"/>
      <c r="H5157" s="24"/>
      <c r="J5157" s="24"/>
      <c r="K5157" s="24"/>
      <c r="M5157" s="24"/>
      <c r="N5157" s="24"/>
      <c r="P5157" s="24"/>
    </row>
    <row r="5158" spans="2:16" x14ac:dyDescent="0.25">
      <c r="B5158" s="24"/>
      <c r="E5158" s="24"/>
      <c r="G5158" s="24"/>
      <c r="H5158" s="24"/>
      <c r="J5158" s="24"/>
      <c r="K5158" s="24"/>
      <c r="M5158" s="24"/>
      <c r="N5158" s="24"/>
      <c r="P5158" s="24"/>
    </row>
    <row r="5159" spans="2:16" x14ac:dyDescent="0.25">
      <c r="B5159" s="24"/>
      <c r="E5159" s="24"/>
      <c r="G5159" s="24"/>
      <c r="H5159" s="24"/>
      <c r="J5159" s="24"/>
      <c r="K5159" s="24"/>
      <c r="M5159" s="24"/>
      <c r="N5159" s="24"/>
      <c r="P5159" s="24"/>
    </row>
    <row r="5160" spans="2:16" x14ac:dyDescent="0.25">
      <c r="B5160" s="24"/>
      <c r="E5160" s="24"/>
      <c r="G5160" s="24"/>
      <c r="H5160" s="24"/>
      <c r="J5160" s="24"/>
      <c r="K5160" s="24"/>
      <c r="M5160" s="24"/>
      <c r="N5160" s="24"/>
      <c r="P5160" s="24"/>
    </row>
    <row r="5161" spans="2:16" x14ac:dyDescent="0.25">
      <c r="B5161" s="24"/>
      <c r="E5161" s="24"/>
      <c r="G5161" s="24"/>
      <c r="H5161" s="24"/>
      <c r="J5161" s="24"/>
      <c r="K5161" s="24"/>
      <c r="M5161" s="24"/>
      <c r="N5161" s="24"/>
      <c r="P5161" s="24"/>
    </row>
    <row r="5162" spans="2:16" x14ac:dyDescent="0.25">
      <c r="B5162" s="24"/>
      <c r="E5162" s="24"/>
      <c r="G5162" s="24"/>
      <c r="H5162" s="24"/>
      <c r="J5162" s="24"/>
      <c r="K5162" s="24"/>
      <c r="M5162" s="24"/>
      <c r="N5162" s="24"/>
      <c r="P5162" s="24"/>
    </row>
    <row r="5163" spans="2:16" x14ac:dyDescent="0.25">
      <c r="B5163" s="24"/>
      <c r="E5163" s="24"/>
      <c r="G5163" s="24"/>
      <c r="H5163" s="24"/>
      <c r="J5163" s="24"/>
      <c r="K5163" s="24"/>
      <c r="M5163" s="24"/>
      <c r="N5163" s="24"/>
      <c r="P5163" s="24"/>
    </row>
    <row r="5164" spans="2:16" x14ac:dyDescent="0.25">
      <c r="B5164" s="24"/>
      <c r="E5164" s="24"/>
      <c r="G5164" s="24"/>
      <c r="H5164" s="24"/>
      <c r="J5164" s="24"/>
      <c r="K5164" s="24"/>
      <c r="M5164" s="24"/>
      <c r="N5164" s="24"/>
      <c r="P5164" s="24"/>
    </row>
    <row r="5165" spans="2:16" x14ac:dyDescent="0.25">
      <c r="B5165" s="24"/>
      <c r="E5165" s="24"/>
      <c r="G5165" s="24"/>
      <c r="H5165" s="24"/>
      <c r="J5165" s="24"/>
      <c r="K5165" s="24"/>
      <c r="M5165" s="24"/>
      <c r="N5165" s="24"/>
      <c r="P5165" s="24"/>
    </row>
    <row r="5166" spans="2:16" x14ac:dyDescent="0.25">
      <c r="B5166" s="24"/>
      <c r="E5166" s="24"/>
      <c r="G5166" s="24"/>
      <c r="H5166" s="24"/>
      <c r="J5166" s="24"/>
      <c r="K5166" s="24"/>
      <c r="M5166" s="24"/>
      <c r="N5166" s="24"/>
      <c r="P5166" s="24"/>
    </row>
    <row r="5167" spans="2:16" x14ac:dyDescent="0.25">
      <c r="B5167" s="24"/>
      <c r="E5167" s="24"/>
      <c r="G5167" s="24"/>
      <c r="H5167" s="24"/>
      <c r="J5167" s="24"/>
      <c r="K5167" s="24"/>
      <c r="M5167" s="24"/>
      <c r="N5167" s="24"/>
      <c r="P5167" s="24"/>
    </row>
    <row r="5168" spans="2:16" x14ac:dyDescent="0.25">
      <c r="B5168" s="24"/>
      <c r="E5168" s="24"/>
      <c r="G5168" s="24"/>
      <c r="H5168" s="24"/>
      <c r="J5168" s="24"/>
      <c r="K5168" s="24"/>
      <c r="M5168" s="24"/>
      <c r="N5168" s="24"/>
      <c r="P5168" s="24"/>
    </row>
    <row r="5169" spans="2:16" x14ac:dyDescent="0.25">
      <c r="B5169" s="24"/>
      <c r="E5169" s="24"/>
      <c r="G5169" s="24"/>
      <c r="H5169" s="24"/>
      <c r="J5169" s="24"/>
      <c r="K5169" s="24"/>
      <c r="M5169" s="24"/>
      <c r="N5169" s="24"/>
      <c r="P5169" s="24"/>
    </row>
    <row r="5170" spans="2:16" x14ac:dyDescent="0.25">
      <c r="B5170" s="24"/>
      <c r="E5170" s="24"/>
      <c r="G5170" s="24"/>
      <c r="H5170" s="24"/>
      <c r="J5170" s="24"/>
      <c r="K5170" s="24"/>
      <c r="M5170" s="24"/>
      <c r="N5170" s="24"/>
      <c r="P5170" s="24"/>
    </row>
    <row r="5171" spans="2:16" x14ac:dyDescent="0.25">
      <c r="B5171" s="24"/>
      <c r="E5171" s="24"/>
      <c r="G5171" s="24"/>
      <c r="H5171" s="24"/>
      <c r="J5171" s="24"/>
      <c r="K5171" s="24"/>
      <c r="M5171" s="24"/>
      <c r="N5171" s="24"/>
      <c r="P5171" s="24"/>
    </row>
    <row r="5172" spans="2:16" x14ac:dyDescent="0.25">
      <c r="B5172" s="24"/>
      <c r="E5172" s="24"/>
      <c r="G5172" s="24"/>
      <c r="H5172" s="24"/>
      <c r="J5172" s="24"/>
      <c r="K5172" s="24"/>
      <c r="M5172" s="24"/>
      <c r="N5172" s="24"/>
      <c r="P5172" s="24"/>
    </row>
    <row r="5173" spans="2:16" x14ac:dyDescent="0.25">
      <c r="B5173" s="24"/>
      <c r="E5173" s="24"/>
      <c r="G5173" s="24"/>
      <c r="H5173" s="24"/>
      <c r="J5173" s="24"/>
      <c r="K5173" s="24"/>
      <c r="M5173" s="24"/>
      <c r="N5173" s="24"/>
      <c r="P5173" s="24"/>
    </row>
    <row r="5174" spans="2:16" x14ac:dyDescent="0.25">
      <c r="B5174" s="24"/>
      <c r="E5174" s="24"/>
      <c r="G5174" s="24"/>
      <c r="H5174" s="24"/>
      <c r="J5174" s="24"/>
      <c r="K5174" s="24"/>
      <c r="M5174" s="24"/>
      <c r="N5174" s="24"/>
      <c r="P5174" s="24"/>
    </row>
    <row r="5175" spans="2:16" x14ac:dyDescent="0.25">
      <c r="B5175" s="24"/>
      <c r="E5175" s="24"/>
      <c r="G5175" s="24"/>
      <c r="H5175" s="24"/>
      <c r="J5175" s="24"/>
      <c r="K5175" s="24"/>
      <c r="M5175" s="24"/>
      <c r="N5175" s="24"/>
      <c r="P5175" s="24"/>
    </row>
    <row r="5176" spans="2:16" x14ac:dyDescent="0.25">
      <c r="B5176" s="24"/>
      <c r="E5176" s="24"/>
      <c r="G5176" s="24"/>
      <c r="H5176" s="24"/>
      <c r="J5176" s="24"/>
      <c r="K5176" s="24"/>
      <c r="M5176" s="24"/>
      <c r="N5176" s="24"/>
      <c r="P5176" s="24"/>
    </row>
    <row r="5177" spans="2:16" x14ac:dyDescent="0.25">
      <c r="B5177" s="24"/>
      <c r="E5177" s="24"/>
      <c r="G5177" s="24"/>
      <c r="H5177" s="24"/>
      <c r="J5177" s="24"/>
      <c r="K5177" s="24"/>
      <c r="M5177" s="24"/>
      <c r="N5177" s="24"/>
      <c r="P5177" s="24"/>
    </row>
    <row r="5178" spans="2:16" x14ac:dyDescent="0.25">
      <c r="B5178" s="24"/>
      <c r="E5178" s="24"/>
      <c r="G5178" s="24"/>
      <c r="H5178" s="24"/>
      <c r="J5178" s="24"/>
      <c r="K5178" s="24"/>
      <c r="M5178" s="24"/>
      <c r="N5178" s="24"/>
      <c r="P5178" s="24"/>
    </row>
    <row r="5179" spans="2:16" x14ac:dyDescent="0.25">
      <c r="B5179" s="24"/>
      <c r="E5179" s="24"/>
      <c r="G5179" s="24"/>
      <c r="H5179" s="24"/>
      <c r="J5179" s="24"/>
      <c r="K5179" s="24"/>
      <c r="M5179" s="24"/>
      <c r="N5179" s="24"/>
      <c r="P5179" s="24"/>
    </row>
    <row r="5180" spans="2:16" x14ac:dyDescent="0.25">
      <c r="B5180" s="24"/>
      <c r="E5180" s="24"/>
      <c r="G5180" s="24"/>
      <c r="H5180" s="24"/>
      <c r="J5180" s="24"/>
      <c r="K5180" s="24"/>
      <c r="M5180" s="24"/>
      <c r="N5180" s="24"/>
      <c r="P5180" s="24"/>
    </row>
    <row r="5181" spans="2:16" x14ac:dyDescent="0.25">
      <c r="B5181" s="24"/>
      <c r="E5181" s="24"/>
      <c r="G5181" s="24"/>
      <c r="H5181" s="24"/>
      <c r="J5181" s="24"/>
      <c r="K5181" s="24"/>
      <c r="M5181" s="24"/>
      <c r="N5181" s="24"/>
      <c r="P5181" s="24"/>
    </row>
    <row r="5182" spans="2:16" x14ac:dyDescent="0.25">
      <c r="B5182" s="24"/>
      <c r="E5182" s="24"/>
      <c r="G5182" s="24"/>
      <c r="H5182" s="24"/>
      <c r="J5182" s="24"/>
      <c r="K5182" s="24"/>
      <c r="M5182" s="24"/>
      <c r="N5182" s="24"/>
      <c r="P5182" s="24"/>
    </row>
    <row r="5183" spans="2:16" x14ac:dyDescent="0.25">
      <c r="B5183" s="24"/>
      <c r="E5183" s="24"/>
      <c r="G5183" s="24"/>
      <c r="H5183" s="24"/>
      <c r="J5183" s="24"/>
      <c r="K5183" s="24"/>
      <c r="M5183" s="24"/>
      <c r="N5183" s="24"/>
      <c r="P5183" s="24"/>
    </row>
    <row r="5184" spans="2:16" x14ac:dyDescent="0.25">
      <c r="B5184" s="24"/>
      <c r="E5184" s="24"/>
      <c r="G5184" s="24"/>
      <c r="H5184" s="24"/>
      <c r="J5184" s="24"/>
      <c r="K5184" s="24"/>
      <c r="M5184" s="24"/>
      <c r="N5184" s="24"/>
      <c r="P5184" s="24"/>
    </row>
    <row r="5185" spans="2:16" x14ac:dyDescent="0.25">
      <c r="B5185" s="24"/>
      <c r="E5185" s="24"/>
      <c r="G5185" s="24"/>
      <c r="H5185" s="24"/>
      <c r="J5185" s="24"/>
      <c r="K5185" s="24"/>
      <c r="M5185" s="24"/>
      <c r="N5185" s="24"/>
      <c r="P5185" s="24"/>
    </row>
    <row r="5186" spans="2:16" x14ac:dyDescent="0.25">
      <c r="B5186" s="24"/>
      <c r="E5186" s="24"/>
      <c r="G5186" s="24"/>
      <c r="H5186" s="24"/>
      <c r="J5186" s="24"/>
      <c r="K5186" s="24"/>
      <c r="M5186" s="24"/>
      <c r="N5186" s="24"/>
      <c r="P5186" s="24"/>
    </row>
    <row r="5187" spans="2:16" x14ac:dyDescent="0.25">
      <c r="B5187" s="24"/>
      <c r="E5187" s="24"/>
      <c r="G5187" s="24"/>
      <c r="H5187" s="24"/>
      <c r="J5187" s="24"/>
      <c r="K5187" s="24"/>
      <c r="M5187" s="24"/>
      <c r="N5187" s="24"/>
      <c r="P5187" s="24"/>
    </row>
    <row r="5188" spans="2:16" x14ac:dyDescent="0.25">
      <c r="B5188" s="24"/>
      <c r="E5188" s="24"/>
      <c r="G5188" s="24"/>
      <c r="H5188" s="24"/>
      <c r="J5188" s="24"/>
      <c r="K5188" s="24"/>
      <c r="M5188" s="24"/>
      <c r="N5188" s="24"/>
      <c r="P5188" s="24"/>
    </row>
    <row r="5189" spans="2:16" x14ac:dyDescent="0.25">
      <c r="B5189" s="24"/>
      <c r="E5189" s="24"/>
      <c r="G5189" s="24"/>
      <c r="H5189" s="24"/>
      <c r="J5189" s="24"/>
      <c r="K5189" s="24"/>
      <c r="M5189" s="24"/>
      <c r="N5189" s="24"/>
      <c r="P5189" s="24"/>
    </row>
    <row r="5190" spans="2:16" x14ac:dyDescent="0.25">
      <c r="B5190" s="24"/>
      <c r="E5190" s="24"/>
      <c r="G5190" s="24"/>
      <c r="H5190" s="24"/>
      <c r="J5190" s="24"/>
      <c r="K5190" s="24"/>
      <c r="M5190" s="24"/>
      <c r="N5190" s="24"/>
      <c r="P5190" s="24"/>
    </row>
    <row r="5191" spans="2:16" x14ac:dyDescent="0.25">
      <c r="B5191" s="24"/>
      <c r="E5191" s="24"/>
      <c r="G5191" s="24"/>
      <c r="H5191" s="24"/>
      <c r="J5191" s="24"/>
      <c r="K5191" s="24"/>
      <c r="M5191" s="24"/>
      <c r="N5191" s="24"/>
      <c r="P5191" s="24"/>
    </row>
    <row r="5192" spans="2:16" x14ac:dyDescent="0.25">
      <c r="B5192" s="24"/>
      <c r="E5192" s="24"/>
      <c r="G5192" s="24"/>
      <c r="H5192" s="24"/>
      <c r="J5192" s="24"/>
      <c r="K5192" s="24"/>
      <c r="M5192" s="24"/>
      <c r="N5192" s="24"/>
      <c r="P5192" s="24"/>
    </row>
    <row r="5193" spans="2:16" x14ac:dyDescent="0.25">
      <c r="B5193" s="24"/>
      <c r="E5193" s="24"/>
      <c r="G5193" s="24"/>
      <c r="H5193" s="24"/>
      <c r="J5193" s="24"/>
      <c r="K5193" s="24"/>
      <c r="M5193" s="24"/>
      <c r="N5193" s="24"/>
      <c r="P5193" s="24"/>
    </row>
    <row r="5194" spans="2:16" x14ac:dyDescent="0.25">
      <c r="B5194" s="24"/>
      <c r="E5194" s="24"/>
      <c r="G5194" s="24"/>
      <c r="H5194" s="24"/>
      <c r="J5194" s="24"/>
      <c r="K5194" s="24"/>
      <c r="M5194" s="24"/>
      <c r="N5194" s="24"/>
      <c r="P5194" s="24"/>
    </row>
    <row r="5195" spans="2:16" x14ac:dyDescent="0.25">
      <c r="B5195" s="24"/>
      <c r="E5195" s="24"/>
      <c r="G5195" s="24"/>
      <c r="H5195" s="24"/>
      <c r="J5195" s="24"/>
      <c r="K5195" s="24"/>
      <c r="M5195" s="24"/>
      <c r="N5195" s="24"/>
      <c r="P5195" s="24"/>
    </row>
    <row r="5196" spans="2:16" x14ac:dyDescent="0.25">
      <c r="B5196" s="24"/>
      <c r="E5196" s="24"/>
      <c r="G5196" s="24"/>
      <c r="H5196" s="24"/>
      <c r="J5196" s="24"/>
      <c r="K5196" s="24"/>
      <c r="M5196" s="24"/>
      <c r="N5196" s="24"/>
      <c r="P5196" s="24"/>
    </row>
    <row r="5197" spans="2:16" x14ac:dyDescent="0.25">
      <c r="B5197" s="24"/>
      <c r="E5197" s="24"/>
      <c r="G5197" s="24"/>
      <c r="H5197" s="24"/>
      <c r="J5197" s="24"/>
      <c r="K5197" s="24"/>
      <c r="M5197" s="24"/>
      <c r="N5197" s="24"/>
      <c r="P5197" s="24"/>
    </row>
    <row r="5198" spans="2:16" x14ac:dyDescent="0.25">
      <c r="B5198" s="24"/>
      <c r="E5198" s="24"/>
      <c r="G5198" s="24"/>
      <c r="H5198" s="24"/>
      <c r="J5198" s="24"/>
      <c r="K5198" s="24"/>
      <c r="M5198" s="24"/>
      <c r="N5198" s="24"/>
      <c r="P5198" s="24"/>
    </row>
    <row r="5199" spans="2:16" x14ac:dyDescent="0.25">
      <c r="B5199" s="24"/>
      <c r="E5199" s="24"/>
      <c r="G5199" s="24"/>
      <c r="H5199" s="24"/>
      <c r="J5199" s="24"/>
      <c r="K5199" s="24"/>
      <c r="M5199" s="24"/>
      <c r="N5199" s="24"/>
      <c r="P5199" s="24"/>
    </row>
    <row r="5200" spans="2:16" x14ac:dyDescent="0.25">
      <c r="B5200" s="24"/>
      <c r="E5200" s="24"/>
      <c r="G5200" s="24"/>
      <c r="H5200" s="24"/>
      <c r="J5200" s="24"/>
      <c r="K5200" s="24"/>
      <c r="M5200" s="24"/>
      <c r="N5200" s="24"/>
      <c r="P5200" s="24"/>
    </row>
    <row r="5201" spans="2:16" x14ac:dyDescent="0.25">
      <c r="B5201" s="24"/>
      <c r="E5201" s="24"/>
      <c r="G5201" s="24"/>
      <c r="H5201" s="24"/>
      <c r="J5201" s="24"/>
      <c r="K5201" s="24"/>
      <c r="M5201" s="24"/>
      <c r="N5201" s="24"/>
      <c r="P5201" s="24"/>
    </row>
    <row r="5202" spans="2:16" x14ac:dyDescent="0.25">
      <c r="B5202" s="24"/>
      <c r="E5202" s="24"/>
      <c r="G5202" s="24"/>
      <c r="H5202" s="24"/>
      <c r="J5202" s="24"/>
      <c r="K5202" s="24"/>
      <c r="M5202" s="24"/>
      <c r="N5202" s="24"/>
      <c r="P5202" s="24"/>
    </row>
    <row r="5203" spans="2:16" x14ac:dyDescent="0.25">
      <c r="B5203" s="24"/>
      <c r="E5203" s="24"/>
      <c r="G5203" s="24"/>
      <c r="H5203" s="24"/>
      <c r="J5203" s="24"/>
      <c r="K5203" s="24"/>
      <c r="M5203" s="24"/>
      <c r="N5203" s="24"/>
      <c r="P5203" s="24"/>
    </row>
    <row r="5204" spans="2:16" x14ac:dyDescent="0.25">
      <c r="B5204" s="24"/>
      <c r="E5204" s="24"/>
      <c r="G5204" s="24"/>
      <c r="H5204" s="24"/>
      <c r="J5204" s="24"/>
      <c r="K5204" s="24"/>
      <c r="M5204" s="24"/>
      <c r="N5204" s="24"/>
      <c r="P5204" s="24"/>
    </row>
    <row r="5205" spans="2:16" x14ac:dyDescent="0.25">
      <c r="B5205" s="24"/>
      <c r="E5205" s="24"/>
      <c r="G5205" s="24"/>
      <c r="H5205" s="24"/>
      <c r="J5205" s="24"/>
      <c r="K5205" s="24"/>
      <c r="M5205" s="24"/>
      <c r="N5205" s="24"/>
      <c r="P5205" s="24"/>
    </row>
    <row r="5206" spans="2:16" x14ac:dyDescent="0.25">
      <c r="B5206" s="24"/>
      <c r="E5206" s="24"/>
      <c r="G5206" s="24"/>
      <c r="H5206" s="24"/>
      <c r="J5206" s="24"/>
      <c r="K5206" s="24"/>
      <c r="M5206" s="24"/>
      <c r="N5206" s="24"/>
      <c r="P5206" s="24"/>
    </row>
    <row r="5207" spans="2:16" x14ac:dyDescent="0.25">
      <c r="B5207" s="24"/>
      <c r="E5207" s="24"/>
      <c r="G5207" s="24"/>
      <c r="H5207" s="24"/>
      <c r="J5207" s="24"/>
      <c r="K5207" s="24"/>
      <c r="M5207" s="24"/>
      <c r="N5207" s="24"/>
      <c r="P5207" s="24"/>
    </row>
    <row r="5208" spans="2:16" x14ac:dyDescent="0.25">
      <c r="B5208" s="24"/>
      <c r="E5208" s="24"/>
      <c r="G5208" s="24"/>
      <c r="H5208" s="24"/>
      <c r="J5208" s="24"/>
      <c r="K5208" s="24"/>
      <c r="M5208" s="24"/>
      <c r="N5208" s="24"/>
      <c r="P5208" s="24"/>
    </row>
    <row r="5209" spans="2:16" x14ac:dyDescent="0.25">
      <c r="B5209" s="24"/>
      <c r="E5209" s="24"/>
      <c r="G5209" s="24"/>
      <c r="H5209" s="24"/>
      <c r="J5209" s="24"/>
      <c r="K5209" s="24"/>
      <c r="M5209" s="24"/>
      <c r="N5209" s="24"/>
      <c r="P5209" s="24"/>
    </row>
    <row r="5210" spans="2:16" x14ac:dyDescent="0.25">
      <c r="B5210" s="24"/>
      <c r="E5210" s="24"/>
      <c r="G5210" s="24"/>
      <c r="H5210" s="24"/>
      <c r="J5210" s="24"/>
      <c r="K5210" s="24"/>
      <c r="M5210" s="24"/>
      <c r="N5210" s="24"/>
      <c r="P5210" s="24"/>
    </row>
    <row r="5211" spans="2:16" x14ac:dyDescent="0.25">
      <c r="B5211" s="24"/>
      <c r="E5211" s="24"/>
      <c r="G5211" s="24"/>
      <c r="H5211" s="24"/>
      <c r="J5211" s="24"/>
      <c r="K5211" s="24"/>
      <c r="M5211" s="24"/>
      <c r="N5211" s="24"/>
      <c r="P5211" s="24"/>
    </row>
    <row r="5212" spans="2:16" x14ac:dyDescent="0.25">
      <c r="B5212" s="24"/>
      <c r="E5212" s="24"/>
      <c r="G5212" s="24"/>
      <c r="H5212" s="24"/>
      <c r="J5212" s="24"/>
      <c r="K5212" s="24"/>
      <c r="M5212" s="24"/>
      <c r="N5212" s="24"/>
      <c r="P5212" s="24"/>
    </row>
    <row r="5213" spans="2:16" x14ac:dyDescent="0.25">
      <c r="B5213" s="24"/>
      <c r="E5213" s="24"/>
      <c r="G5213" s="24"/>
      <c r="H5213" s="24"/>
      <c r="J5213" s="24"/>
      <c r="K5213" s="24"/>
      <c r="M5213" s="24"/>
      <c r="N5213" s="24"/>
      <c r="P5213" s="24"/>
    </row>
    <row r="5214" spans="2:16" x14ac:dyDescent="0.25">
      <c r="B5214" s="24"/>
      <c r="E5214" s="24"/>
      <c r="G5214" s="24"/>
      <c r="H5214" s="24"/>
      <c r="J5214" s="24"/>
      <c r="K5214" s="24"/>
      <c r="M5214" s="24"/>
      <c r="N5214" s="24"/>
      <c r="P5214" s="24"/>
    </row>
    <row r="5215" spans="2:16" x14ac:dyDescent="0.25">
      <c r="B5215" s="24"/>
      <c r="E5215" s="24"/>
      <c r="G5215" s="24"/>
      <c r="H5215" s="24"/>
      <c r="J5215" s="24"/>
      <c r="K5215" s="24"/>
      <c r="M5215" s="24"/>
      <c r="N5215" s="24"/>
      <c r="P5215" s="24"/>
    </row>
    <row r="5216" spans="2:16" x14ac:dyDescent="0.25">
      <c r="B5216" s="24"/>
      <c r="E5216" s="24"/>
      <c r="G5216" s="24"/>
      <c r="H5216" s="24"/>
      <c r="J5216" s="24"/>
      <c r="K5216" s="24"/>
      <c r="M5216" s="24"/>
      <c r="N5216" s="24"/>
      <c r="P5216" s="24"/>
    </row>
    <row r="5217" spans="2:16" x14ac:dyDescent="0.25">
      <c r="B5217" s="24"/>
      <c r="E5217" s="24"/>
      <c r="G5217" s="24"/>
      <c r="H5217" s="24"/>
      <c r="J5217" s="24"/>
      <c r="K5217" s="24"/>
      <c r="M5217" s="24"/>
      <c r="N5217" s="24"/>
      <c r="P5217" s="24"/>
    </row>
    <row r="5218" spans="2:16" x14ac:dyDescent="0.25">
      <c r="B5218" s="24"/>
      <c r="E5218" s="24"/>
      <c r="G5218" s="24"/>
      <c r="H5218" s="24"/>
      <c r="J5218" s="24"/>
      <c r="K5218" s="24"/>
      <c r="M5218" s="24"/>
      <c r="N5218" s="24"/>
      <c r="P5218" s="24"/>
    </row>
    <row r="5219" spans="2:16" x14ac:dyDescent="0.25">
      <c r="B5219" s="24"/>
      <c r="E5219" s="24"/>
      <c r="G5219" s="24"/>
      <c r="H5219" s="24"/>
      <c r="J5219" s="24"/>
      <c r="K5219" s="24"/>
      <c r="M5219" s="24"/>
      <c r="N5219" s="24"/>
      <c r="P5219" s="24"/>
    </row>
    <row r="5220" spans="2:16" x14ac:dyDescent="0.25">
      <c r="B5220" s="24"/>
      <c r="E5220" s="24"/>
      <c r="G5220" s="24"/>
      <c r="H5220" s="24"/>
      <c r="J5220" s="24"/>
      <c r="K5220" s="24"/>
      <c r="M5220" s="24"/>
      <c r="N5220" s="24"/>
      <c r="P5220" s="24"/>
    </row>
    <row r="5221" spans="2:16" x14ac:dyDescent="0.25">
      <c r="B5221" s="24"/>
      <c r="E5221" s="24"/>
      <c r="G5221" s="24"/>
      <c r="H5221" s="24"/>
      <c r="J5221" s="24"/>
      <c r="K5221" s="24"/>
      <c r="M5221" s="24"/>
      <c r="N5221" s="24"/>
      <c r="P5221" s="24"/>
    </row>
    <row r="5222" spans="2:16" x14ac:dyDescent="0.25">
      <c r="B5222" s="24"/>
      <c r="E5222" s="24"/>
      <c r="G5222" s="24"/>
      <c r="H5222" s="24"/>
      <c r="J5222" s="24"/>
      <c r="K5222" s="24"/>
      <c r="M5222" s="24"/>
      <c r="N5222" s="24"/>
      <c r="P5222" s="24"/>
    </row>
    <row r="5223" spans="2:16" x14ac:dyDescent="0.25">
      <c r="B5223" s="24"/>
      <c r="E5223" s="24"/>
      <c r="G5223" s="24"/>
      <c r="H5223" s="24"/>
      <c r="J5223" s="24"/>
      <c r="K5223" s="24"/>
      <c r="M5223" s="24"/>
      <c r="N5223" s="24"/>
      <c r="P5223" s="24"/>
    </row>
    <row r="5224" spans="2:16" x14ac:dyDescent="0.25">
      <c r="B5224" s="24"/>
      <c r="E5224" s="24"/>
      <c r="G5224" s="24"/>
      <c r="H5224" s="24"/>
      <c r="J5224" s="24"/>
      <c r="K5224" s="24"/>
      <c r="M5224" s="24"/>
      <c r="N5224" s="24"/>
      <c r="P5224" s="24"/>
    </row>
    <row r="5225" spans="2:16" x14ac:dyDescent="0.25">
      <c r="B5225" s="24"/>
      <c r="E5225" s="24"/>
      <c r="G5225" s="24"/>
      <c r="H5225" s="24"/>
      <c r="J5225" s="24"/>
      <c r="K5225" s="24"/>
      <c r="M5225" s="24"/>
      <c r="N5225" s="24"/>
      <c r="P5225" s="24"/>
    </row>
    <row r="5226" spans="2:16" x14ac:dyDescent="0.25">
      <c r="B5226" s="24"/>
      <c r="E5226" s="24"/>
      <c r="G5226" s="24"/>
      <c r="H5226" s="24"/>
      <c r="J5226" s="24"/>
      <c r="K5226" s="24"/>
      <c r="M5226" s="24"/>
      <c r="N5226" s="24"/>
      <c r="P5226" s="24"/>
    </row>
    <row r="5227" spans="2:16" x14ac:dyDescent="0.25">
      <c r="B5227" s="24"/>
      <c r="E5227" s="24"/>
      <c r="G5227" s="24"/>
      <c r="H5227" s="24"/>
      <c r="J5227" s="24"/>
      <c r="K5227" s="24"/>
      <c r="M5227" s="24"/>
      <c r="N5227" s="24"/>
      <c r="P5227" s="24"/>
    </row>
    <row r="5228" spans="2:16" x14ac:dyDescent="0.25">
      <c r="B5228" s="24"/>
      <c r="E5228" s="24"/>
      <c r="G5228" s="24"/>
      <c r="H5228" s="24"/>
      <c r="J5228" s="24"/>
      <c r="K5228" s="24"/>
      <c r="M5228" s="24"/>
      <c r="N5228" s="24"/>
      <c r="P5228" s="24"/>
    </row>
    <row r="5229" spans="2:16" x14ac:dyDescent="0.25">
      <c r="B5229" s="24"/>
      <c r="E5229" s="24"/>
      <c r="G5229" s="24"/>
      <c r="H5229" s="24"/>
      <c r="J5229" s="24"/>
      <c r="K5229" s="24"/>
      <c r="M5229" s="24"/>
      <c r="N5229" s="24"/>
      <c r="P5229" s="24"/>
    </row>
    <row r="5230" spans="2:16" x14ac:dyDescent="0.25">
      <c r="B5230" s="24"/>
      <c r="E5230" s="24"/>
      <c r="G5230" s="24"/>
      <c r="H5230" s="24"/>
      <c r="J5230" s="24"/>
      <c r="K5230" s="24"/>
      <c r="M5230" s="24"/>
      <c r="N5230" s="24"/>
      <c r="P5230" s="24"/>
    </row>
    <row r="5231" spans="2:16" x14ac:dyDescent="0.25">
      <c r="B5231" s="24"/>
      <c r="E5231" s="24"/>
      <c r="G5231" s="24"/>
      <c r="H5231" s="24"/>
      <c r="J5231" s="24"/>
      <c r="K5231" s="24"/>
      <c r="M5231" s="24"/>
      <c r="N5231" s="24"/>
      <c r="P5231" s="24"/>
    </row>
    <row r="5232" spans="2:16" x14ac:dyDescent="0.25">
      <c r="B5232" s="24"/>
      <c r="E5232" s="24"/>
      <c r="G5232" s="24"/>
      <c r="H5232" s="24"/>
      <c r="J5232" s="24"/>
      <c r="K5232" s="24"/>
      <c r="M5232" s="24"/>
      <c r="N5232" s="24"/>
      <c r="P5232" s="24"/>
    </row>
    <row r="5233" spans="2:16" x14ac:dyDescent="0.25">
      <c r="B5233" s="24"/>
      <c r="E5233" s="24"/>
      <c r="G5233" s="24"/>
      <c r="H5233" s="24"/>
      <c r="J5233" s="24"/>
      <c r="K5233" s="24"/>
      <c r="M5233" s="24"/>
      <c r="N5233" s="24"/>
      <c r="P5233" s="24"/>
    </row>
    <row r="5234" spans="2:16" x14ac:dyDescent="0.25">
      <c r="B5234" s="24"/>
      <c r="E5234" s="24"/>
      <c r="G5234" s="24"/>
      <c r="H5234" s="24"/>
      <c r="J5234" s="24"/>
      <c r="K5234" s="24"/>
      <c r="M5234" s="24"/>
      <c r="N5234" s="24"/>
      <c r="P5234" s="24"/>
    </row>
    <row r="5235" spans="2:16" x14ac:dyDescent="0.25">
      <c r="B5235" s="24"/>
      <c r="E5235" s="24"/>
      <c r="G5235" s="24"/>
      <c r="H5235" s="24"/>
      <c r="J5235" s="24"/>
      <c r="K5235" s="24"/>
      <c r="M5235" s="24"/>
      <c r="N5235" s="24"/>
      <c r="P5235" s="24"/>
    </row>
    <row r="5236" spans="2:16" x14ac:dyDescent="0.25">
      <c r="B5236" s="24"/>
      <c r="E5236" s="24"/>
      <c r="G5236" s="24"/>
      <c r="H5236" s="24"/>
      <c r="J5236" s="24"/>
      <c r="K5236" s="24"/>
      <c r="M5236" s="24"/>
      <c r="N5236" s="24"/>
      <c r="P5236" s="24"/>
    </row>
    <row r="5237" spans="2:16" x14ac:dyDescent="0.25">
      <c r="B5237" s="24"/>
      <c r="E5237" s="24"/>
      <c r="G5237" s="24"/>
      <c r="H5237" s="24"/>
      <c r="J5237" s="24"/>
      <c r="K5237" s="24"/>
      <c r="M5237" s="24"/>
      <c r="N5237" s="24"/>
      <c r="P5237" s="24"/>
    </row>
    <row r="5238" spans="2:16" x14ac:dyDescent="0.25">
      <c r="B5238" s="24"/>
      <c r="E5238" s="24"/>
      <c r="G5238" s="24"/>
      <c r="H5238" s="24"/>
      <c r="J5238" s="24"/>
      <c r="K5238" s="24"/>
      <c r="M5238" s="24"/>
      <c r="N5238" s="24"/>
      <c r="P5238" s="24"/>
    </row>
    <row r="5239" spans="2:16" x14ac:dyDescent="0.25">
      <c r="B5239" s="24"/>
      <c r="E5239" s="24"/>
      <c r="G5239" s="24"/>
      <c r="H5239" s="24"/>
      <c r="J5239" s="24"/>
      <c r="K5239" s="24"/>
      <c r="M5239" s="24"/>
      <c r="N5239" s="24"/>
      <c r="P5239" s="24"/>
    </row>
    <row r="5240" spans="2:16" x14ac:dyDescent="0.25">
      <c r="B5240" s="24"/>
      <c r="E5240" s="24"/>
      <c r="G5240" s="24"/>
      <c r="H5240" s="24"/>
      <c r="J5240" s="24"/>
      <c r="K5240" s="24"/>
      <c r="M5240" s="24"/>
      <c r="N5240" s="24"/>
      <c r="P5240" s="24"/>
    </row>
    <row r="5241" spans="2:16" x14ac:dyDescent="0.25">
      <c r="B5241" s="24"/>
      <c r="E5241" s="24"/>
      <c r="G5241" s="24"/>
      <c r="H5241" s="24"/>
      <c r="J5241" s="24"/>
      <c r="K5241" s="24"/>
      <c r="M5241" s="24"/>
      <c r="N5241" s="24"/>
      <c r="P5241" s="24"/>
    </row>
    <row r="5242" spans="2:16" x14ac:dyDescent="0.25">
      <c r="B5242" s="24"/>
      <c r="E5242" s="24"/>
      <c r="G5242" s="24"/>
      <c r="H5242" s="24"/>
      <c r="J5242" s="24"/>
      <c r="K5242" s="24"/>
      <c r="M5242" s="24"/>
      <c r="N5242" s="24"/>
      <c r="P5242" s="24"/>
    </row>
    <row r="5243" spans="2:16" x14ac:dyDescent="0.25">
      <c r="B5243" s="24"/>
      <c r="E5243" s="24"/>
      <c r="G5243" s="24"/>
      <c r="H5243" s="24"/>
      <c r="J5243" s="24"/>
      <c r="K5243" s="24"/>
      <c r="M5243" s="24"/>
      <c r="N5243" s="24"/>
      <c r="P5243" s="24"/>
    </row>
    <row r="5244" spans="2:16" x14ac:dyDescent="0.25">
      <c r="B5244" s="24"/>
      <c r="E5244" s="24"/>
      <c r="G5244" s="24"/>
      <c r="H5244" s="24"/>
      <c r="J5244" s="24"/>
      <c r="K5244" s="24"/>
      <c r="M5244" s="24"/>
      <c r="N5244" s="24"/>
      <c r="P5244" s="24"/>
    </row>
    <row r="5245" spans="2:16" x14ac:dyDescent="0.25">
      <c r="B5245" s="24"/>
      <c r="E5245" s="24"/>
      <c r="G5245" s="24"/>
      <c r="H5245" s="24"/>
      <c r="J5245" s="24"/>
      <c r="K5245" s="24"/>
      <c r="M5245" s="24"/>
      <c r="N5245" s="24"/>
      <c r="P5245" s="24"/>
    </row>
    <row r="5246" spans="2:16" x14ac:dyDescent="0.25">
      <c r="B5246" s="24"/>
      <c r="E5246" s="24"/>
      <c r="G5246" s="24"/>
      <c r="H5246" s="24"/>
      <c r="J5246" s="24"/>
      <c r="K5246" s="24"/>
      <c r="M5246" s="24"/>
      <c r="N5246" s="24"/>
      <c r="P5246" s="24"/>
    </row>
    <row r="5247" spans="2:16" x14ac:dyDescent="0.25">
      <c r="B5247" s="24"/>
      <c r="E5247" s="24"/>
      <c r="G5247" s="24"/>
      <c r="H5247" s="24"/>
      <c r="J5247" s="24"/>
      <c r="K5247" s="24"/>
      <c r="M5247" s="24"/>
      <c r="N5247" s="24"/>
      <c r="P5247" s="24"/>
    </row>
    <row r="5248" spans="2:16" x14ac:dyDescent="0.25">
      <c r="B5248" s="24"/>
      <c r="E5248" s="24"/>
      <c r="G5248" s="24"/>
      <c r="H5248" s="24"/>
      <c r="J5248" s="24"/>
      <c r="K5248" s="24"/>
      <c r="M5248" s="24"/>
      <c r="N5248" s="24"/>
      <c r="P5248" s="24"/>
    </row>
    <row r="5249" spans="2:16" x14ac:dyDescent="0.25">
      <c r="B5249" s="24"/>
      <c r="E5249" s="24"/>
      <c r="G5249" s="24"/>
      <c r="H5249" s="24"/>
      <c r="J5249" s="24"/>
      <c r="K5249" s="24"/>
      <c r="M5249" s="24"/>
      <c r="N5249" s="24"/>
      <c r="P5249" s="24"/>
    </row>
    <row r="5250" spans="2:16" x14ac:dyDescent="0.25">
      <c r="B5250" s="24"/>
      <c r="E5250" s="24"/>
      <c r="G5250" s="24"/>
      <c r="H5250" s="24"/>
      <c r="J5250" s="24"/>
      <c r="K5250" s="24"/>
      <c r="M5250" s="24"/>
      <c r="N5250" s="24"/>
      <c r="P5250" s="24"/>
    </row>
    <row r="5251" spans="2:16" x14ac:dyDescent="0.25">
      <c r="B5251" s="24"/>
      <c r="E5251" s="24"/>
      <c r="G5251" s="24"/>
      <c r="H5251" s="24"/>
      <c r="J5251" s="24"/>
      <c r="K5251" s="24"/>
      <c r="M5251" s="24"/>
      <c r="N5251" s="24"/>
      <c r="P5251" s="24"/>
    </row>
    <row r="5252" spans="2:16" x14ac:dyDescent="0.25">
      <c r="B5252" s="24"/>
      <c r="E5252" s="24"/>
      <c r="G5252" s="24"/>
      <c r="H5252" s="24"/>
      <c r="J5252" s="24"/>
      <c r="K5252" s="24"/>
      <c r="M5252" s="24"/>
      <c r="N5252" s="24"/>
      <c r="P5252" s="24"/>
    </row>
    <row r="5253" spans="2:16" x14ac:dyDescent="0.25">
      <c r="B5253" s="24"/>
      <c r="E5253" s="24"/>
      <c r="G5253" s="24"/>
      <c r="H5253" s="24"/>
      <c r="J5253" s="24"/>
      <c r="K5253" s="24"/>
      <c r="M5253" s="24"/>
      <c r="N5253" s="24"/>
      <c r="P5253" s="24"/>
    </row>
    <row r="5254" spans="2:16" x14ac:dyDescent="0.25">
      <c r="B5254" s="24"/>
      <c r="E5254" s="24"/>
      <c r="G5254" s="24"/>
      <c r="H5254" s="24"/>
      <c r="J5254" s="24"/>
      <c r="K5254" s="24"/>
      <c r="M5254" s="24"/>
      <c r="N5254" s="24"/>
      <c r="P5254" s="24"/>
    </row>
    <row r="5255" spans="2:16" x14ac:dyDescent="0.25">
      <c r="B5255" s="24"/>
      <c r="E5255" s="24"/>
      <c r="G5255" s="24"/>
      <c r="H5255" s="24"/>
      <c r="J5255" s="24"/>
      <c r="K5255" s="24"/>
      <c r="M5255" s="24"/>
      <c r="N5255" s="24"/>
      <c r="P5255" s="24"/>
    </row>
    <row r="5256" spans="2:16" x14ac:dyDescent="0.25">
      <c r="B5256" s="24"/>
      <c r="E5256" s="24"/>
      <c r="G5256" s="24"/>
      <c r="H5256" s="24"/>
      <c r="J5256" s="24"/>
      <c r="K5256" s="24"/>
      <c r="M5256" s="24"/>
      <c r="N5256" s="24"/>
      <c r="P5256" s="24"/>
    </row>
    <row r="5257" spans="2:16" x14ac:dyDescent="0.25">
      <c r="B5257" s="24"/>
      <c r="E5257" s="24"/>
      <c r="G5257" s="24"/>
      <c r="H5257" s="24"/>
      <c r="J5257" s="24"/>
      <c r="K5257" s="24"/>
      <c r="M5257" s="24"/>
      <c r="N5257" s="24"/>
      <c r="P5257" s="24"/>
    </row>
    <row r="5258" spans="2:16" x14ac:dyDescent="0.25">
      <c r="B5258" s="24"/>
      <c r="E5258" s="24"/>
      <c r="G5258" s="24"/>
      <c r="H5258" s="24"/>
      <c r="J5258" s="24"/>
      <c r="K5258" s="24"/>
      <c r="M5258" s="24"/>
      <c r="N5258" s="24"/>
      <c r="P5258" s="24"/>
    </row>
    <row r="5259" spans="2:16" x14ac:dyDescent="0.25">
      <c r="B5259" s="24"/>
      <c r="E5259" s="24"/>
      <c r="G5259" s="24"/>
      <c r="H5259" s="24"/>
      <c r="J5259" s="24"/>
      <c r="K5259" s="24"/>
      <c r="M5259" s="24"/>
      <c r="N5259" s="24"/>
      <c r="P5259" s="24"/>
    </row>
    <row r="5260" spans="2:16" x14ac:dyDescent="0.25">
      <c r="B5260" s="24"/>
      <c r="E5260" s="24"/>
      <c r="G5260" s="24"/>
      <c r="H5260" s="24"/>
      <c r="J5260" s="24"/>
      <c r="K5260" s="24"/>
      <c r="M5260" s="24"/>
      <c r="N5260" s="24"/>
      <c r="P5260" s="24"/>
    </row>
    <row r="5261" spans="2:16" x14ac:dyDescent="0.25">
      <c r="B5261" s="24"/>
      <c r="E5261" s="24"/>
      <c r="G5261" s="24"/>
      <c r="H5261" s="24"/>
      <c r="J5261" s="24"/>
      <c r="K5261" s="24"/>
      <c r="M5261" s="24"/>
      <c r="N5261" s="24"/>
      <c r="P5261" s="24"/>
    </row>
    <row r="5262" spans="2:16" x14ac:dyDescent="0.25">
      <c r="B5262" s="24"/>
      <c r="E5262" s="24"/>
      <c r="G5262" s="24"/>
      <c r="H5262" s="24"/>
      <c r="J5262" s="24"/>
      <c r="K5262" s="24"/>
      <c r="M5262" s="24"/>
      <c r="N5262" s="24"/>
      <c r="P5262" s="24"/>
    </row>
    <row r="5263" spans="2:16" x14ac:dyDescent="0.25">
      <c r="B5263" s="24"/>
      <c r="E5263" s="24"/>
      <c r="G5263" s="24"/>
      <c r="H5263" s="24"/>
      <c r="J5263" s="24"/>
      <c r="K5263" s="24"/>
      <c r="M5263" s="24"/>
      <c r="N5263" s="24"/>
      <c r="P5263" s="24"/>
    </row>
    <row r="5264" spans="2:16" x14ac:dyDescent="0.25">
      <c r="B5264" s="24"/>
      <c r="E5264" s="24"/>
      <c r="G5264" s="24"/>
      <c r="H5264" s="24"/>
      <c r="J5264" s="24"/>
      <c r="K5264" s="24"/>
      <c r="M5264" s="24"/>
      <c r="N5264" s="24"/>
      <c r="P5264" s="24"/>
    </row>
    <row r="5265" spans="2:16" x14ac:dyDescent="0.25">
      <c r="B5265" s="24"/>
      <c r="E5265" s="24"/>
      <c r="G5265" s="24"/>
      <c r="H5265" s="24"/>
      <c r="J5265" s="24"/>
      <c r="K5265" s="24"/>
      <c r="M5265" s="24"/>
      <c r="N5265" s="24"/>
      <c r="P5265" s="24"/>
    </row>
    <row r="5266" spans="2:16" x14ac:dyDescent="0.25">
      <c r="B5266" s="24"/>
      <c r="E5266" s="24"/>
      <c r="G5266" s="24"/>
      <c r="H5266" s="24"/>
      <c r="J5266" s="24"/>
      <c r="K5266" s="24"/>
      <c r="M5266" s="24"/>
      <c r="N5266" s="24"/>
      <c r="P5266" s="24"/>
    </row>
    <row r="5267" spans="2:16" x14ac:dyDescent="0.25">
      <c r="B5267" s="24"/>
      <c r="E5267" s="24"/>
      <c r="G5267" s="24"/>
      <c r="H5267" s="24"/>
      <c r="J5267" s="24"/>
      <c r="K5267" s="24"/>
      <c r="M5267" s="24"/>
      <c r="N5267" s="24"/>
      <c r="P5267" s="24"/>
    </row>
    <row r="5268" spans="2:16" x14ac:dyDescent="0.25">
      <c r="B5268" s="24"/>
      <c r="E5268" s="24"/>
      <c r="G5268" s="24"/>
      <c r="H5268" s="24"/>
      <c r="J5268" s="24"/>
      <c r="K5268" s="24"/>
      <c r="M5268" s="24"/>
      <c r="N5268" s="24"/>
      <c r="P5268" s="24"/>
    </row>
    <row r="5269" spans="2:16" x14ac:dyDescent="0.25">
      <c r="B5269" s="24"/>
      <c r="E5269" s="24"/>
      <c r="G5269" s="24"/>
      <c r="H5269" s="24"/>
      <c r="J5269" s="24"/>
      <c r="K5269" s="24"/>
      <c r="M5269" s="24"/>
      <c r="N5269" s="24"/>
      <c r="P5269" s="24"/>
    </row>
    <row r="5270" spans="2:16" x14ac:dyDescent="0.25">
      <c r="B5270" s="24"/>
      <c r="E5270" s="24"/>
      <c r="G5270" s="24"/>
      <c r="H5270" s="24"/>
      <c r="J5270" s="24"/>
      <c r="K5270" s="24"/>
      <c r="M5270" s="24"/>
      <c r="N5270" s="24"/>
      <c r="P5270" s="24"/>
    </row>
    <row r="5271" spans="2:16" x14ac:dyDescent="0.25">
      <c r="B5271" s="24"/>
      <c r="E5271" s="24"/>
      <c r="G5271" s="24"/>
      <c r="H5271" s="24"/>
      <c r="J5271" s="24"/>
      <c r="K5271" s="24"/>
      <c r="M5271" s="24"/>
      <c r="N5271" s="24"/>
      <c r="P5271" s="24"/>
    </row>
    <row r="5272" spans="2:16" x14ac:dyDescent="0.25">
      <c r="B5272" s="24"/>
      <c r="E5272" s="24"/>
      <c r="G5272" s="24"/>
      <c r="H5272" s="24"/>
      <c r="J5272" s="24"/>
      <c r="K5272" s="24"/>
      <c r="M5272" s="24"/>
      <c r="N5272" s="24"/>
      <c r="P5272" s="24"/>
    </row>
    <row r="5273" spans="2:16" x14ac:dyDescent="0.25">
      <c r="B5273" s="24"/>
      <c r="E5273" s="24"/>
      <c r="G5273" s="24"/>
      <c r="H5273" s="24"/>
      <c r="J5273" s="24"/>
      <c r="K5273" s="24"/>
      <c r="M5273" s="24"/>
      <c r="N5273" s="24"/>
      <c r="P5273" s="24"/>
    </row>
    <row r="5274" spans="2:16" x14ac:dyDescent="0.25">
      <c r="B5274" s="24"/>
      <c r="E5274" s="24"/>
      <c r="G5274" s="24"/>
      <c r="H5274" s="24"/>
      <c r="J5274" s="24"/>
      <c r="K5274" s="24"/>
      <c r="M5274" s="24"/>
      <c r="N5274" s="24"/>
      <c r="P5274" s="24"/>
    </row>
    <row r="5275" spans="2:16" x14ac:dyDescent="0.25">
      <c r="B5275" s="24"/>
      <c r="E5275" s="24"/>
      <c r="G5275" s="24"/>
      <c r="H5275" s="24"/>
      <c r="J5275" s="24"/>
      <c r="K5275" s="24"/>
      <c r="M5275" s="24"/>
      <c r="N5275" s="24"/>
      <c r="P5275" s="24"/>
    </row>
    <row r="5276" spans="2:16" x14ac:dyDescent="0.25">
      <c r="B5276" s="24"/>
      <c r="E5276" s="24"/>
      <c r="G5276" s="24"/>
      <c r="H5276" s="24"/>
      <c r="J5276" s="24"/>
      <c r="K5276" s="24"/>
      <c r="M5276" s="24"/>
      <c r="N5276" s="24"/>
      <c r="P5276" s="24"/>
    </row>
    <row r="5277" spans="2:16" x14ac:dyDescent="0.25">
      <c r="B5277" s="24"/>
      <c r="E5277" s="24"/>
      <c r="G5277" s="24"/>
      <c r="H5277" s="24"/>
      <c r="J5277" s="24"/>
      <c r="K5277" s="24"/>
      <c r="M5277" s="24"/>
      <c r="N5277" s="24"/>
      <c r="P5277" s="24"/>
    </row>
    <row r="5278" spans="2:16" x14ac:dyDescent="0.25">
      <c r="B5278" s="24"/>
      <c r="E5278" s="24"/>
      <c r="G5278" s="24"/>
      <c r="H5278" s="24"/>
      <c r="J5278" s="24"/>
      <c r="K5278" s="24"/>
      <c r="M5278" s="24"/>
      <c r="N5278" s="24"/>
      <c r="P5278" s="24"/>
    </row>
    <row r="5279" spans="2:16" x14ac:dyDescent="0.25">
      <c r="B5279" s="24"/>
      <c r="E5279" s="24"/>
      <c r="G5279" s="24"/>
      <c r="H5279" s="24"/>
      <c r="J5279" s="24"/>
      <c r="K5279" s="24"/>
      <c r="M5279" s="24"/>
      <c r="N5279" s="24"/>
      <c r="P5279" s="24"/>
    </row>
    <row r="5280" spans="2:16" x14ac:dyDescent="0.25">
      <c r="B5280" s="24"/>
      <c r="E5280" s="24"/>
      <c r="G5280" s="24"/>
      <c r="H5280" s="24"/>
      <c r="J5280" s="24"/>
      <c r="K5280" s="24"/>
      <c r="M5280" s="24"/>
      <c r="N5280" s="24"/>
      <c r="P5280" s="24"/>
    </row>
    <row r="5281" spans="2:16" x14ac:dyDescent="0.25">
      <c r="B5281" s="24"/>
      <c r="E5281" s="24"/>
      <c r="G5281" s="24"/>
      <c r="H5281" s="24"/>
      <c r="J5281" s="24"/>
      <c r="K5281" s="24"/>
      <c r="M5281" s="24"/>
      <c r="N5281" s="24"/>
      <c r="P5281" s="24"/>
    </row>
    <row r="5282" spans="2:16" x14ac:dyDescent="0.25">
      <c r="B5282" s="24"/>
      <c r="E5282" s="24"/>
      <c r="G5282" s="24"/>
      <c r="H5282" s="24"/>
      <c r="J5282" s="24"/>
      <c r="K5282" s="24"/>
      <c r="M5282" s="24"/>
      <c r="N5282" s="24"/>
      <c r="P5282" s="24"/>
    </row>
    <row r="5283" spans="2:16" x14ac:dyDescent="0.25">
      <c r="B5283" s="24"/>
      <c r="E5283" s="24"/>
      <c r="G5283" s="24"/>
      <c r="H5283" s="24"/>
      <c r="J5283" s="24"/>
      <c r="K5283" s="24"/>
      <c r="M5283" s="24"/>
      <c r="N5283" s="24"/>
      <c r="P5283" s="24"/>
    </row>
    <row r="5284" spans="2:16" x14ac:dyDescent="0.25">
      <c r="B5284" s="24"/>
      <c r="E5284" s="24"/>
      <c r="G5284" s="24"/>
      <c r="H5284" s="24"/>
      <c r="J5284" s="24"/>
      <c r="K5284" s="24"/>
      <c r="M5284" s="24"/>
      <c r="N5284" s="24"/>
      <c r="P5284" s="24"/>
    </row>
    <row r="5285" spans="2:16" x14ac:dyDescent="0.25">
      <c r="B5285" s="24"/>
      <c r="E5285" s="24"/>
      <c r="G5285" s="24"/>
      <c r="H5285" s="24"/>
      <c r="J5285" s="24"/>
      <c r="K5285" s="24"/>
      <c r="M5285" s="24"/>
      <c r="N5285" s="24"/>
      <c r="P5285" s="24"/>
    </row>
    <row r="5286" spans="2:16" x14ac:dyDescent="0.25">
      <c r="B5286" s="24"/>
      <c r="E5286" s="24"/>
      <c r="G5286" s="24"/>
      <c r="H5286" s="24"/>
      <c r="J5286" s="24"/>
      <c r="K5286" s="24"/>
      <c r="M5286" s="24"/>
      <c r="N5286" s="24"/>
      <c r="P5286" s="24"/>
    </row>
    <row r="5287" spans="2:16" x14ac:dyDescent="0.25">
      <c r="B5287" s="24"/>
      <c r="E5287" s="24"/>
      <c r="G5287" s="24"/>
      <c r="H5287" s="24"/>
      <c r="J5287" s="24"/>
      <c r="K5287" s="24"/>
      <c r="M5287" s="24"/>
      <c r="N5287" s="24"/>
      <c r="P5287" s="24"/>
    </row>
    <row r="5288" spans="2:16" x14ac:dyDescent="0.25">
      <c r="B5288" s="24"/>
      <c r="E5288" s="24"/>
      <c r="G5288" s="24"/>
      <c r="H5288" s="24"/>
      <c r="J5288" s="24"/>
      <c r="K5288" s="24"/>
      <c r="M5288" s="24"/>
      <c r="N5288" s="24"/>
      <c r="P5288" s="24"/>
    </row>
    <row r="5289" spans="2:16" x14ac:dyDescent="0.25">
      <c r="B5289" s="24"/>
      <c r="E5289" s="24"/>
      <c r="G5289" s="24"/>
      <c r="H5289" s="24"/>
      <c r="J5289" s="24"/>
      <c r="K5289" s="24"/>
      <c r="M5289" s="24"/>
      <c r="N5289" s="24"/>
      <c r="P5289" s="24"/>
    </row>
    <row r="5290" spans="2:16" x14ac:dyDescent="0.25">
      <c r="B5290" s="24"/>
      <c r="E5290" s="24"/>
      <c r="G5290" s="24"/>
      <c r="H5290" s="24"/>
      <c r="J5290" s="24"/>
      <c r="K5290" s="24"/>
      <c r="M5290" s="24"/>
      <c r="N5290" s="24"/>
      <c r="P5290" s="24"/>
    </row>
    <row r="5291" spans="2:16" x14ac:dyDescent="0.25">
      <c r="B5291" s="24"/>
      <c r="E5291" s="24"/>
      <c r="G5291" s="24"/>
      <c r="H5291" s="24"/>
      <c r="J5291" s="24"/>
      <c r="K5291" s="24"/>
      <c r="M5291" s="24"/>
      <c r="N5291" s="24"/>
      <c r="P5291" s="24"/>
    </row>
    <row r="5292" spans="2:16" x14ac:dyDescent="0.25">
      <c r="B5292" s="24"/>
      <c r="E5292" s="24"/>
      <c r="G5292" s="24"/>
      <c r="H5292" s="24"/>
      <c r="J5292" s="24"/>
      <c r="K5292" s="24"/>
      <c r="M5292" s="24"/>
      <c r="N5292" s="24"/>
      <c r="P5292" s="24"/>
    </row>
    <row r="5293" spans="2:16" x14ac:dyDescent="0.25">
      <c r="B5293" s="24"/>
      <c r="E5293" s="24"/>
      <c r="G5293" s="24"/>
      <c r="H5293" s="24"/>
      <c r="J5293" s="24"/>
      <c r="K5293" s="24"/>
      <c r="M5293" s="24"/>
      <c r="N5293" s="24"/>
      <c r="P5293" s="24"/>
    </row>
    <row r="5294" spans="2:16" x14ac:dyDescent="0.25">
      <c r="B5294" s="24"/>
      <c r="E5294" s="24"/>
      <c r="G5294" s="24"/>
      <c r="H5294" s="24"/>
      <c r="J5294" s="24"/>
      <c r="K5294" s="24"/>
      <c r="M5294" s="24"/>
      <c r="N5294" s="24"/>
      <c r="P5294" s="24"/>
    </row>
    <row r="5295" spans="2:16" x14ac:dyDescent="0.25">
      <c r="B5295" s="24"/>
      <c r="E5295" s="24"/>
      <c r="G5295" s="24"/>
      <c r="H5295" s="24"/>
      <c r="J5295" s="24"/>
      <c r="K5295" s="24"/>
      <c r="M5295" s="24"/>
      <c r="N5295" s="24"/>
      <c r="P5295" s="24"/>
    </row>
    <row r="5296" spans="2:16" x14ac:dyDescent="0.25">
      <c r="B5296" s="24"/>
      <c r="E5296" s="24"/>
      <c r="G5296" s="24"/>
      <c r="H5296" s="24"/>
      <c r="J5296" s="24"/>
      <c r="K5296" s="24"/>
      <c r="M5296" s="24"/>
      <c r="N5296" s="24"/>
      <c r="P5296" s="24"/>
    </row>
    <row r="5297" spans="2:16" x14ac:dyDescent="0.25">
      <c r="B5297" s="24"/>
      <c r="E5297" s="24"/>
      <c r="G5297" s="24"/>
      <c r="H5297" s="24"/>
      <c r="J5297" s="24"/>
      <c r="K5297" s="24"/>
      <c r="M5297" s="24"/>
      <c r="N5297" s="24"/>
      <c r="P5297" s="24"/>
    </row>
    <row r="5298" spans="2:16" x14ac:dyDescent="0.25">
      <c r="B5298" s="24"/>
      <c r="E5298" s="24"/>
      <c r="G5298" s="24"/>
      <c r="H5298" s="24"/>
      <c r="J5298" s="24"/>
      <c r="K5298" s="24"/>
      <c r="M5298" s="24"/>
      <c r="N5298" s="24"/>
      <c r="P5298" s="24"/>
    </row>
    <row r="5299" spans="2:16" x14ac:dyDescent="0.25">
      <c r="B5299" s="24"/>
      <c r="E5299" s="24"/>
      <c r="G5299" s="24"/>
      <c r="H5299" s="24"/>
      <c r="J5299" s="24"/>
      <c r="K5299" s="24"/>
      <c r="M5299" s="24"/>
      <c r="N5299" s="24"/>
      <c r="P5299" s="24"/>
    </row>
    <row r="5300" spans="2:16" x14ac:dyDescent="0.25">
      <c r="B5300" s="24"/>
      <c r="E5300" s="24"/>
      <c r="G5300" s="24"/>
      <c r="H5300" s="24"/>
      <c r="J5300" s="24"/>
      <c r="K5300" s="24"/>
      <c r="M5300" s="24"/>
      <c r="N5300" s="24"/>
      <c r="P5300" s="24"/>
    </row>
    <row r="5301" spans="2:16" x14ac:dyDescent="0.25">
      <c r="B5301" s="24"/>
      <c r="E5301" s="24"/>
      <c r="G5301" s="24"/>
      <c r="H5301" s="24"/>
      <c r="J5301" s="24"/>
      <c r="K5301" s="24"/>
      <c r="M5301" s="24"/>
      <c r="N5301" s="24"/>
      <c r="P5301" s="24"/>
    </row>
    <row r="5302" spans="2:16" x14ac:dyDescent="0.25">
      <c r="B5302" s="24"/>
      <c r="E5302" s="24"/>
      <c r="G5302" s="24"/>
      <c r="H5302" s="24"/>
      <c r="J5302" s="24"/>
      <c r="K5302" s="24"/>
      <c r="M5302" s="24"/>
      <c r="N5302" s="24"/>
      <c r="P5302" s="24"/>
    </row>
    <row r="5303" spans="2:16" x14ac:dyDescent="0.25">
      <c r="B5303" s="24"/>
      <c r="E5303" s="24"/>
      <c r="G5303" s="24"/>
      <c r="H5303" s="24"/>
      <c r="J5303" s="24"/>
      <c r="K5303" s="24"/>
      <c r="M5303" s="24"/>
      <c r="N5303" s="24"/>
      <c r="P5303" s="24"/>
    </row>
    <row r="5304" spans="2:16" x14ac:dyDescent="0.25">
      <c r="B5304" s="24"/>
      <c r="E5304" s="24"/>
      <c r="G5304" s="24"/>
      <c r="H5304" s="24"/>
      <c r="J5304" s="24"/>
      <c r="K5304" s="24"/>
      <c r="M5304" s="24"/>
      <c r="N5304" s="24"/>
      <c r="P5304" s="24"/>
    </row>
    <row r="5305" spans="2:16" x14ac:dyDescent="0.25">
      <c r="B5305" s="24"/>
      <c r="E5305" s="24"/>
      <c r="G5305" s="24"/>
      <c r="H5305" s="24"/>
      <c r="J5305" s="24"/>
      <c r="K5305" s="24"/>
      <c r="M5305" s="24"/>
      <c r="N5305" s="24"/>
      <c r="P5305" s="24"/>
    </row>
    <row r="5306" spans="2:16" x14ac:dyDescent="0.25">
      <c r="B5306" s="24"/>
      <c r="E5306" s="24"/>
      <c r="G5306" s="24"/>
      <c r="H5306" s="24"/>
      <c r="J5306" s="24"/>
      <c r="K5306" s="24"/>
      <c r="M5306" s="24"/>
      <c r="N5306" s="24"/>
      <c r="P5306" s="24"/>
    </row>
    <row r="5307" spans="2:16" x14ac:dyDescent="0.25">
      <c r="B5307" s="24"/>
      <c r="E5307" s="24"/>
      <c r="G5307" s="24"/>
      <c r="H5307" s="24"/>
      <c r="J5307" s="24"/>
      <c r="K5307" s="24"/>
      <c r="M5307" s="24"/>
      <c r="N5307" s="24"/>
      <c r="P5307" s="24"/>
    </row>
    <row r="5308" spans="2:16" x14ac:dyDescent="0.25">
      <c r="B5308" s="24"/>
      <c r="E5308" s="24"/>
      <c r="G5308" s="24"/>
      <c r="H5308" s="24"/>
      <c r="J5308" s="24"/>
      <c r="K5308" s="24"/>
      <c r="M5308" s="24"/>
      <c r="N5308" s="24"/>
      <c r="P5308" s="24"/>
    </row>
    <row r="5309" spans="2:16" x14ac:dyDescent="0.25">
      <c r="B5309" s="24"/>
      <c r="E5309" s="24"/>
      <c r="G5309" s="24"/>
      <c r="H5309" s="24"/>
      <c r="J5309" s="24"/>
      <c r="K5309" s="24"/>
      <c r="M5309" s="24"/>
      <c r="N5309" s="24"/>
      <c r="P5309" s="24"/>
    </row>
    <row r="5310" spans="2:16" x14ac:dyDescent="0.25">
      <c r="B5310" s="24"/>
      <c r="E5310" s="24"/>
      <c r="G5310" s="24"/>
      <c r="H5310" s="24"/>
      <c r="J5310" s="24"/>
      <c r="K5310" s="24"/>
      <c r="M5310" s="24"/>
      <c r="N5310" s="24"/>
      <c r="P5310" s="24"/>
    </row>
    <row r="5311" spans="2:16" x14ac:dyDescent="0.25">
      <c r="B5311" s="24"/>
      <c r="E5311" s="24"/>
      <c r="G5311" s="24"/>
      <c r="H5311" s="24"/>
      <c r="J5311" s="24"/>
      <c r="K5311" s="24"/>
      <c r="M5311" s="24"/>
      <c r="N5311" s="24"/>
      <c r="P5311" s="24"/>
    </row>
    <row r="5312" spans="2:16" x14ac:dyDescent="0.25">
      <c r="B5312" s="24"/>
      <c r="E5312" s="24"/>
      <c r="G5312" s="24"/>
      <c r="H5312" s="24"/>
      <c r="J5312" s="24"/>
      <c r="K5312" s="24"/>
      <c r="M5312" s="24"/>
      <c r="N5312" s="24"/>
      <c r="P5312" s="24"/>
    </row>
    <row r="5313" spans="2:16" x14ac:dyDescent="0.25">
      <c r="B5313" s="24"/>
      <c r="E5313" s="24"/>
      <c r="G5313" s="24"/>
      <c r="H5313" s="24"/>
      <c r="J5313" s="24"/>
      <c r="K5313" s="24"/>
      <c r="M5313" s="24"/>
      <c r="N5313" s="24"/>
      <c r="P5313" s="24"/>
    </row>
    <row r="5314" spans="2:16" x14ac:dyDescent="0.25">
      <c r="B5314" s="24"/>
      <c r="E5314" s="24"/>
      <c r="G5314" s="24"/>
      <c r="H5314" s="24"/>
      <c r="J5314" s="24"/>
      <c r="K5314" s="24"/>
      <c r="M5314" s="24"/>
      <c r="N5314" s="24"/>
      <c r="P5314" s="24"/>
    </row>
    <row r="5315" spans="2:16" x14ac:dyDescent="0.25">
      <c r="B5315" s="24"/>
      <c r="E5315" s="24"/>
      <c r="G5315" s="24"/>
      <c r="H5315" s="24"/>
      <c r="J5315" s="24"/>
      <c r="K5315" s="24"/>
      <c r="M5315" s="24"/>
      <c r="N5315" s="24"/>
      <c r="P5315" s="24"/>
    </row>
    <row r="5316" spans="2:16" x14ac:dyDescent="0.25">
      <c r="B5316" s="24"/>
      <c r="E5316" s="24"/>
      <c r="G5316" s="24"/>
      <c r="H5316" s="24"/>
      <c r="J5316" s="24"/>
      <c r="K5316" s="24"/>
      <c r="M5316" s="24"/>
      <c r="N5316" s="24"/>
      <c r="P5316" s="24"/>
    </row>
    <row r="5317" spans="2:16" x14ac:dyDescent="0.25">
      <c r="B5317" s="24"/>
      <c r="E5317" s="24"/>
      <c r="G5317" s="24"/>
      <c r="H5317" s="24"/>
      <c r="J5317" s="24"/>
      <c r="K5317" s="24"/>
      <c r="M5317" s="24"/>
      <c r="N5317" s="24"/>
      <c r="P5317" s="24"/>
    </row>
    <row r="5318" spans="2:16" x14ac:dyDescent="0.25">
      <c r="B5318" s="24"/>
      <c r="E5318" s="24"/>
      <c r="G5318" s="24"/>
      <c r="H5318" s="24"/>
      <c r="J5318" s="24"/>
      <c r="K5318" s="24"/>
      <c r="M5318" s="24"/>
      <c r="N5318" s="24"/>
      <c r="P5318" s="24"/>
    </row>
    <row r="5319" spans="2:16" x14ac:dyDescent="0.25">
      <c r="B5319" s="24"/>
      <c r="E5319" s="24"/>
      <c r="G5319" s="24"/>
      <c r="H5319" s="24"/>
      <c r="J5319" s="24"/>
      <c r="K5319" s="24"/>
      <c r="M5319" s="24"/>
      <c r="N5319" s="24"/>
      <c r="P5319" s="24"/>
    </row>
    <row r="5320" spans="2:16" x14ac:dyDescent="0.25">
      <c r="B5320" s="24"/>
      <c r="E5320" s="24"/>
      <c r="G5320" s="24"/>
      <c r="H5320" s="24"/>
      <c r="J5320" s="24"/>
      <c r="K5320" s="24"/>
      <c r="M5320" s="24"/>
      <c r="N5320" s="24"/>
      <c r="P5320" s="24"/>
    </row>
    <row r="5321" spans="2:16" x14ac:dyDescent="0.25">
      <c r="B5321" s="24"/>
      <c r="E5321" s="24"/>
      <c r="G5321" s="24"/>
      <c r="H5321" s="24"/>
      <c r="J5321" s="24"/>
      <c r="K5321" s="24"/>
      <c r="M5321" s="24"/>
      <c r="N5321" s="24"/>
      <c r="P5321" s="24"/>
    </row>
    <row r="5322" spans="2:16" x14ac:dyDescent="0.25">
      <c r="B5322" s="24"/>
      <c r="E5322" s="24"/>
      <c r="G5322" s="24"/>
      <c r="H5322" s="24"/>
      <c r="J5322" s="24"/>
      <c r="K5322" s="24"/>
      <c r="M5322" s="24"/>
      <c r="N5322" s="24"/>
      <c r="P5322" s="24"/>
    </row>
    <row r="5323" spans="2:16" x14ac:dyDescent="0.25">
      <c r="B5323" s="24"/>
      <c r="E5323" s="24"/>
      <c r="G5323" s="24"/>
      <c r="H5323" s="24"/>
      <c r="J5323" s="24"/>
      <c r="K5323" s="24"/>
      <c r="M5323" s="24"/>
      <c r="N5323" s="24"/>
      <c r="P5323" s="24"/>
    </row>
    <row r="5324" spans="2:16" x14ac:dyDescent="0.25">
      <c r="B5324" s="24"/>
      <c r="E5324" s="24"/>
      <c r="G5324" s="24"/>
      <c r="H5324" s="24"/>
      <c r="J5324" s="24"/>
      <c r="K5324" s="24"/>
      <c r="M5324" s="24"/>
      <c r="N5324" s="24"/>
      <c r="P5324" s="24"/>
    </row>
    <row r="5325" spans="2:16" x14ac:dyDescent="0.25">
      <c r="B5325" s="24"/>
      <c r="E5325" s="24"/>
      <c r="G5325" s="24"/>
      <c r="H5325" s="24"/>
      <c r="J5325" s="24"/>
      <c r="K5325" s="24"/>
      <c r="M5325" s="24"/>
      <c r="N5325" s="24"/>
      <c r="P5325" s="24"/>
    </row>
    <row r="5326" spans="2:16" x14ac:dyDescent="0.25">
      <c r="B5326" s="24"/>
      <c r="E5326" s="24"/>
      <c r="G5326" s="24"/>
      <c r="H5326" s="24"/>
      <c r="J5326" s="24"/>
      <c r="K5326" s="24"/>
      <c r="M5326" s="24"/>
      <c r="N5326" s="24"/>
      <c r="P5326" s="24"/>
    </row>
    <row r="5327" spans="2:16" x14ac:dyDescent="0.25">
      <c r="B5327" s="24"/>
      <c r="E5327" s="24"/>
      <c r="G5327" s="24"/>
      <c r="H5327" s="24"/>
      <c r="J5327" s="24"/>
      <c r="K5327" s="24"/>
      <c r="M5327" s="24"/>
      <c r="N5327" s="24"/>
      <c r="P5327" s="24"/>
    </row>
    <row r="5328" spans="2:16" x14ac:dyDescent="0.25">
      <c r="B5328" s="24"/>
      <c r="E5328" s="24"/>
      <c r="G5328" s="24"/>
      <c r="H5328" s="24"/>
      <c r="J5328" s="24"/>
      <c r="K5328" s="24"/>
      <c r="M5328" s="24"/>
      <c r="N5328" s="24"/>
      <c r="P5328" s="24"/>
    </row>
    <row r="5329" spans="2:16" x14ac:dyDescent="0.25">
      <c r="B5329" s="24"/>
      <c r="E5329" s="24"/>
      <c r="G5329" s="24"/>
      <c r="H5329" s="24"/>
      <c r="J5329" s="24"/>
      <c r="K5329" s="24"/>
      <c r="M5329" s="24"/>
      <c r="N5329" s="24"/>
      <c r="P5329" s="24"/>
    </row>
    <row r="5330" spans="2:16" x14ac:dyDescent="0.25">
      <c r="B5330" s="24"/>
      <c r="E5330" s="24"/>
      <c r="G5330" s="24"/>
      <c r="H5330" s="24"/>
      <c r="J5330" s="24"/>
      <c r="K5330" s="24"/>
      <c r="M5330" s="24"/>
      <c r="N5330" s="24"/>
      <c r="P5330" s="24"/>
    </row>
    <row r="5331" spans="2:16" x14ac:dyDescent="0.25">
      <c r="B5331" s="24"/>
      <c r="E5331" s="24"/>
      <c r="G5331" s="24"/>
      <c r="H5331" s="24"/>
      <c r="J5331" s="24"/>
      <c r="K5331" s="24"/>
      <c r="M5331" s="24"/>
      <c r="N5331" s="24"/>
      <c r="P5331" s="24"/>
    </row>
    <row r="5332" spans="2:16" x14ac:dyDescent="0.25">
      <c r="B5332" s="24"/>
      <c r="E5332" s="24"/>
      <c r="G5332" s="24"/>
      <c r="H5332" s="24"/>
      <c r="J5332" s="24"/>
      <c r="K5332" s="24"/>
      <c r="M5332" s="24"/>
      <c r="N5332" s="24"/>
      <c r="P5332" s="24"/>
    </row>
    <row r="5333" spans="2:16" x14ac:dyDescent="0.25">
      <c r="B5333" s="24"/>
      <c r="E5333" s="24"/>
      <c r="G5333" s="24"/>
      <c r="H5333" s="24"/>
      <c r="J5333" s="24"/>
      <c r="K5333" s="24"/>
      <c r="M5333" s="24"/>
      <c r="N5333" s="24"/>
      <c r="P5333" s="24"/>
    </row>
    <row r="5334" spans="2:16" x14ac:dyDescent="0.25">
      <c r="B5334" s="24"/>
      <c r="E5334" s="24"/>
      <c r="G5334" s="24"/>
      <c r="H5334" s="24"/>
      <c r="J5334" s="24"/>
      <c r="K5334" s="24"/>
      <c r="M5334" s="24"/>
      <c r="N5334" s="24"/>
      <c r="P5334" s="24"/>
    </row>
    <row r="5335" spans="2:16" x14ac:dyDescent="0.25">
      <c r="B5335" s="24"/>
      <c r="E5335" s="24"/>
      <c r="G5335" s="24"/>
      <c r="H5335" s="24"/>
      <c r="J5335" s="24"/>
      <c r="K5335" s="24"/>
      <c r="M5335" s="24"/>
      <c r="N5335" s="24"/>
      <c r="P5335" s="24"/>
    </row>
    <row r="5336" spans="2:16" x14ac:dyDescent="0.25">
      <c r="B5336" s="24"/>
      <c r="E5336" s="24"/>
      <c r="G5336" s="24"/>
      <c r="H5336" s="24"/>
      <c r="J5336" s="24"/>
      <c r="K5336" s="24"/>
      <c r="M5336" s="24"/>
      <c r="N5336" s="24"/>
      <c r="P5336" s="24"/>
    </row>
    <row r="5337" spans="2:16" x14ac:dyDescent="0.25">
      <c r="B5337" s="24"/>
      <c r="E5337" s="24"/>
      <c r="G5337" s="24"/>
      <c r="H5337" s="24"/>
      <c r="J5337" s="24"/>
      <c r="K5337" s="24"/>
      <c r="M5337" s="24"/>
      <c r="N5337" s="24"/>
      <c r="P5337" s="24"/>
    </row>
    <row r="5338" spans="2:16" x14ac:dyDescent="0.25">
      <c r="B5338" s="24"/>
      <c r="E5338" s="24"/>
      <c r="G5338" s="24"/>
      <c r="H5338" s="24"/>
      <c r="J5338" s="24"/>
      <c r="K5338" s="24"/>
      <c r="M5338" s="24"/>
      <c r="N5338" s="24"/>
      <c r="P5338" s="24"/>
    </row>
    <row r="5339" spans="2:16" x14ac:dyDescent="0.25">
      <c r="B5339" s="24"/>
      <c r="E5339" s="24"/>
      <c r="G5339" s="24"/>
      <c r="H5339" s="24"/>
      <c r="J5339" s="24"/>
      <c r="K5339" s="24"/>
      <c r="M5339" s="24"/>
      <c r="N5339" s="24"/>
      <c r="P5339" s="24"/>
    </row>
    <row r="5340" spans="2:16" x14ac:dyDescent="0.25">
      <c r="B5340" s="24"/>
      <c r="E5340" s="24"/>
      <c r="G5340" s="24"/>
      <c r="H5340" s="24"/>
      <c r="J5340" s="24"/>
      <c r="K5340" s="24"/>
      <c r="M5340" s="24"/>
      <c r="N5340" s="24"/>
      <c r="P5340" s="24"/>
    </row>
    <row r="5341" spans="2:16" x14ac:dyDescent="0.25">
      <c r="B5341" s="24"/>
      <c r="E5341" s="24"/>
      <c r="G5341" s="24"/>
      <c r="H5341" s="24"/>
      <c r="J5341" s="24"/>
      <c r="K5341" s="24"/>
      <c r="M5341" s="24"/>
      <c r="N5341" s="24"/>
      <c r="P5341" s="24"/>
    </row>
    <row r="5342" spans="2:16" x14ac:dyDescent="0.25">
      <c r="B5342" s="24"/>
      <c r="E5342" s="24"/>
      <c r="G5342" s="24"/>
      <c r="H5342" s="24"/>
      <c r="J5342" s="24"/>
      <c r="K5342" s="24"/>
      <c r="M5342" s="24"/>
      <c r="N5342" s="24"/>
      <c r="P5342" s="24"/>
    </row>
    <row r="5343" spans="2:16" x14ac:dyDescent="0.25">
      <c r="B5343" s="24"/>
      <c r="E5343" s="24"/>
      <c r="G5343" s="24"/>
      <c r="H5343" s="24"/>
      <c r="J5343" s="24"/>
      <c r="K5343" s="24"/>
      <c r="M5343" s="24"/>
      <c r="N5343" s="24"/>
      <c r="P5343" s="24"/>
    </row>
    <row r="5344" spans="2:16" x14ac:dyDescent="0.25">
      <c r="B5344" s="24"/>
      <c r="E5344" s="24"/>
      <c r="G5344" s="24"/>
      <c r="H5344" s="24"/>
      <c r="J5344" s="24"/>
      <c r="K5344" s="24"/>
      <c r="M5344" s="24"/>
      <c r="N5344" s="24"/>
      <c r="P5344" s="24"/>
    </row>
    <row r="5345" spans="2:16" x14ac:dyDescent="0.25">
      <c r="B5345" s="24"/>
      <c r="E5345" s="24"/>
      <c r="G5345" s="24"/>
      <c r="H5345" s="24"/>
      <c r="J5345" s="24"/>
      <c r="K5345" s="24"/>
      <c r="M5345" s="24"/>
      <c r="N5345" s="24"/>
      <c r="P5345" s="24"/>
    </row>
    <row r="5346" spans="2:16" x14ac:dyDescent="0.25">
      <c r="B5346" s="24"/>
      <c r="E5346" s="24"/>
      <c r="G5346" s="24"/>
      <c r="H5346" s="24"/>
      <c r="J5346" s="24"/>
      <c r="K5346" s="24"/>
      <c r="M5346" s="24"/>
      <c r="N5346" s="24"/>
      <c r="P5346" s="24"/>
    </row>
    <row r="5347" spans="2:16" x14ac:dyDescent="0.25">
      <c r="B5347" s="24"/>
      <c r="E5347" s="24"/>
      <c r="G5347" s="24"/>
      <c r="H5347" s="24"/>
      <c r="J5347" s="24"/>
      <c r="K5347" s="24"/>
      <c r="M5347" s="24"/>
      <c r="N5347" s="24"/>
      <c r="P5347" s="24"/>
    </row>
    <row r="5348" spans="2:16" x14ac:dyDescent="0.25">
      <c r="B5348" s="24"/>
      <c r="E5348" s="24"/>
      <c r="G5348" s="24"/>
      <c r="H5348" s="24"/>
      <c r="J5348" s="24"/>
      <c r="K5348" s="24"/>
      <c r="M5348" s="24"/>
      <c r="N5348" s="24"/>
      <c r="P5348" s="24"/>
    </row>
    <row r="5349" spans="2:16" x14ac:dyDescent="0.25">
      <c r="B5349" s="24"/>
      <c r="E5349" s="24"/>
      <c r="G5349" s="24"/>
      <c r="H5349" s="24"/>
      <c r="J5349" s="24"/>
      <c r="K5349" s="24"/>
      <c r="M5349" s="24"/>
      <c r="N5349" s="24"/>
      <c r="P5349" s="24"/>
    </row>
    <row r="5350" spans="2:16" x14ac:dyDescent="0.25">
      <c r="B5350" s="24"/>
      <c r="E5350" s="24"/>
      <c r="G5350" s="24"/>
      <c r="H5350" s="24"/>
      <c r="J5350" s="24"/>
      <c r="K5350" s="24"/>
      <c r="M5350" s="24"/>
      <c r="N5350" s="24"/>
      <c r="P5350" s="24"/>
    </row>
    <row r="5351" spans="2:16" x14ac:dyDescent="0.25">
      <c r="B5351" s="24"/>
      <c r="E5351" s="24"/>
      <c r="G5351" s="24"/>
      <c r="H5351" s="24"/>
      <c r="J5351" s="24"/>
      <c r="K5351" s="24"/>
      <c r="M5351" s="24"/>
      <c r="N5351" s="24"/>
      <c r="P5351" s="24"/>
    </row>
    <row r="5352" spans="2:16" x14ac:dyDescent="0.25">
      <c r="B5352" s="24"/>
      <c r="E5352" s="24"/>
      <c r="G5352" s="24"/>
      <c r="H5352" s="24"/>
      <c r="J5352" s="24"/>
      <c r="K5352" s="24"/>
      <c r="M5352" s="24"/>
      <c r="N5352" s="24"/>
      <c r="P5352" s="24"/>
    </row>
    <row r="5353" spans="2:16" x14ac:dyDescent="0.25">
      <c r="B5353" s="24"/>
      <c r="E5353" s="24"/>
      <c r="G5353" s="24"/>
      <c r="H5353" s="24"/>
      <c r="J5353" s="24"/>
      <c r="K5353" s="24"/>
      <c r="M5353" s="24"/>
      <c r="N5353" s="24"/>
      <c r="P5353" s="24"/>
    </row>
    <row r="5354" spans="2:16" x14ac:dyDescent="0.25">
      <c r="B5354" s="24"/>
      <c r="E5354" s="24"/>
      <c r="G5354" s="24"/>
      <c r="H5354" s="24"/>
      <c r="J5354" s="24"/>
      <c r="K5354" s="24"/>
      <c r="M5354" s="24"/>
      <c r="N5354" s="24"/>
      <c r="P5354" s="24"/>
    </row>
    <row r="5355" spans="2:16" x14ac:dyDescent="0.25">
      <c r="B5355" s="24"/>
      <c r="E5355" s="24"/>
      <c r="G5355" s="24"/>
      <c r="H5355" s="24"/>
      <c r="J5355" s="24"/>
      <c r="K5355" s="24"/>
      <c r="M5355" s="24"/>
      <c r="N5355" s="24"/>
      <c r="P5355" s="24"/>
    </row>
    <row r="5356" spans="2:16" x14ac:dyDescent="0.25">
      <c r="B5356" s="24"/>
      <c r="E5356" s="24"/>
      <c r="G5356" s="24"/>
      <c r="H5356" s="24"/>
      <c r="J5356" s="24"/>
      <c r="K5356" s="24"/>
      <c r="M5356" s="24"/>
      <c r="N5356" s="24"/>
      <c r="P5356" s="24"/>
    </row>
    <row r="5357" spans="2:16" x14ac:dyDescent="0.25">
      <c r="B5357" s="24"/>
      <c r="E5357" s="24"/>
      <c r="G5357" s="24"/>
      <c r="H5357" s="24"/>
      <c r="J5357" s="24"/>
      <c r="K5357" s="24"/>
      <c r="M5357" s="24"/>
      <c r="N5357" s="24"/>
      <c r="P5357" s="24"/>
    </row>
    <row r="5358" spans="2:16" x14ac:dyDescent="0.25">
      <c r="B5358" s="24"/>
      <c r="E5358" s="24"/>
      <c r="G5358" s="24"/>
      <c r="H5358" s="24"/>
      <c r="J5358" s="24"/>
      <c r="K5358" s="24"/>
      <c r="M5358" s="24"/>
      <c r="N5358" s="24"/>
      <c r="P5358" s="24"/>
    </row>
    <row r="5359" spans="2:16" x14ac:dyDescent="0.25">
      <c r="B5359" s="24"/>
      <c r="E5359" s="24"/>
      <c r="G5359" s="24"/>
      <c r="H5359" s="24"/>
      <c r="J5359" s="24"/>
      <c r="K5359" s="24"/>
      <c r="M5359" s="24"/>
      <c r="N5359" s="24"/>
      <c r="P5359" s="24"/>
    </row>
    <row r="5360" spans="2:16" x14ac:dyDescent="0.25">
      <c r="B5360" s="24"/>
      <c r="E5360" s="24"/>
      <c r="G5360" s="24"/>
      <c r="H5360" s="24"/>
      <c r="J5360" s="24"/>
      <c r="K5360" s="24"/>
      <c r="M5360" s="24"/>
      <c r="N5360" s="24"/>
      <c r="P5360" s="24"/>
    </row>
    <row r="5361" spans="2:16" x14ac:dyDescent="0.25">
      <c r="B5361" s="24"/>
      <c r="E5361" s="24"/>
      <c r="G5361" s="24"/>
      <c r="H5361" s="24"/>
      <c r="J5361" s="24"/>
      <c r="K5361" s="24"/>
      <c r="M5361" s="24"/>
      <c r="N5361" s="24"/>
      <c r="P5361" s="24"/>
    </row>
    <row r="5362" spans="2:16" x14ac:dyDescent="0.25">
      <c r="B5362" s="24"/>
      <c r="E5362" s="24"/>
      <c r="G5362" s="24"/>
      <c r="H5362" s="24"/>
      <c r="J5362" s="24"/>
      <c r="K5362" s="24"/>
      <c r="M5362" s="24"/>
      <c r="N5362" s="24"/>
      <c r="P5362" s="24"/>
    </row>
    <row r="5363" spans="2:16" x14ac:dyDescent="0.25">
      <c r="B5363" s="24"/>
      <c r="E5363" s="24"/>
      <c r="G5363" s="24"/>
      <c r="H5363" s="24"/>
      <c r="J5363" s="24"/>
      <c r="K5363" s="24"/>
      <c r="M5363" s="24"/>
      <c r="N5363" s="24"/>
      <c r="P5363" s="24"/>
    </row>
    <row r="5364" spans="2:16" x14ac:dyDescent="0.25">
      <c r="B5364" s="24"/>
      <c r="E5364" s="24"/>
      <c r="G5364" s="24"/>
      <c r="H5364" s="24"/>
      <c r="J5364" s="24"/>
      <c r="K5364" s="24"/>
      <c r="M5364" s="24"/>
      <c r="N5364" s="24"/>
      <c r="P5364" s="24"/>
    </row>
    <row r="5365" spans="2:16" x14ac:dyDescent="0.25">
      <c r="B5365" s="24"/>
      <c r="E5365" s="24"/>
      <c r="G5365" s="24"/>
      <c r="H5365" s="24"/>
      <c r="J5365" s="24"/>
      <c r="K5365" s="24"/>
      <c r="M5365" s="24"/>
      <c r="N5365" s="24"/>
      <c r="P5365" s="24"/>
    </row>
    <row r="5366" spans="2:16" x14ac:dyDescent="0.25">
      <c r="B5366" s="24"/>
      <c r="E5366" s="24"/>
      <c r="G5366" s="24"/>
      <c r="H5366" s="24"/>
      <c r="J5366" s="24"/>
      <c r="K5366" s="24"/>
      <c r="M5366" s="24"/>
      <c r="N5366" s="24"/>
      <c r="P5366" s="24"/>
    </row>
    <row r="5367" spans="2:16" x14ac:dyDescent="0.25">
      <c r="B5367" s="24"/>
      <c r="E5367" s="24"/>
      <c r="G5367" s="24"/>
      <c r="H5367" s="24"/>
      <c r="J5367" s="24"/>
      <c r="K5367" s="24"/>
      <c r="M5367" s="24"/>
      <c r="N5367" s="24"/>
      <c r="P5367" s="24"/>
    </row>
    <row r="5368" spans="2:16" x14ac:dyDescent="0.25">
      <c r="B5368" s="24"/>
      <c r="E5368" s="24"/>
      <c r="G5368" s="24"/>
      <c r="H5368" s="24"/>
      <c r="J5368" s="24"/>
      <c r="K5368" s="24"/>
      <c r="M5368" s="24"/>
      <c r="N5368" s="24"/>
      <c r="P5368" s="24"/>
    </row>
    <row r="5369" spans="2:16" x14ac:dyDescent="0.25">
      <c r="B5369" s="24"/>
      <c r="E5369" s="24"/>
      <c r="G5369" s="24"/>
      <c r="H5369" s="24"/>
      <c r="J5369" s="24"/>
      <c r="K5369" s="24"/>
      <c r="M5369" s="24"/>
      <c r="N5369" s="24"/>
      <c r="P5369" s="24"/>
    </row>
    <row r="5370" spans="2:16" x14ac:dyDescent="0.25">
      <c r="B5370" s="24"/>
      <c r="E5370" s="24"/>
      <c r="G5370" s="24"/>
      <c r="H5370" s="24"/>
      <c r="J5370" s="24"/>
      <c r="K5370" s="24"/>
      <c r="M5370" s="24"/>
      <c r="N5370" s="24"/>
      <c r="P5370" s="24"/>
    </row>
    <row r="5371" spans="2:16" x14ac:dyDescent="0.25">
      <c r="B5371" s="24"/>
      <c r="E5371" s="24"/>
      <c r="G5371" s="24"/>
      <c r="H5371" s="24"/>
      <c r="J5371" s="24"/>
      <c r="K5371" s="24"/>
      <c r="M5371" s="24"/>
      <c r="N5371" s="24"/>
      <c r="P5371" s="24"/>
    </row>
    <row r="5372" spans="2:16" x14ac:dyDescent="0.25">
      <c r="B5372" s="24"/>
      <c r="E5372" s="24"/>
      <c r="G5372" s="24"/>
      <c r="H5372" s="24"/>
      <c r="J5372" s="24"/>
      <c r="K5372" s="24"/>
      <c r="M5372" s="24"/>
      <c r="N5372" s="24"/>
      <c r="P5372" s="24"/>
    </row>
    <row r="5373" spans="2:16" x14ac:dyDescent="0.25">
      <c r="B5373" s="24"/>
      <c r="E5373" s="24"/>
      <c r="G5373" s="24"/>
      <c r="H5373" s="24"/>
      <c r="J5373" s="24"/>
      <c r="K5373" s="24"/>
      <c r="M5373" s="24"/>
      <c r="N5373" s="24"/>
      <c r="P5373" s="24"/>
    </row>
    <row r="5374" spans="2:16" x14ac:dyDescent="0.25">
      <c r="B5374" s="24"/>
      <c r="E5374" s="24"/>
      <c r="G5374" s="24"/>
      <c r="H5374" s="24"/>
      <c r="J5374" s="24"/>
      <c r="K5374" s="24"/>
      <c r="M5374" s="24"/>
      <c r="N5374" s="24"/>
      <c r="P5374" s="24"/>
    </row>
    <row r="5375" spans="2:16" x14ac:dyDescent="0.25">
      <c r="B5375" s="24"/>
      <c r="E5375" s="24"/>
      <c r="G5375" s="24"/>
      <c r="H5375" s="24"/>
      <c r="J5375" s="24"/>
      <c r="K5375" s="24"/>
      <c r="M5375" s="24"/>
      <c r="N5375" s="24"/>
      <c r="P5375" s="24"/>
    </row>
    <row r="5376" spans="2:16" x14ac:dyDescent="0.25">
      <c r="B5376" s="24"/>
      <c r="E5376" s="24"/>
      <c r="G5376" s="24"/>
      <c r="H5376" s="24"/>
      <c r="J5376" s="24"/>
      <c r="K5376" s="24"/>
      <c r="M5376" s="24"/>
      <c r="N5376" s="24"/>
      <c r="P5376" s="24"/>
    </row>
    <row r="5377" spans="2:16" x14ac:dyDescent="0.25">
      <c r="B5377" s="24"/>
      <c r="E5377" s="24"/>
      <c r="G5377" s="24"/>
      <c r="H5377" s="24"/>
      <c r="J5377" s="24"/>
      <c r="K5377" s="24"/>
      <c r="M5377" s="24"/>
      <c r="N5377" s="24"/>
      <c r="P5377" s="24"/>
    </row>
    <row r="5378" spans="2:16" x14ac:dyDescent="0.25">
      <c r="B5378" s="24"/>
      <c r="E5378" s="24"/>
      <c r="G5378" s="24"/>
      <c r="H5378" s="24"/>
      <c r="J5378" s="24"/>
      <c r="K5378" s="24"/>
      <c r="M5378" s="24"/>
      <c r="N5378" s="24"/>
      <c r="P5378" s="24"/>
    </row>
    <row r="5379" spans="2:16" x14ac:dyDescent="0.25">
      <c r="B5379" s="24"/>
      <c r="E5379" s="24"/>
      <c r="G5379" s="24"/>
      <c r="H5379" s="24"/>
      <c r="J5379" s="24"/>
      <c r="K5379" s="24"/>
      <c r="M5379" s="24"/>
      <c r="N5379" s="24"/>
      <c r="P5379" s="24"/>
    </row>
    <row r="5380" spans="2:16" x14ac:dyDescent="0.25">
      <c r="B5380" s="24"/>
      <c r="E5380" s="24"/>
      <c r="G5380" s="24"/>
      <c r="H5380" s="24"/>
      <c r="J5380" s="24"/>
      <c r="K5380" s="24"/>
      <c r="M5380" s="24"/>
      <c r="N5380" s="24"/>
      <c r="P5380" s="24"/>
    </row>
    <row r="5381" spans="2:16" x14ac:dyDescent="0.25">
      <c r="B5381" s="24"/>
      <c r="E5381" s="24"/>
      <c r="G5381" s="24"/>
      <c r="H5381" s="24"/>
      <c r="J5381" s="24"/>
      <c r="K5381" s="24"/>
      <c r="M5381" s="24"/>
      <c r="N5381" s="24"/>
      <c r="P5381" s="24"/>
    </row>
    <row r="5382" spans="2:16" x14ac:dyDescent="0.25">
      <c r="B5382" s="24"/>
      <c r="E5382" s="24"/>
      <c r="G5382" s="24"/>
      <c r="H5382" s="24"/>
      <c r="J5382" s="24"/>
      <c r="K5382" s="24"/>
      <c r="M5382" s="24"/>
      <c r="N5382" s="24"/>
      <c r="P5382" s="24"/>
    </row>
    <row r="5383" spans="2:16" x14ac:dyDescent="0.25">
      <c r="B5383" s="24"/>
      <c r="E5383" s="24"/>
      <c r="G5383" s="24"/>
      <c r="H5383" s="24"/>
      <c r="J5383" s="24"/>
      <c r="K5383" s="24"/>
      <c r="M5383" s="24"/>
      <c r="N5383" s="24"/>
      <c r="P5383" s="24"/>
    </row>
    <row r="5384" spans="2:16" x14ac:dyDescent="0.25">
      <c r="B5384" s="24"/>
      <c r="E5384" s="24"/>
      <c r="G5384" s="24"/>
      <c r="H5384" s="24"/>
      <c r="J5384" s="24"/>
      <c r="K5384" s="24"/>
      <c r="M5384" s="24"/>
      <c r="N5384" s="24"/>
      <c r="P5384" s="24"/>
    </row>
    <row r="5385" spans="2:16" x14ac:dyDescent="0.25">
      <c r="B5385" s="24"/>
      <c r="E5385" s="24"/>
      <c r="G5385" s="24"/>
      <c r="H5385" s="24"/>
      <c r="J5385" s="24"/>
      <c r="K5385" s="24"/>
      <c r="M5385" s="24"/>
      <c r="N5385" s="24"/>
      <c r="P5385" s="24"/>
    </row>
    <row r="5386" spans="2:16" x14ac:dyDescent="0.25">
      <c r="B5386" s="24"/>
      <c r="E5386" s="24"/>
      <c r="G5386" s="24"/>
      <c r="H5386" s="24"/>
      <c r="J5386" s="24"/>
      <c r="K5386" s="24"/>
      <c r="M5386" s="24"/>
      <c r="N5386" s="24"/>
      <c r="P5386" s="24"/>
    </row>
    <row r="5387" spans="2:16" x14ac:dyDescent="0.25">
      <c r="B5387" s="24"/>
      <c r="E5387" s="24"/>
      <c r="G5387" s="24"/>
      <c r="H5387" s="24"/>
      <c r="J5387" s="24"/>
      <c r="K5387" s="24"/>
      <c r="M5387" s="24"/>
      <c r="N5387" s="24"/>
      <c r="P5387" s="24"/>
    </row>
    <row r="5388" spans="2:16" x14ac:dyDescent="0.25">
      <c r="B5388" s="24"/>
      <c r="E5388" s="24"/>
      <c r="G5388" s="24"/>
      <c r="H5388" s="24"/>
      <c r="J5388" s="24"/>
      <c r="K5388" s="24"/>
      <c r="M5388" s="24"/>
      <c r="N5388" s="24"/>
      <c r="P5388" s="24"/>
    </row>
    <row r="5389" spans="2:16" x14ac:dyDescent="0.25">
      <c r="B5389" s="24"/>
      <c r="E5389" s="24"/>
      <c r="G5389" s="24"/>
      <c r="H5389" s="24"/>
      <c r="J5389" s="24"/>
      <c r="K5389" s="24"/>
      <c r="M5389" s="24"/>
      <c r="N5389" s="24"/>
      <c r="P5389" s="24"/>
    </row>
    <row r="5390" spans="2:16" x14ac:dyDescent="0.25">
      <c r="B5390" s="24"/>
      <c r="E5390" s="24"/>
      <c r="G5390" s="24"/>
      <c r="H5390" s="24"/>
      <c r="J5390" s="24"/>
      <c r="K5390" s="24"/>
      <c r="M5390" s="24"/>
      <c r="N5390" s="24"/>
      <c r="P5390" s="24"/>
    </row>
    <row r="5391" spans="2:16" x14ac:dyDescent="0.25">
      <c r="B5391" s="24"/>
      <c r="E5391" s="24"/>
      <c r="G5391" s="24"/>
      <c r="H5391" s="24"/>
      <c r="J5391" s="24"/>
      <c r="K5391" s="24"/>
      <c r="M5391" s="24"/>
      <c r="N5391" s="24"/>
      <c r="P5391" s="24"/>
    </row>
    <row r="5392" spans="2:16" x14ac:dyDescent="0.25">
      <c r="B5392" s="24"/>
      <c r="E5392" s="24"/>
      <c r="G5392" s="24"/>
      <c r="H5392" s="24"/>
      <c r="J5392" s="24"/>
      <c r="K5392" s="24"/>
      <c r="M5392" s="24"/>
      <c r="N5392" s="24"/>
      <c r="P5392" s="24"/>
    </row>
    <row r="5393" spans="2:16" x14ac:dyDescent="0.25">
      <c r="B5393" s="24"/>
      <c r="E5393" s="24"/>
      <c r="G5393" s="24"/>
      <c r="H5393" s="24"/>
      <c r="J5393" s="24"/>
      <c r="K5393" s="24"/>
      <c r="M5393" s="24"/>
      <c r="N5393" s="24"/>
      <c r="P5393" s="24"/>
    </row>
    <row r="5394" spans="2:16" x14ac:dyDescent="0.25">
      <c r="B5394" s="24"/>
      <c r="E5394" s="24"/>
      <c r="G5394" s="24"/>
      <c r="H5394" s="24"/>
      <c r="J5394" s="24"/>
      <c r="K5394" s="24"/>
      <c r="M5394" s="24"/>
      <c r="N5394" s="24"/>
      <c r="P5394" s="24"/>
    </row>
    <row r="5395" spans="2:16" x14ac:dyDescent="0.25">
      <c r="B5395" s="24"/>
      <c r="E5395" s="24"/>
      <c r="G5395" s="24"/>
      <c r="H5395" s="24"/>
      <c r="J5395" s="24"/>
      <c r="K5395" s="24"/>
      <c r="M5395" s="24"/>
      <c r="N5395" s="24"/>
      <c r="P5395" s="24"/>
    </row>
    <row r="5396" spans="2:16" x14ac:dyDescent="0.25">
      <c r="B5396" s="24"/>
      <c r="E5396" s="24"/>
      <c r="G5396" s="24"/>
      <c r="H5396" s="24"/>
      <c r="J5396" s="24"/>
      <c r="K5396" s="24"/>
      <c r="M5396" s="24"/>
      <c r="N5396" s="24"/>
      <c r="P5396" s="24"/>
    </row>
    <row r="5397" spans="2:16" x14ac:dyDescent="0.25">
      <c r="B5397" s="24"/>
      <c r="E5397" s="24"/>
      <c r="G5397" s="24"/>
      <c r="H5397" s="24"/>
      <c r="J5397" s="24"/>
      <c r="K5397" s="24"/>
      <c r="M5397" s="24"/>
      <c r="N5397" s="24"/>
      <c r="P5397" s="24"/>
    </row>
    <row r="5398" spans="2:16" x14ac:dyDescent="0.25">
      <c r="B5398" s="24"/>
      <c r="E5398" s="24"/>
      <c r="G5398" s="24"/>
      <c r="H5398" s="24"/>
      <c r="J5398" s="24"/>
      <c r="K5398" s="24"/>
      <c r="M5398" s="24"/>
      <c r="N5398" s="24"/>
      <c r="P5398" s="24"/>
    </row>
    <row r="5399" spans="2:16" x14ac:dyDescent="0.25">
      <c r="B5399" s="24"/>
      <c r="E5399" s="24"/>
      <c r="G5399" s="24"/>
      <c r="H5399" s="24"/>
      <c r="J5399" s="24"/>
      <c r="K5399" s="24"/>
      <c r="M5399" s="24"/>
      <c r="N5399" s="24"/>
      <c r="P5399" s="24"/>
    </row>
    <row r="5400" spans="2:16" x14ac:dyDescent="0.25">
      <c r="B5400" s="24"/>
      <c r="E5400" s="24"/>
      <c r="G5400" s="24"/>
      <c r="H5400" s="24"/>
      <c r="J5400" s="24"/>
      <c r="K5400" s="24"/>
      <c r="M5400" s="24"/>
      <c r="N5400" s="24"/>
      <c r="P5400" s="24"/>
    </row>
    <row r="5401" spans="2:16" x14ac:dyDescent="0.25">
      <c r="B5401" s="24"/>
      <c r="E5401" s="24"/>
      <c r="G5401" s="24"/>
      <c r="H5401" s="24"/>
      <c r="J5401" s="24"/>
      <c r="K5401" s="24"/>
      <c r="M5401" s="24"/>
      <c r="N5401" s="24"/>
      <c r="P5401" s="24"/>
    </row>
    <row r="5402" spans="2:16" x14ac:dyDescent="0.25">
      <c r="B5402" s="24"/>
      <c r="E5402" s="24"/>
      <c r="G5402" s="24"/>
      <c r="H5402" s="24"/>
      <c r="J5402" s="24"/>
      <c r="K5402" s="24"/>
      <c r="M5402" s="24"/>
      <c r="N5402" s="24"/>
      <c r="P5402" s="24"/>
    </row>
    <row r="5403" spans="2:16" x14ac:dyDescent="0.25">
      <c r="B5403" s="24"/>
      <c r="E5403" s="24"/>
      <c r="G5403" s="24"/>
      <c r="H5403" s="24"/>
      <c r="J5403" s="24"/>
      <c r="K5403" s="24"/>
      <c r="M5403" s="24"/>
      <c r="N5403" s="24"/>
      <c r="P5403" s="24"/>
    </row>
    <row r="5404" spans="2:16" x14ac:dyDescent="0.25">
      <c r="B5404" s="24"/>
      <c r="E5404" s="24"/>
      <c r="G5404" s="24"/>
      <c r="H5404" s="24"/>
      <c r="J5404" s="24"/>
      <c r="K5404" s="24"/>
      <c r="M5404" s="24"/>
      <c r="N5404" s="24"/>
      <c r="P5404" s="24"/>
    </row>
    <row r="5405" spans="2:16" x14ac:dyDescent="0.25">
      <c r="B5405" s="24"/>
      <c r="E5405" s="24"/>
      <c r="G5405" s="24"/>
      <c r="H5405" s="24"/>
      <c r="J5405" s="24"/>
      <c r="K5405" s="24"/>
      <c r="M5405" s="24"/>
      <c r="N5405" s="24"/>
      <c r="P5405" s="24"/>
    </row>
    <row r="5406" spans="2:16" x14ac:dyDescent="0.25">
      <c r="B5406" s="24"/>
      <c r="E5406" s="24"/>
      <c r="G5406" s="24"/>
      <c r="H5406" s="24"/>
      <c r="J5406" s="24"/>
      <c r="K5406" s="24"/>
      <c r="M5406" s="24"/>
      <c r="N5406" s="24"/>
      <c r="P5406" s="24"/>
    </row>
    <row r="5407" spans="2:16" x14ac:dyDescent="0.25">
      <c r="B5407" s="24"/>
      <c r="E5407" s="24"/>
      <c r="G5407" s="24"/>
      <c r="H5407" s="24"/>
      <c r="J5407" s="24"/>
      <c r="K5407" s="24"/>
      <c r="M5407" s="24"/>
      <c r="N5407" s="24"/>
      <c r="P5407" s="24"/>
    </row>
    <row r="5408" spans="2:16" x14ac:dyDescent="0.25">
      <c r="B5408" s="24"/>
      <c r="E5408" s="24"/>
      <c r="G5408" s="24"/>
      <c r="H5408" s="24"/>
      <c r="J5408" s="24"/>
      <c r="K5408" s="24"/>
      <c r="M5408" s="24"/>
      <c r="N5408" s="24"/>
      <c r="P5408" s="24"/>
    </row>
    <row r="5409" spans="2:16" x14ac:dyDescent="0.25">
      <c r="B5409" s="24"/>
      <c r="E5409" s="24"/>
      <c r="G5409" s="24"/>
      <c r="H5409" s="24"/>
      <c r="J5409" s="24"/>
      <c r="K5409" s="24"/>
      <c r="M5409" s="24"/>
      <c r="N5409" s="24"/>
      <c r="P5409" s="24"/>
    </row>
    <row r="5410" spans="2:16" x14ac:dyDescent="0.25">
      <c r="B5410" s="24"/>
      <c r="E5410" s="24"/>
      <c r="G5410" s="24"/>
      <c r="H5410" s="24"/>
      <c r="J5410" s="24"/>
      <c r="K5410" s="24"/>
      <c r="M5410" s="24"/>
      <c r="N5410" s="24"/>
      <c r="P5410" s="24"/>
    </row>
    <row r="5411" spans="2:16" x14ac:dyDescent="0.25">
      <c r="B5411" s="24"/>
      <c r="E5411" s="24"/>
      <c r="G5411" s="24"/>
      <c r="H5411" s="24"/>
      <c r="J5411" s="24"/>
      <c r="K5411" s="24"/>
      <c r="M5411" s="24"/>
      <c r="N5411" s="24"/>
      <c r="P5411" s="24"/>
    </row>
    <row r="5412" spans="2:16" x14ac:dyDescent="0.25">
      <c r="B5412" s="24"/>
      <c r="E5412" s="24"/>
      <c r="G5412" s="24"/>
      <c r="H5412" s="24"/>
      <c r="J5412" s="24"/>
      <c r="K5412" s="24"/>
      <c r="M5412" s="24"/>
      <c r="N5412" s="24"/>
      <c r="P5412" s="24"/>
    </row>
    <row r="5413" spans="2:16" x14ac:dyDescent="0.25">
      <c r="B5413" s="24"/>
      <c r="E5413" s="24"/>
      <c r="G5413" s="24"/>
      <c r="H5413" s="24"/>
      <c r="J5413" s="24"/>
      <c r="K5413" s="24"/>
      <c r="M5413" s="24"/>
      <c r="N5413" s="24"/>
      <c r="P5413" s="24"/>
    </row>
    <row r="5414" spans="2:16" x14ac:dyDescent="0.25">
      <c r="B5414" s="24"/>
      <c r="E5414" s="24"/>
      <c r="G5414" s="24"/>
      <c r="H5414" s="24"/>
      <c r="J5414" s="24"/>
      <c r="K5414" s="24"/>
      <c r="M5414" s="24"/>
      <c r="N5414" s="24"/>
      <c r="P5414" s="24"/>
    </row>
    <row r="5415" spans="2:16" x14ac:dyDescent="0.25">
      <c r="B5415" s="24"/>
      <c r="E5415" s="24"/>
      <c r="G5415" s="24"/>
      <c r="H5415" s="24"/>
      <c r="J5415" s="24"/>
      <c r="K5415" s="24"/>
      <c r="M5415" s="24"/>
      <c r="N5415" s="24"/>
      <c r="P5415" s="24"/>
    </row>
    <row r="5416" spans="2:16" x14ac:dyDescent="0.25">
      <c r="B5416" s="24"/>
      <c r="E5416" s="24"/>
      <c r="G5416" s="24"/>
      <c r="H5416" s="24"/>
      <c r="J5416" s="24"/>
      <c r="K5416" s="24"/>
      <c r="M5416" s="24"/>
      <c r="N5416" s="24"/>
      <c r="P5416" s="24"/>
    </row>
    <row r="5417" spans="2:16" x14ac:dyDescent="0.25">
      <c r="B5417" s="24"/>
      <c r="E5417" s="24"/>
      <c r="G5417" s="24"/>
      <c r="H5417" s="24"/>
      <c r="J5417" s="24"/>
      <c r="K5417" s="24"/>
      <c r="M5417" s="24"/>
      <c r="N5417" s="24"/>
      <c r="P5417" s="24"/>
    </row>
    <row r="5418" spans="2:16" x14ac:dyDescent="0.25">
      <c r="B5418" s="24"/>
      <c r="E5418" s="24"/>
      <c r="G5418" s="24"/>
      <c r="H5418" s="24"/>
      <c r="J5418" s="24"/>
      <c r="K5418" s="24"/>
      <c r="M5418" s="24"/>
      <c r="N5418" s="24"/>
      <c r="P5418" s="24"/>
    </row>
    <row r="5419" spans="2:16" x14ac:dyDescent="0.25">
      <c r="B5419" s="24"/>
      <c r="E5419" s="24"/>
      <c r="G5419" s="24"/>
      <c r="H5419" s="24"/>
      <c r="J5419" s="24"/>
      <c r="K5419" s="24"/>
      <c r="M5419" s="24"/>
      <c r="N5419" s="24"/>
      <c r="P5419" s="24"/>
    </row>
    <row r="5420" spans="2:16" x14ac:dyDescent="0.25">
      <c r="B5420" s="24"/>
      <c r="E5420" s="24"/>
      <c r="G5420" s="24"/>
      <c r="H5420" s="24"/>
      <c r="J5420" s="24"/>
      <c r="K5420" s="24"/>
      <c r="M5420" s="24"/>
      <c r="N5420" s="24"/>
      <c r="P5420" s="24"/>
    </row>
    <row r="5421" spans="2:16" x14ac:dyDescent="0.25">
      <c r="B5421" s="24"/>
      <c r="E5421" s="24"/>
      <c r="G5421" s="24"/>
      <c r="H5421" s="24"/>
      <c r="J5421" s="24"/>
      <c r="K5421" s="24"/>
      <c r="M5421" s="24"/>
      <c r="N5421" s="24"/>
      <c r="P5421" s="24"/>
    </row>
    <row r="5422" spans="2:16" x14ac:dyDescent="0.25">
      <c r="B5422" s="24"/>
      <c r="E5422" s="24"/>
      <c r="G5422" s="24"/>
      <c r="H5422" s="24"/>
      <c r="J5422" s="24"/>
      <c r="K5422" s="24"/>
      <c r="M5422" s="24"/>
      <c r="N5422" s="24"/>
      <c r="P5422" s="24"/>
    </row>
    <row r="5423" spans="2:16" x14ac:dyDescent="0.25">
      <c r="B5423" s="24"/>
      <c r="E5423" s="24"/>
      <c r="G5423" s="24"/>
      <c r="H5423" s="24"/>
      <c r="J5423" s="24"/>
      <c r="K5423" s="24"/>
      <c r="M5423" s="24"/>
      <c r="N5423" s="24"/>
      <c r="P5423" s="24"/>
    </row>
    <row r="5424" spans="2:16" x14ac:dyDescent="0.25">
      <c r="B5424" s="24"/>
      <c r="E5424" s="24"/>
      <c r="G5424" s="24"/>
      <c r="H5424" s="24"/>
      <c r="J5424" s="24"/>
      <c r="K5424" s="24"/>
      <c r="M5424" s="24"/>
      <c r="N5424" s="24"/>
      <c r="P5424" s="24"/>
    </row>
    <row r="5425" spans="2:16" x14ac:dyDescent="0.25">
      <c r="B5425" s="24"/>
      <c r="E5425" s="24"/>
      <c r="G5425" s="24"/>
      <c r="H5425" s="24"/>
      <c r="J5425" s="24"/>
      <c r="K5425" s="24"/>
      <c r="M5425" s="24"/>
      <c r="N5425" s="24"/>
      <c r="P5425" s="24"/>
    </row>
    <row r="5426" spans="2:16" x14ac:dyDescent="0.25">
      <c r="B5426" s="24"/>
      <c r="E5426" s="24"/>
      <c r="G5426" s="24"/>
      <c r="H5426" s="24"/>
      <c r="J5426" s="24"/>
      <c r="K5426" s="24"/>
      <c r="M5426" s="24"/>
      <c r="N5426" s="24"/>
      <c r="P5426" s="24"/>
    </row>
    <row r="5427" spans="2:16" x14ac:dyDescent="0.25">
      <c r="B5427" s="24"/>
      <c r="E5427" s="24"/>
      <c r="G5427" s="24"/>
      <c r="H5427" s="24"/>
      <c r="J5427" s="24"/>
      <c r="K5427" s="24"/>
      <c r="M5427" s="24"/>
      <c r="N5427" s="24"/>
      <c r="P5427" s="24"/>
    </row>
    <row r="5428" spans="2:16" x14ac:dyDescent="0.25">
      <c r="B5428" s="24"/>
      <c r="E5428" s="24"/>
      <c r="G5428" s="24"/>
      <c r="H5428" s="24"/>
      <c r="J5428" s="24"/>
      <c r="K5428" s="24"/>
      <c r="M5428" s="24"/>
      <c r="N5428" s="24"/>
      <c r="P5428" s="24"/>
    </row>
    <row r="5429" spans="2:16" x14ac:dyDescent="0.25">
      <c r="B5429" s="24"/>
      <c r="E5429" s="24"/>
      <c r="G5429" s="24"/>
      <c r="H5429" s="24"/>
      <c r="J5429" s="24"/>
      <c r="K5429" s="24"/>
      <c r="M5429" s="24"/>
      <c r="N5429" s="24"/>
      <c r="P5429" s="24"/>
    </row>
    <row r="5430" spans="2:16" x14ac:dyDescent="0.25">
      <c r="B5430" s="24"/>
      <c r="E5430" s="24"/>
      <c r="G5430" s="24"/>
      <c r="H5430" s="24"/>
      <c r="J5430" s="24"/>
      <c r="K5430" s="24"/>
      <c r="M5430" s="24"/>
      <c r="N5430" s="24"/>
      <c r="P5430" s="24"/>
    </row>
    <row r="5431" spans="2:16" x14ac:dyDescent="0.25">
      <c r="B5431" s="24"/>
      <c r="E5431" s="24"/>
      <c r="G5431" s="24"/>
      <c r="H5431" s="24"/>
      <c r="J5431" s="24"/>
      <c r="K5431" s="24"/>
      <c r="M5431" s="24"/>
      <c r="N5431" s="24"/>
      <c r="P5431" s="24"/>
    </row>
    <row r="5432" spans="2:16" x14ac:dyDescent="0.25">
      <c r="B5432" s="24"/>
      <c r="E5432" s="24"/>
      <c r="G5432" s="24"/>
      <c r="H5432" s="24"/>
      <c r="J5432" s="24"/>
      <c r="K5432" s="24"/>
      <c r="M5432" s="24"/>
      <c r="N5432" s="24"/>
      <c r="P5432" s="24"/>
    </row>
    <row r="5433" spans="2:16" x14ac:dyDescent="0.25">
      <c r="B5433" s="24"/>
      <c r="E5433" s="24"/>
      <c r="G5433" s="24"/>
      <c r="H5433" s="24"/>
      <c r="J5433" s="24"/>
      <c r="K5433" s="24"/>
      <c r="M5433" s="24"/>
      <c r="N5433" s="24"/>
      <c r="P5433" s="24"/>
    </row>
    <row r="5434" spans="2:16" x14ac:dyDescent="0.25">
      <c r="B5434" s="24"/>
      <c r="E5434" s="24"/>
      <c r="G5434" s="24"/>
      <c r="H5434" s="24"/>
      <c r="J5434" s="24"/>
      <c r="K5434" s="24"/>
      <c r="M5434" s="24"/>
      <c r="N5434" s="24"/>
      <c r="P5434" s="24"/>
    </row>
    <row r="5435" spans="2:16" x14ac:dyDescent="0.25">
      <c r="B5435" s="24"/>
      <c r="E5435" s="24"/>
      <c r="G5435" s="24"/>
      <c r="H5435" s="24"/>
      <c r="J5435" s="24"/>
      <c r="K5435" s="24"/>
      <c r="M5435" s="24"/>
      <c r="N5435" s="24"/>
      <c r="P5435" s="24"/>
    </row>
    <row r="5436" spans="2:16" x14ac:dyDescent="0.25">
      <c r="B5436" s="24"/>
      <c r="E5436" s="24"/>
      <c r="G5436" s="24"/>
      <c r="H5436" s="24"/>
      <c r="J5436" s="24"/>
      <c r="K5436" s="24"/>
      <c r="M5436" s="24"/>
      <c r="N5436" s="24"/>
      <c r="P5436" s="24"/>
    </row>
    <row r="5437" spans="2:16" x14ac:dyDescent="0.25">
      <c r="B5437" s="24"/>
      <c r="E5437" s="24"/>
      <c r="G5437" s="24"/>
      <c r="H5437" s="24"/>
      <c r="J5437" s="24"/>
      <c r="K5437" s="24"/>
      <c r="M5437" s="24"/>
      <c r="N5437" s="24"/>
      <c r="P5437" s="24"/>
    </row>
    <row r="5438" spans="2:16" x14ac:dyDescent="0.25">
      <c r="B5438" s="24"/>
      <c r="E5438" s="24"/>
      <c r="G5438" s="24"/>
      <c r="H5438" s="24"/>
      <c r="J5438" s="24"/>
      <c r="K5438" s="24"/>
      <c r="M5438" s="24"/>
      <c r="N5438" s="24"/>
      <c r="P5438" s="24"/>
    </row>
  </sheetData>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175</vt:i4>
      </vt:variant>
    </vt:vector>
  </HeadingPairs>
  <TitlesOfParts>
    <vt:vector size="217" baseType="lpstr">
      <vt:lpstr>TitlePage</vt:lpstr>
      <vt:lpstr>Instructions</vt:lpstr>
      <vt:lpstr>Acknowledgements</vt:lpstr>
      <vt:lpstr>Version Notes</vt:lpstr>
      <vt:lpstr>Input</vt:lpstr>
      <vt:lpstr>Unitflowchart</vt:lpstr>
      <vt:lpstr>SummaryEtEnergy</vt:lpstr>
      <vt:lpstr>SummaryEtPrice</vt:lpstr>
      <vt:lpstr>SummaryEtMass</vt:lpstr>
      <vt:lpstr>SummaryEtSubstitution</vt:lpstr>
      <vt:lpstr>AllocationEnergy</vt:lpstr>
      <vt:lpstr>AllocationPrice</vt:lpstr>
      <vt:lpstr>AllocationMass</vt:lpstr>
      <vt:lpstr>SubstitutionCredit</vt:lpstr>
      <vt:lpstr>GlobalWarmingPotentials</vt:lpstr>
      <vt:lpstr>Cultivation</vt:lpstr>
      <vt:lpstr>Harvesting</vt:lpstr>
      <vt:lpstr>NFertiliser</vt:lpstr>
      <vt:lpstr>PFertiliser</vt:lpstr>
      <vt:lpstr>KFertiliser</vt:lpstr>
      <vt:lpstr>Lime</vt:lpstr>
      <vt:lpstr>RoadTransportStage1</vt:lpstr>
      <vt:lpstr>RoadTransportStage2</vt:lpstr>
      <vt:lpstr>RailTransport</vt:lpstr>
      <vt:lpstr>BargeTransport</vt:lpstr>
      <vt:lpstr>ShipTransport</vt:lpstr>
      <vt:lpstr>BoilerGrid</vt:lpstr>
      <vt:lpstr>CHP</vt:lpstr>
      <vt:lpstr>EnergySupply</vt:lpstr>
      <vt:lpstr>Milling</vt:lpstr>
      <vt:lpstr>Pre-TreatHydrolysis</vt:lpstr>
      <vt:lpstr>Ferment</vt:lpstr>
      <vt:lpstr>EthanolRecovery</vt:lpstr>
      <vt:lpstr>Utilities</vt:lpstr>
      <vt:lpstr>WasteSolidFilter</vt:lpstr>
      <vt:lpstr>AnaerobicDigestion</vt:lpstr>
      <vt:lpstr>ElectricitySales</vt:lpstr>
      <vt:lpstr>Biorefinery</vt:lpstr>
      <vt:lpstr>RoadTransportEthanolStage1</vt:lpstr>
      <vt:lpstr>RoadTransportEthanolStage2</vt:lpstr>
      <vt:lpstr>RoadTransportEthanolStage3</vt:lpstr>
      <vt:lpstr>References</vt:lpstr>
      <vt:lpstr>an_source</vt:lpstr>
      <vt:lpstr>as_source</vt:lpstr>
      <vt:lpstr>biogas_ch4</vt:lpstr>
      <vt:lpstr>biogas_gen</vt:lpstr>
      <vt:lpstr>boiler_eff_sc</vt:lpstr>
      <vt:lpstr>broth_conc</vt:lpstr>
      <vt:lpstr>can_source</vt:lpstr>
      <vt:lpstr>carbondioxide_emit</vt:lpstr>
      <vt:lpstr>chp_eff_sc</vt:lpstr>
      <vt:lpstr>chp_h_to_p_sc</vt:lpstr>
      <vt:lpstr>chp_weight_sc</vt:lpstr>
      <vt:lpstr>Credit</vt:lpstr>
      <vt:lpstr>crop_residue_yield</vt:lpstr>
      <vt:lpstr>cult_cycle</vt:lpstr>
      <vt:lpstr>CV_be</vt:lpstr>
      <vt:lpstr>CV_biogas</vt:lpstr>
      <vt:lpstr>CV_hx</vt:lpstr>
      <vt:lpstr>CV_ln</vt:lpstr>
      <vt:lpstr>CV_methane</vt:lpstr>
      <vt:lpstr>CV_misc</vt:lpstr>
      <vt:lpstr>CV_pen</vt:lpstr>
      <vt:lpstr>CV_wax</vt:lpstr>
      <vt:lpstr>CV_ws</vt:lpstr>
      <vt:lpstr>diesel_baler</vt:lpstr>
      <vt:lpstr>diesel_fert</vt:lpstr>
      <vt:lpstr>diesel_harrow</vt:lpstr>
      <vt:lpstr>diesel_mower</vt:lpstr>
      <vt:lpstr>diesel_planter</vt:lpstr>
      <vt:lpstr>diesel_plough</vt:lpstr>
      <vt:lpstr>diesel_resid_removal</vt:lpstr>
      <vt:lpstr>diesel_rolling</vt:lpstr>
      <vt:lpstr>diesel_spray</vt:lpstr>
      <vt:lpstr>diesel_subsoil</vt:lpstr>
      <vt:lpstr>diesel_weed_cult</vt:lpstr>
      <vt:lpstr>distil_elec</vt:lpstr>
      <vt:lpstr>distil_heat</vt:lpstr>
      <vt:lpstr>distil_loss</vt:lpstr>
      <vt:lpstr>e_req_ws</vt:lpstr>
      <vt:lpstr>ferm_loss</vt:lpstr>
      <vt:lpstr>ferment_elec</vt:lpstr>
      <vt:lpstr>ferment_heat</vt:lpstr>
      <vt:lpstr>func_unit</vt:lpstr>
      <vt:lpstr>gas_capt</vt:lpstr>
      <vt:lpstr>gas_credit</vt:lpstr>
      <vt:lpstr>h_req_ws</vt:lpstr>
      <vt:lpstr>harvest_chip_loss</vt:lpstr>
      <vt:lpstr>hexoses</vt:lpstr>
      <vt:lpstr>hexoses_conc</vt:lpstr>
      <vt:lpstr>hexoses_mischd</vt:lpstr>
      <vt:lpstr>hexoses_miscld</vt:lpstr>
      <vt:lpstr>hexoses_sce</vt:lpstr>
      <vt:lpstr>include_machinery</vt:lpstr>
      <vt:lpstr>include_subsoil</vt:lpstr>
      <vt:lpstr>k_fert_app_rate</vt:lpstr>
      <vt:lpstr>k_fert_source</vt:lpstr>
      <vt:lpstr>lignin</vt:lpstr>
      <vt:lpstr>lignin_energy_source</vt:lpstr>
      <vt:lpstr>lignin_mischd</vt:lpstr>
      <vt:lpstr>lignin_miscld</vt:lpstr>
      <vt:lpstr>lignin_mois</vt:lpstr>
      <vt:lpstr>lignin_sce</vt:lpstr>
      <vt:lpstr>lime_app_rate</vt:lpstr>
      <vt:lpstr>lime_fert_source</vt:lpstr>
      <vt:lpstr>lime_type</vt:lpstr>
      <vt:lpstr>method</vt:lpstr>
      <vt:lpstr>misc_mill_elec</vt:lpstr>
      <vt:lpstr>misc_mill_loss</vt:lpstr>
      <vt:lpstr>misc_type</vt:lpstr>
      <vt:lpstr>miscanthus_pretreat_loss</vt:lpstr>
      <vt:lpstr>miscanthus_process_elect</vt:lpstr>
      <vt:lpstr>miscanthus_process_steam</vt:lpstr>
      <vt:lpstr>moist_dry_feed</vt:lpstr>
      <vt:lpstr>moist_feedstock</vt:lpstr>
      <vt:lpstr>moist_fuel</vt:lpstr>
      <vt:lpstr>moist_harv</vt:lpstr>
      <vt:lpstr>moist_ws</vt:lpstr>
      <vt:lpstr>Monoammonium_Phosphate</vt:lpstr>
      <vt:lpstr>n_fert</vt:lpstr>
      <vt:lpstr>n_fert_sc_type</vt:lpstr>
      <vt:lpstr>ncv_diesel</vt:lpstr>
      <vt:lpstr>p_fert_app_rate</vt:lpstr>
      <vt:lpstr>p_fert_type</vt:lpstr>
      <vt:lpstr>p_setts</vt:lpstr>
      <vt:lpstr>pentose</vt:lpstr>
      <vt:lpstr>plant_dens</vt:lpstr>
      <vt:lpstr>price_be_sc</vt:lpstr>
      <vt:lpstr>price_carbondioxide</vt:lpstr>
      <vt:lpstr>price_hx</vt:lpstr>
      <vt:lpstr>price_ln</vt:lpstr>
      <vt:lpstr>price_miscanthus</vt:lpstr>
      <vt:lpstr>price_pen</vt:lpstr>
      <vt:lpstr>price_wax</vt:lpstr>
      <vt:lpstr>process_CSL</vt:lpstr>
      <vt:lpstr>process_DIAPHOS</vt:lpstr>
      <vt:lpstr>process_GLUCOSE</vt:lpstr>
      <vt:lpstr>process_H2O</vt:lpstr>
      <vt:lpstr>process_H2SO4</vt:lpstr>
      <vt:lpstr>process_NaOH</vt:lpstr>
      <vt:lpstr>process_NH3</vt:lpstr>
      <vt:lpstr>process_NUTRIENT</vt:lpstr>
      <vt:lpstr>process_SO2</vt:lpstr>
      <vt:lpstr>process_SORBITOL</vt:lpstr>
      <vt:lpstr>prod_cyc_length</vt:lpstr>
      <vt:lpstr>prod_pl_input_sc</vt:lpstr>
      <vt:lpstr>prod_pl_life_sc</vt:lpstr>
      <vt:lpstr>prod_pl_op_time_sc</vt:lpstr>
      <vt:lpstr>pur_loss_sc</vt:lpstr>
      <vt:lpstr>ref_sys</vt:lpstr>
      <vt:lpstr>sce_elect</vt:lpstr>
      <vt:lpstr>sce_heat</vt:lpstr>
      <vt:lpstr>sce_option</vt:lpstr>
      <vt:lpstr>sce_wax</vt:lpstr>
      <vt:lpstr>steam_heat</vt:lpstr>
      <vt:lpstr>sub_cred_ln</vt:lpstr>
      <vt:lpstr>sub_cred_pen</vt:lpstr>
      <vt:lpstr>sub_credit_wax</vt:lpstr>
      <vt:lpstr>subs_cred_carb_diox</vt:lpstr>
      <vt:lpstr>sugarcane_moist</vt:lpstr>
      <vt:lpstr>total_solids</vt:lpstr>
      <vt:lpstr>tr_f_pl_1_km</vt:lpstr>
      <vt:lpstr>tr_f_pl_1_loss</vt:lpstr>
      <vt:lpstr>tr_f_pl_1_mode</vt:lpstr>
      <vt:lpstr>tr_f_pl_1_truck</vt:lpstr>
      <vt:lpstr>tr_f_pl_2_km</vt:lpstr>
      <vt:lpstr>tr_f_pl_2_loss</vt:lpstr>
      <vt:lpstr>tr_f_pl_2_mode</vt:lpstr>
      <vt:lpstr>tr_f_pl_2_truck</vt:lpstr>
      <vt:lpstr>tr_pl_dtb_1_km</vt:lpstr>
      <vt:lpstr>tr_pl_dtb_1_km_ace</vt:lpstr>
      <vt:lpstr>tr_pl_dtb_1_km_but</vt:lpstr>
      <vt:lpstr>tr_pl_dtb_1_loss</vt:lpstr>
      <vt:lpstr>tr_pl_dtb_1_loss_ace</vt:lpstr>
      <vt:lpstr>tr_pl_dtb_1_loss_but</vt:lpstr>
      <vt:lpstr>tr_pl_dtb_1_mode</vt:lpstr>
      <vt:lpstr>tr_pl_dtb_1_mode_ace</vt:lpstr>
      <vt:lpstr>tr_pl_dtb_1_mode_but</vt:lpstr>
      <vt:lpstr>tr_pl_dtb_1_truck</vt:lpstr>
      <vt:lpstr>tr_pl_dtb_1_truck_ace</vt:lpstr>
      <vt:lpstr>tr_pl_dtb_1_truck_but</vt:lpstr>
      <vt:lpstr>tr_pl_dtb_2_km</vt:lpstr>
      <vt:lpstr>tr_pl_dtb_2_km_ace</vt:lpstr>
      <vt:lpstr>tr_pl_dtb_2_km_but</vt:lpstr>
      <vt:lpstr>tr_pl_dtb_2_loss</vt:lpstr>
      <vt:lpstr>tr_pl_dtb_2_loss_ace</vt:lpstr>
      <vt:lpstr>tr_pl_dtb_2_loss_but</vt:lpstr>
      <vt:lpstr>tr_pl_dtb_2_mode</vt:lpstr>
      <vt:lpstr>tr_pl_dtb_2_mode_ace</vt:lpstr>
      <vt:lpstr>tr_pl_dtb_2_mode_but</vt:lpstr>
      <vt:lpstr>tr_pl_dtb_2_truck</vt:lpstr>
      <vt:lpstr>tr_pl_dtb_2_truck_ace</vt:lpstr>
      <vt:lpstr>tr_pl_dtb_2_truck_but</vt:lpstr>
      <vt:lpstr>tr_pl_dtb_3_km</vt:lpstr>
      <vt:lpstr>tr_pl_dtb_3_km_ace</vt:lpstr>
      <vt:lpstr>tr_pl_dtb_3_km_but</vt:lpstr>
      <vt:lpstr>tr_pl_dtb_3_loss</vt:lpstr>
      <vt:lpstr>tr_pl_dtb_3_loss_ace</vt:lpstr>
      <vt:lpstr>tr_pl_dtb_3_loss_but</vt:lpstr>
      <vt:lpstr>tr_pl_dtb_3_mode</vt:lpstr>
      <vt:lpstr>tr_pl_dtb_3_mode_ace</vt:lpstr>
      <vt:lpstr>tr_pl_dtb_3_mode_but</vt:lpstr>
      <vt:lpstr>tr_pl_dtb_3_truck</vt:lpstr>
      <vt:lpstr>tr_pl_dtb_3_truck_ace</vt:lpstr>
      <vt:lpstr>tr_pl_dtb_3_truck_but</vt:lpstr>
      <vt:lpstr>ur_source</vt:lpstr>
      <vt:lpstr>use_chp_sc</vt:lpstr>
      <vt:lpstr>util_elec</vt:lpstr>
      <vt:lpstr>vinasse</vt:lpstr>
      <vt:lpstr>vinasse_COD</vt:lpstr>
      <vt:lpstr>vinasse_loss</vt:lpstr>
      <vt:lpstr>vol_ws</vt:lpstr>
      <vt:lpstr>waste_solid_miscanthus_mois</vt:lpstr>
      <vt:lpstr>wwt_elec</vt:lpstr>
      <vt:lpstr>wwt_NaOH</vt:lpstr>
      <vt:lpstr>yield</vt:lpstr>
      <vt:lpstr>yield_et</vt:lpstr>
    </vt:vector>
  </TitlesOfParts>
  <Company>Sheffield Hallam University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 Onesmus Mwabonje</dc:creator>
  <cp:lastModifiedBy>Readshaw, AE</cp:lastModifiedBy>
  <cp:lastPrinted>2007-09-06T13:51:23Z</cp:lastPrinted>
  <dcterms:created xsi:type="dcterms:W3CDTF">2003-12-31T09:58:00Z</dcterms:created>
  <dcterms:modified xsi:type="dcterms:W3CDTF">2014-11-19T10:29:19Z</dcterms:modified>
</cp:coreProperties>
</file>